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1.4\obmen\ОТДЕЛ ПО РАБОТЕ С НАСЕЛЕНИЕМ\Волкова Ирина\Новая папка\"/>
    </mc:Choice>
  </mc:AlternateContent>
  <xr:revisionPtr revIDLastSave="0" documentId="8_{C95B4F6D-E513-4A60-AFBA-410B7B94A06F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Sheet1!$A$1:$I$19227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626" i="1" l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<sst xmlns="http://schemas.openxmlformats.org/spreadsheetml/2006/main" count="97265" uniqueCount="16368">
  <si>
    <t>Дом</t>
  </si>
  <si>
    <t>Квартира</t>
  </si>
  <si>
    <t>Код плательщика</t>
  </si>
  <si>
    <t>Телефон</t>
  </si>
  <si>
    <t>Долг на сегодня</t>
  </si>
  <si>
    <t>Долг в месяцах</t>
  </si>
  <si>
    <t>Открыт/Закрыт</t>
  </si>
  <si>
    <t>Коммунальная</t>
  </si>
  <si>
    <t>Участок</t>
  </si>
  <si>
    <t>Афанасьевский Б. пер., дом. 4</t>
  </si>
  <si>
    <t>1</t>
  </si>
  <si>
    <t>4956951183</t>
  </si>
  <si>
    <t>Открыт</t>
  </si>
  <si>
    <t>5 участок</t>
  </si>
  <si>
    <t>Закрыт</t>
  </si>
  <si>
    <t>-</t>
  </si>
  <si>
    <t>2</t>
  </si>
  <si>
    <t>637-16-19</t>
  </si>
  <si>
    <t>3</t>
  </si>
  <si>
    <t>4956372781</t>
  </si>
  <si>
    <t>4</t>
  </si>
  <si>
    <t>5</t>
  </si>
  <si>
    <t>6</t>
  </si>
  <si>
    <t>7</t>
  </si>
  <si>
    <t>8</t>
  </si>
  <si>
    <t>-6951452</t>
  </si>
  <si>
    <t>6951452</t>
  </si>
  <si>
    <t>9</t>
  </si>
  <si>
    <t>4956371908</t>
  </si>
  <si>
    <t>10</t>
  </si>
  <si>
    <t>84956371908</t>
  </si>
  <si>
    <t>11</t>
  </si>
  <si>
    <t>695-11-40</t>
  </si>
  <si>
    <t>12</t>
  </si>
  <si>
    <t>13</t>
  </si>
  <si>
    <t>4956371917</t>
  </si>
  <si>
    <t>14</t>
  </si>
  <si>
    <t>84956951194</t>
  </si>
  <si>
    <t>15</t>
  </si>
  <si>
    <t>16</t>
  </si>
  <si>
    <t>17</t>
  </si>
  <si>
    <t>18</t>
  </si>
  <si>
    <t>19</t>
  </si>
  <si>
    <t>6950587</t>
  </si>
  <si>
    <t>20</t>
  </si>
  <si>
    <t>4956371913</t>
  </si>
  <si>
    <t>Афанасьевский Б. пер., дом. 5</t>
  </si>
  <si>
    <t>495 695-80-87</t>
  </si>
  <si>
    <t>4956910359</t>
  </si>
  <si>
    <t>202-54-20</t>
  </si>
  <si>
    <t>495 691-18-24</t>
  </si>
  <si>
    <t>84956971057</t>
  </si>
  <si>
    <t>291-18-77</t>
  </si>
  <si>
    <t>291-18-17</t>
  </si>
  <si>
    <t>291-18-15</t>
  </si>
  <si>
    <t>291-18-59</t>
  </si>
  <si>
    <t>4956911886</t>
  </si>
  <si>
    <t>84956911779</t>
  </si>
  <si>
    <t>4956911879</t>
  </si>
  <si>
    <t>4956911908</t>
  </si>
  <si>
    <t>291-18-35</t>
  </si>
  <si>
    <t>84992901719</t>
  </si>
  <si>
    <t>000-00-00</t>
  </si>
  <si>
    <t>4956904187</t>
  </si>
  <si>
    <t>291-17-48</t>
  </si>
  <si>
    <t>4956911775</t>
  </si>
  <si>
    <t>21</t>
  </si>
  <si>
    <t>6911828</t>
  </si>
  <si>
    <t>22</t>
  </si>
  <si>
    <t>291-17-57</t>
  </si>
  <si>
    <t>23</t>
  </si>
  <si>
    <t>291-72-42</t>
  </si>
  <si>
    <t>24</t>
  </si>
  <si>
    <t>290-32-20</t>
  </si>
  <si>
    <t>25</t>
  </si>
  <si>
    <t>4956954401</t>
  </si>
  <si>
    <t>26</t>
  </si>
  <si>
    <t>4956904799</t>
  </si>
  <si>
    <t>27</t>
  </si>
  <si>
    <t>4956911806</t>
  </si>
  <si>
    <t>28</t>
  </si>
  <si>
    <t>-4956911808</t>
  </si>
  <si>
    <t>29</t>
  </si>
  <si>
    <t>4956901646</t>
  </si>
  <si>
    <t>30</t>
  </si>
  <si>
    <t>4956911246</t>
  </si>
  <si>
    <t>31</t>
  </si>
  <si>
    <t>291-17-95</t>
  </si>
  <si>
    <t>32</t>
  </si>
  <si>
    <t>4956954804</t>
  </si>
  <si>
    <t>33</t>
  </si>
  <si>
    <t>4956911906</t>
  </si>
  <si>
    <t>34</t>
  </si>
  <si>
    <t>291-48-46</t>
  </si>
  <si>
    <t>35</t>
  </si>
  <si>
    <t>291-03-55</t>
  </si>
  <si>
    <t>36</t>
  </si>
  <si>
    <t>202-74-38</t>
  </si>
  <si>
    <t>37</t>
  </si>
  <si>
    <t>4956914589</t>
  </si>
  <si>
    <t>38</t>
  </si>
  <si>
    <t>290-27-44</t>
  </si>
  <si>
    <t>39</t>
  </si>
  <si>
    <t>695-47-62</t>
  </si>
  <si>
    <t>40</t>
  </si>
  <si>
    <t>6911289</t>
  </si>
  <si>
    <t>41</t>
  </si>
  <si>
    <t>291-10-88</t>
  </si>
  <si>
    <t>42</t>
  </si>
  <si>
    <t>4956903228</t>
  </si>
  <si>
    <t>43</t>
  </si>
  <si>
    <t>4956912564</t>
  </si>
  <si>
    <t>44</t>
  </si>
  <si>
    <t>4956976275</t>
  </si>
  <si>
    <t>45</t>
  </si>
  <si>
    <t>4956905758</t>
  </si>
  <si>
    <t>46</t>
  </si>
  <si>
    <t>4956916894</t>
  </si>
  <si>
    <t>47</t>
  </si>
  <si>
    <t>4956914055</t>
  </si>
  <si>
    <t>48</t>
  </si>
  <si>
    <t>4956914768</t>
  </si>
  <si>
    <t>49</t>
  </si>
  <si>
    <t>(495)695-57-55</t>
  </si>
  <si>
    <t>50</t>
  </si>
  <si>
    <t>202-98-77</t>
  </si>
  <si>
    <t>51</t>
  </si>
  <si>
    <t>84956954770</t>
  </si>
  <si>
    <t>52</t>
  </si>
  <si>
    <t>203-28-26</t>
  </si>
  <si>
    <t>53</t>
  </si>
  <si>
    <t>4956917491</t>
  </si>
  <si>
    <t>54</t>
  </si>
  <si>
    <t>55</t>
  </si>
  <si>
    <t>291-56-60</t>
  </si>
  <si>
    <t>56</t>
  </si>
  <si>
    <t>4956911316</t>
  </si>
  <si>
    <t>57</t>
  </si>
  <si>
    <t>6957376</t>
  </si>
  <si>
    <t>58</t>
  </si>
  <si>
    <t>4956954798</t>
  </si>
  <si>
    <t>59</t>
  </si>
  <si>
    <t>4956954552</t>
  </si>
  <si>
    <t>60</t>
  </si>
  <si>
    <t>691-24-08</t>
  </si>
  <si>
    <t>61</t>
  </si>
  <si>
    <t>203-63-44</t>
  </si>
  <si>
    <t>62</t>
  </si>
  <si>
    <t>84956912697</t>
  </si>
  <si>
    <t>63</t>
  </si>
  <si>
    <t>4956971053</t>
  </si>
  <si>
    <t>64</t>
  </si>
  <si>
    <t>4956953754</t>
  </si>
  <si>
    <t>65</t>
  </si>
  <si>
    <t>6911622</t>
  </si>
  <si>
    <t>66</t>
  </si>
  <si>
    <t>84956911363</t>
  </si>
  <si>
    <t>67</t>
  </si>
  <si>
    <t>4956953538</t>
  </si>
  <si>
    <t>68</t>
  </si>
  <si>
    <t>6916704</t>
  </si>
  <si>
    <t>69</t>
  </si>
  <si>
    <t>6910458</t>
  </si>
  <si>
    <t>70</t>
  </si>
  <si>
    <t>499-641-32-88</t>
  </si>
  <si>
    <t>691-32-88</t>
  </si>
  <si>
    <t>Афанасьевский Б. пер., дом. 15 стр.1</t>
  </si>
  <si>
    <t>84957443967</t>
  </si>
  <si>
    <t>+8(499)241-40-11</t>
  </si>
  <si>
    <t>291-97-70</t>
  </si>
  <si>
    <t>291-21-04</t>
  </si>
  <si>
    <t>291-19-73</t>
  </si>
  <si>
    <t>4996911702</t>
  </si>
  <si>
    <t>9"А"</t>
  </si>
  <si>
    <t>6912304</t>
  </si>
  <si>
    <t>291-22-46</t>
  </si>
  <si>
    <t>84952912566</t>
  </si>
  <si>
    <t>-84952912566</t>
  </si>
  <si>
    <t>4956911731</t>
  </si>
  <si>
    <t>4956911580</t>
  </si>
  <si>
    <t>Афанасьевский Б. пер., дом. 17/7</t>
  </si>
  <si>
    <t>84956973924</t>
  </si>
  <si>
    <t>4956973349</t>
  </si>
  <si>
    <t>203-31-46</t>
  </si>
  <si>
    <t>203-30-72</t>
  </si>
  <si>
    <t>4956973368</t>
  </si>
  <si>
    <t>4956974003</t>
  </si>
  <si>
    <t>6973466</t>
  </si>
  <si>
    <t>203-33-61</t>
  </si>
  <si>
    <t>+()--</t>
  </si>
  <si>
    <t>4956974215</t>
  </si>
  <si>
    <t>203-40-24</t>
  </si>
  <si>
    <t>4996973303</t>
  </si>
  <si>
    <t>6973133</t>
  </si>
  <si>
    <t>203-30-19</t>
  </si>
  <si>
    <t>203-40-30</t>
  </si>
  <si>
    <t>-6973366</t>
  </si>
  <si>
    <t>697-33-34</t>
  </si>
  <si>
    <t>4956973068</t>
  </si>
  <si>
    <t>203-31-35</t>
  </si>
  <si>
    <t>-49569731517</t>
  </si>
  <si>
    <t>203-31-20</t>
  </si>
  <si>
    <t>203-30-20</t>
  </si>
  <si>
    <t>203-40-16</t>
  </si>
  <si>
    <t>203-33-27</t>
  </si>
  <si>
    <t>203-33-26</t>
  </si>
  <si>
    <t>697-33-62</t>
  </si>
  <si>
    <t>691-85-32</t>
  </si>
  <si>
    <t>+7(916)928-46-43</t>
  </si>
  <si>
    <t>4956973319</t>
  </si>
  <si>
    <t>Барыковский пер., дом. 10</t>
  </si>
  <si>
    <t>84956372692</t>
  </si>
  <si>
    <t>4956377603</t>
  </si>
  <si>
    <t>-4956377603</t>
  </si>
  <si>
    <t>9036199988</t>
  </si>
  <si>
    <t>6377712</t>
  </si>
  <si>
    <t>637-72-16</t>
  </si>
  <si>
    <t>9104698500</t>
  </si>
  <si>
    <t>4956377618</t>
  </si>
  <si>
    <t>201-76-18</t>
  </si>
  <si>
    <t>84956374249</t>
  </si>
  <si>
    <t>4956375847</t>
  </si>
  <si>
    <t>84956372336</t>
  </si>
  <si>
    <t>89857667140</t>
  </si>
  <si>
    <t>637-76-58</t>
  </si>
  <si>
    <t>4956377505</t>
  </si>
  <si>
    <t>4956377409</t>
  </si>
  <si>
    <t>4956377889</t>
  </si>
  <si>
    <t>Бурденко ул., дом. 8/1</t>
  </si>
  <si>
    <t>84992486571</t>
  </si>
  <si>
    <t>2 участок</t>
  </si>
  <si>
    <t>1А</t>
  </si>
  <si>
    <t>246-29-17</t>
  </si>
  <si>
    <t>246-50-55</t>
  </si>
  <si>
    <t>2А</t>
  </si>
  <si>
    <t>248-63-95</t>
  </si>
  <si>
    <t>246-91-11</t>
  </si>
  <si>
    <t>3А</t>
  </si>
  <si>
    <t>245-10-75</t>
  </si>
  <si>
    <t>4992486562</t>
  </si>
  <si>
    <t>4А</t>
  </si>
  <si>
    <t>4992552519</t>
  </si>
  <si>
    <t>5А</t>
  </si>
  <si>
    <t>499-246-97-76</t>
  </si>
  <si>
    <t>246-36-69</t>
  </si>
  <si>
    <t>6А</t>
  </si>
  <si>
    <t>4992466784</t>
  </si>
  <si>
    <t>4992486564</t>
  </si>
  <si>
    <t>7А</t>
  </si>
  <si>
    <t>499-245-27-03</t>
  </si>
  <si>
    <t>4992460815</t>
  </si>
  <si>
    <t>8А</t>
  </si>
  <si>
    <t>4992466043</t>
  </si>
  <si>
    <t>4992464357</t>
  </si>
  <si>
    <t>9А</t>
  </si>
  <si>
    <t>499-246-73-09</t>
  </si>
  <si>
    <t>10А</t>
  </si>
  <si>
    <t>4992452825</t>
  </si>
  <si>
    <t>245-28-25</t>
  </si>
  <si>
    <t>246-24-77</t>
  </si>
  <si>
    <t>11А</t>
  </si>
  <si>
    <t>246-46-57</t>
  </si>
  <si>
    <t>499-248-64-27</t>
  </si>
  <si>
    <t>12А</t>
  </si>
  <si>
    <t>4992462857</t>
  </si>
  <si>
    <t>499-246-97-93</t>
  </si>
  <si>
    <t>499-255-80-68</t>
  </si>
  <si>
    <t>4992484323</t>
  </si>
  <si>
    <t>17А</t>
  </si>
  <si>
    <t>84992462511</t>
  </si>
  <si>
    <t>246-68-18</t>
  </si>
  <si>
    <t>246-41-54</t>
  </si>
  <si>
    <t>19А</t>
  </si>
  <si>
    <t>246-64-79</t>
  </si>
  <si>
    <t>19Б</t>
  </si>
  <si>
    <t>245-33-62</t>
  </si>
  <si>
    <t>245-23-03</t>
  </si>
  <si>
    <t>20А</t>
  </si>
  <si>
    <t>246-68-10</t>
  </si>
  <si>
    <t>20Б</t>
  </si>
  <si>
    <t>4992467803</t>
  </si>
  <si>
    <t>246-20-80</t>
  </si>
  <si>
    <t>21А</t>
  </si>
  <si>
    <t>-4992460542</t>
  </si>
  <si>
    <t>4992469774</t>
  </si>
  <si>
    <t>23А</t>
  </si>
  <si>
    <t>246-39-28</t>
  </si>
  <si>
    <t>246-40-12</t>
  </si>
  <si>
    <t>Бурденко ул., дом. 11а стр.2</t>
  </si>
  <si>
    <t>84992453486</t>
  </si>
  <si>
    <t>246-30-62</t>
  </si>
  <si>
    <t>248-55-83</t>
  </si>
  <si>
    <t>4992552250</t>
  </si>
  <si>
    <t>-84992552522</t>
  </si>
  <si>
    <t>248-49-35</t>
  </si>
  <si>
    <t>-4992552523</t>
  </si>
  <si>
    <t>4992450777</t>
  </si>
  <si>
    <t>84992451242</t>
  </si>
  <si>
    <t>247-19-02</t>
  </si>
  <si>
    <t>-4992557901</t>
  </si>
  <si>
    <t>4992485306</t>
  </si>
  <si>
    <t>499-246-06-10</t>
  </si>
  <si>
    <t>247-00-64</t>
  </si>
  <si>
    <t>4992552524</t>
  </si>
  <si>
    <t>246-48-64</t>
  </si>
  <si>
    <t>499-246-50-92</t>
  </si>
  <si>
    <t>-84992552063</t>
  </si>
  <si>
    <t>4992557903</t>
  </si>
  <si>
    <t>4992552267</t>
  </si>
  <si>
    <t>248-48-41</t>
  </si>
  <si>
    <t>247-19-27</t>
  </si>
  <si>
    <t>4992450326</t>
  </si>
  <si>
    <t>247-00-31</t>
  </si>
  <si>
    <t>4992485573</t>
  </si>
  <si>
    <t>247-00-30</t>
  </si>
  <si>
    <t>4992552447</t>
  </si>
  <si>
    <t>248-78-85</t>
  </si>
  <si>
    <t>4992487817</t>
  </si>
  <si>
    <t>84992464814</t>
  </si>
  <si>
    <t>4992557437</t>
  </si>
  <si>
    <t>246-48-26</t>
  </si>
  <si>
    <t>245-03-72</t>
  </si>
  <si>
    <t>4992557236</t>
  </si>
  <si>
    <t>4992464827</t>
  </si>
  <si>
    <t>4992557237</t>
  </si>
  <si>
    <t>246-08-03</t>
  </si>
  <si>
    <t>4992552941</t>
  </si>
  <si>
    <t>+7(929)277-70-68</t>
  </si>
  <si>
    <t>246-23-74</t>
  </si>
  <si>
    <t>84992452610</t>
  </si>
  <si>
    <t>247-05-28</t>
  </si>
  <si>
    <t>4992467945</t>
  </si>
  <si>
    <t>4992464796</t>
  </si>
  <si>
    <t>246-26-91</t>
  </si>
  <si>
    <t>245-35-83</t>
  </si>
  <si>
    <t>247-17-02</t>
  </si>
  <si>
    <t>84992557908</t>
  </si>
  <si>
    <t>499-255-05-73</t>
  </si>
  <si>
    <t>245-27-97</t>
  </si>
  <si>
    <t>4992464812</t>
  </si>
  <si>
    <t>4992487488</t>
  </si>
  <si>
    <t>247-00-45</t>
  </si>
  <si>
    <t>247-00-46</t>
  </si>
  <si>
    <t>247-01-56</t>
  </si>
  <si>
    <t>247-05-46</t>
  </si>
  <si>
    <t>245-14-19</t>
  </si>
  <si>
    <t>4992552545</t>
  </si>
  <si>
    <t>Бурденко ул., дом. 14</t>
  </si>
  <si>
    <t>246-75-53</t>
  </si>
  <si>
    <t>246-75-71</t>
  </si>
  <si>
    <t>246-75-92</t>
  </si>
  <si>
    <t>4992468050</t>
  </si>
  <si>
    <t>84992461997</t>
  </si>
  <si>
    <t>246-13-74</t>
  </si>
  <si>
    <t>246-43-85</t>
  </si>
  <si>
    <t>245-33-15</t>
  </si>
  <si>
    <t>49942461937</t>
  </si>
  <si>
    <t>246-43-95</t>
  </si>
  <si>
    <t>+8(499)246-13-73</t>
  </si>
  <si>
    <t>246-19-57</t>
  </si>
  <si>
    <t>4992463216</t>
  </si>
  <si>
    <t>Бурденко ул., дом. 16/12</t>
  </si>
  <si>
    <t>4992460804</t>
  </si>
  <si>
    <t>84992454201</t>
  </si>
  <si>
    <t>245-75-20</t>
  </si>
  <si>
    <t>245-53-69</t>
  </si>
  <si>
    <t>4992467968</t>
  </si>
  <si>
    <t>-4992455459</t>
  </si>
  <si>
    <t>4992553399</t>
  </si>
  <si>
    <t>4992457044</t>
  </si>
  <si>
    <t>4992558044</t>
  </si>
  <si>
    <t>84992457617</t>
  </si>
  <si>
    <t>4992469840</t>
  </si>
  <si>
    <t>4992462128</t>
  </si>
  <si>
    <t>84992452761</t>
  </si>
  <si>
    <t>245-95-40</t>
  </si>
  <si>
    <t>499-245-14-99</t>
  </si>
  <si>
    <t>245-58-29</t>
  </si>
  <si>
    <t>246-05-08</t>
  </si>
  <si>
    <t>4992456594</t>
  </si>
  <si>
    <t>4992482216</t>
  </si>
  <si>
    <t>33-34</t>
  </si>
  <si>
    <t>84992464023</t>
  </si>
  <si>
    <t>499-246-99-36</t>
  </si>
  <si>
    <t>35А</t>
  </si>
  <si>
    <t>Бутиковский пер., дом. 5 к.2</t>
  </si>
  <si>
    <t>Бутиковский пер., дом. 18</t>
  </si>
  <si>
    <t>792-39-53</t>
  </si>
  <si>
    <t>203-27-99</t>
  </si>
  <si>
    <t>4956951314</t>
  </si>
  <si>
    <t>6951257</t>
  </si>
  <si>
    <t>6951181</t>
  </si>
  <si>
    <t>Власьевский Б. пер., дом. 10</t>
  </si>
  <si>
    <t>84992410797</t>
  </si>
  <si>
    <t>241-80-60</t>
  </si>
  <si>
    <t>241-40-88</t>
  </si>
  <si>
    <t>4992413658</t>
  </si>
  <si>
    <t>4992413691</t>
  </si>
  <si>
    <t>241-33-94</t>
  </si>
  <si>
    <t>241-05-87</t>
  </si>
  <si>
    <t>4992419132</t>
  </si>
  <si>
    <t>499-241-40-99</t>
  </si>
  <si>
    <t>4992413295</t>
  </si>
  <si>
    <t>241-29-12</t>
  </si>
  <si>
    <t>3820080</t>
  </si>
  <si>
    <t>241-26-35</t>
  </si>
  <si>
    <t>89035081226</t>
  </si>
  <si>
    <t>241-71-12</t>
  </si>
  <si>
    <t>4992412478</t>
  </si>
  <si>
    <t>4992413289</t>
  </si>
  <si>
    <t>9636138874</t>
  </si>
  <si>
    <t>241-38-90</t>
  </si>
  <si>
    <t>4992412250</t>
  </si>
  <si>
    <t>241-01-41</t>
  </si>
  <si>
    <t>241-50-52</t>
  </si>
  <si>
    <t>4992411336</t>
  </si>
  <si>
    <t>Власьевский Б. пер., дом. 14 стр.1</t>
  </si>
  <si>
    <t>241-14-44</t>
  </si>
  <si>
    <t>241-00-42</t>
  </si>
  <si>
    <t>499 241-94-10</t>
  </si>
  <si>
    <t>241-30-15</t>
  </si>
  <si>
    <t>241-10-95</t>
  </si>
  <si>
    <t>2413480</t>
  </si>
  <si>
    <t>499-241-20-82</t>
  </si>
  <si>
    <t>241-23-69</t>
  </si>
  <si>
    <t>241-48-38</t>
  </si>
  <si>
    <t>241-62-48</t>
  </si>
  <si>
    <t>241-72-21</t>
  </si>
  <si>
    <t>4992413797</t>
  </si>
  <si>
    <t>382-38-97</t>
  </si>
  <si>
    <t>84958415560</t>
  </si>
  <si>
    <t>241-37-89</t>
  </si>
  <si>
    <t>241-65-39</t>
  </si>
  <si>
    <t>241-69-80</t>
  </si>
  <si>
    <t>499-241-97-51</t>
  </si>
  <si>
    <t>4992413653</t>
  </si>
  <si>
    <t>4992417143</t>
  </si>
  <si>
    <t>4992410448</t>
  </si>
  <si>
    <t>-84992417845</t>
  </si>
  <si>
    <t>241-94-70</t>
  </si>
  <si>
    <t>241-48-55</t>
  </si>
  <si>
    <t>241-62-59</t>
  </si>
  <si>
    <t>84992419355</t>
  </si>
  <si>
    <t>4992413660</t>
  </si>
  <si>
    <t>241-12-32</t>
  </si>
  <si>
    <t>4992416257</t>
  </si>
  <si>
    <t>241-27-76</t>
  </si>
  <si>
    <t>4992417716</t>
  </si>
  <si>
    <t>84992412843</t>
  </si>
  <si>
    <t>241-02-59</t>
  </si>
  <si>
    <t>241-63-32</t>
  </si>
  <si>
    <t>4992415594</t>
  </si>
  <si>
    <t>241-30-74</t>
  </si>
  <si>
    <t>241-05-85</t>
  </si>
  <si>
    <t>241-39-65</t>
  </si>
  <si>
    <t>2527486</t>
  </si>
  <si>
    <t>241-48-36</t>
  </si>
  <si>
    <t>4992412341</t>
  </si>
  <si>
    <t>4992410774</t>
  </si>
  <si>
    <t>4992410467</t>
  </si>
  <si>
    <t>4992416374</t>
  </si>
  <si>
    <t>241-56-55</t>
  </si>
  <si>
    <t>241-89-92</t>
  </si>
  <si>
    <t>4992413562</t>
  </si>
  <si>
    <t>241-54-42</t>
  </si>
  <si>
    <t>4992416294</t>
  </si>
  <si>
    <t>241-61-24</t>
  </si>
  <si>
    <t>84992412386</t>
  </si>
  <si>
    <t>4992416503</t>
  </si>
  <si>
    <t>Власьевский Б. пер., дом. 14 стр.2</t>
  </si>
  <si>
    <t>Власьевский М. пер., дом. 7</t>
  </si>
  <si>
    <t>84992414897</t>
  </si>
  <si>
    <t>4992416697</t>
  </si>
  <si>
    <t>4992415610</t>
  </si>
  <si>
    <t>4992527747</t>
  </si>
  <si>
    <t>241-51-62</t>
  </si>
  <si>
    <t>4992414886</t>
  </si>
  <si>
    <t>4992415612</t>
  </si>
  <si>
    <t>241-59-50</t>
  </si>
  <si>
    <t>4992414949</t>
  </si>
  <si>
    <t>241-56-19</t>
  </si>
  <si>
    <t>4992415621</t>
  </si>
  <si>
    <t>4992418450</t>
  </si>
  <si>
    <t>4992418745</t>
  </si>
  <si>
    <t>241-52-42</t>
  </si>
  <si>
    <t>241-58-43</t>
  </si>
  <si>
    <t>241-56-39</t>
  </si>
  <si>
    <t>241-59-53</t>
  </si>
  <si>
    <t>4992415608</t>
  </si>
  <si>
    <t>84992415945</t>
  </si>
  <si>
    <t>4992419799</t>
  </si>
  <si>
    <t>241-17-65</t>
  </si>
  <si>
    <t>84952416888</t>
  </si>
  <si>
    <t>4992413315</t>
  </si>
  <si>
    <t>4992415207</t>
  </si>
  <si>
    <t>241-56-17</t>
  </si>
  <si>
    <t>241-56-47</t>
  </si>
  <si>
    <t>241-49-74</t>
  </si>
  <si>
    <t>241-56-49</t>
  </si>
  <si>
    <t>4992418158</t>
  </si>
  <si>
    <t>499-241-25-31</t>
  </si>
  <si>
    <t>4992412531</t>
  </si>
  <si>
    <t>4992415732</t>
  </si>
  <si>
    <t>4992415589</t>
  </si>
  <si>
    <t>4992416512</t>
  </si>
  <si>
    <t>4992414943</t>
  </si>
  <si>
    <t>-4992414943</t>
  </si>
  <si>
    <t>4992415593</t>
  </si>
  <si>
    <t>4992415750</t>
  </si>
  <si>
    <t>241-36-88</t>
  </si>
  <si>
    <t>4992415629</t>
  </si>
  <si>
    <t>4992418462</t>
  </si>
  <si>
    <t>241-55-00</t>
  </si>
  <si>
    <t>4992415771</t>
  </si>
  <si>
    <t>4992417390</t>
  </si>
  <si>
    <t>4992415824</t>
  </si>
  <si>
    <t>241-55-95</t>
  </si>
  <si>
    <t>4992415801</t>
  </si>
  <si>
    <t>4992415586</t>
  </si>
  <si>
    <t>4992415480</t>
  </si>
  <si>
    <t>4992415456</t>
  </si>
  <si>
    <t>4992415281</t>
  </si>
  <si>
    <t>241-74-75</t>
  </si>
  <si>
    <t>4992415804</t>
  </si>
  <si>
    <t>4992415848</t>
  </si>
  <si>
    <t>241-82-51</t>
  </si>
  <si>
    <t>241-58-25</t>
  </si>
  <si>
    <t>Волхонка ул., дом. 5/6 стр.4</t>
  </si>
  <si>
    <t>93</t>
  </si>
  <si>
    <t>202-08-30</t>
  </si>
  <si>
    <t>94</t>
  </si>
  <si>
    <t>203-31-49</t>
  </si>
  <si>
    <t>95</t>
  </si>
  <si>
    <t>4956972380</t>
  </si>
  <si>
    <t>96</t>
  </si>
  <si>
    <t>6978010</t>
  </si>
  <si>
    <t>97</t>
  </si>
  <si>
    <t>6974408</t>
  </si>
  <si>
    <t>98</t>
  </si>
  <si>
    <t>99</t>
  </si>
  <si>
    <t>203-83-49</t>
  </si>
  <si>
    <t>100</t>
  </si>
  <si>
    <t>203-87-10</t>
  </si>
  <si>
    <t>101</t>
  </si>
  <si>
    <t>6974108</t>
  </si>
  <si>
    <t>102</t>
  </si>
  <si>
    <t>103</t>
  </si>
  <si>
    <t>697-60-75</t>
  </si>
  <si>
    <t>104</t>
  </si>
  <si>
    <t>203-83-08</t>
  </si>
  <si>
    <t>4956978308</t>
  </si>
  <si>
    <t>106</t>
  </si>
  <si>
    <t>6979575</t>
  </si>
  <si>
    <t>109</t>
  </si>
  <si>
    <t>203-89-08</t>
  </si>
  <si>
    <t>110</t>
  </si>
  <si>
    <t>4956975150</t>
  </si>
  <si>
    <t>115</t>
  </si>
  <si>
    <t>116</t>
  </si>
  <si>
    <t>203-21-78</t>
  </si>
  <si>
    <t>Волхонка ул., дом. 5/6 стр.9</t>
  </si>
  <si>
    <t>6976708</t>
  </si>
  <si>
    <t>68Б</t>
  </si>
  <si>
    <t>68В</t>
  </si>
  <si>
    <t>4956978015</t>
  </si>
  <si>
    <t>84956973476</t>
  </si>
  <si>
    <t>70а</t>
  </si>
  <si>
    <t>70Б</t>
  </si>
  <si>
    <t>6978623</t>
  </si>
  <si>
    <t>70В</t>
  </si>
  <si>
    <t>-4956975511</t>
  </si>
  <si>
    <t>71</t>
  </si>
  <si>
    <t>4956977938</t>
  </si>
  <si>
    <t>72А</t>
  </si>
  <si>
    <t>4956977942</t>
  </si>
  <si>
    <t>72Б</t>
  </si>
  <si>
    <t>4956975526</t>
  </si>
  <si>
    <t>72В</t>
  </si>
  <si>
    <t>73</t>
  </si>
  <si>
    <t>695-78-95</t>
  </si>
  <si>
    <t>74</t>
  </si>
  <si>
    <t>6978751</t>
  </si>
  <si>
    <t>76</t>
  </si>
  <si>
    <t>203-12-49</t>
  </si>
  <si>
    <t>77</t>
  </si>
  <si>
    <t>4956973431</t>
  </si>
  <si>
    <t>78</t>
  </si>
  <si>
    <t>203-12-25</t>
  </si>
  <si>
    <t>79</t>
  </si>
  <si>
    <t>6976531</t>
  </si>
  <si>
    <t>80</t>
  </si>
  <si>
    <t>6978764</t>
  </si>
  <si>
    <t>Волхонка ул., дом. 7/6</t>
  </si>
  <si>
    <t>495-697-23-27</t>
  </si>
  <si>
    <t>203-46-08</t>
  </si>
  <si>
    <t>6974608</t>
  </si>
  <si>
    <t>4956979075</t>
  </si>
  <si>
    <t>4956970842</t>
  </si>
  <si>
    <t>956-87-96</t>
  </si>
  <si>
    <t>133-00-33</t>
  </si>
  <si>
    <t>Волхонка ул., дом. 9 стр.1</t>
  </si>
  <si>
    <t>967-55-64</t>
  </si>
  <si>
    <t>9675564</t>
  </si>
  <si>
    <t>967-55.64</t>
  </si>
  <si>
    <t>Волхонка ул., дом. 9 стр.2</t>
  </si>
  <si>
    <t>509-36-23</t>
  </si>
  <si>
    <t>6974181</t>
  </si>
  <si>
    <t>4956970288</t>
  </si>
  <si>
    <t>8Б</t>
  </si>
  <si>
    <t>6979568</t>
  </si>
  <si>
    <t>Вражский 1-й пер., дом. 4</t>
  </si>
  <si>
    <t>247-42-14</t>
  </si>
  <si>
    <t>247-40-17</t>
  </si>
  <si>
    <t>4992558741</t>
  </si>
  <si>
    <t>4992558802</t>
  </si>
  <si>
    <t>(499)255-80-82</t>
  </si>
  <si>
    <t>84992558295</t>
  </si>
  <si>
    <t>4992558743</t>
  </si>
  <si>
    <t>247-45-22</t>
  </si>
  <si>
    <t>4992558988</t>
  </si>
  <si>
    <t>247-49-75</t>
  </si>
  <si>
    <t>499-766-88-33</t>
  </si>
  <si>
    <t>499 255-85-52</t>
  </si>
  <si>
    <t>247-40-63</t>
  </si>
  <si>
    <t>4992558281</t>
  </si>
  <si>
    <t>4992558077</t>
  </si>
  <si>
    <t>84992558204</t>
  </si>
  <si>
    <t>4992558036</t>
  </si>
  <si>
    <t>84992558297</t>
  </si>
  <si>
    <t>4957083453</t>
  </si>
  <si>
    <t>2558338</t>
  </si>
  <si>
    <t>2558058</t>
  </si>
  <si>
    <t>4992888575</t>
  </si>
  <si>
    <t>247-49-37</t>
  </si>
  <si>
    <t>4992558647</t>
  </si>
  <si>
    <t>247-41-07</t>
  </si>
  <si>
    <t>-4992558109</t>
  </si>
  <si>
    <t>4992558537</t>
  </si>
  <si>
    <t>4992558571</t>
  </si>
  <si>
    <t>247-47-90</t>
  </si>
  <si>
    <t>4992558116</t>
  </si>
  <si>
    <t>4992558615</t>
  </si>
  <si>
    <t>499-255-84-90</t>
  </si>
  <si>
    <t>247-48-24</t>
  </si>
  <si>
    <t>-84992552008</t>
  </si>
  <si>
    <t>4992558841</t>
  </si>
  <si>
    <t>499-255-81-23</t>
  </si>
  <si>
    <t>4992558141</t>
  </si>
  <si>
    <t>499-255-89-30</t>
  </si>
  <si>
    <t>4992558163</t>
  </si>
  <si>
    <t>499255-81-68</t>
  </si>
  <si>
    <t>84992558302</t>
  </si>
  <si>
    <t>248-52-79</t>
  </si>
  <si>
    <t>4992558057</t>
  </si>
  <si>
    <t>499255-80-25</t>
  </si>
  <si>
    <t>247-47-93</t>
  </si>
  <si>
    <t>84992558303</t>
  </si>
  <si>
    <t>84992558346</t>
  </si>
  <si>
    <t>4992558305</t>
  </si>
  <si>
    <t>4992558671</t>
  </si>
  <si>
    <t>4992558327</t>
  </si>
  <si>
    <t>84992474591</t>
  </si>
  <si>
    <t>4992558331</t>
  </si>
  <si>
    <t>4992558683</t>
  </si>
  <si>
    <t>-4992558457</t>
  </si>
  <si>
    <t>247-43-58</t>
  </si>
  <si>
    <t>84992558801</t>
  </si>
  <si>
    <t>247-44-14</t>
  </si>
  <si>
    <t>4992558139</t>
  </si>
  <si>
    <t>4992558347</t>
  </si>
  <si>
    <t>247-42-98</t>
  </si>
  <si>
    <t>499 255-85-80</t>
  </si>
  <si>
    <t>247-45-80</t>
  </si>
  <si>
    <t>247-43-62</t>
  </si>
  <si>
    <t>6910708</t>
  </si>
  <si>
    <t>499-255-83-85</t>
  </si>
  <si>
    <t>4992558456</t>
  </si>
  <si>
    <t>2558387</t>
  </si>
  <si>
    <t>248-27-96</t>
  </si>
  <si>
    <t>2558796</t>
  </si>
  <si>
    <t>4992558396</t>
  </si>
  <si>
    <t>4992558501</t>
  </si>
  <si>
    <t>72</t>
  </si>
  <si>
    <t>4992558507</t>
  </si>
  <si>
    <t>4992558509</t>
  </si>
  <si>
    <t>84992558512</t>
  </si>
  <si>
    <t>75</t>
  </si>
  <si>
    <t>247-45-46</t>
  </si>
  <si>
    <t>84992558548</t>
  </si>
  <si>
    <t>4992558582</t>
  </si>
  <si>
    <t>247-45-85</t>
  </si>
  <si>
    <t>4992558593</t>
  </si>
  <si>
    <t>4992558702</t>
  </si>
  <si>
    <t>81</t>
  </si>
  <si>
    <t>82</t>
  </si>
  <si>
    <t>4992558727</t>
  </si>
  <si>
    <t>83</t>
  </si>
  <si>
    <t>4992558745</t>
  </si>
  <si>
    <t>84</t>
  </si>
  <si>
    <t>499-248-47-09</t>
  </si>
  <si>
    <t>85</t>
  </si>
  <si>
    <t>4992558933</t>
  </si>
  <si>
    <t>86</t>
  </si>
  <si>
    <t>87</t>
  </si>
  <si>
    <t>247-41-34</t>
  </si>
  <si>
    <t>88</t>
  </si>
  <si>
    <t>499-255-87-67</t>
  </si>
  <si>
    <t>89</t>
  </si>
  <si>
    <t>247-47-95</t>
  </si>
  <si>
    <t>90</t>
  </si>
  <si>
    <t>499 255-49-</t>
  </si>
  <si>
    <t>91</t>
  </si>
  <si>
    <t>4992558910</t>
  </si>
  <si>
    <t>92</t>
  </si>
  <si>
    <t>4992558913</t>
  </si>
  <si>
    <t>84992558915</t>
  </si>
  <si>
    <t>247-49-26</t>
  </si>
  <si>
    <t>4992558928</t>
  </si>
  <si>
    <t>4992558942</t>
  </si>
  <si>
    <t>+8(926)100-19-76</t>
  </si>
  <si>
    <t>499-255-80-08</t>
  </si>
  <si>
    <t>84992558983</t>
  </si>
  <si>
    <t>247-49-94</t>
  </si>
  <si>
    <t>4992558321</t>
  </si>
  <si>
    <t>2558372</t>
  </si>
  <si>
    <t>4992558473</t>
  </si>
  <si>
    <t>248-49-59</t>
  </si>
  <si>
    <t>105</t>
  </si>
  <si>
    <t>2558655</t>
  </si>
  <si>
    <t>-4992558448</t>
  </si>
  <si>
    <t>107</t>
  </si>
  <si>
    <t>499-255-86-07</t>
  </si>
  <si>
    <t>108</t>
  </si>
  <si>
    <t>84992453385</t>
  </si>
  <si>
    <t>247-40-84</t>
  </si>
  <si>
    <t>4992558095</t>
  </si>
  <si>
    <t>111</t>
  </si>
  <si>
    <t>4992558164</t>
  </si>
  <si>
    <t>112</t>
  </si>
  <si>
    <t>84992558734</t>
  </si>
  <si>
    <t>113</t>
  </si>
  <si>
    <t>247-48-40</t>
  </si>
  <si>
    <t>114</t>
  </si>
  <si>
    <t>499-255-89-48</t>
  </si>
  <si>
    <t>4992558045</t>
  </si>
  <si>
    <t>247-40-69</t>
  </si>
  <si>
    <t>117</t>
  </si>
  <si>
    <t>84992558418</t>
  </si>
  <si>
    <t>118</t>
  </si>
  <si>
    <t>4992558049</t>
  </si>
  <si>
    <t>119</t>
  </si>
  <si>
    <t>499-255-89-31</t>
  </si>
  <si>
    <t>120</t>
  </si>
  <si>
    <t>84992558201</t>
  </si>
  <si>
    <t>121</t>
  </si>
  <si>
    <t>4992558791</t>
  </si>
  <si>
    <t>122</t>
  </si>
  <si>
    <t>4992558708</t>
  </si>
  <si>
    <t>123</t>
  </si>
  <si>
    <t>4992558810</t>
  </si>
  <si>
    <t>124</t>
  </si>
  <si>
    <t>247-42-71</t>
  </si>
  <si>
    <t>125</t>
  </si>
  <si>
    <t>4992558273</t>
  </si>
  <si>
    <t>126</t>
  </si>
  <si>
    <t>-84992558894</t>
  </si>
  <si>
    <t>127</t>
  </si>
  <si>
    <t>499-255-82-85</t>
  </si>
  <si>
    <t>128</t>
  </si>
  <si>
    <t>247-42-84</t>
  </si>
  <si>
    <t>129</t>
  </si>
  <si>
    <t>4992558402</t>
  </si>
  <si>
    <t>130</t>
  </si>
  <si>
    <t>4992558183</t>
  </si>
  <si>
    <t>131</t>
  </si>
  <si>
    <t>84992558405</t>
  </si>
  <si>
    <t>132</t>
  </si>
  <si>
    <t>84992558420</t>
  </si>
  <si>
    <t>133</t>
  </si>
  <si>
    <t>84992558674</t>
  </si>
  <si>
    <t>134</t>
  </si>
  <si>
    <t>135</t>
  </si>
  <si>
    <t>136</t>
  </si>
  <si>
    <t>4992558438</t>
  </si>
  <si>
    <t>137</t>
  </si>
  <si>
    <t>4992554447</t>
  </si>
  <si>
    <t>138</t>
  </si>
  <si>
    <t>4992558463</t>
  </si>
  <si>
    <t>139</t>
  </si>
  <si>
    <t>140</t>
  </si>
  <si>
    <t>141</t>
  </si>
  <si>
    <t>4992558934</t>
  </si>
  <si>
    <t>142</t>
  </si>
  <si>
    <t>4992558629</t>
  </si>
  <si>
    <t>143</t>
  </si>
  <si>
    <t>7146391</t>
  </si>
  <si>
    <t>144</t>
  </si>
  <si>
    <t>4992558228</t>
  </si>
  <si>
    <t>145</t>
  </si>
  <si>
    <t>4992558829</t>
  </si>
  <si>
    <t>146</t>
  </si>
  <si>
    <t>499-255-86-62</t>
  </si>
  <si>
    <t>147</t>
  </si>
  <si>
    <t>4992468872</t>
  </si>
  <si>
    <t>148</t>
  </si>
  <si>
    <t>2558831</t>
  </si>
  <si>
    <t>149</t>
  </si>
  <si>
    <t>499 255-86-27</t>
  </si>
  <si>
    <t>150</t>
  </si>
  <si>
    <t>4992558695</t>
  </si>
  <si>
    <t>151</t>
  </si>
  <si>
    <t>4992558878</t>
  </si>
  <si>
    <t>152</t>
  </si>
  <si>
    <t>4992558259</t>
  </si>
  <si>
    <t>153</t>
  </si>
  <si>
    <t>84992558071</t>
  </si>
  <si>
    <t>154</t>
  </si>
  <si>
    <t>499 255-87-97</t>
  </si>
  <si>
    <t>155</t>
  </si>
  <si>
    <t>4992558836</t>
  </si>
  <si>
    <t>156</t>
  </si>
  <si>
    <t>247-40-85</t>
  </si>
  <si>
    <t>157</t>
  </si>
  <si>
    <t>495-248-35-19</t>
  </si>
  <si>
    <t>158</t>
  </si>
  <si>
    <t>4992558496</t>
  </si>
  <si>
    <t>159</t>
  </si>
  <si>
    <t>4992554339</t>
  </si>
  <si>
    <t>160</t>
  </si>
  <si>
    <t>247-47-87</t>
  </si>
  <si>
    <t>161</t>
  </si>
  <si>
    <t>162</t>
  </si>
  <si>
    <t>248-65-12</t>
  </si>
  <si>
    <t>163</t>
  </si>
  <si>
    <t>499-255-88-86</t>
  </si>
  <si>
    <t>164</t>
  </si>
  <si>
    <t>2558364</t>
  </si>
  <si>
    <t>165</t>
  </si>
  <si>
    <t>166</t>
  </si>
  <si>
    <t>4992558951</t>
  </si>
  <si>
    <t>167</t>
  </si>
  <si>
    <t>247-43-89</t>
  </si>
  <si>
    <t>168</t>
  </si>
  <si>
    <t>89687354887</t>
  </si>
  <si>
    <t>169</t>
  </si>
  <si>
    <t>84992558996</t>
  </si>
  <si>
    <t>170</t>
  </si>
  <si>
    <t>84992558959</t>
  </si>
  <si>
    <t>171</t>
  </si>
  <si>
    <t>4992558701</t>
  </si>
  <si>
    <t>172</t>
  </si>
  <si>
    <t>4992558714</t>
  </si>
  <si>
    <t>173</t>
  </si>
  <si>
    <t>247-42-27</t>
  </si>
  <si>
    <t>174</t>
  </si>
  <si>
    <t>4992558751</t>
  </si>
  <si>
    <t>175</t>
  </si>
  <si>
    <t>247-43-44</t>
  </si>
  <si>
    <t>176</t>
  </si>
  <si>
    <t>4992558932</t>
  </si>
  <si>
    <t>177</t>
  </si>
  <si>
    <t>4954846071</t>
  </si>
  <si>
    <t>178</t>
  </si>
  <si>
    <t>247-47-64</t>
  </si>
  <si>
    <t>179</t>
  </si>
  <si>
    <t>4992558024</t>
  </si>
  <si>
    <t>180</t>
  </si>
  <si>
    <t>4992474560</t>
  </si>
  <si>
    <t>181</t>
  </si>
  <si>
    <t>499 145-83-22</t>
  </si>
  <si>
    <t>182</t>
  </si>
  <si>
    <t>84992558224</t>
  </si>
  <si>
    <t>183</t>
  </si>
  <si>
    <t>245-63-12</t>
  </si>
  <si>
    <t>184</t>
  </si>
  <si>
    <t>185</t>
  </si>
  <si>
    <t>499-255-82-56</t>
  </si>
  <si>
    <t>186</t>
  </si>
  <si>
    <t>4992558968</t>
  </si>
  <si>
    <t>187</t>
  </si>
  <si>
    <t>247-42-17</t>
  </si>
  <si>
    <t>188</t>
  </si>
  <si>
    <t>4992558612</t>
  </si>
  <si>
    <t>189</t>
  </si>
  <si>
    <t>4992558330</t>
  </si>
  <si>
    <t>Всеволожский пер., дом. 3</t>
  </si>
  <si>
    <t>9295585239</t>
  </si>
  <si>
    <t>4956950053</t>
  </si>
  <si>
    <t>4956950397</t>
  </si>
  <si>
    <t>9057041970</t>
  </si>
  <si>
    <t>9175890404</t>
  </si>
  <si>
    <t>15-16</t>
  </si>
  <si>
    <t>9104240146</t>
  </si>
  <si>
    <t>84956950391</t>
  </si>
  <si>
    <t>84956950132</t>
  </si>
  <si>
    <t>31-32</t>
  </si>
  <si>
    <t>Гагаринский пер., дом. 9/5</t>
  </si>
  <si>
    <t>6950737</t>
  </si>
  <si>
    <t>6911360</t>
  </si>
  <si>
    <t>4956950893</t>
  </si>
  <si>
    <t>4996851039</t>
  </si>
  <si>
    <t>Глазовский пер., дом. 5</t>
  </si>
  <si>
    <t>Гоголевский бульв., дом. 8 к.2</t>
  </si>
  <si>
    <t>291-88-35</t>
  </si>
  <si>
    <t>291-96-40</t>
  </si>
  <si>
    <t>6918824</t>
  </si>
  <si>
    <t>84956918719</t>
  </si>
  <si>
    <t>4956911946</t>
  </si>
  <si>
    <t>4956903327</t>
  </si>
  <si>
    <t>4956954930</t>
  </si>
  <si>
    <t>4956919040</t>
  </si>
  <si>
    <t>290-64-50</t>
  </si>
  <si>
    <t>721-02-61</t>
  </si>
  <si>
    <t>6958246</t>
  </si>
  <si>
    <t>291-86-77</t>
  </si>
  <si>
    <t>291-86-84</t>
  </si>
  <si>
    <t>4956918400</t>
  </si>
  <si>
    <t>4956918708</t>
  </si>
  <si>
    <t>291-93-20</t>
  </si>
  <si>
    <t>4956900334</t>
  </si>
  <si>
    <t>6919213</t>
  </si>
  <si>
    <t>4956919100</t>
  </si>
  <si>
    <t>291-87-35</t>
  </si>
  <si>
    <t>4956918679</t>
  </si>
  <si>
    <t>291-85-28</t>
  </si>
  <si>
    <t>291-71-45</t>
  </si>
  <si>
    <t>291-86-19</t>
  </si>
  <si>
    <t>4956900935</t>
  </si>
  <si>
    <t>690-29-41</t>
  </si>
  <si>
    <t>291-86-33</t>
  </si>
  <si>
    <t>291-87-20</t>
  </si>
  <si>
    <t>291-10-33</t>
  </si>
  <si>
    <t>6918797</t>
  </si>
  <si>
    <t>4956975746</t>
  </si>
  <si>
    <t>291-63-95</t>
  </si>
  <si>
    <t>4956918571</t>
  </si>
  <si>
    <t>6912297</t>
  </si>
  <si>
    <t>4956959927</t>
  </si>
  <si>
    <t>78А</t>
  </si>
  <si>
    <t>291-18-31</t>
  </si>
  <si>
    <t>6917073</t>
  </si>
  <si>
    <t>291-94-22</t>
  </si>
  <si>
    <t>0</t>
  </si>
  <si>
    <t>290-50-96</t>
  </si>
  <si>
    <t>4956900544</t>
  </si>
  <si>
    <t>89037538925</t>
  </si>
  <si>
    <t>291-86-95</t>
  </si>
  <si>
    <t>Гоголевский бульв., дом. 8/9 стр.1</t>
  </si>
  <si>
    <t>290-40-26</t>
  </si>
  <si>
    <t>4956916886</t>
  </si>
  <si>
    <t>4956906709</t>
  </si>
  <si>
    <t>4956904267</t>
  </si>
  <si>
    <t>4956919229</t>
  </si>
  <si>
    <t>4956910380</t>
  </si>
  <si>
    <t>290-46-56</t>
  </si>
  <si>
    <t>202-50-58</t>
  </si>
  <si>
    <t>84956905673</t>
  </si>
  <si>
    <t>4956905368</t>
  </si>
  <si>
    <t>4956905278</t>
  </si>
  <si>
    <t>6914827</t>
  </si>
  <si>
    <t>690-48-81</t>
  </si>
  <si>
    <t>4956904521</t>
  </si>
  <si>
    <t>84956956760</t>
  </si>
  <si>
    <t>203-17-25</t>
  </si>
  <si>
    <t>290-57-55</t>
  </si>
  <si>
    <t>6905729</t>
  </si>
  <si>
    <t>4956906220</t>
  </si>
  <si>
    <t>291-68-96</t>
  </si>
  <si>
    <t>499-691-51-58</t>
  </si>
  <si>
    <t>290-62-89</t>
  </si>
  <si>
    <t>84956915149</t>
  </si>
  <si>
    <t>6913439</t>
  </si>
  <si>
    <t>6957320</t>
  </si>
  <si>
    <t>290-63-04</t>
  </si>
  <si>
    <t>202-87-60</t>
  </si>
  <si>
    <t>202-65-08</t>
  </si>
  <si>
    <t>4956919275</t>
  </si>
  <si>
    <t>84956918559</t>
  </si>
  <si>
    <t>4946917946</t>
  </si>
  <si>
    <t>84956918644</t>
  </si>
  <si>
    <t>291-77-85</t>
  </si>
  <si>
    <t>4956956402</t>
  </si>
  <si>
    <t>4956910172</t>
  </si>
  <si>
    <t>4956900294</t>
  </si>
  <si>
    <t>291-12-64</t>
  </si>
  <si>
    <t>4952034916</t>
  </si>
  <si>
    <t>84955970470</t>
  </si>
  <si>
    <t>291-24-55</t>
  </si>
  <si>
    <t>4956913915</t>
  </si>
  <si>
    <t>Денежный пер., дом. 8-10</t>
  </si>
  <si>
    <t>241-86-05</t>
  </si>
  <si>
    <t>241-54-38</t>
  </si>
  <si>
    <t>4992419953</t>
  </si>
  <si>
    <t>241-02-97</t>
  </si>
  <si>
    <t>84992410297</t>
  </si>
  <si>
    <t>4992418492</t>
  </si>
  <si>
    <t>4992414603</t>
  </si>
  <si>
    <t>241-79-35</t>
  </si>
  <si>
    <t>4992417241</t>
  </si>
  <si>
    <t>241-89-13</t>
  </si>
  <si>
    <t>241-87-14</t>
  </si>
  <si>
    <t>241-12-44</t>
  </si>
  <si>
    <t>84992418315</t>
  </si>
  <si>
    <t>241-87-34</t>
  </si>
  <si>
    <t>241-65-18</t>
  </si>
  <si>
    <t>84994214238</t>
  </si>
  <si>
    <t>2448975</t>
  </si>
  <si>
    <t>4992418273</t>
  </si>
  <si>
    <t>499-241-70-86</t>
  </si>
  <si>
    <t>241-07-94</t>
  </si>
  <si>
    <t>241-78-53</t>
  </si>
  <si>
    <t>4992414606</t>
  </si>
  <si>
    <t>4992418452</t>
  </si>
  <si>
    <t>241-53-70</t>
  </si>
  <si>
    <t>499-241-83-97</t>
  </si>
  <si>
    <t>241-90-13</t>
  </si>
  <si>
    <t>241-96-27</t>
  </si>
  <si>
    <t>499-241-96-27</t>
  </si>
  <si>
    <t>241-58-76</t>
  </si>
  <si>
    <t>89637661795</t>
  </si>
  <si>
    <t>4992410351</t>
  </si>
  <si>
    <t>4992418973</t>
  </si>
  <si>
    <t>499-241-64-59</t>
  </si>
  <si>
    <t>4992419873</t>
  </si>
  <si>
    <t>4992415932</t>
  </si>
  <si>
    <t>241-77-79</t>
  </si>
  <si>
    <t>241-85-36</t>
  </si>
  <si>
    <t>4992415885</t>
  </si>
  <si>
    <t>241-77-51</t>
  </si>
  <si>
    <t>241-45-46</t>
  </si>
  <si>
    <t>241-80-94</t>
  </si>
  <si>
    <t>4992412579</t>
  </si>
  <si>
    <t>241-30-53</t>
  </si>
  <si>
    <t>241-50-68</t>
  </si>
  <si>
    <t>241-90-46</t>
  </si>
  <si>
    <t>241-90-53</t>
  </si>
  <si>
    <t>241-51-51</t>
  </si>
  <si>
    <t>499-241-84-34</t>
  </si>
  <si>
    <t>499-241-52-90</t>
  </si>
  <si>
    <t>53-54</t>
  </si>
  <si>
    <t>241-75-66</t>
  </si>
  <si>
    <t>241-81-37</t>
  </si>
  <si>
    <t>241-88-74</t>
  </si>
  <si>
    <t>4992417991</t>
  </si>
  <si>
    <t>4992414344</t>
  </si>
  <si>
    <t>84992418852</t>
  </si>
  <si>
    <t>241-03-07</t>
  </si>
  <si>
    <t>241-93-67</t>
  </si>
  <si>
    <t>Десятилетия Октября ул., дом. 9</t>
  </si>
  <si>
    <t>98577412489</t>
  </si>
  <si>
    <t>3 участок</t>
  </si>
  <si>
    <t>-4992549814</t>
  </si>
  <si>
    <t>4992468347</t>
  </si>
  <si>
    <t>4992466798</t>
  </si>
  <si>
    <t>9262884784</t>
  </si>
  <si>
    <t>9160786673</t>
  </si>
  <si>
    <t>9164393285</t>
  </si>
  <si>
    <t>Доватора ул., дом. 3</t>
  </si>
  <si>
    <t>-4992457430</t>
  </si>
  <si>
    <t>4992457430</t>
  </si>
  <si>
    <t>4992465182</t>
  </si>
  <si>
    <t>499-245-49-39</t>
  </si>
  <si>
    <t>245-43-70</t>
  </si>
  <si>
    <t>4992454752</t>
  </si>
  <si>
    <t>4992455238</t>
  </si>
  <si>
    <t>245-48-48</t>
  </si>
  <si>
    <t>4992454435</t>
  </si>
  <si>
    <t>4992454980</t>
  </si>
  <si>
    <t>245-74-28</t>
  </si>
  <si>
    <t>245-40-54</t>
  </si>
  <si>
    <t>84992457425</t>
  </si>
  <si>
    <t>499-245-41-54</t>
  </si>
  <si>
    <t>84992454943</t>
  </si>
  <si>
    <t>+7(962)513-66-12</t>
  </si>
  <si>
    <t>245-74-26</t>
  </si>
  <si>
    <t>245-57-23</t>
  </si>
  <si>
    <t>84992454434</t>
  </si>
  <si>
    <t>4992454032</t>
  </si>
  <si>
    <t>4992455709</t>
  </si>
  <si>
    <t>245-41-63</t>
  </si>
  <si>
    <t>4992454347</t>
  </si>
  <si>
    <t>4992457431</t>
  </si>
  <si>
    <t>999</t>
  </si>
  <si>
    <t>245-52-68</t>
  </si>
  <si>
    <t>84992455612</t>
  </si>
  <si>
    <t>245-43-18</t>
  </si>
  <si>
    <t>4992455664</t>
  </si>
  <si>
    <t>-4992467952</t>
  </si>
  <si>
    <t>245-46-34</t>
  </si>
  <si>
    <t>499-245-46-34</t>
  </si>
  <si>
    <t>4992454781</t>
  </si>
  <si>
    <t>-4992454753</t>
  </si>
  <si>
    <t>89262922981</t>
  </si>
  <si>
    <t>245-47-53</t>
  </si>
  <si>
    <t>4992454529</t>
  </si>
  <si>
    <t>499-245-45-29</t>
  </si>
  <si>
    <t>499-245-59-44</t>
  </si>
  <si>
    <t>245-72-27</t>
  </si>
  <si>
    <t>245-48-52</t>
  </si>
  <si>
    <t>245-42-92</t>
  </si>
  <si>
    <t>4992454111</t>
  </si>
  <si>
    <t>4992457432</t>
  </si>
  <si>
    <t>245-58-67</t>
  </si>
  <si>
    <t>245-42-32</t>
  </si>
  <si>
    <t>245-55-58</t>
  </si>
  <si>
    <t>245-41-00 499</t>
  </si>
  <si>
    <t>245-48-39</t>
  </si>
  <si>
    <t>84992455882</t>
  </si>
  <si>
    <t>245-58-82</t>
  </si>
  <si>
    <t>245-46-42</t>
  </si>
  <si>
    <t>245-49-63</t>
  </si>
  <si>
    <t>84992454831</t>
  </si>
  <si>
    <t>245-47-95</t>
  </si>
  <si>
    <t>245-56-02</t>
  </si>
  <si>
    <t>245-44-40</t>
  </si>
  <si>
    <t>245-42-33</t>
  </si>
  <si>
    <t>4992454844</t>
  </si>
  <si>
    <t>245-48-44</t>
  </si>
  <si>
    <t>245-44-65</t>
  </si>
  <si>
    <t>245-43-47</t>
  </si>
  <si>
    <t>84992455980</t>
  </si>
  <si>
    <t>245-59-80</t>
  </si>
  <si>
    <t>-4992454278</t>
  </si>
  <si>
    <t>245-57-15</t>
  </si>
  <si>
    <t>4992455795</t>
  </si>
  <si>
    <t>4992457975</t>
  </si>
  <si>
    <t>245-51-62</t>
  </si>
  <si>
    <t>4992455541</t>
  </si>
  <si>
    <t>4992454112</t>
  </si>
  <si>
    <t>245-45-08</t>
  </si>
  <si>
    <t>499-245-48-67</t>
  </si>
  <si>
    <t>4992454438</t>
  </si>
  <si>
    <t>245-55-19</t>
  </si>
  <si>
    <t>84992455852</t>
  </si>
  <si>
    <t>4992455242</t>
  </si>
  <si>
    <t>4992455026</t>
  </si>
  <si>
    <t>4992455338</t>
  </si>
  <si>
    <t>4992454820</t>
  </si>
  <si>
    <t>4992454890</t>
  </si>
  <si>
    <t>-4992454890</t>
  </si>
  <si>
    <t>245-58-70</t>
  </si>
  <si>
    <t>Доватора ул., дом. 4/7</t>
  </si>
  <si>
    <t>245-78-31</t>
  </si>
  <si>
    <t>245-69-05</t>
  </si>
  <si>
    <t>84992456903</t>
  </si>
  <si>
    <t>245-69-07</t>
  </si>
  <si>
    <t>4992456908</t>
  </si>
  <si>
    <t>245-69-02</t>
  </si>
  <si>
    <t>4992457781</t>
  </si>
  <si>
    <t>-4992459089</t>
  </si>
  <si>
    <t>84992456914</t>
  </si>
  <si>
    <t>00000000</t>
  </si>
  <si>
    <t>499-245-69-15</t>
  </si>
  <si>
    <t>499-245-68-93</t>
  </si>
  <si>
    <t>245-67-94</t>
  </si>
  <si>
    <t>499-245-90-90</t>
  </si>
  <si>
    <t>4992457879</t>
  </si>
  <si>
    <t>4992457878</t>
  </si>
  <si>
    <t>4992459093</t>
  </si>
  <si>
    <t>245-90-91</t>
  </si>
  <si>
    <t>499-245-69-18</t>
  </si>
  <si>
    <t>4992456917</t>
  </si>
  <si>
    <t>245-90-92</t>
  </si>
  <si>
    <t>245-71-50</t>
  </si>
  <si>
    <t>4992456884</t>
  </si>
  <si>
    <t>-89100866865</t>
  </si>
  <si>
    <t>245-35-74</t>
  </si>
  <si>
    <t>245-68-80</t>
  </si>
  <si>
    <t>245-68-81</t>
  </si>
  <si>
    <t>245-68-82</t>
  </si>
  <si>
    <t>4992456889</t>
  </si>
  <si>
    <t>245-68-55</t>
  </si>
  <si>
    <t>245-77-82</t>
  </si>
  <si>
    <t>84992456888</t>
  </si>
  <si>
    <t>84992456897</t>
  </si>
  <si>
    <t>4992456890</t>
  </si>
  <si>
    <t>245-68-87</t>
  </si>
  <si>
    <t>4992456638</t>
  </si>
  <si>
    <t>4992456877</t>
  </si>
  <si>
    <t>245-68-96</t>
  </si>
  <si>
    <t>499-245-68-95</t>
  </si>
  <si>
    <t>245-55-07</t>
  </si>
  <si>
    <t>245-90-86</t>
  </si>
  <si>
    <t>43А</t>
  </si>
  <si>
    <t>-4992459087</t>
  </si>
  <si>
    <t>44А</t>
  </si>
  <si>
    <t>499-245-90-88</t>
  </si>
  <si>
    <t>245-78-75</t>
  </si>
  <si>
    <t>245-68-51</t>
  </si>
  <si>
    <t>245-90-82</t>
  </si>
  <si>
    <t>499-245-90-82</t>
  </si>
  <si>
    <t>245-68-58</t>
  </si>
  <si>
    <t>245-68-54</t>
  </si>
  <si>
    <t>245-68-75</t>
  </si>
  <si>
    <t>245-76-75</t>
  </si>
  <si>
    <t>84992457987</t>
  </si>
  <si>
    <t>245-68-63</t>
  </si>
  <si>
    <t>245-68-69</t>
  </si>
  <si>
    <t>245-68-62</t>
  </si>
  <si>
    <t>245-68-53</t>
  </si>
  <si>
    <t>4992456754</t>
  </si>
  <si>
    <t>4992456866</t>
  </si>
  <si>
    <t>4992456864</t>
  </si>
  <si>
    <t>84992456873</t>
  </si>
  <si>
    <t>499-245-68-76</t>
  </si>
  <si>
    <t>245-78-76</t>
  </si>
  <si>
    <t>245-90-83</t>
  </si>
  <si>
    <t>4992459084</t>
  </si>
  <si>
    <t>84992457784</t>
  </si>
  <si>
    <t>Доватора ул., дом. 6/6</t>
  </si>
  <si>
    <t>245-50-61</t>
  </si>
  <si>
    <t>4992455416</t>
  </si>
  <si>
    <t>499-245-46-40</t>
  </si>
  <si>
    <t>245-50-41</t>
  </si>
  <si>
    <t>499-245-50-16</t>
  </si>
  <si>
    <t>499-245-58-07</t>
  </si>
  <si>
    <t>245-58-07</t>
  </si>
  <si>
    <t>245-49-86</t>
  </si>
  <si>
    <t>245-55-52</t>
  </si>
  <si>
    <t>4992454621</t>
  </si>
  <si>
    <t>4992454504</t>
  </si>
  <si>
    <t>245-49-15</t>
  </si>
  <si>
    <t>499-245-46-24</t>
  </si>
  <si>
    <t>499 245-45-65</t>
  </si>
  <si>
    <t>245-47-25</t>
  </si>
  <si>
    <t>245-55-94</t>
  </si>
  <si>
    <t>245-48-21</t>
  </si>
  <si>
    <t>84992455456</t>
  </si>
  <si>
    <t>4992454350</t>
  </si>
  <si>
    <t>245-44-55</t>
  </si>
  <si>
    <t>245-59-95</t>
  </si>
  <si>
    <t>499-245-47-22</t>
  </si>
  <si>
    <t>245-48-86</t>
  </si>
  <si>
    <t>245-47-51</t>
  </si>
  <si>
    <t>4992455492</t>
  </si>
  <si>
    <t>4992454861</t>
  </si>
  <si>
    <t>499 245-47-78</t>
  </si>
  <si>
    <t>245-40-30</t>
  </si>
  <si>
    <t>84992454987</t>
  </si>
  <si>
    <t>4992457173</t>
  </si>
  <si>
    <t>245-46-26</t>
  </si>
  <si>
    <t>4992454798</t>
  </si>
  <si>
    <t>4992469856</t>
  </si>
  <si>
    <t>4992455780</t>
  </si>
  <si>
    <t>84992454672</t>
  </si>
  <si>
    <t>245-42-74</t>
  </si>
  <si>
    <t>499-245-54-95</t>
  </si>
  <si>
    <t>245-45-97</t>
  </si>
  <si>
    <t>245-55-89</t>
  </si>
  <si>
    <t>246-87-39</t>
  </si>
  <si>
    <t>245-43-24</t>
  </si>
  <si>
    <t>4992454868</t>
  </si>
  <si>
    <t>245-44-94</t>
  </si>
  <si>
    <t>245-59-42</t>
  </si>
  <si>
    <t>499-245-44-91</t>
  </si>
  <si>
    <t>4992454276</t>
  </si>
  <si>
    <t>4992454134</t>
  </si>
  <si>
    <t>84992454008</t>
  </si>
  <si>
    <t>4992455569</t>
  </si>
  <si>
    <t>245-57-44</t>
  </si>
  <si>
    <t>84992454450</t>
  </si>
  <si>
    <t>245-44-87</t>
  </si>
  <si>
    <t>245-47-01</t>
  </si>
  <si>
    <t>Доватора ул., дом. 7/8</t>
  </si>
  <si>
    <t>245-40-11</t>
  </si>
  <si>
    <t>499-245-40-11</t>
  </si>
  <si>
    <t>245-49-54</t>
  </si>
  <si>
    <t>499-245-54-01</t>
  </si>
  <si>
    <t>245-54-01</t>
  </si>
  <si>
    <t>245-42-86</t>
  </si>
  <si>
    <t>-4992455932</t>
  </si>
  <si>
    <t>4992455932</t>
  </si>
  <si>
    <t>245-45-51</t>
  </si>
  <si>
    <t>4992454551</t>
  </si>
  <si>
    <t>4992454141</t>
  </si>
  <si>
    <t>245-44-54</t>
  </si>
  <si>
    <t>245-53-17</t>
  </si>
  <si>
    <t>245-46-88</t>
  </si>
  <si>
    <t>246-50-19</t>
  </si>
  <si>
    <t>4992459832</t>
  </si>
  <si>
    <t>245-53-90</t>
  </si>
  <si>
    <t>245-55-30</t>
  </si>
  <si>
    <t>4992454326</t>
  </si>
  <si>
    <t>417-43-96</t>
  </si>
  <si>
    <t>84992552126</t>
  </si>
  <si>
    <t>245-47-83</t>
  </si>
  <si>
    <t>245-43-43</t>
  </si>
  <si>
    <t>245-48-83</t>
  </si>
  <si>
    <t>245-58-11</t>
  </si>
  <si>
    <t>245-51-02</t>
  </si>
  <si>
    <t>4992451391</t>
  </si>
  <si>
    <t>926-505-87-08</t>
  </si>
  <si>
    <t>245-53-50</t>
  </si>
  <si>
    <t>6905900</t>
  </si>
  <si>
    <t>245-15-99</t>
  </si>
  <si>
    <t>245-47-87</t>
  </si>
  <si>
    <t>245-51-67</t>
  </si>
  <si>
    <t>245-42-21</t>
  </si>
  <si>
    <t>245-59-76</t>
  </si>
  <si>
    <t>245-52-20</t>
  </si>
  <si>
    <t>246-80-15</t>
  </si>
  <si>
    <t>245-46-85</t>
  </si>
  <si>
    <t>Доватора ул., дом. 9</t>
  </si>
  <si>
    <t>1111111</t>
  </si>
  <si>
    <t>245-49-16</t>
  </si>
  <si>
    <t>245-40-92</t>
  </si>
  <si>
    <t>245-41-84</t>
  </si>
  <si>
    <t>84992454611</t>
  </si>
  <si>
    <t>4992454801</t>
  </si>
  <si>
    <t>4992455021</t>
  </si>
  <si>
    <t>245-43-11</t>
  </si>
  <si>
    <t>4992454896</t>
  </si>
  <si>
    <t>245-49-08</t>
  </si>
  <si>
    <t>245-40-85</t>
  </si>
  <si>
    <t>245-55-36</t>
  </si>
  <si>
    <t>499-245-55-36</t>
  </si>
  <si>
    <t>245-48-30</t>
  </si>
  <si>
    <t>4992454048</t>
  </si>
  <si>
    <t>245-97-91</t>
  </si>
  <si>
    <t>4992454397</t>
  </si>
  <si>
    <t>84992455408</t>
  </si>
  <si>
    <t>+7(499)245-78-48</t>
  </si>
  <si>
    <t>245-46-58</t>
  </si>
  <si>
    <t>499-245-56-11</t>
  </si>
  <si>
    <t>245-56-11</t>
  </si>
  <si>
    <t>245-59-37</t>
  </si>
  <si>
    <t>4992455561</t>
  </si>
  <si>
    <t>245-97-51</t>
  </si>
  <si>
    <t>245-51-14</t>
  </si>
  <si>
    <t>245-53-96</t>
  </si>
  <si>
    <t>245-47-63</t>
  </si>
  <si>
    <t>245-57-55</t>
  </si>
  <si>
    <t>245-54-14</t>
  </si>
  <si>
    <t>246-56-39</t>
  </si>
  <si>
    <t>245-43-68</t>
  </si>
  <si>
    <t>499-245-40-57</t>
  </si>
  <si>
    <t>4992455590</t>
  </si>
  <si>
    <t>245-51-17</t>
  </si>
  <si>
    <t>245-53-86</t>
  </si>
  <si>
    <t>246-05-56</t>
  </si>
  <si>
    <t>245-56-34</t>
  </si>
  <si>
    <t>-2474209</t>
  </si>
  <si>
    <t>247-42-09</t>
  </si>
  <si>
    <t>84954172878</t>
  </si>
  <si>
    <t>4992454874</t>
  </si>
  <si>
    <t>4992454982</t>
  </si>
  <si>
    <t>2455598</t>
  </si>
  <si>
    <t>4992454741</t>
  </si>
  <si>
    <t>245-45-64</t>
  </si>
  <si>
    <t>(499)245-45-64</t>
  </si>
  <si>
    <t>245-56-25</t>
  </si>
  <si>
    <t>245-49-84</t>
  </si>
  <si>
    <t>499-245-54-51</t>
  </si>
  <si>
    <t>245-47-62</t>
  </si>
  <si>
    <t>4992455019</t>
  </si>
  <si>
    <t>4992454047</t>
  </si>
  <si>
    <t>245-48-54</t>
  </si>
  <si>
    <t>4992454337</t>
  </si>
  <si>
    <t>245-57-25</t>
  </si>
  <si>
    <t>4992455771</t>
  </si>
  <si>
    <t>215-44-82</t>
  </si>
  <si>
    <t>245-41-19</t>
  </si>
  <si>
    <t>245-51-08</t>
  </si>
  <si>
    <t>245-46-03</t>
  </si>
  <si>
    <t>4957177743</t>
  </si>
  <si>
    <t>245-47-55</t>
  </si>
  <si>
    <t>Доватора ул., дом. 11 к.1</t>
  </si>
  <si>
    <t>499-245-42-03</t>
  </si>
  <si>
    <t>245-42-03</t>
  </si>
  <si>
    <t>4992454203</t>
  </si>
  <si>
    <t>245-49-01</t>
  </si>
  <si>
    <t>245-46-36</t>
  </si>
  <si>
    <t>245-41-47</t>
  </si>
  <si>
    <t>4992454905</t>
  </si>
  <si>
    <t>245-49-05</t>
  </si>
  <si>
    <t>4992454058</t>
  </si>
  <si>
    <t>4992457840</t>
  </si>
  <si>
    <t>245-49-02</t>
  </si>
  <si>
    <t>4992454947</t>
  </si>
  <si>
    <t>246-99-36</t>
  </si>
  <si>
    <t>4992454195</t>
  </si>
  <si>
    <t>246-73-26</t>
  </si>
  <si>
    <t>245-47-21</t>
  </si>
  <si>
    <t>4992455677</t>
  </si>
  <si>
    <t>245-48-69</t>
  </si>
  <si>
    <t>4992454974</t>
  </si>
  <si>
    <t>4992454539</t>
  </si>
  <si>
    <t>245-40-73</t>
  </si>
  <si>
    <t>499-255-31-66</t>
  </si>
  <si>
    <t>245-51-54</t>
  </si>
  <si>
    <t>245-51-68</t>
  </si>
  <si>
    <t>245-49-71</t>
  </si>
  <si>
    <t>84992454971</t>
  </si>
  <si>
    <t>Доватора ул., дом. 11 к.2</t>
  </si>
  <si>
    <t>4992455089</t>
  </si>
  <si>
    <t>84992454138</t>
  </si>
  <si>
    <t>499-245-46-73</t>
  </si>
  <si>
    <t>245-46-73</t>
  </si>
  <si>
    <t>245-48-35</t>
  </si>
  <si>
    <t>245-45-44</t>
  </si>
  <si>
    <t>245-52-44</t>
  </si>
  <si>
    <t>4992454489</t>
  </si>
  <si>
    <t>245-44-89</t>
  </si>
  <si>
    <t>84992455071</t>
  </si>
  <si>
    <t>4992454137</t>
  </si>
  <si>
    <t>245-40-66</t>
  </si>
  <si>
    <t>4992455962</t>
  </si>
  <si>
    <t>84992455147</t>
  </si>
  <si>
    <t>245-55-12</t>
  </si>
  <si>
    <t>4992455185</t>
  </si>
  <si>
    <t>84992454305</t>
  </si>
  <si>
    <t>84992455048</t>
  </si>
  <si>
    <t>245-51-46</t>
  </si>
  <si>
    <t>+8(499)245-75-00</t>
  </si>
  <si>
    <t>0000000</t>
  </si>
  <si>
    <t>245-51-48</t>
  </si>
  <si>
    <t>84992455093</t>
  </si>
  <si>
    <t>499-245-69-22</t>
  </si>
  <si>
    <t>84992457883</t>
  </si>
  <si>
    <t>245-51-50</t>
  </si>
  <si>
    <t>245-48-57</t>
  </si>
  <si>
    <t>-84992455123</t>
  </si>
  <si>
    <t>84992467597</t>
  </si>
  <si>
    <t>245-44-22</t>
  </si>
  <si>
    <t>-4992454437</t>
  </si>
  <si>
    <t>245-44-93</t>
  </si>
  <si>
    <t>Доватора ул., дом. 12</t>
  </si>
  <si>
    <t>4997083126</t>
  </si>
  <si>
    <t>1 участок</t>
  </si>
  <si>
    <t>4992454785</t>
  </si>
  <si>
    <t>4992455705</t>
  </si>
  <si>
    <t>4992455136</t>
  </si>
  <si>
    <t>4992454922</t>
  </si>
  <si>
    <t>4992455329</t>
  </si>
  <si>
    <t>4992453812</t>
  </si>
  <si>
    <t>245-52-37</t>
  </si>
  <si>
    <t>4992455237</t>
  </si>
  <si>
    <t>4953810114</t>
  </si>
  <si>
    <t>4992455375</t>
  </si>
  <si>
    <t>4992455856</t>
  </si>
  <si>
    <t>4992455137</t>
  </si>
  <si>
    <t>4992553443</t>
  </si>
  <si>
    <t>4992454914</t>
  </si>
  <si>
    <t>4994929662</t>
  </si>
  <si>
    <t>4997384449</t>
  </si>
  <si>
    <t>4992454944</t>
  </si>
  <si>
    <t>4992484047</t>
  </si>
  <si>
    <t>4992471265</t>
  </si>
  <si>
    <t>4992455413</t>
  </si>
  <si>
    <t>4992456300</t>
  </si>
  <si>
    <t>4992454522</t>
  </si>
  <si>
    <t>4992455157</t>
  </si>
  <si>
    <t>4992454675</t>
  </si>
  <si>
    <t>4992454952</t>
  </si>
  <si>
    <t>4992454805</t>
  </si>
  <si>
    <t>4992454810</t>
  </si>
  <si>
    <t>4992455816</t>
  </si>
  <si>
    <t>4992454456</t>
  </si>
  <si>
    <t>4992454341</t>
  </si>
  <si>
    <t>4992454870</t>
  </si>
  <si>
    <t>4992454486</t>
  </si>
  <si>
    <t>-4992454281</t>
  </si>
  <si>
    <t>4992453724</t>
  </si>
  <si>
    <t>4992454885</t>
  </si>
  <si>
    <t>Доватора ул., дом. 13</t>
  </si>
  <si>
    <t>245-46-78</t>
  </si>
  <si>
    <t>891529118388</t>
  </si>
  <si>
    <t>245-41-73</t>
  </si>
  <si>
    <t>-4992455579</t>
  </si>
  <si>
    <t>245-44-90</t>
  </si>
  <si>
    <t>245-41-76</t>
  </si>
  <si>
    <t>4992457493</t>
  </si>
  <si>
    <t>84992457493</t>
  </si>
  <si>
    <t>245-46-79</t>
  </si>
  <si>
    <t>245-42-00</t>
  </si>
  <si>
    <t>4992455581</t>
  </si>
  <si>
    <t>4992455791</t>
  </si>
  <si>
    <t>4992455827</t>
  </si>
  <si>
    <t>4992454152</t>
  </si>
  <si>
    <t>245-41-52</t>
  </si>
  <si>
    <t>245-74-91</t>
  </si>
  <si>
    <t>246-90-71</t>
  </si>
  <si>
    <t>499-245-40-55</t>
  </si>
  <si>
    <t>4992452284</t>
  </si>
  <si>
    <t>245-43-33</t>
  </si>
  <si>
    <t>245-74-90</t>
  </si>
  <si>
    <t>4992454707</t>
  </si>
  <si>
    <t>4992454964</t>
  </si>
  <si>
    <t>245-74-89</t>
  </si>
  <si>
    <t>84992454507</t>
  </si>
  <si>
    <t>84992454523</t>
  </si>
  <si>
    <t>618-50-73</t>
  </si>
  <si>
    <t>Доватора ул., дом. 14</t>
  </si>
  <si>
    <t>4992461341</t>
  </si>
  <si>
    <t>4992455095</t>
  </si>
  <si>
    <t>-4992455241</t>
  </si>
  <si>
    <t>4992454272</t>
  </si>
  <si>
    <t>4992454012</t>
  </si>
  <si>
    <t>4992455869</t>
  </si>
  <si>
    <t>4992457982</t>
  </si>
  <si>
    <t>4992455053</t>
  </si>
  <si>
    <t>4992454170</t>
  </si>
  <si>
    <t>4992457980</t>
  </si>
  <si>
    <t>4992454994</t>
  </si>
  <si>
    <t>4992465106</t>
  </si>
  <si>
    <t>4992454460</t>
  </si>
  <si>
    <t>4992454084</t>
  </si>
  <si>
    <t>4992454802</t>
  </si>
  <si>
    <t>4992454188</t>
  </si>
  <si>
    <t>4992454788</t>
  </si>
  <si>
    <t>4992457977</t>
  </si>
  <si>
    <t>4992454953</t>
  </si>
  <si>
    <t>4992456852</t>
  </si>
  <si>
    <t>4992455437</t>
  </si>
  <si>
    <t>4992454842</t>
  </si>
  <si>
    <t>4992455647</t>
  </si>
  <si>
    <t>4992455139</t>
  </si>
  <si>
    <t>4992454266</t>
  </si>
  <si>
    <t>4992457979</t>
  </si>
  <si>
    <t>4992454789</t>
  </si>
  <si>
    <t>4992455746</t>
  </si>
  <si>
    <t>-4992454459</t>
  </si>
  <si>
    <t>4992454355</t>
  </si>
  <si>
    <t>4992454684</t>
  </si>
  <si>
    <t>4992454473</t>
  </si>
  <si>
    <t>4992454814</t>
  </si>
  <si>
    <t>4992450231</t>
  </si>
  <si>
    <t>4992454241</t>
  </si>
  <si>
    <t>Доватора ул., дом. 17</t>
  </si>
  <si>
    <t>4992457379</t>
  </si>
  <si>
    <t>4992455636</t>
  </si>
  <si>
    <t>4992457378</t>
  </si>
  <si>
    <t>4992457159</t>
  </si>
  <si>
    <t>-4992454070</t>
  </si>
  <si>
    <t>4997664115</t>
  </si>
  <si>
    <t>4992457084</t>
  </si>
  <si>
    <t>4992457380</t>
  </si>
  <si>
    <t>-4992454858</t>
  </si>
  <si>
    <t>4992455206</t>
  </si>
  <si>
    <t>4992457091</t>
  </si>
  <si>
    <t>4992552588</t>
  </si>
  <si>
    <t>4992457381</t>
  </si>
  <si>
    <t>4992457382</t>
  </si>
  <si>
    <t>4992557880</t>
  </si>
  <si>
    <t>4992457088</t>
  </si>
  <si>
    <t>4992552489</t>
  </si>
  <si>
    <t>4959306339</t>
  </si>
  <si>
    <t>4992454960</t>
  </si>
  <si>
    <t>4992471522</t>
  </si>
  <si>
    <t>4992455282</t>
  </si>
  <si>
    <t>4992459112</t>
  </si>
  <si>
    <t>4992455898</t>
  </si>
  <si>
    <t>4992455819</t>
  </si>
  <si>
    <t>4992455964</t>
  </si>
  <si>
    <t>4992457545</t>
  </si>
  <si>
    <t>4997664082</t>
  </si>
  <si>
    <t>4992557978</t>
  </si>
  <si>
    <t>4992552598</t>
  </si>
  <si>
    <t>4992457475</t>
  </si>
  <si>
    <t>4992470479</t>
  </si>
  <si>
    <t>4992459107</t>
  </si>
  <si>
    <t>4992457092</t>
  </si>
  <si>
    <t>Еропкинский пер., дом. 11</t>
  </si>
  <si>
    <t>130-43-16</t>
  </si>
  <si>
    <t>4956373750</t>
  </si>
  <si>
    <t>4956373529</t>
  </si>
  <si>
    <t>-4956375328</t>
  </si>
  <si>
    <t>201-27-38</t>
  </si>
  <si>
    <t>4956372816</t>
  </si>
  <si>
    <t>84956374778</t>
  </si>
  <si>
    <t>201-47-83</t>
  </si>
  <si>
    <t>495-637-32-34</t>
  </si>
  <si>
    <t>4956373765</t>
  </si>
  <si>
    <t>4956372812</t>
  </si>
  <si>
    <t>499-637-46-85</t>
  </si>
  <si>
    <t>84956373505</t>
  </si>
  <si>
    <t>201-36-21</t>
  </si>
  <si>
    <t>84956373996</t>
  </si>
  <si>
    <t>201-38-18</t>
  </si>
  <si>
    <t>6373881</t>
  </si>
  <si>
    <t>4956374421</t>
  </si>
  <si>
    <t>637-29-34</t>
  </si>
  <si>
    <t>4956373801</t>
  </si>
  <si>
    <t>Ефремова ул., дом. 9</t>
  </si>
  <si>
    <t>4992420364</t>
  </si>
  <si>
    <t>4997668900</t>
  </si>
  <si>
    <t>4992427492</t>
  </si>
  <si>
    <t>4997660516</t>
  </si>
  <si>
    <t>4992453744</t>
  </si>
  <si>
    <t>4992420365</t>
  </si>
  <si>
    <t>4992463987</t>
  </si>
  <si>
    <t>4992427176</t>
  </si>
  <si>
    <t>4992421342</t>
  </si>
  <si>
    <t>4992420066</t>
  </si>
  <si>
    <t>4992420202</t>
  </si>
  <si>
    <t>4992420212</t>
  </si>
  <si>
    <t>4992450592</t>
  </si>
  <si>
    <t>-4992450592</t>
  </si>
  <si>
    <t>4992423810</t>
  </si>
  <si>
    <t>4992422155</t>
  </si>
  <si>
    <t>4992420987</t>
  </si>
  <si>
    <t>4992451022</t>
  </si>
  <si>
    <t>84956091564</t>
  </si>
  <si>
    <t>4992426557</t>
  </si>
  <si>
    <t>4956091977</t>
  </si>
  <si>
    <t>4992465659</t>
  </si>
  <si>
    <t>4992428437</t>
  </si>
  <si>
    <t>4992426555</t>
  </si>
  <si>
    <t>4997668259</t>
  </si>
  <si>
    <t>-4992424928</t>
  </si>
  <si>
    <t>4992426467</t>
  </si>
  <si>
    <t>4992428486</t>
  </si>
  <si>
    <t>4956091668</t>
  </si>
  <si>
    <t>4997660623</t>
  </si>
  <si>
    <t>4997666553</t>
  </si>
  <si>
    <t>4992450608</t>
  </si>
  <si>
    <t>4992450915</t>
  </si>
  <si>
    <t>4997660867</t>
  </si>
  <si>
    <t>4992422094</t>
  </si>
  <si>
    <t>4992461113</t>
  </si>
  <si>
    <t>4992572358</t>
  </si>
  <si>
    <t>4992423822</t>
  </si>
  <si>
    <t>4997660539</t>
  </si>
  <si>
    <t>4992422122</t>
  </si>
  <si>
    <t>4992420058</t>
  </si>
  <si>
    <t>4992426011</t>
  </si>
  <si>
    <t>4992428107</t>
  </si>
  <si>
    <t>4992426451</t>
  </si>
  <si>
    <t>4992423832</t>
  </si>
  <si>
    <t>4992420368</t>
  </si>
  <si>
    <t>4992420712</t>
  </si>
  <si>
    <t>4992463648</t>
  </si>
  <si>
    <t>4992572108</t>
  </si>
  <si>
    <t>-4992420216</t>
  </si>
  <si>
    <t>4992426110</t>
  </si>
  <si>
    <t>-4956091872</t>
  </si>
  <si>
    <t>4992450554</t>
  </si>
  <si>
    <t>4997660615</t>
  </si>
  <si>
    <t>4992422187</t>
  </si>
  <si>
    <t>4992420372</t>
  </si>
  <si>
    <t>4992450913</t>
  </si>
  <si>
    <t>4992450745</t>
  </si>
  <si>
    <t>9257201737</t>
  </si>
  <si>
    <t>4992426449</t>
  </si>
  <si>
    <t>4992463697</t>
  </si>
  <si>
    <t>4997660619</t>
  </si>
  <si>
    <t>4992425110</t>
  </si>
  <si>
    <t>4992428321</t>
  </si>
  <si>
    <t>-4992427254</t>
  </si>
  <si>
    <t>4997660564</t>
  </si>
  <si>
    <t>4992427354</t>
  </si>
  <si>
    <t>4992450386</t>
  </si>
  <si>
    <t>4992426450</t>
  </si>
  <si>
    <t>4992420214</t>
  </si>
  <si>
    <t>4992450508</t>
  </si>
  <si>
    <t>4992421405</t>
  </si>
  <si>
    <t>4992422092</t>
  </si>
  <si>
    <t>Ефремова ул., дом. 11</t>
  </si>
  <si>
    <t>4992467247</t>
  </si>
  <si>
    <t>4992460970</t>
  </si>
  <si>
    <t>4992461601</t>
  </si>
  <si>
    <t>242-64-42</t>
  </si>
  <si>
    <t>4997660709</t>
  </si>
  <si>
    <t>4997660509</t>
  </si>
  <si>
    <t>4992428044</t>
  </si>
  <si>
    <t>4992426542</t>
  </si>
  <si>
    <t>4992426535</t>
  </si>
  <si>
    <t>4992422185</t>
  </si>
  <si>
    <t>4992451178</t>
  </si>
  <si>
    <t>4992428064</t>
  </si>
  <si>
    <t>4992422745</t>
  </si>
  <si>
    <t>4992424276</t>
  </si>
  <si>
    <t>4992421351</t>
  </si>
  <si>
    <t>4992426435</t>
  </si>
  <si>
    <t>4992421987</t>
  </si>
  <si>
    <t>4992450767</t>
  </si>
  <si>
    <t>4992462674</t>
  </si>
  <si>
    <t>4992420526</t>
  </si>
  <si>
    <t>4992461623</t>
  </si>
  <si>
    <t>-4992422033</t>
  </si>
  <si>
    <t>4959663394</t>
  </si>
  <si>
    <t>499-242-85-09</t>
  </si>
  <si>
    <t>4992421874</t>
  </si>
  <si>
    <t>4992423909</t>
  </si>
  <si>
    <t>4992428514</t>
  </si>
  <si>
    <t>4992422181</t>
  </si>
  <si>
    <t>4997660614</t>
  </si>
  <si>
    <t>4992461776</t>
  </si>
  <si>
    <t>4992461013</t>
  </si>
  <si>
    <t>4992461011</t>
  </si>
  <si>
    <t>4992461110</t>
  </si>
  <si>
    <t>4992461065</t>
  </si>
  <si>
    <t>4992422085</t>
  </si>
  <si>
    <t>4992421944</t>
  </si>
  <si>
    <t>4997668869</t>
  </si>
  <si>
    <t>4992426547</t>
  </si>
  <si>
    <t>+7(915)221-31-38</t>
  </si>
  <si>
    <t>4992426447</t>
  </si>
  <si>
    <t>4997668870</t>
  </si>
  <si>
    <t>4992421948</t>
  </si>
  <si>
    <t>4992420528</t>
  </si>
  <si>
    <t>4992464635</t>
  </si>
  <si>
    <t>2464635</t>
  </si>
  <si>
    <t>-4992450275</t>
  </si>
  <si>
    <t>4992572292</t>
  </si>
  <si>
    <t>4992450946</t>
  </si>
  <si>
    <t>4992463027</t>
  </si>
  <si>
    <t>4992450794</t>
  </si>
  <si>
    <t>4992450660</t>
  </si>
  <si>
    <t>Ефремова ул., дом. 12</t>
  </si>
  <si>
    <t>-4992456687</t>
  </si>
  <si>
    <t>4992553544</t>
  </si>
  <si>
    <t>4992456522</t>
  </si>
  <si>
    <t>4992427990</t>
  </si>
  <si>
    <t>4992456685</t>
  </si>
  <si>
    <t>4992553549</t>
  </si>
  <si>
    <t>4992456349</t>
  </si>
  <si>
    <t>4992457798</t>
  </si>
  <si>
    <t>4992553547</t>
  </si>
  <si>
    <t>4992456205</t>
  </si>
  <si>
    <t>4992456691</t>
  </si>
  <si>
    <t>4959460205</t>
  </si>
  <si>
    <t>4992457506</t>
  </si>
  <si>
    <t>4992553548</t>
  </si>
  <si>
    <t>4992456708</t>
  </si>
  <si>
    <t>4992456706</t>
  </si>
  <si>
    <t>4992456693</t>
  </si>
  <si>
    <t>-4992553646</t>
  </si>
  <si>
    <t>4992456694</t>
  </si>
  <si>
    <t>4992553645</t>
  </si>
  <si>
    <t>4992553741</t>
  </si>
  <si>
    <t>4992553748</t>
  </si>
  <si>
    <t>4992553742</t>
  </si>
  <si>
    <t>4992421673</t>
  </si>
  <si>
    <t>4992456695</t>
  </si>
  <si>
    <t>4992459307</t>
  </si>
  <si>
    <t>4992457507</t>
  </si>
  <si>
    <t>4992459300</t>
  </si>
  <si>
    <t>-4992464546</t>
  </si>
  <si>
    <t>4992553747</t>
  </si>
  <si>
    <t>4992553875</t>
  </si>
  <si>
    <t>4992553642</t>
  </si>
  <si>
    <t>4992456690</t>
  </si>
  <si>
    <t>4992424207</t>
  </si>
  <si>
    <t>4992553332</t>
  </si>
  <si>
    <t>4992456705</t>
  </si>
  <si>
    <t>4992553746</t>
  </si>
  <si>
    <t>-4992553745</t>
  </si>
  <si>
    <t>4992456689</t>
  </si>
  <si>
    <t>4992553641</t>
  </si>
  <si>
    <t>4992456688</t>
  </si>
  <si>
    <t>4992553640</t>
  </si>
  <si>
    <t>4992553744</t>
  </si>
  <si>
    <t>4992456709</t>
  </si>
  <si>
    <t>4992459349</t>
  </si>
  <si>
    <t>-4992553743</t>
  </si>
  <si>
    <t>4992456697</t>
  </si>
  <si>
    <t>4992553648</t>
  </si>
  <si>
    <t>4992456698</t>
  </si>
  <si>
    <t>-4992456702</t>
  </si>
  <si>
    <t>4992456704</t>
  </si>
  <si>
    <t>4992459308</t>
  </si>
  <si>
    <t>-4992459335</t>
  </si>
  <si>
    <t>4992456684</t>
  </si>
  <si>
    <t>4992456682</t>
  </si>
  <si>
    <t>4992553778</t>
  </si>
  <si>
    <t>4992469215</t>
  </si>
  <si>
    <t>4992426988</t>
  </si>
  <si>
    <t>4992459316</t>
  </si>
  <si>
    <t>4992453740</t>
  </si>
  <si>
    <t>4994322787</t>
  </si>
  <si>
    <t>84992456681</t>
  </si>
  <si>
    <t>-4992456680</t>
  </si>
  <si>
    <t>4992456679</t>
  </si>
  <si>
    <t>4992456050</t>
  </si>
  <si>
    <t>4992456677</t>
  </si>
  <si>
    <t>4992553643</t>
  </si>
  <si>
    <t>4992459370</t>
  </si>
  <si>
    <t>4992424608</t>
  </si>
  <si>
    <t>Ефремова ул., дом. 13</t>
  </si>
  <si>
    <t>4992423704</t>
  </si>
  <si>
    <t>4992427582</t>
  </si>
  <si>
    <t>4992420110</t>
  </si>
  <si>
    <t>4992428334</t>
  </si>
  <si>
    <t>4992424072</t>
  </si>
  <si>
    <t>4992428342</t>
  </si>
  <si>
    <t>4992424919</t>
  </si>
  <si>
    <t>166-167</t>
  </si>
  <si>
    <t>499-242-40-73</t>
  </si>
  <si>
    <t>4992421658</t>
  </si>
  <si>
    <t>4997668231</t>
  </si>
  <si>
    <t>202</t>
  </si>
  <si>
    <t>204</t>
  </si>
  <si>
    <t>206</t>
  </si>
  <si>
    <t>209</t>
  </si>
  <si>
    <t>211</t>
  </si>
  <si>
    <t>242-38-26</t>
  </si>
  <si>
    <t>213</t>
  </si>
  <si>
    <t>214</t>
  </si>
  <si>
    <t>4992422851</t>
  </si>
  <si>
    <t>215</t>
  </si>
  <si>
    <t>-111</t>
  </si>
  <si>
    <t>219</t>
  </si>
  <si>
    <t>4992426362</t>
  </si>
  <si>
    <t>220</t>
  </si>
  <si>
    <t>221</t>
  </si>
  <si>
    <t>221А</t>
  </si>
  <si>
    <t>222</t>
  </si>
  <si>
    <t>4997308218</t>
  </si>
  <si>
    <t>227</t>
  </si>
  <si>
    <t>229</t>
  </si>
  <si>
    <t>-4953826914</t>
  </si>
  <si>
    <t>238</t>
  </si>
  <si>
    <t>4997668447</t>
  </si>
  <si>
    <t>239</t>
  </si>
  <si>
    <t>4994165406</t>
  </si>
  <si>
    <t>Ефремова ул., дом. 13 к.1</t>
  </si>
  <si>
    <t>4992427478</t>
  </si>
  <si>
    <t>4992424188</t>
  </si>
  <si>
    <t>4997668746</t>
  </si>
  <si>
    <t>4992425640</t>
  </si>
  <si>
    <t>4992425596</t>
  </si>
  <si>
    <t>4992425592</t>
  </si>
  <si>
    <t>495-735-76-21</t>
  </si>
  <si>
    <t>4992424194</t>
  </si>
  <si>
    <t>4992424191</t>
  </si>
  <si>
    <t>4992424189</t>
  </si>
  <si>
    <t>4992425648</t>
  </si>
  <si>
    <t>4992421968</t>
  </si>
  <si>
    <t>4992425641</t>
  </si>
  <si>
    <t>4992425595</t>
  </si>
  <si>
    <t>4992424627</t>
  </si>
  <si>
    <t>-4992424625</t>
  </si>
  <si>
    <t>4992428661</t>
  </si>
  <si>
    <t>4992423054</t>
  </si>
  <si>
    <t>4992457865</t>
  </si>
  <si>
    <t>4992424451</t>
  </si>
  <si>
    <t>4992424195</t>
  </si>
  <si>
    <t>4992425285</t>
  </si>
  <si>
    <t>4992425678</t>
  </si>
  <si>
    <t>4992425957</t>
  </si>
  <si>
    <t>4992425669</t>
  </si>
  <si>
    <t>-4992423455</t>
  </si>
  <si>
    <t>4954261533</t>
  </si>
  <si>
    <t>4992424700</t>
  </si>
  <si>
    <t>4992424340</t>
  </si>
  <si>
    <t>4992425977</t>
  </si>
  <si>
    <t>4992428666</t>
  </si>
  <si>
    <t>4992425975</t>
  </si>
  <si>
    <t>4992427026</t>
  </si>
  <si>
    <t>4992425485</t>
  </si>
  <si>
    <t>4992426401</t>
  </si>
  <si>
    <t>4992469291</t>
  </si>
  <si>
    <t>4992425965</t>
  </si>
  <si>
    <t>-4992425990</t>
  </si>
  <si>
    <t>4992464536</t>
  </si>
  <si>
    <t>4992428465</t>
  </si>
  <si>
    <t>4992461255</t>
  </si>
  <si>
    <t>4992425454</t>
  </si>
  <si>
    <t>4992572185</t>
  </si>
  <si>
    <t>4997668162</t>
  </si>
  <si>
    <t>-4992425489</t>
  </si>
  <si>
    <t>-4997668898</t>
  </si>
  <si>
    <t>4992425488</t>
  </si>
  <si>
    <t>4997668161</t>
  </si>
  <si>
    <t>4992467176</t>
  </si>
  <si>
    <t>4992425452</t>
  </si>
  <si>
    <t>4992425517</t>
  </si>
  <si>
    <t>4992425519</t>
  </si>
  <si>
    <t>4992425497</t>
  </si>
  <si>
    <t>4992423267</t>
  </si>
  <si>
    <t>4997668481</t>
  </si>
  <si>
    <t>4992422348</t>
  </si>
  <si>
    <t>4992425591</t>
  </si>
  <si>
    <t>4992457028</t>
  </si>
  <si>
    <t>4992425544</t>
  </si>
  <si>
    <t>-4992428681</t>
  </si>
  <si>
    <t>4992421845</t>
  </si>
  <si>
    <t>4992428701</t>
  </si>
  <si>
    <t>4997668301</t>
  </si>
  <si>
    <t>4997668886</t>
  </si>
  <si>
    <t>4992425543</t>
  </si>
  <si>
    <t>4992425496</t>
  </si>
  <si>
    <t>4992457605</t>
  </si>
  <si>
    <t>4952500846</t>
  </si>
  <si>
    <t>4997668444</t>
  </si>
  <si>
    <t>4997668183</t>
  </si>
  <si>
    <t>4992455176</t>
  </si>
  <si>
    <t>4992425539</t>
  </si>
  <si>
    <t>4992428603</t>
  </si>
  <si>
    <t>4992420555</t>
  </si>
  <si>
    <t>4992572921</t>
  </si>
  <si>
    <t>4997668182</t>
  </si>
  <si>
    <t>4992428207</t>
  </si>
  <si>
    <t>Ефремова ул., дом. 15/22</t>
  </si>
  <si>
    <t>4992553536</t>
  </si>
  <si>
    <t>4992456360</t>
  </si>
  <si>
    <t>4992473537</t>
  </si>
  <si>
    <t>4992459299</t>
  </si>
  <si>
    <t>4992553539</t>
  </si>
  <si>
    <t>4992456359</t>
  </si>
  <si>
    <t>4992553625</t>
  </si>
  <si>
    <t>4992473626</t>
  </si>
  <si>
    <t>4959734704</t>
  </si>
  <si>
    <t>4992553627</t>
  </si>
  <si>
    <t>4992473628</t>
  </si>
  <si>
    <t>4992553602</t>
  </si>
  <si>
    <t>4992457395</t>
  </si>
  <si>
    <t>4992459358</t>
  </si>
  <si>
    <t>4992456361</t>
  </si>
  <si>
    <t>4992459267</t>
  </si>
  <si>
    <t>4992572511</t>
  </si>
  <si>
    <t>4992553632</t>
  </si>
  <si>
    <t>4992456362</t>
  </si>
  <si>
    <t>4992459234</t>
  </si>
  <si>
    <t>4992553634</t>
  </si>
  <si>
    <t>4992459260</t>
  </si>
  <si>
    <t>4992553828</t>
  </si>
  <si>
    <t>4992553635</t>
  </si>
  <si>
    <t>4992553636</t>
  </si>
  <si>
    <t>4992459261</t>
  </si>
  <si>
    <t>4992459247</t>
  </si>
  <si>
    <t>4992553637</t>
  </si>
  <si>
    <t>4992473525</t>
  </si>
  <si>
    <t>4992553638</t>
  </si>
  <si>
    <t>4992473638</t>
  </si>
  <si>
    <t>4992553526</t>
  </si>
  <si>
    <t>4992553527</t>
  </si>
  <si>
    <t>4992553528</t>
  </si>
  <si>
    <t>4992553529</t>
  </si>
  <si>
    <t>4992456666</t>
  </si>
  <si>
    <t>4992456364</t>
  </si>
  <si>
    <t>4992459291</t>
  </si>
  <si>
    <t>4992473603</t>
  </si>
  <si>
    <t>4992456366</t>
  </si>
  <si>
    <t>4992456367</t>
  </si>
  <si>
    <t>-4992452763</t>
  </si>
  <si>
    <t>4992553604</t>
  </si>
  <si>
    <t>4992459321</t>
  </si>
  <si>
    <t>4992459333</t>
  </si>
  <si>
    <t>4992459257</t>
  </si>
  <si>
    <t>4992553724</t>
  </si>
  <si>
    <t>4992420437</t>
  </si>
  <si>
    <t>4992459373</t>
  </si>
  <si>
    <t>4992553726</t>
  </si>
  <si>
    <t>4992553530</t>
  </si>
  <si>
    <t>4992473531</t>
  </si>
  <si>
    <t>4992553532</t>
  </si>
  <si>
    <t>4992453803</t>
  </si>
  <si>
    <t>4992459372</t>
  </si>
  <si>
    <t>4992473879</t>
  </si>
  <si>
    <t>4992553605</t>
  </si>
  <si>
    <t>4992473535</t>
  </si>
  <si>
    <t>4992473631</t>
  </si>
  <si>
    <t>4992553631</t>
  </si>
  <si>
    <t>4992459248</t>
  </si>
  <si>
    <t>Ефремова ул., дом. 16/12</t>
  </si>
  <si>
    <t>245-50-24</t>
  </si>
  <si>
    <t>245-45-00</t>
  </si>
  <si>
    <t>3058338</t>
  </si>
  <si>
    <t>245-50-65</t>
  </si>
  <si>
    <t>245-56-43</t>
  </si>
  <si>
    <t>245-48-47</t>
  </si>
  <si>
    <t>4992454949</t>
  </si>
  <si>
    <t>84992454949</t>
  </si>
  <si>
    <t>245-49-62</t>
  </si>
  <si>
    <t>245-53-73</t>
  </si>
  <si>
    <t>245-49-57</t>
  </si>
  <si>
    <t>708-32-03</t>
  </si>
  <si>
    <t>7083203</t>
  </si>
  <si>
    <t>245-56-87</t>
  </si>
  <si>
    <t>2456009</t>
  </si>
  <si>
    <t>499-245-41-22</t>
  </si>
  <si>
    <t>245-41-22</t>
  </si>
  <si>
    <t>-4992454503</t>
  </si>
  <si>
    <t>4992454503</t>
  </si>
  <si>
    <t>245-40-75</t>
  </si>
  <si>
    <t>245-52-17</t>
  </si>
  <si>
    <t>499-245-52-17</t>
  </si>
  <si>
    <t>-4992455217</t>
  </si>
  <si>
    <t>245-56-35</t>
  </si>
  <si>
    <t>4992455684</t>
  </si>
  <si>
    <t>245-47-27</t>
  </si>
  <si>
    <t>4992455613</t>
  </si>
  <si>
    <t>4992455211</t>
  </si>
  <si>
    <t>245-56-95</t>
  </si>
  <si>
    <t>245-53-79</t>
  </si>
  <si>
    <t>(499)245-54-75</t>
  </si>
  <si>
    <t>4332455486</t>
  </si>
  <si>
    <t>245-54-86</t>
  </si>
  <si>
    <t>2455486</t>
  </si>
  <si>
    <t>916-312-92-71</t>
  </si>
  <si>
    <t>245-99-21</t>
  </si>
  <si>
    <t>245-58-40</t>
  </si>
  <si>
    <t>4992455351</t>
  </si>
  <si>
    <t>985-774-13-21</t>
  </si>
  <si>
    <t>-2455873</t>
  </si>
  <si>
    <t>Ефремова ул., дом. 18</t>
  </si>
  <si>
    <t>4992455484</t>
  </si>
  <si>
    <t>245-55-20</t>
  </si>
  <si>
    <t>4992455520</t>
  </si>
  <si>
    <t>245-42-07</t>
  </si>
  <si>
    <t>245-41-21</t>
  </si>
  <si>
    <t>245-57-08</t>
  </si>
  <si>
    <t>245-51-00</t>
  </si>
  <si>
    <t>245-55-10</t>
  </si>
  <si>
    <t>4992454103</t>
  </si>
  <si>
    <t>245-43-60</t>
  </si>
  <si>
    <t>4992464672</t>
  </si>
  <si>
    <t>245-42-09</t>
  </si>
  <si>
    <t>245-55-80</t>
  </si>
  <si>
    <t>4992454007</t>
  </si>
  <si>
    <t>84992454900</t>
  </si>
  <si>
    <t>245-59-74</t>
  </si>
  <si>
    <t>245-51-07</t>
  </si>
  <si>
    <t>245-59-38</t>
  </si>
  <si>
    <t>478-15-11</t>
  </si>
  <si>
    <t>245-55-31</t>
  </si>
  <si>
    <t>245-42-08</t>
  </si>
  <si>
    <t>245-43-01</t>
  </si>
  <si>
    <t>-4992455348</t>
  </si>
  <si>
    <t>4992455348</t>
  </si>
  <si>
    <t>84992454409</t>
  </si>
  <si>
    <t>245-54-20</t>
  </si>
  <si>
    <t>245-57-81</t>
  </si>
  <si>
    <t>245-51-04</t>
  </si>
  <si>
    <t>245-57-89</t>
  </si>
  <si>
    <t>4992455205</t>
  </si>
  <si>
    <t>499-245-42-40</t>
  </si>
  <si>
    <t>245-54-52</t>
  </si>
  <si>
    <t>245-55-54</t>
  </si>
  <si>
    <t>2455554</t>
  </si>
  <si>
    <t>499 245-54-55</t>
  </si>
  <si>
    <t>2455455</t>
  </si>
  <si>
    <t>245-48-71</t>
  </si>
  <si>
    <t>84992455522</t>
  </si>
  <si>
    <t>245-46-04</t>
  </si>
  <si>
    <t>245-53-13</t>
  </si>
  <si>
    <t>245-57-79</t>
  </si>
  <si>
    <t>245-59-34</t>
  </si>
  <si>
    <t>84992455303</t>
  </si>
  <si>
    <t>2455303</t>
  </si>
  <si>
    <t>4992455820</t>
  </si>
  <si>
    <t>245-53-06</t>
  </si>
  <si>
    <t>4992454889</t>
  </si>
  <si>
    <t>245-48-89</t>
  </si>
  <si>
    <t>(499)245-55-02</t>
  </si>
  <si>
    <t>245-55-02</t>
  </si>
  <si>
    <t>499-245-52-34</t>
  </si>
  <si>
    <t>245-53-53</t>
  </si>
  <si>
    <t>245-54-88</t>
  </si>
  <si>
    <t>245-53-91</t>
  </si>
  <si>
    <t>245-58-59</t>
  </si>
  <si>
    <t>(499)245-52-18</t>
  </si>
  <si>
    <t>84992454975</t>
  </si>
  <si>
    <t>4992454335</t>
  </si>
  <si>
    <t>499-245-52-81</t>
  </si>
  <si>
    <t>4992454087</t>
  </si>
  <si>
    <t>2454087</t>
  </si>
  <si>
    <t>245-58-12</t>
  </si>
  <si>
    <t>84992455280</t>
  </si>
  <si>
    <t>84992455101</t>
  </si>
  <si>
    <t>245-50-20</t>
  </si>
  <si>
    <t>245-52-25</t>
  </si>
  <si>
    <t>245-52-45</t>
  </si>
  <si>
    <t>Ефремова ул., дом. 20</t>
  </si>
  <si>
    <t>246-73-12</t>
  </si>
  <si>
    <t>2455036</t>
  </si>
  <si>
    <t>245-50-36</t>
  </si>
  <si>
    <t>4992454881</t>
  </si>
  <si>
    <t>245-41-74</t>
  </si>
  <si>
    <t>499 246-03-15</t>
  </si>
  <si>
    <t>2456776</t>
  </si>
  <si>
    <t>245-46-83</t>
  </si>
  <si>
    <t>4992457233</t>
  </si>
  <si>
    <t>245-42-98</t>
  </si>
  <si>
    <t>4992455151</t>
  </si>
  <si>
    <t>-4992455629</t>
  </si>
  <si>
    <t>4992454458</t>
  </si>
  <si>
    <t>84992455337</t>
  </si>
  <si>
    <t>4992459113</t>
  </si>
  <si>
    <t>4957083976</t>
  </si>
  <si>
    <t>245-46-71</t>
  </si>
  <si>
    <t>245-46-57</t>
  </si>
  <si>
    <t>4992457353</t>
  </si>
  <si>
    <t>245-49-38</t>
  </si>
  <si>
    <t>84997664276</t>
  </si>
  <si>
    <t>245-52-15</t>
  </si>
  <si>
    <t>4992469792</t>
  </si>
  <si>
    <t>246-23-36</t>
  </si>
  <si>
    <t>499-245-51-70</t>
  </si>
  <si>
    <t>245-50-92</t>
  </si>
  <si>
    <t>245-44-41</t>
  </si>
  <si>
    <t>4992456333</t>
  </si>
  <si>
    <t>753-36-09</t>
  </si>
  <si>
    <t>245-51-64</t>
  </si>
  <si>
    <t>245-51-52</t>
  </si>
  <si>
    <t>245-46-19</t>
  </si>
  <si>
    <t>245-40-37</t>
  </si>
  <si>
    <t>245-77-28</t>
  </si>
  <si>
    <t>4992455936</t>
  </si>
  <si>
    <t>245-97-05</t>
  </si>
  <si>
    <t>-89163863583</t>
  </si>
  <si>
    <t>245-49-32</t>
  </si>
  <si>
    <t>242-28-82</t>
  </si>
  <si>
    <t>-4992459109</t>
  </si>
  <si>
    <t>499-246-97-44</t>
  </si>
  <si>
    <t>84992450000</t>
  </si>
  <si>
    <t>245-41-79</t>
  </si>
  <si>
    <t>2459110</t>
  </si>
  <si>
    <t>245-40-21</t>
  </si>
  <si>
    <t>499 246-30-46</t>
  </si>
  <si>
    <t>4992454703</t>
  </si>
  <si>
    <t>4992455064</t>
  </si>
  <si>
    <t>245-59-66</t>
  </si>
  <si>
    <t>245-50-57</t>
  </si>
  <si>
    <t>245-53-43</t>
  </si>
  <si>
    <t>245-43-73</t>
  </si>
  <si>
    <t>245-52-93</t>
  </si>
  <si>
    <t>4992455701</t>
  </si>
  <si>
    <t>245-77-87</t>
  </si>
  <si>
    <t>499-245-41-44</t>
  </si>
  <si>
    <t>4992459111</t>
  </si>
  <si>
    <t>245-77-88</t>
  </si>
  <si>
    <t>84992420208</t>
  </si>
  <si>
    <t>245-57-52</t>
  </si>
  <si>
    <t>246-96-18</t>
  </si>
  <si>
    <t>245-52-36</t>
  </si>
  <si>
    <t>246-87-95</t>
  </si>
  <si>
    <t>245-43-27</t>
  </si>
  <si>
    <t>276-71-58</t>
  </si>
  <si>
    <t>245-56-70</t>
  </si>
  <si>
    <t>245-42-37</t>
  </si>
  <si>
    <t>4992462236</t>
  </si>
  <si>
    <t>245-76-32</t>
  </si>
  <si>
    <t>Ефремова ул., дом. 21</t>
  </si>
  <si>
    <t>242-66-43</t>
  </si>
  <si>
    <t>-4997668030</t>
  </si>
  <si>
    <t>4997668157</t>
  </si>
  <si>
    <t>7668157</t>
  </si>
  <si>
    <t>257-21-57</t>
  </si>
  <si>
    <t>3391508</t>
  </si>
  <si>
    <t>7668139</t>
  </si>
  <si>
    <t>-4997668401</t>
  </si>
  <si>
    <t>4992420131</t>
  </si>
  <si>
    <t>4997668405</t>
  </si>
  <si>
    <t>4997668402</t>
  </si>
  <si>
    <t>257-20-48</t>
  </si>
  <si>
    <t>84997668430</t>
  </si>
  <si>
    <t>(499)940-63-01</t>
  </si>
  <si>
    <t>242-50-29</t>
  </si>
  <si>
    <t>2425029</t>
  </si>
  <si>
    <t>(499)242-38-52</t>
  </si>
  <si>
    <t>-4992425309</t>
  </si>
  <si>
    <t>242-11-91</t>
  </si>
  <si>
    <t>245-71-37</t>
  </si>
  <si>
    <t>4992420826</t>
  </si>
  <si>
    <t>245-71-34</t>
  </si>
  <si>
    <t>245-74-55</t>
  </si>
  <si>
    <t>4992425966</t>
  </si>
  <si>
    <t>245-75-46</t>
  </si>
  <si>
    <t>7668782</t>
  </si>
  <si>
    <t>2423856</t>
  </si>
  <si>
    <t>7668546</t>
  </si>
  <si>
    <t>499-242-39-43</t>
  </si>
  <si>
    <t>84956091252</t>
  </si>
  <si>
    <t>242-39-43</t>
  </si>
  <si>
    <t>4997668009</t>
  </si>
  <si>
    <t>242-39-44</t>
  </si>
  <si>
    <t>242-80-55</t>
  </si>
  <si>
    <t>4997668091</t>
  </si>
  <si>
    <t>242-22-82</t>
  </si>
  <si>
    <t>-4997668105</t>
  </si>
  <si>
    <t>499-242-38-34</t>
  </si>
  <si>
    <t>84997668428</t>
  </si>
  <si>
    <t>4992428678</t>
  </si>
  <si>
    <t>84992426635</t>
  </si>
  <si>
    <t>242-33-25</t>
  </si>
  <si>
    <t>242-38-38</t>
  </si>
  <si>
    <t>242-79-60</t>
  </si>
  <si>
    <t>8499-766-85-52</t>
  </si>
  <si>
    <t>8499-242-53-05</t>
  </si>
  <si>
    <t>242-38-46</t>
  </si>
  <si>
    <t>2420996</t>
  </si>
  <si>
    <t>84992428662</t>
  </si>
  <si>
    <t>6091418</t>
  </si>
  <si>
    <t>84992422921</t>
  </si>
  <si>
    <t>84992428664</t>
  </si>
  <si>
    <t>84997668019</t>
  </si>
  <si>
    <t>242-73-48</t>
  </si>
  <si>
    <t>4997668548</t>
  </si>
  <si>
    <t>242-97-30 499</t>
  </si>
  <si>
    <t>4992422183</t>
  </si>
  <si>
    <t>2422183</t>
  </si>
  <si>
    <t>Ефремова ул., дом. 22</t>
  </si>
  <si>
    <t>4992454791</t>
  </si>
  <si>
    <t>245-47-91</t>
  </si>
  <si>
    <t>4992454431</t>
  </si>
  <si>
    <t>245-41-67</t>
  </si>
  <si>
    <t>245-74-86</t>
  </si>
  <si>
    <t>499-245-43-87</t>
  </si>
  <si>
    <t>245-41-28</t>
  </si>
  <si>
    <t>4992454128</t>
  </si>
  <si>
    <t>245-59-15</t>
  </si>
  <si>
    <t>245-50-74</t>
  </si>
  <si>
    <t>4992454488</t>
  </si>
  <si>
    <t>-2454936</t>
  </si>
  <si>
    <t>245-49-36</t>
  </si>
  <si>
    <t>245-48-27</t>
  </si>
  <si>
    <t>4992454243</t>
  </si>
  <si>
    <t>2454243</t>
  </si>
  <si>
    <t>4992454935</t>
  </si>
  <si>
    <t>4992457396</t>
  </si>
  <si>
    <t>4992454142</t>
  </si>
  <si>
    <t>245-41-61</t>
  </si>
  <si>
    <t>4957083457</t>
  </si>
  <si>
    <t>245-41-62</t>
  </si>
  <si>
    <t>84992454224</t>
  </si>
  <si>
    <t>245-41-65</t>
  </si>
  <si>
    <t>245-73-97</t>
  </si>
  <si>
    <t>499-245-41-57</t>
  </si>
  <si>
    <t>-4992454158</t>
  </si>
  <si>
    <t>499-245-44-18</t>
  </si>
  <si>
    <t>245-44-18</t>
  </si>
  <si>
    <t>4992454159</t>
  </si>
  <si>
    <t>245-44-77</t>
  </si>
  <si>
    <t>84992454715</t>
  </si>
  <si>
    <t>4992455352</t>
  </si>
  <si>
    <t>4992454160</t>
  </si>
  <si>
    <t>499-245-56-04</t>
  </si>
  <si>
    <t>245-49-12</t>
  </si>
  <si>
    <t>245-41-53</t>
  </si>
  <si>
    <t>499-245-41-98</t>
  </si>
  <si>
    <t>245-41-98</t>
  </si>
  <si>
    <t>4992454888</t>
  </si>
  <si>
    <t>245-48-38</t>
  </si>
  <si>
    <t>84992454155</t>
  </si>
  <si>
    <t>499-245-45-60</t>
  </si>
  <si>
    <t>245-45-60</t>
  </si>
  <si>
    <t>9462496564</t>
  </si>
  <si>
    <t>2454156</t>
  </si>
  <si>
    <t>Ефремова ул., дом. 23</t>
  </si>
  <si>
    <t>4992423505</t>
  </si>
  <si>
    <t>242-35-05</t>
  </si>
  <si>
    <t>4992423507</t>
  </si>
  <si>
    <t>4997668600</t>
  </si>
  <si>
    <t>242-35-08</t>
  </si>
  <si>
    <t>4992425895</t>
  </si>
  <si>
    <t>242-35-10</t>
  </si>
  <si>
    <t>499-242-35-12</t>
  </si>
  <si>
    <t>245-62-76</t>
  </si>
  <si>
    <t>4992423513</t>
  </si>
  <si>
    <t>4956091895</t>
  </si>
  <si>
    <t>84992423516</t>
  </si>
  <si>
    <t>242-35-16</t>
  </si>
  <si>
    <t>2423516</t>
  </si>
  <si>
    <t>4992428807</t>
  </si>
  <si>
    <t>4992420893</t>
  </si>
  <si>
    <t>84992425320</t>
  </si>
  <si>
    <t>84992424811</t>
  </si>
  <si>
    <t>242-35-69</t>
  </si>
  <si>
    <t>499-766-07-59</t>
  </si>
  <si>
    <t>7660759</t>
  </si>
  <si>
    <t>242-35-79</t>
  </si>
  <si>
    <t>4992423584</t>
  </si>
  <si>
    <t>84997660797</t>
  </si>
  <si>
    <t>84992423601</t>
  </si>
  <si>
    <t>84992423719</t>
  </si>
  <si>
    <t>4992427987</t>
  </si>
  <si>
    <t>4992423524</t>
  </si>
  <si>
    <t>2429016</t>
  </si>
  <si>
    <t>242-83-64</t>
  </si>
  <si>
    <t>84992428147</t>
  </si>
  <si>
    <t>4997668837</t>
  </si>
  <si>
    <t>Зачатьевский 1-й пер., дом. 8/9 к.12</t>
  </si>
  <si>
    <t>232-86-59</t>
  </si>
  <si>
    <t>84956950256</t>
  </si>
  <si>
    <t>4956950264</t>
  </si>
  <si>
    <t>202-67-67</t>
  </si>
  <si>
    <t>961-12-97</t>
  </si>
  <si>
    <t>27МАНСАРДА</t>
  </si>
  <si>
    <t>4992411808</t>
  </si>
  <si>
    <t>Зачатьевский 1-й пер., дом. 13</t>
  </si>
  <si>
    <t>203-13-84</t>
  </si>
  <si>
    <t>203-17-10</t>
  </si>
  <si>
    <t>4956951568</t>
  </si>
  <si>
    <t>6951563</t>
  </si>
  <si>
    <t>695-03-69</t>
  </si>
  <si>
    <t>202-62-35</t>
  </si>
  <si>
    <t>4956971819</t>
  </si>
  <si>
    <t>6951580</t>
  </si>
  <si>
    <t>246-55-52</t>
  </si>
  <si>
    <t>202-09-20</t>
  </si>
  <si>
    <t>6951583</t>
  </si>
  <si>
    <t>202-61-95</t>
  </si>
  <si>
    <t>6951587</t>
  </si>
  <si>
    <t>6951592</t>
  </si>
  <si>
    <t>-6951592</t>
  </si>
  <si>
    <t>202-67-13</t>
  </si>
  <si>
    <t>84956951594</t>
  </si>
  <si>
    <t>84956951586</t>
  </si>
  <si>
    <t>202-62-33</t>
  </si>
  <si>
    <t>202-16-92</t>
  </si>
  <si>
    <t>202-61-94</t>
  </si>
  <si>
    <t>495-695-15-79</t>
  </si>
  <si>
    <t>695-15-89</t>
  </si>
  <si>
    <t>(925)970-7950</t>
  </si>
  <si>
    <t>Земледельческий пер., дом. 3</t>
  </si>
  <si>
    <t>499-248-60-10</t>
  </si>
  <si>
    <t>248-31-02</t>
  </si>
  <si>
    <t>84992486831</t>
  </si>
  <si>
    <t>4992483170</t>
  </si>
  <si>
    <t>248-54-27</t>
  </si>
  <si>
    <t>248-44-02</t>
  </si>
  <si>
    <t>89037214742</t>
  </si>
  <si>
    <t>4992485409</t>
  </si>
  <si>
    <t>248-32-87</t>
  </si>
  <si>
    <t>4992484173</t>
  </si>
  <si>
    <t>248-48-50</t>
  </si>
  <si>
    <t>4992482817</t>
  </si>
  <si>
    <t>248-46-02</t>
  </si>
  <si>
    <t>248-44-83</t>
  </si>
  <si>
    <t>84992484613</t>
  </si>
  <si>
    <t>84992484489</t>
  </si>
  <si>
    <t>248-34-29</t>
  </si>
  <si>
    <t>499-248-28-69</t>
  </si>
  <si>
    <t>4992482869</t>
  </si>
  <si>
    <t>84992483290</t>
  </si>
  <si>
    <t>4992484193</t>
  </si>
  <si>
    <t>4992484670</t>
  </si>
  <si>
    <t>+8(499)248-26-25</t>
  </si>
  <si>
    <t>248-60-35</t>
  </si>
  <si>
    <t>248-34-24</t>
  </si>
  <si>
    <t>248-30-43</t>
  </si>
  <si>
    <t>4992410262</t>
  </si>
  <si>
    <t>248-60-43</t>
  </si>
  <si>
    <t>248-34-82</t>
  </si>
  <si>
    <t>248-34-35</t>
  </si>
  <si>
    <t>4992484694</t>
  </si>
  <si>
    <t>(499)248-60-51</t>
  </si>
  <si>
    <t>248-44-48</t>
  </si>
  <si>
    <t>4992484661</t>
  </si>
  <si>
    <t>248-41-59</t>
  </si>
  <si>
    <t>248-60-40</t>
  </si>
  <si>
    <t>248-44-70</t>
  </si>
  <si>
    <t>Земледельческий пер., дом. 12</t>
  </si>
  <si>
    <t>248-39-39</t>
  </si>
  <si>
    <t>244-05-02</t>
  </si>
  <si>
    <t>4992528006</t>
  </si>
  <si>
    <t>84992528191</t>
  </si>
  <si>
    <t>248-43-69</t>
  </si>
  <si>
    <t>248-27-85</t>
  </si>
  <si>
    <t>244-04-24</t>
  </si>
  <si>
    <t>244-44-33</t>
  </si>
  <si>
    <t>248-32-65</t>
  </si>
  <si>
    <t>4992528486</t>
  </si>
  <si>
    <t>499 252-80-94</t>
  </si>
  <si>
    <t>248-03-97</t>
  </si>
  <si>
    <t>4992528474</t>
  </si>
  <si>
    <t>4992483940</t>
  </si>
  <si>
    <t>4992528528</t>
  </si>
  <si>
    <t>2528494</t>
  </si>
  <si>
    <t>4992484803</t>
  </si>
  <si>
    <t>244-04-31</t>
  </si>
  <si>
    <t>499-252-78-98</t>
  </si>
  <si>
    <t>4992412880</t>
  </si>
  <si>
    <t>Земледельческий пер., дом. 14/17</t>
  </si>
  <si>
    <t>4992487554</t>
  </si>
  <si>
    <t>247-77-74</t>
  </si>
  <si>
    <t>102-86-24</t>
  </si>
  <si>
    <t>4992487672</t>
  </si>
  <si>
    <t>Земледельческий пер., дом. 18</t>
  </si>
  <si>
    <t>-4992528203</t>
  </si>
  <si>
    <t>84992481828</t>
  </si>
  <si>
    <t>4992528303</t>
  </si>
  <si>
    <t>84992528305</t>
  </si>
  <si>
    <t>248-64-40</t>
  </si>
  <si>
    <t>248-18-13</t>
  </si>
  <si>
    <t>2557289</t>
  </si>
  <si>
    <t>248-24-18</t>
  </si>
  <si>
    <t>248-44-97</t>
  </si>
  <si>
    <t>244-78-37</t>
  </si>
  <si>
    <t>4992482639</t>
  </si>
  <si>
    <t>84992528632</t>
  </si>
  <si>
    <t>4992528491</t>
  </si>
  <si>
    <t>4992528168</t>
  </si>
  <si>
    <t>4992483702</t>
  </si>
  <si>
    <t>248-68-09 499</t>
  </si>
  <si>
    <t>4992486305</t>
  </si>
  <si>
    <t>4992485805</t>
  </si>
  <si>
    <t>4992527909</t>
  </si>
  <si>
    <t>248-44-50</t>
  </si>
  <si>
    <t>4992412218</t>
  </si>
  <si>
    <t>2528418</t>
  </si>
  <si>
    <t>244-06-83</t>
  </si>
  <si>
    <t>4992528217</t>
  </si>
  <si>
    <t>248-68-08</t>
  </si>
  <si>
    <t>248-69-35</t>
  </si>
  <si>
    <t>244-78-59</t>
  </si>
  <si>
    <t>499-248-61-53</t>
  </si>
  <si>
    <t>248-58-25</t>
  </si>
  <si>
    <t>248-17-67</t>
  </si>
  <si>
    <t>248-56-07</t>
  </si>
  <si>
    <t>248-09-95</t>
  </si>
  <si>
    <t>4992486461</t>
  </si>
  <si>
    <t>84992485104</t>
  </si>
  <si>
    <t>4992527872</t>
  </si>
  <si>
    <t>Зубовская ул., дом. 5/36</t>
  </si>
  <si>
    <t>4997664947</t>
  </si>
  <si>
    <t>4 участок</t>
  </si>
  <si>
    <t>4992466781</t>
  </si>
  <si>
    <t>246-02-04</t>
  </si>
  <si>
    <t>246-90-35</t>
  </si>
  <si>
    <t>4992452430</t>
  </si>
  <si>
    <t>84992462620</t>
  </si>
  <si>
    <t>4992469056</t>
  </si>
  <si>
    <t>84992465044</t>
  </si>
  <si>
    <t>246-25-54</t>
  </si>
  <si>
    <t>246-28-44 499</t>
  </si>
  <si>
    <t>246-28-44</t>
  </si>
  <si>
    <t>246-34-48</t>
  </si>
  <si>
    <t>4992469417</t>
  </si>
  <si>
    <t>Зубовский бульв., дом. 13 стр.1</t>
  </si>
  <si>
    <t>84992466386</t>
  </si>
  <si>
    <t>84992466383</t>
  </si>
  <si>
    <t>246-40-52</t>
  </si>
  <si>
    <t>246-40-48</t>
  </si>
  <si>
    <t>2464055</t>
  </si>
  <si>
    <t>246-35-57</t>
  </si>
  <si>
    <t>246-65-34</t>
  </si>
  <si>
    <t>4992457796</t>
  </si>
  <si>
    <t>499-246-83-39</t>
  </si>
  <si>
    <t>28,28а</t>
  </si>
  <si>
    <t>246-68-03</t>
  </si>
  <si>
    <t>246-38-59</t>
  </si>
  <si>
    <t>4992469487</t>
  </si>
  <si>
    <t>4992557140</t>
  </si>
  <si>
    <t>4992463859</t>
  </si>
  <si>
    <t>246-05-97</t>
  </si>
  <si>
    <t>4992459465</t>
  </si>
  <si>
    <t>4992455003</t>
  </si>
  <si>
    <t>Зубовский бульв., дом. 25</t>
  </si>
  <si>
    <t>246-87-87</t>
  </si>
  <si>
    <t>245-38-26</t>
  </si>
  <si>
    <t>4992456248</t>
  </si>
  <si>
    <t>Зубовский бульв., дом. 31-33</t>
  </si>
  <si>
    <t>246-31-31</t>
  </si>
  <si>
    <t>4992463111</t>
  </si>
  <si>
    <t>245-11-62 499</t>
  </si>
  <si>
    <t>4992461963</t>
  </si>
  <si>
    <t>246-32-32</t>
  </si>
  <si>
    <t>246-30-13</t>
  </si>
  <si>
    <t>4992463113</t>
  </si>
  <si>
    <t>246-33-70</t>
  </si>
  <si>
    <t>84992468183</t>
  </si>
  <si>
    <t>246-33-15</t>
  </si>
  <si>
    <t>246-95-17</t>
  </si>
  <si>
    <t>246-17-18</t>
  </si>
  <si>
    <t>246-80-83</t>
  </si>
  <si>
    <t>4992465397</t>
  </si>
  <si>
    <t>246-30-15</t>
  </si>
  <si>
    <t>246-30-55</t>
  </si>
  <si>
    <t>246-03-58</t>
  </si>
  <si>
    <t>4992468037</t>
  </si>
  <si>
    <t>4992463419</t>
  </si>
  <si>
    <t>4992463011</t>
  </si>
  <si>
    <t>4992461859</t>
  </si>
  <si>
    <t>499 246-18-59</t>
  </si>
  <si>
    <t>4992464289</t>
  </si>
  <si>
    <t>-84992465331</t>
  </si>
  <si>
    <t>246-58-57</t>
  </si>
  <si>
    <t>(499)246-34-90</t>
  </si>
  <si>
    <t>499-246-29-18</t>
  </si>
  <si>
    <t>84992460934</t>
  </si>
  <si>
    <t>4992463411</t>
  </si>
  <si>
    <t>4992463508</t>
  </si>
  <si>
    <t>84992463310</t>
  </si>
  <si>
    <t>Зубовский бульв., дом. 35 стр.1</t>
  </si>
  <si>
    <t>8152675014</t>
  </si>
  <si>
    <t>778-13-79</t>
  </si>
  <si>
    <t>4992450561</t>
  </si>
  <si>
    <t>708-34-86</t>
  </si>
  <si>
    <t>499-766-49-10</t>
  </si>
  <si>
    <t>84992488069</t>
  </si>
  <si>
    <t>84959308456</t>
  </si>
  <si>
    <t>84992487753</t>
  </si>
  <si>
    <t>4992553718</t>
  </si>
  <si>
    <t>84992558566</t>
  </si>
  <si>
    <t>201-43-61</t>
  </si>
  <si>
    <t>4992451216</t>
  </si>
  <si>
    <t>89851655555</t>
  </si>
  <si>
    <t>84992433349</t>
  </si>
  <si>
    <t>Зубовский пр., дом. 2 к.1</t>
  </si>
  <si>
    <t>246-24-87</t>
  </si>
  <si>
    <t>246-25-26</t>
  </si>
  <si>
    <t>84992469909</t>
  </si>
  <si>
    <t>4992469532</t>
  </si>
  <si>
    <t>499-246-07-73</t>
  </si>
  <si>
    <t>246-07-73</t>
  </si>
  <si>
    <t>499-246-26-89</t>
  </si>
  <si>
    <t>246-81-54</t>
  </si>
  <si>
    <t>499-246-60-36</t>
  </si>
  <si>
    <t>84992469698</t>
  </si>
  <si>
    <t>4992469698</t>
  </si>
  <si>
    <t>246-24-54</t>
  </si>
  <si>
    <t>4992465586</t>
  </si>
  <si>
    <t>84992463031</t>
  </si>
  <si>
    <t>245-10-86</t>
  </si>
  <si>
    <t>246-92-18</t>
  </si>
  <si>
    <t>4992460916</t>
  </si>
  <si>
    <t>4992469376</t>
  </si>
  <si>
    <t>246-09-15</t>
  </si>
  <si>
    <t>246-93-97</t>
  </si>
  <si>
    <t>Зубовский пр., дом. 2 к.2</t>
  </si>
  <si>
    <t>245-08-15</t>
  </si>
  <si>
    <t>245-14-15</t>
  </si>
  <si>
    <t>246-47-99</t>
  </si>
  <si>
    <t>84957299380</t>
  </si>
  <si>
    <t>84992469814</t>
  </si>
  <si>
    <t>4992469814</t>
  </si>
  <si>
    <t>499-246-26-53</t>
  </si>
  <si>
    <t>4992462653</t>
  </si>
  <si>
    <t>84992460046</t>
  </si>
  <si>
    <t>4992460046</t>
  </si>
  <si>
    <t>84992457865</t>
  </si>
  <si>
    <t>4992460569</t>
  </si>
  <si>
    <t>246-22-71</t>
  </si>
  <si>
    <t>246-23-87</t>
  </si>
  <si>
    <t>246-82-31</t>
  </si>
  <si>
    <t>Зубовский пр., дом. 3</t>
  </si>
  <si>
    <t>Комсомольский просп., дом. 3</t>
  </si>
  <si>
    <t>84992461978</t>
  </si>
  <si>
    <t>499-246-48-62</t>
  </si>
  <si>
    <t>499-246-49-62</t>
  </si>
  <si>
    <t>4992460999</t>
  </si>
  <si>
    <t>84992466270</t>
  </si>
  <si>
    <t>246-79-33</t>
  </si>
  <si>
    <t>4992467933</t>
  </si>
  <si>
    <t>84992450595</t>
  </si>
  <si>
    <t>499-246-70-93</t>
  </si>
  <si>
    <t>245-95-19</t>
  </si>
  <si>
    <t>245-00-89</t>
  </si>
  <si>
    <t>246-62-24</t>
  </si>
  <si>
    <t>84992459172</t>
  </si>
  <si>
    <t>246-03-24</t>
  </si>
  <si>
    <t>84992451443</t>
  </si>
  <si>
    <t>84992469050</t>
  </si>
  <si>
    <t>-4992468565</t>
  </si>
  <si>
    <t>246-23-09</t>
  </si>
  <si>
    <t>4992466040</t>
  </si>
  <si>
    <t>4992468672</t>
  </si>
  <si>
    <t>4992460695</t>
  </si>
  <si>
    <t>4997664911</t>
  </si>
  <si>
    <t>4992467006</t>
  </si>
  <si>
    <t>4992466673</t>
  </si>
  <si>
    <t>84992466673</t>
  </si>
  <si>
    <t>246-35-09</t>
  </si>
  <si>
    <t>724-61-92</t>
  </si>
  <si>
    <t>4992466049</t>
  </si>
  <si>
    <t>4992457541</t>
  </si>
  <si>
    <t>246-42-92</t>
  </si>
  <si>
    <t>84952332040</t>
  </si>
  <si>
    <t>4992466356</t>
  </si>
  <si>
    <t>4997664563</t>
  </si>
  <si>
    <t>4992469086</t>
  </si>
  <si>
    <t>246-64-21</t>
  </si>
  <si>
    <t>4992460398</t>
  </si>
  <si>
    <t>4992464526</t>
  </si>
  <si>
    <t>246-87-14</t>
  </si>
  <si>
    <t>499-245-78-19</t>
  </si>
  <si>
    <t>246-08-52</t>
  </si>
  <si>
    <t>4992454600</t>
  </si>
  <si>
    <t>54А</t>
  </si>
  <si>
    <t>84997664033</t>
  </si>
  <si>
    <t>Комсомольский просп., дом. 14/1 к.1</t>
  </si>
  <si>
    <t>4992453324</t>
  </si>
  <si>
    <t>84992460192</t>
  </si>
  <si>
    <t>4992468116</t>
  </si>
  <si>
    <t>245-10-69</t>
  </si>
  <si>
    <t>246-84-76</t>
  </si>
  <si>
    <t>4992468475</t>
  </si>
  <si>
    <t>246-92-87</t>
  </si>
  <si>
    <t>84992469539</t>
  </si>
  <si>
    <t>84992469310</t>
  </si>
  <si>
    <t>246-61-81</t>
  </si>
  <si>
    <t>246-10-57</t>
  </si>
  <si>
    <t>4992464919</t>
  </si>
  <si>
    <t>4992461900</t>
  </si>
  <si>
    <t>246-49-45</t>
  </si>
  <si>
    <t>4992467519</t>
  </si>
  <si>
    <t>245-48-77</t>
  </si>
  <si>
    <t>4992462851</t>
  </si>
  <si>
    <t>246-92-48</t>
  </si>
  <si>
    <t>246-74-53</t>
  </si>
  <si>
    <t>4992467778</t>
  </si>
  <si>
    <t>4992468730</t>
  </si>
  <si>
    <t>246-14-19</t>
  </si>
  <si>
    <t>84997664926</t>
  </si>
  <si>
    <t>84992469134</t>
  </si>
  <si>
    <t>4992463476</t>
  </si>
  <si>
    <t>246-91-90</t>
  </si>
  <si>
    <t>84992462860</t>
  </si>
  <si>
    <t>4992462810</t>
  </si>
  <si>
    <t>246-16-74</t>
  </si>
  <si>
    <t>84992464953</t>
  </si>
  <si>
    <t>4992464538</t>
  </si>
  <si>
    <t>246-47-37</t>
  </si>
  <si>
    <t>84992469259</t>
  </si>
  <si>
    <t>4992468611</t>
  </si>
  <si>
    <t>84992463913</t>
  </si>
  <si>
    <t>4992467116</t>
  </si>
  <si>
    <t>4992463556</t>
  </si>
  <si>
    <t>4992466167</t>
  </si>
  <si>
    <t>246-95-29</t>
  </si>
  <si>
    <t>4957083176</t>
  </si>
  <si>
    <t>4992469589</t>
  </si>
  <si>
    <t>246-79-96</t>
  </si>
  <si>
    <t>246-64-36</t>
  </si>
  <si>
    <t>499 246-71-51</t>
  </si>
  <si>
    <t>4992468892</t>
  </si>
  <si>
    <t>4992469811</t>
  </si>
  <si>
    <t>246-98-69</t>
  </si>
  <si>
    <t>499-152-40-42</t>
  </si>
  <si>
    <t>4992469653</t>
  </si>
  <si>
    <t>4992462744</t>
  </si>
  <si>
    <t>84992557386</t>
  </si>
  <si>
    <t>4992467849</t>
  </si>
  <si>
    <t>246-78-57</t>
  </si>
  <si>
    <t>84992464477</t>
  </si>
  <si>
    <t>4992467858</t>
  </si>
  <si>
    <t>Комсомольский просп., дом. 14/1 к.2</t>
  </si>
  <si>
    <t>4992468837</t>
  </si>
  <si>
    <t>246-29-97</t>
  </si>
  <si>
    <t>246-96-56</t>
  </si>
  <si>
    <t>499-246-98-59</t>
  </si>
  <si>
    <t>9039693153</t>
  </si>
  <si>
    <t>246-07-32</t>
  </si>
  <si>
    <t>246-74-81</t>
  </si>
  <si>
    <t>4992462649</t>
  </si>
  <si>
    <t>246-45-35</t>
  </si>
  <si>
    <t>4992464140</t>
  </si>
  <si>
    <t>-4993419060</t>
  </si>
  <si>
    <t>499466141</t>
  </si>
  <si>
    <t>84992450572</t>
  </si>
  <si>
    <t>4992460845</t>
  </si>
  <si>
    <t>246-87-97</t>
  </si>
  <si>
    <t>4992468468</t>
  </si>
  <si>
    <t>84992483693</t>
  </si>
  <si>
    <t>246-60-86</t>
  </si>
  <si>
    <t>-84992464839</t>
  </si>
  <si>
    <t>4992461436</t>
  </si>
  <si>
    <t>245-04-35</t>
  </si>
  <si>
    <t>246-14-35</t>
  </si>
  <si>
    <t>246-35-52</t>
  </si>
  <si>
    <t>247-10-91</t>
  </si>
  <si>
    <t>246-59-28</t>
  </si>
  <si>
    <t>4992469739</t>
  </si>
  <si>
    <t>4992557092</t>
  </si>
  <si>
    <t>84992557092</t>
  </si>
  <si>
    <t>246-88-09</t>
  </si>
  <si>
    <t>246-61-92</t>
  </si>
  <si>
    <t>4992466191</t>
  </si>
  <si>
    <t>245-10-52</t>
  </si>
  <si>
    <t>Комсомольский просп., дом. 14/1 к.3</t>
  </si>
  <si>
    <t>246-38-43</t>
  </si>
  <si>
    <t>246-58-42</t>
  </si>
  <si>
    <t>246-15-13</t>
  </si>
  <si>
    <t>246-98-12</t>
  </si>
  <si>
    <t>246-97-75</t>
  </si>
  <si>
    <t>-4992465833</t>
  </si>
  <si>
    <t>246-58-32</t>
  </si>
  <si>
    <t>246-76-87</t>
  </si>
  <si>
    <t>246-14-71 499</t>
  </si>
  <si>
    <t>84992467747</t>
  </si>
  <si>
    <t>246-76-85</t>
  </si>
  <si>
    <t>4992466096</t>
  </si>
  <si>
    <t>84992468513</t>
  </si>
  <si>
    <t>246-12-14</t>
  </si>
  <si>
    <t>246-12-12</t>
  </si>
  <si>
    <t>246-31-54</t>
  </si>
  <si>
    <t>246-77-53</t>
  </si>
  <si>
    <t>89151065504</t>
  </si>
  <si>
    <t>246-73-33</t>
  </si>
  <si>
    <t>499 246-26-44</t>
  </si>
  <si>
    <t>4992467658</t>
  </si>
  <si>
    <t>4992462645</t>
  </si>
  <si>
    <t>246-31-62</t>
  </si>
  <si>
    <t>-4992469794</t>
  </si>
  <si>
    <t>246-94-35</t>
  </si>
  <si>
    <t>4992467342</t>
  </si>
  <si>
    <t>499-246-85-36</t>
  </si>
  <si>
    <t>247-00-93</t>
  </si>
  <si>
    <t>4992465285</t>
  </si>
  <si>
    <t>4992452013</t>
  </si>
  <si>
    <t>84992467275</t>
  </si>
  <si>
    <t>246-52-95</t>
  </si>
  <si>
    <t>499-246-90-52</t>
  </si>
  <si>
    <t>4992469058</t>
  </si>
  <si>
    <t>499 246-08-65</t>
  </si>
  <si>
    <t>246-55-45</t>
  </si>
  <si>
    <t>4992465544</t>
  </si>
  <si>
    <t>4992469665</t>
  </si>
  <si>
    <t>4992469906</t>
  </si>
  <si>
    <t>84992468096</t>
  </si>
  <si>
    <t>4992461316</t>
  </si>
  <si>
    <t>499 246-99-22</t>
  </si>
  <si>
    <t>4992468532</t>
  </si>
  <si>
    <t>4992468097</t>
  </si>
  <si>
    <t>84992461822</t>
  </si>
  <si>
    <t>84992452784</t>
  </si>
  <si>
    <t>246-85-54</t>
  </si>
  <si>
    <t>84992467335</t>
  </si>
  <si>
    <t>4992463869</t>
  </si>
  <si>
    <t>4992467336</t>
  </si>
  <si>
    <t>4992463867</t>
  </si>
  <si>
    <t>4992467688</t>
  </si>
  <si>
    <t>4992464559</t>
  </si>
  <si>
    <t>246-25-18</t>
  </si>
  <si>
    <t>84992462491</t>
  </si>
  <si>
    <t>Комсомольский просп., дом. 21/10</t>
  </si>
  <si>
    <t>246-63-12</t>
  </si>
  <si>
    <t>4992450983</t>
  </si>
  <si>
    <t>84992557247</t>
  </si>
  <si>
    <t>4992452758</t>
  </si>
  <si>
    <t>4992468641</t>
  </si>
  <si>
    <t>4992465104</t>
  </si>
  <si>
    <t>246-96-99</t>
  </si>
  <si>
    <t>4992557457</t>
  </si>
  <si>
    <t>245-39-38</t>
  </si>
  <si>
    <t>245-23-38</t>
  </si>
  <si>
    <t>247-19-91</t>
  </si>
  <si>
    <t>245-34-79</t>
  </si>
  <si>
    <t>4991708420</t>
  </si>
  <si>
    <t>4992466240</t>
  </si>
  <si>
    <t>245-34-49</t>
  </si>
  <si>
    <t>247-05-58</t>
  </si>
  <si>
    <t>247-15-36</t>
  </si>
  <si>
    <t>495-245-36-68</t>
  </si>
  <si>
    <t>4992552573</t>
  </si>
  <si>
    <t>4992557506</t>
  </si>
  <si>
    <t>4992456766</t>
  </si>
  <si>
    <t>2527625</t>
  </si>
  <si>
    <t>247-15-09</t>
  </si>
  <si>
    <t>247-18-95</t>
  </si>
  <si>
    <t>4992428570</t>
  </si>
  <si>
    <t>246-15-22</t>
  </si>
  <si>
    <t>247-18-76</t>
  </si>
  <si>
    <t>247-14-28</t>
  </si>
  <si>
    <t>245-23-64</t>
  </si>
  <si>
    <t>4992557429</t>
  </si>
  <si>
    <t>245-06-32</t>
  </si>
  <si>
    <t>241-95-44</t>
  </si>
  <si>
    <t>4992460414</t>
  </si>
  <si>
    <t>499 255-76-28</t>
  </si>
  <si>
    <t>333-87-65</t>
  </si>
  <si>
    <t>4992462629</t>
  </si>
  <si>
    <t>255-75-72</t>
  </si>
  <si>
    <t>246-10-74</t>
  </si>
  <si>
    <t>245-10-83</t>
  </si>
  <si>
    <t>245-38-09</t>
  </si>
  <si>
    <t>245-29-64</t>
  </si>
  <si>
    <t>2557766</t>
  </si>
  <si>
    <t>247-13-95</t>
  </si>
  <si>
    <t>84992467707</t>
  </si>
  <si>
    <t>244-09-97</t>
  </si>
  <si>
    <t>84991377912</t>
  </si>
  <si>
    <t>245-27-64</t>
  </si>
  <si>
    <t>241-97-18</t>
  </si>
  <si>
    <t>245-26-47</t>
  </si>
  <si>
    <t>4992456394</t>
  </si>
  <si>
    <t>245-25-59</t>
  </si>
  <si>
    <t>4992557606</t>
  </si>
  <si>
    <t>499-246-27-31</t>
  </si>
  <si>
    <t>247-16-82</t>
  </si>
  <si>
    <t>84992557919</t>
  </si>
  <si>
    <t>245-04-59</t>
  </si>
  <si>
    <t>499-245-10-21</t>
  </si>
  <si>
    <t>247-13-58</t>
  </si>
  <si>
    <t>4992552019</t>
  </si>
  <si>
    <t>4992557303</t>
  </si>
  <si>
    <t>499-255-74-95</t>
  </si>
  <si>
    <t>247-06-05</t>
  </si>
  <si>
    <t>4992557230</t>
  </si>
  <si>
    <t>84992457045</t>
  </si>
  <si>
    <t>-4992450882</t>
  </si>
  <si>
    <t>-4992557231</t>
  </si>
  <si>
    <t>4992557784</t>
  </si>
  <si>
    <t>84992557783</t>
  </si>
  <si>
    <t>4992557494</t>
  </si>
  <si>
    <t>Комсомольский просп., дом. 34</t>
  </si>
  <si>
    <t>4992422286</t>
  </si>
  <si>
    <t>4992420187</t>
  </si>
  <si>
    <t>4992422287</t>
  </si>
  <si>
    <t>4992420508</t>
  </si>
  <si>
    <t>4992429051</t>
  </si>
  <si>
    <t>4992426597</t>
  </si>
  <si>
    <t>4992420046</t>
  </si>
  <si>
    <t>4992422052</t>
  </si>
  <si>
    <t>4992420322</t>
  </si>
  <si>
    <t>4992422865</t>
  </si>
  <si>
    <t>4992425063</t>
  </si>
  <si>
    <t>4992422050</t>
  </si>
  <si>
    <t>4992456482</t>
  </si>
  <si>
    <t>4992456479</t>
  </si>
  <si>
    <t>4992420036</t>
  </si>
  <si>
    <t>4992473443</t>
  </si>
  <si>
    <t>4992422295</t>
  </si>
  <si>
    <t>4992423204</t>
  </si>
  <si>
    <t>4992420354</t>
  </si>
  <si>
    <t>4992521956</t>
  </si>
  <si>
    <t>4992420334</t>
  </si>
  <si>
    <t>4992427019</t>
  </si>
  <si>
    <t>4992420514</t>
  </si>
  <si>
    <t>4997668977</t>
  </si>
  <si>
    <t>4992422363</t>
  </si>
  <si>
    <t>4992427119</t>
  </si>
  <si>
    <t>4992420044</t>
  </si>
  <si>
    <t>4997668976</t>
  </si>
  <si>
    <t>4992428848</t>
  </si>
  <si>
    <t>4992422047</t>
  </si>
  <si>
    <t>4992422049</t>
  </si>
  <si>
    <t>4992427139</t>
  </si>
  <si>
    <t>4992420242</t>
  </si>
  <si>
    <t>4992456488</t>
  </si>
  <si>
    <t>4992427094</t>
  </si>
  <si>
    <t>4992422041</t>
  </si>
  <si>
    <t>4992422369</t>
  </si>
  <si>
    <t>4997668804</t>
  </si>
  <si>
    <t>4992421734</t>
  </si>
  <si>
    <t>4992428031</t>
  </si>
  <si>
    <t>4992421413</t>
  </si>
  <si>
    <t>4992421866</t>
  </si>
  <si>
    <t>4992465046</t>
  </si>
  <si>
    <t>4992426569</t>
  </si>
  <si>
    <t>4997660702</t>
  </si>
  <si>
    <t>4997660602</t>
  </si>
  <si>
    <t>4992422014</t>
  </si>
  <si>
    <t>4992422004</t>
  </si>
  <si>
    <t>4992422043</t>
  </si>
  <si>
    <t>-4992427687</t>
  </si>
  <si>
    <t>4992450296</t>
  </si>
  <si>
    <t>4992421733</t>
  </si>
  <si>
    <t>-4992420328</t>
  </si>
  <si>
    <t>4992425074</t>
  </si>
  <si>
    <t>4992468788</t>
  </si>
  <si>
    <t>499-246-93-56</t>
  </si>
  <si>
    <t>4992421328</t>
  </si>
  <si>
    <t>4992424165</t>
  </si>
  <si>
    <t>4992420326</t>
  </si>
  <si>
    <t>4992420516</t>
  </si>
  <si>
    <t>4992425343</t>
  </si>
  <si>
    <t>4992450293</t>
  </si>
  <si>
    <t>4992420506</t>
  </si>
  <si>
    <t>4992420941</t>
  </si>
  <si>
    <t>4997668797</t>
  </si>
  <si>
    <t>4992420062</t>
  </si>
  <si>
    <t>4992420052</t>
  </si>
  <si>
    <t>4992420504</t>
  </si>
  <si>
    <t>4992466817</t>
  </si>
  <si>
    <t>4992426887</t>
  </si>
  <si>
    <t>4992420512</t>
  </si>
  <si>
    <t>4992421310</t>
  </si>
  <si>
    <t>4992473061</t>
  </si>
  <si>
    <t>4992420181</t>
  </si>
  <si>
    <t>4992420824</t>
  </si>
  <si>
    <t>-4992420324</t>
  </si>
  <si>
    <t>-4992420378</t>
  </si>
  <si>
    <t>4997668159</t>
  </si>
  <si>
    <t>4992420336</t>
  </si>
  <si>
    <t>4956091447</t>
  </si>
  <si>
    <t>4997668969</t>
  </si>
  <si>
    <t>4992420518</t>
  </si>
  <si>
    <t>4992424923</t>
  </si>
  <si>
    <t>4992426493</t>
  </si>
  <si>
    <t>4992420823</t>
  </si>
  <si>
    <t>4992420822</t>
  </si>
  <si>
    <t>4992420737</t>
  </si>
  <si>
    <t>4992420358</t>
  </si>
  <si>
    <t>4997668363</t>
  </si>
  <si>
    <t>4997668442</t>
  </si>
  <si>
    <t>-4992451513</t>
  </si>
  <si>
    <t>4992423236</t>
  </si>
  <si>
    <t>4992450389</t>
  </si>
  <si>
    <t>4992420032</t>
  </si>
  <si>
    <t>4992422193</t>
  </si>
  <si>
    <t>4992424813</t>
  </si>
  <si>
    <t>4992424814</t>
  </si>
  <si>
    <t>4992464057</t>
  </si>
  <si>
    <t>4992422189</t>
  </si>
  <si>
    <t>4992420820</t>
  </si>
  <si>
    <t>4992420338</t>
  </si>
  <si>
    <t>242-03-32</t>
  </si>
  <si>
    <t>4997668868</t>
  </si>
  <si>
    <t>4992421693</t>
  </si>
  <si>
    <t>4992420502</t>
  </si>
  <si>
    <t>4992420038</t>
  </si>
  <si>
    <t>4992422689</t>
  </si>
  <si>
    <t>4992450273</t>
  </si>
  <si>
    <t>4992428162</t>
  </si>
  <si>
    <t>4992420524</t>
  </si>
  <si>
    <t>4992428188</t>
  </si>
  <si>
    <t>4992427290</t>
  </si>
  <si>
    <t>4992420185</t>
  </si>
  <si>
    <t>4992420183</t>
  </si>
  <si>
    <t>4997660535</t>
  </si>
  <si>
    <t>4992428735</t>
  </si>
  <si>
    <t>4992452639</t>
  </si>
  <si>
    <t>4992425331</t>
  </si>
  <si>
    <t>4992426135</t>
  </si>
  <si>
    <t>4992420042</t>
  </si>
  <si>
    <t>4992427390</t>
  </si>
  <si>
    <t>4992456503</t>
  </si>
  <si>
    <t>4992473065</t>
  </si>
  <si>
    <t>4992425060</t>
  </si>
  <si>
    <t>-4992420348</t>
  </si>
  <si>
    <t>4992427403</t>
  </si>
  <si>
    <t>4992425613</t>
  </si>
  <si>
    <t>4992423307</t>
  </si>
  <si>
    <t>4992427503</t>
  </si>
  <si>
    <t>4992473499</t>
  </si>
  <si>
    <t>4992425327</t>
  </si>
  <si>
    <t>4992422191</t>
  </si>
  <si>
    <t>Комсомольский просп., дом. 36</t>
  </si>
  <si>
    <t>4992553831</t>
  </si>
  <si>
    <t>4992553827</t>
  </si>
  <si>
    <t>4992457780</t>
  </si>
  <si>
    <t>4992456521</t>
  </si>
  <si>
    <t>4997669968</t>
  </si>
  <si>
    <t>4992457267</t>
  </si>
  <si>
    <t>4992553830</t>
  </si>
  <si>
    <t>4992553826</t>
  </si>
  <si>
    <t>4992459819</t>
  </si>
  <si>
    <t>4992459279</t>
  </si>
  <si>
    <t>4992459266</t>
  </si>
  <si>
    <t>4992459298</t>
  </si>
  <si>
    <t>4992459252</t>
  </si>
  <si>
    <t>4992459325</t>
  </si>
  <si>
    <t>4992459251</t>
  </si>
  <si>
    <t>4992553738</t>
  </si>
  <si>
    <t>4992459272</t>
  </si>
  <si>
    <t>4992426403</t>
  </si>
  <si>
    <t>4992459303</t>
  </si>
  <si>
    <t>4992459355</t>
  </si>
  <si>
    <t>4992459337</t>
  </si>
  <si>
    <t>4992459336</t>
  </si>
  <si>
    <t>4992459232</t>
  </si>
  <si>
    <t>-4992473727</t>
  </si>
  <si>
    <t>4992459277</t>
  </si>
  <si>
    <t>4992553728</t>
  </si>
  <si>
    <t>4992451576</t>
  </si>
  <si>
    <t>4992473730</t>
  </si>
  <si>
    <t>4992459281</t>
  </si>
  <si>
    <t>4992459361</t>
  </si>
  <si>
    <t>4992553731</t>
  </si>
  <si>
    <t>4992469340</t>
  </si>
  <si>
    <t>4992553732</t>
  </si>
  <si>
    <t>4992459313</t>
  </si>
  <si>
    <t>4992553652</t>
  </si>
  <si>
    <t>4992459345</t>
  </si>
  <si>
    <t>4994339464</t>
  </si>
  <si>
    <t>4992459283</t>
  </si>
  <si>
    <t>-4992459235</t>
  </si>
  <si>
    <t>4992459294</t>
  </si>
  <si>
    <t>-4992457171</t>
  </si>
  <si>
    <t>4992459332</t>
  </si>
  <si>
    <t>4992456214</t>
  </si>
  <si>
    <t>4992457201</t>
  </si>
  <si>
    <t>9104290749</t>
  </si>
  <si>
    <t>4992459315</t>
  </si>
  <si>
    <t>4992426201</t>
  </si>
  <si>
    <t>4992553734</t>
  </si>
  <si>
    <t>4992459255</t>
  </si>
  <si>
    <t>4992459295</t>
  </si>
  <si>
    <t>4992459330</t>
  </si>
  <si>
    <t>4992553733</t>
  </si>
  <si>
    <t>4992459282</t>
  </si>
  <si>
    <t>4992459245</t>
  </si>
  <si>
    <t>-4992459342</t>
  </si>
  <si>
    <t>4992422177</t>
  </si>
  <si>
    <t>4992422157</t>
  </si>
  <si>
    <t>4992423611</t>
  </si>
  <si>
    <t>4992553005</t>
  </si>
  <si>
    <t>4992420162</t>
  </si>
  <si>
    <t>4992426320</t>
  </si>
  <si>
    <t>4992423939</t>
  </si>
  <si>
    <t>4992420168</t>
  </si>
  <si>
    <t>4992420012</t>
  </si>
  <si>
    <t>4992420014</t>
  </si>
  <si>
    <t>4992426314</t>
  </si>
  <si>
    <t>4992462060</t>
  </si>
  <si>
    <t>4992420166</t>
  </si>
  <si>
    <t>4992422170</t>
  </si>
  <si>
    <t>4992425228</t>
  </si>
  <si>
    <t>242-21-73</t>
  </si>
  <si>
    <t>4992420172</t>
  </si>
  <si>
    <t>4992420008</t>
  </si>
  <si>
    <t>4992422179</t>
  </si>
  <si>
    <t>4992422175</t>
  </si>
  <si>
    <t>4992423981</t>
  </si>
  <si>
    <t>4992420174</t>
  </si>
  <si>
    <t>4992425600</t>
  </si>
  <si>
    <t>4992425549</t>
  </si>
  <si>
    <t>-4992422169</t>
  </si>
  <si>
    <t>4992422167</t>
  </si>
  <si>
    <t>4992420016</t>
  </si>
  <si>
    <t>4997668308</t>
  </si>
  <si>
    <t>245-93-78</t>
  </si>
  <si>
    <t>4992462616</t>
  </si>
  <si>
    <t>4992422163</t>
  </si>
  <si>
    <t>4992422159</t>
  </si>
  <si>
    <t>4992423265</t>
  </si>
  <si>
    <t>4992422160</t>
  </si>
  <si>
    <t>4992422165</t>
  </si>
  <si>
    <t>4956091940</t>
  </si>
  <si>
    <t>4992461697</t>
  </si>
  <si>
    <t>4992422161</t>
  </si>
  <si>
    <t>4992420056</t>
  </si>
  <si>
    <t>4992420760</t>
  </si>
  <si>
    <t>4992460741</t>
  </si>
  <si>
    <t>4992428667</t>
  </si>
  <si>
    <t>4992422156</t>
  </si>
  <si>
    <t>4992461719</t>
  </si>
  <si>
    <t>4992424998</t>
  </si>
  <si>
    <t>4992420074</t>
  </si>
  <si>
    <t>4992420004</t>
  </si>
  <si>
    <t>4992422151</t>
  </si>
  <si>
    <t>-4992426705</t>
  </si>
  <si>
    <t>4992457400</t>
  </si>
  <si>
    <t>4992422152</t>
  </si>
  <si>
    <t>4992421039</t>
  </si>
  <si>
    <t>4992462623</t>
  </si>
  <si>
    <t>4992420002</t>
  </si>
  <si>
    <t>4992422153</t>
  </si>
  <si>
    <t>4992420244</t>
  </si>
  <si>
    <t>Комсомольский просп., дом. 38/16</t>
  </si>
  <si>
    <t>245-90-41</t>
  </si>
  <si>
    <t>4992459011</t>
  </si>
  <si>
    <t>4992456408</t>
  </si>
  <si>
    <t>4992459050</t>
  </si>
  <si>
    <t>4992459013</t>
  </si>
  <si>
    <t>4992459591</t>
  </si>
  <si>
    <t>4992459012</t>
  </si>
  <si>
    <t>4992459141</t>
  </si>
  <si>
    <t>4992459007</t>
  </si>
  <si>
    <t>4992459014</t>
  </si>
  <si>
    <t>4992459008</t>
  </si>
  <si>
    <t>4992457155</t>
  </si>
  <si>
    <t>4992456167</t>
  </si>
  <si>
    <t>4992459491</t>
  </si>
  <si>
    <t>4992459009</t>
  </si>
  <si>
    <t>4992459998</t>
  </si>
  <si>
    <t>4992459019</t>
  </si>
  <si>
    <t>4992459020</t>
  </si>
  <si>
    <t>-4992459104</t>
  </si>
  <si>
    <t>4992459016</t>
  </si>
  <si>
    <t>4992456409</t>
  </si>
  <si>
    <t>-4992456172</t>
  </si>
  <si>
    <t>4992459015</t>
  </si>
  <si>
    <t>4992456139</t>
  </si>
  <si>
    <t>-4992459017</t>
  </si>
  <si>
    <t>4992459018</t>
  </si>
  <si>
    <t>4992455925</t>
  </si>
  <si>
    <t>4992459098</t>
  </si>
  <si>
    <t>4992459022</t>
  </si>
  <si>
    <t>4992459021</t>
  </si>
  <si>
    <t>4992459028</t>
  </si>
  <si>
    <t>4992456170</t>
  </si>
  <si>
    <t>4992459709</t>
  </si>
  <si>
    <t>4992456972</t>
  </si>
  <si>
    <t>4992459030</t>
  </si>
  <si>
    <t>4992459024</t>
  </si>
  <si>
    <t>4992459032</t>
  </si>
  <si>
    <t>-4992459026</t>
  </si>
  <si>
    <t>4992421858</t>
  </si>
  <si>
    <t>4992429029</t>
  </si>
  <si>
    <t>-4992456411</t>
  </si>
  <si>
    <t>-4992456217</t>
  </si>
  <si>
    <t>4992459027</t>
  </si>
  <si>
    <t>245-90.-3</t>
  </si>
  <si>
    <t>4992459035</t>
  </si>
  <si>
    <t>4992459033</t>
  </si>
  <si>
    <t>4992459038</t>
  </si>
  <si>
    <t>4992459036</t>
  </si>
  <si>
    <t>4992459037</t>
  </si>
  <si>
    <t>4992456176</t>
  </si>
  <si>
    <t>4992456175</t>
  </si>
  <si>
    <t>4992459034</t>
  </si>
  <si>
    <t>4992456412</t>
  </si>
  <si>
    <t>4992456179</t>
  </si>
  <si>
    <t>4992459059</t>
  </si>
  <si>
    <t>4992459060</t>
  </si>
  <si>
    <t>-4992459060</t>
  </si>
  <si>
    <t>4992459039</t>
  </si>
  <si>
    <t>4992459047</t>
  </si>
  <si>
    <t>4992459046</t>
  </si>
  <si>
    <t>4992459057</t>
  </si>
  <si>
    <t>4992459056</t>
  </si>
  <si>
    <t>4992459061</t>
  </si>
  <si>
    <t>4992459071</t>
  </si>
  <si>
    <t>4992824623</t>
  </si>
  <si>
    <t>4992459053</t>
  </si>
  <si>
    <t>4992457117</t>
  </si>
  <si>
    <t>4992459054</t>
  </si>
  <si>
    <t>4992459063</t>
  </si>
  <si>
    <t>4992456178</t>
  </si>
  <si>
    <t>-4992459066</t>
  </si>
  <si>
    <t>4992459067</t>
  </si>
  <si>
    <t>4992456182</t>
  </si>
  <si>
    <t>4992459064</t>
  </si>
  <si>
    <t>4992459065</t>
  </si>
  <si>
    <t>4992457008</t>
  </si>
  <si>
    <t>4992457108</t>
  </si>
  <si>
    <t>4992459062</t>
  </si>
  <si>
    <t>4992456181</t>
  </si>
  <si>
    <t>4992459068</t>
  </si>
  <si>
    <t>4992552830</t>
  </si>
  <si>
    <t>4992459048</t>
  </si>
  <si>
    <t>4992459051</t>
  </si>
  <si>
    <t>4992459074</t>
  </si>
  <si>
    <t>4992459052</t>
  </si>
  <si>
    <t>-4992459080</t>
  </si>
  <si>
    <t>4992459078</t>
  </si>
  <si>
    <t>4992459079</t>
  </si>
  <si>
    <t>4992459073</t>
  </si>
  <si>
    <t>4992455037</t>
  </si>
  <si>
    <t>4992455880</t>
  </si>
  <si>
    <t>4992459268</t>
  </si>
  <si>
    <t>4992459269</t>
  </si>
  <si>
    <t>4992459476</t>
  </si>
  <si>
    <t>4992459077</t>
  </si>
  <si>
    <t>4992459075</t>
  </si>
  <si>
    <t>-4992459072</t>
  </si>
  <si>
    <t>4992459755</t>
  </si>
  <si>
    <t>-4992459236</t>
  </si>
  <si>
    <t>4992459756</t>
  </si>
  <si>
    <t>4992459250</t>
  </si>
  <si>
    <t>4992553521</t>
  </si>
  <si>
    <t>4992473245</t>
  </si>
  <si>
    <t>4992459273</t>
  </si>
  <si>
    <t>4992422180</t>
  </si>
  <si>
    <t>Комсомольский просп., дом. 40</t>
  </si>
  <si>
    <t>4992459763</t>
  </si>
  <si>
    <t>4992459844</t>
  </si>
  <si>
    <t>4992473163</t>
  </si>
  <si>
    <t>4992459868</t>
  </si>
  <si>
    <t>4992456158</t>
  </si>
  <si>
    <t>4992459285</t>
  </si>
  <si>
    <t>4992427293</t>
  </si>
  <si>
    <t>4992421729</t>
  </si>
  <si>
    <t>4992456386</t>
  </si>
  <si>
    <t>4992461085</t>
  </si>
  <si>
    <t>4992422222</t>
  </si>
  <si>
    <t>4992459620</t>
  </si>
  <si>
    <t>4992460826</t>
  </si>
  <si>
    <t>4992427393</t>
  </si>
  <si>
    <t>4992553269</t>
  </si>
  <si>
    <t>4992426247</t>
  </si>
  <si>
    <t>4992572296</t>
  </si>
  <si>
    <t>4957493853</t>
  </si>
  <si>
    <t>4992553266</t>
  </si>
  <si>
    <t>4992456159</t>
  </si>
  <si>
    <t>4992465914</t>
  </si>
  <si>
    <t>4992456160</t>
  </si>
  <si>
    <t>4992459010</t>
  </si>
  <si>
    <t>4992427397</t>
  </si>
  <si>
    <t>4952463549</t>
  </si>
  <si>
    <t>4992456193</t>
  </si>
  <si>
    <t>4956091279</t>
  </si>
  <si>
    <t>4992473268</t>
  </si>
  <si>
    <t>4992456129</t>
  </si>
  <si>
    <t>4992456187</t>
  </si>
  <si>
    <t>4992427398</t>
  </si>
  <si>
    <t>4997660598</t>
  </si>
  <si>
    <t>4992428198</t>
  </si>
  <si>
    <t>4992427440</t>
  </si>
  <si>
    <t>4957083799</t>
  </si>
  <si>
    <t>4992421660</t>
  </si>
  <si>
    <t>4992456189</t>
  </si>
  <si>
    <t>4992455259</t>
  </si>
  <si>
    <t>4992464067</t>
  </si>
  <si>
    <t>4992427415</t>
  </si>
  <si>
    <t>4992427541</t>
  </si>
  <si>
    <t>4992459276</t>
  </si>
  <si>
    <t>4992421663</t>
  </si>
  <si>
    <t>4997660517</t>
  </si>
  <si>
    <t>4997660607</t>
  </si>
  <si>
    <t>4956091079</t>
  </si>
  <si>
    <t>4992467114</t>
  </si>
  <si>
    <t>4992457132</t>
  </si>
  <si>
    <t>4992456190</t>
  </si>
  <si>
    <t>4992421665</t>
  </si>
  <si>
    <t>4992427587</t>
  </si>
  <si>
    <t>4953574673</t>
  </si>
  <si>
    <t>4992421667</t>
  </si>
  <si>
    <t>4992553262</t>
  </si>
  <si>
    <t>4992427542</t>
  </si>
  <si>
    <t>4992459275</t>
  </si>
  <si>
    <t>-4956091029</t>
  </si>
  <si>
    <t>4992456161</t>
  </si>
  <si>
    <t>4992459861</t>
  </si>
  <si>
    <t>4992421670</t>
  </si>
  <si>
    <t>4956091291</t>
  </si>
  <si>
    <t>4992421727</t>
  </si>
  <si>
    <t>4997660938</t>
  </si>
  <si>
    <t>4997660737</t>
  </si>
  <si>
    <t>4992459866</t>
  </si>
  <si>
    <t>4956091098</t>
  </si>
  <si>
    <t>4992425934</t>
  </si>
  <si>
    <t>4997668142</t>
  </si>
  <si>
    <t>4996091875</t>
  </si>
  <si>
    <t>4992456149</t>
  </si>
  <si>
    <t>4992457600</t>
  </si>
  <si>
    <t>4992456183</t>
  </si>
  <si>
    <t>4992473261</t>
  </si>
  <si>
    <t>4992553264</t>
  </si>
  <si>
    <t>4992553573</t>
  </si>
  <si>
    <t>4992456162</t>
  </si>
  <si>
    <t>4992424553</t>
  </si>
  <si>
    <t>4992461034</t>
  </si>
  <si>
    <t>4992428593</t>
  </si>
  <si>
    <t>4992427453</t>
  </si>
  <si>
    <t>4992456144</t>
  </si>
  <si>
    <t>4992422360</t>
  </si>
  <si>
    <t>4992456388</t>
  </si>
  <si>
    <t>4992456078</t>
  </si>
  <si>
    <t>4992459356</t>
  </si>
  <si>
    <t>4992456130</t>
  </si>
  <si>
    <t>4992422084</t>
  </si>
  <si>
    <t>4992456135</t>
  </si>
  <si>
    <t>4992429509</t>
  </si>
  <si>
    <t>4992459779</t>
  </si>
  <si>
    <t>4992420375</t>
  </si>
  <si>
    <t>4992553178</t>
  </si>
  <si>
    <t>4992456185</t>
  </si>
  <si>
    <t>4992459872</t>
  </si>
  <si>
    <t>4992457902</t>
  </si>
  <si>
    <t>-4997660508</t>
  </si>
  <si>
    <t>4997660708</t>
  </si>
  <si>
    <t>4992421685</t>
  </si>
  <si>
    <t>4992427457</t>
  </si>
  <si>
    <t>4992456309</t>
  </si>
  <si>
    <t>4992558423</t>
  </si>
  <si>
    <t>4992427557</t>
  </si>
  <si>
    <t>-4992553179</t>
  </si>
  <si>
    <t>4992553176</t>
  </si>
  <si>
    <t>4992553177</t>
  </si>
  <si>
    <t>4992427317</t>
  </si>
  <si>
    <t>4992427456</t>
  </si>
  <si>
    <t>4992456166</t>
  </si>
  <si>
    <t>4992459327</t>
  </si>
  <si>
    <t>4992425426</t>
  </si>
  <si>
    <t>4992456173</t>
  </si>
  <si>
    <t>4992429547</t>
  </si>
  <si>
    <t>4992426503</t>
  </si>
  <si>
    <t>4992459596</t>
  </si>
  <si>
    <t>4992456128</t>
  </si>
  <si>
    <t>4992428222</t>
  </si>
  <si>
    <t>4992427302</t>
  </si>
  <si>
    <t>4992456174</t>
  </si>
  <si>
    <t>4992459280</t>
  </si>
  <si>
    <t>4992459873</t>
  </si>
  <si>
    <t>4992456171</t>
  </si>
  <si>
    <t>4992459741</t>
  </si>
  <si>
    <t>4992459587</t>
  </si>
  <si>
    <t>4992456186</t>
  </si>
  <si>
    <t>4992425923</t>
  </si>
  <si>
    <t>4992456980</t>
  </si>
  <si>
    <t>4992427496</t>
  </si>
  <si>
    <t>4992456959</t>
  </si>
  <si>
    <t>-4992456209</t>
  </si>
  <si>
    <t>4992426129</t>
  </si>
  <si>
    <t>4992457236</t>
  </si>
  <si>
    <t>4992426350</t>
  </si>
  <si>
    <t>4992451772</t>
  </si>
  <si>
    <t>4997660625</t>
  </si>
  <si>
    <t>4997660565</t>
  </si>
  <si>
    <t>Комсомольский просп., дом. 41</t>
  </si>
  <si>
    <t>4992423798</t>
  </si>
  <si>
    <t>4992423792</t>
  </si>
  <si>
    <t>4992423796</t>
  </si>
  <si>
    <t>4992457560</t>
  </si>
  <si>
    <t>4992421542</t>
  </si>
  <si>
    <t>4992423794</t>
  </si>
  <si>
    <t>4992423562</t>
  </si>
  <si>
    <t>4992423551</t>
  </si>
  <si>
    <t>4992423285</t>
  </si>
  <si>
    <t>4992423814</t>
  </si>
  <si>
    <t>4992425152</t>
  </si>
  <si>
    <t>4992423818</t>
  </si>
  <si>
    <t>4992423812</t>
  </si>
  <si>
    <t>4956091768</t>
  </si>
  <si>
    <t>4992423806</t>
  </si>
  <si>
    <t>4992424122</t>
  </si>
  <si>
    <t>-4992423978</t>
  </si>
  <si>
    <t>-4992423968</t>
  </si>
  <si>
    <t>4992423966</t>
  </si>
  <si>
    <t>4992420576</t>
  </si>
  <si>
    <t>4992423529</t>
  </si>
  <si>
    <t>4992423964</t>
  </si>
  <si>
    <t>4992424124</t>
  </si>
  <si>
    <t>4992420343</t>
  </si>
  <si>
    <t>4992423972</t>
  </si>
  <si>
    <t>4992423280</t>
  </si>
  <si>
    <t>4992424134</t>
  </si>
  <si>
    <t>4992420763</t>
  </si>
  <si>
    <t>4992423555</t>
  </si>
  <si>
    <t>4992424138</t>
  </si>
  <si>
    <t>4992424128</t>
  </si>
  <si>
    <t>4992424292</t>
  </si>
  <si>
    <t>4992424284</t>
  </si>
  <si>
    <t>4992424136</t>
  </si>
  <si>
    <t>4992420532</t>
  </si>
  <si>
    <t>4992424132</t>
  </si>
  <si>
    <t>4992424464</t>
  </si>
  <si>
    <t>4992424296</t>
  </si>
  <si>
    <t>4992424288</t>
  </si>
  <si>
    <t>4992423556</t>
  </si>
  <si>
    <t>4992424298</t>
  </si>
  <si>
    <t>4992424286</t>
  </si>
  <si>
    <t>4992423802</t>
  </si>
  <si>
    <t>4992424468</t>
  </si>
  <si>
    <t>4992424624</t>
  </si>
  <si>
    <t>4992424476</t>
  </si>
  <si>
    <t>4992424466</t>
  </si>
  <si>
    <t>4992424472</t>
  </si>
  <si>
    <t>4992423558</t>
  </si>
  <si>
    <t>4992424474</t>
  </si>
  <si>
    <t>4992424626</t>
  </si>
  <si>
    <t>4992424784</t>
  </si>
  <si>
    <t>4992428394</t>
  </si>
  <si>
    <t>4992424782</t>
  </si>
  <si>
    <t>4992424628</t>
  </si>
  <si>
    <t>4992424638</t>
  </si>
  <si>
    <t>4992424636</t>
  </si>
  <si>
    <t>4992424634</t>
  </si>
  <si>
    <t>4992423361</t>
  </si>
  <si>
    <t>4992424632</t>
  </si>
  <si>
    <t>4992420545</t>
  </si>
  <si>
    <t>4992424788</t>
  </si>
  <si>
    <t>4992424528</t>
  </si>
  <si>
    <t>4992424792</t>
  </si>
  <si>
    <t>4992424942</t>
  </si>
  <si>
    <t>4992424794</t>
  </si>
  <si>
    <t>4992422372</t>
  </si>
  <si>
    <t>4992423559</t>
  </si>
  <si>
    <t>4992424526</t>
  </si>
  <si>
    <t>4992424534</t>
  </si>
  <si>
    <t>4992424536</t>
  </si>
  <si>
    <t>4992425020</t>
  </si>
  <si>
    <t>4992424378</t>
  </si>
  <si>
    <t>4992423271</t>
  </si>
  <si>
    <t>4992424235</t>
  </si>
  <si>
    <t>4992424522</t>
  </si>
  <si>
    <t>4992428979</t>
  </si>
  <si>
    <t>4992427479</t>
  </si>
  <si>
    <t>4992424524</t>
  </si>
  <si>
    <t>4992424844</t>
  </si>
  <si>
    <t>4992426063</t>
  </si>
  <si>
    <t>4992424848</t>
  </si>
  <si>
    <t>4992425793</t>
  </si>
  <si>
    <t>4992424538</t>
  </si>
  <si>
    <t>4992424856</t>
  </si>
  <si>
    <t>4992425729</t>
  </si>
  <si>
    <t>4992424622</t>
  </si>
  <si>
    <t>4992425226</t>
  </si>
  <si>
    <t>4992425028</t>
  </si>
  <si>
    <t>4992425022</t>
  </si>
  <si>
    <t>4992425024</t>
  </si>
  <si>
    <t>4992428726</t>
  </si>
  <si>
    <t>9654176123</t>
  </si>
  <si>
    <t>4992423543</t>
  </si>
  <si>
    <t>4992422202</t>
  </si>
  <si>
    <t>4992423278</t>
  </si>
  <si>
    <t>4992425036</t>
  </si>
  <si>
    <t>4992421595</t>
  </si>
  <si>
    <t>4992425034</t>
  </si>
  <si>
    <t>4992428729</t>
  </si>
  <si>
    <t>4992425038</t>
  </si>
  <si>
    <t>4992572001</t>
  </si>
  <si>
    <t>4992427206</t>
  </si>
  <si>
    <t>4992425032</t>
  </si>
  <si>
    <t>4992423287</t>
  </si>
  <si>
    <t>4992423022</t>
  </si>
  <si>
    <t>4992433006</t>
  </si>
  <si>
    <t>4992423018</t>
  </si>
  <si>
    <t>4992423553</t>
  </si>
  <si>
    <t>4992423014</t>
  </si>
  <si>
    <t>4991922789</t>
  </si>
  <si>
    <t>4992423012</t>
  </si>
  <si>
    <t>4992457523</t>
  </si>
  <si>
    <t>4992422216</t>
  </si>
  <si>
    <t>4992422362</t>
  </si>
  <si>
    <t>4992422364</t>
  </si>
  <si>
    <t>4992425267</t>
  </si>
  <si>
    <t>4992422218</t>
  </si>
  <si>
    <t>4992421597</t>
  </si>
  <si>
    <t>4992428389</t>
  </si>
  <si>
    <t>4992422212</t>
  </si>
  <si>
    <t>4992428387</t>
  </si>
  <si>
    <t>4992422204</t>
  </si>
  <si>
    <t>4992422374</t>
  </si>
  <si>
    <t>4992422368</t>
  </si>
  <si>
    <t>4992422366</t>
  </si>
  <si>
    <t>4992422376</t>
  </si>
  <si>
    <t>4992428725</t>
  </si>
  <si>
    <t>-4992420575</t>
  </si>
  <si>
    <t>4992422504</t>
  </si>
  <si>
    <t>4992422502</t>
  </si>
  <si>
    <t>-4992429517</t>
  </si>
  <si>
    <t>-4992422512</t>
  </si>
  <si>
    <t>4992422514</t>
  </si>
  <si>
    <t>4992422506</t>
  </si>
  <si>
    <t>4992420547</t>
  </si>
  <si>
    <t>4992422516</t>
  </si>
  <si>
    <t>4992423550</t>
  </si>
  <si>
    <t>4992422686</t>
  </si>
  <si>
    <t>4992422688</t>
  </si>
  <si>
    <t>4992422684</t>
  </si>
  <si>
    <t>4992423902</t>
  </si>
  <si>
    <t>4992422824</t>
  </si>
  <si>
    <t>4992423371</t>
  </si>
  <si>
    <t>4992428149</t>
  </si>
  <si>
    <t>4992422826</t>
  </si>
  <si>
    <t>4992423004</t>
  </si>
  <si>
    <t>4992422378</t>
  </si>
  <si>
    <t>4992422834</t>
  </si>
  <si>
    <t>4992422828</t>
  </si>
  <si>
    <t>4992422832</t>
  </si>
  <si>
    <t>4992423274</t>
  </si>
  <si>
    <t>4992456268</t>
  </si>
  <si>
    <t>4956247560</t>
  </si>
  <si>
    <t>4992423276</t>
  </si>
  <si>
    <t>4992423270</t>
  </si>
  <si>
    <t>4992423362</t>
  </si>
  <si>
    <t>4992426872</t>
  </si>
  <si>
    <t>182-183</t>
  </si>
  <si>
    <t>4992420573</t>
  </si>
  <si>
    <t>4992423272</t>
  </si>
  <si>
    <t>4992423365</t>
  </si>
  <si>
    <t>4952465219</t>
  </si>
  <si>
    <t>4992423282</t>
  </si>
  <si>
    <t>4992423016</t>
  </si>
  <si>
    <t>4992420819</t>
  </si>
  <si>
    <t>190</t>
  </si>
  <si>
    <t>4992423366</t>
  </si>
  <si>
    <t>191</t>
  </si>
  <si>
    <t>4992423367</t>
  </si>
  <si>
    <t>192</t>
  </si>
  <si>
    <t>4992423283</t>
  </si>
  <si>
    <t>193</t>
  </si>
  <si>
    <t>4992423368</t>
  </si>
  <si>
    <t>194</t>
  </si>
  <si>
    <t>195</t>
  </si>
  <si>
    <t>4992423369</t>
  </si>
  <si>
    <t>196</t>
  </si>
  <si>
    <t>4992423557</t>
  </si>
  <si>
    <t>197</t>
  </si>
  <si>
    <t>4992423370</t>
  </si>
  <si>
    <t>198</t>
  </si>
  <si>
    <t>4992423375</t>
  </si>
  <si>
    <t>199</t>
  </si>
  <si>
    <t>4992423279</t>
  </si>
  <si>
    <t>200</t>
  </si>
  <si>
    <t>201</t>
  </si>
  <si>
    <t>4992423374</t>
  </si>
  <si>
    <t>4992425410</t>
  </si>
  <si>
    <t>203</t>
  </si>
  <si>
    <t>4992423372</t>
  </si>
  <si>
    <t>4997668468</t>
  </si>
  <si>
    <t>205</t>
  </si>
  <si>
    <t>4992423377</t>
  </si>
  <si>
    <t>4992423379</t>
  </si>
  <si>
    <t>207</t>
  </si>
  <si>
    <t>-4992423378</t>
  </si>
  <si>
    <t>208</t>
  </si>
  <si>
    <t>4992423520</t>
  </si>
  <si>
    <t>4992423552</t>
  </si>
  <si>
    <t>210</t>
  </si>
  <si>
    <t>4992423527</t>
  </si>
  <si>
    <t>-4992423521</t>
  </si>
  <si>
    <t>212</t>
  </si>
  <si>
    <t>4992420549</t>
  </si>
  <si>
    <t>4992423976</t>
  </si>
  <si>
    <t>4992425049</t>
  </si>
  <si>
    <t>216</t>
  </si>
  <si>
    <t>4992423523</t>
  </si>
  <si>
    <t>217</t>
  </si>
  <si>
    <t>4992423525</t>
  </si>
  <si>
    <t>218</t>
  </si>
  <si>
    <t>4992423281</t>
  </si>
  <si>
    <t>4992423540</t>
  </si>
  <si>
    <t>4997663606</t>
  </si>
  <si>
    <t>4992424842</t>
  </si>
  <si>
    <t>4992423531</t>
  </si>
  <si>
    <t>223</t>
  </si>
  <si>
    <t>4992426235</t>
  </si>
  <si>
    <t>224</t>
  </si>
  <si>
    <t>4992423533</t>
  </si>
  <si>
    <t>225</t>
  </si>
  <si>
    <t>4992423542</t>
  </si>
  <si>
    <t>226</t>
  </si>
  <si>
    <t>4992423545</t>
  </si>
  <si>
    <t>4992420578</t>
  </si>
  <si>
    <t>228</t>
  </si>
  <si>
    <t>4992423541</t>
  </si>
  <si>
    <t>4992423546</t>
  </si>
  <si>
    <t>230</t>
  </si>
  <si>
    <t>4992424157</t>
  </si>
  <si>
    <t>231</t>
  </si>
  <si>
    <t>4992423549</t>
  </si>
  <si>
    <t>232</t>
  </si>
  <si>
    <t>233</t>
  </si>
  <si>
    <t>4992423547</t>
  </si>
  <si>
    <t>Комсомольский просп., дом. 44</t>
  </si>
  <si>
    <t>4992451169</t>
  </si>
  <si>
    <t>4992455295</t>
  </si>
  <si>
    <t>4992459941</t>
  </si>
  <si>
    <t>4952459940</t>
  </si>
  <si>
    <t>4992459973</t>
  </si>
  <si>
    <t>4992456334</t>
  </si>
  <si>
    <t>4992459593</t>
  </si>
  <si>
    <t>4992459939</t>
  </si>
  <si>
    <t>4992459595</t>
  </si>
  <si>
    <t>4992459597</t>
  </si>
  <si>
    <t>4992457213</t>
  </si>
  <si>
    <t>4992459598</t>
  </si>
  <si>
    <t>4992456427</t>
  </si>
  <si>
    <t>4992453964</t>
  </si>
  <si>
    <t>4992459604</t>
  </si>
  <si>
    <t>4992459602</t>
  </si>
  <si>
    <t>4992456428</t>
  </si>
  <si>
    <t>4992459836</t>
  </si>
  <si>
    <t>4992459606</t>
  </si>
  <si>
    <t>4992457225</t>
  </si>
  <si>
    <t>4992454650</t>
  </si>
  <si>
    <t>4992459609</t>
  </si>
  <si>
    <t>4992459496</t>
  </si>
  <si>
    <t>4992459611</t>
  </si>
  <si>
    <t>4992459852</t>
  </si>
  <si>
    <t>4992454319</t>
  </si>
  <si>
    <t>-4992459500</t>
  </si>
  <si>
    <t>4957083644</t>
  </si>
  <si>
    <t>4992454182</t>
  </si>
  <si>
    <t>4992459617</t>
  </si>
  <si>
    <t>4992459783</t>
  </si>
  <si>
    <t>4992459506</t>
  </si>
  <si>
    <t>4992461546</t>
  </si>
  <si>
    <t>4992456425</t>
  </si>
  <si>
    <t>4992421214</t>
  </si>
  <si>
    <t>4992459834</t>
  </si>
  <si>
    <t>4992459905</t>
  </si>
  <si>
    <t>4992459618</t>
  </si>
  <si>
    <t>-4992459616</t>
  </si>
  <si>
    <t>-4992459929</t>
  </si>
  <si>
    <t>4992459919</t>
  </si>
  <si>
    <t>4992459782</t>
  </si>
  <si>
    <t>4953149458</t>
  </si>
  <si>
    <t>4992459843</t>
  </si>
  <si>
    <t>4992456324</t>
  </si>
  <si>
    <t>4992459917</t>
  </si>
  <si>
    <t>4992459927</t>
  </si>
  <si>
    <t>4992459743</t>
  </si>
  <si>
    <t>-4992459920</t>
  </si>
  <si>
    <t>4992459744</t>
  </si>
  <si>
    <t>4992459928</t>
  </si>
  <si>
    <t>4992459745</t>
  </si>
  <si>
    <t>4992459395</t>
  </si>
  <si>
    <t>4992425162</t>
  </si>
  <si>
    <t>4992459925</t>
  </si>
  <si>
    <t>4992426355</t>
  </si>
  <si>
    <t>4992459828</t>
  </si>
  <si>
    <t>4992459407</t>
  </si>
  <si>
    <t>4992553257</t>
  </si>
  <si>
    <t>4992459738</t>
  </si>
  <si>
    <t>4992459398</t>
  </si>
  <si>
    <t>4992459809</t>
  </si>
  <si>
    <t>4992456104</t>
  </si>
  <si>
    <t>4992459839</t>
  </si>
  <si>
    <t>4992459582</t>
  </si>
  <si>
    <t>4992459840</t>
  </si>
  <si>
    <t>4992459408</t>
  </si>
  <si>
    <t>-4992459586</t>
  </si>
  <si>
    <t>4992456154</t>
  </si>
  <si>
    <t>4992459803</t>
  </si>
  <si>
    <t>4992456465</t>
  </si>
  <si>
    <t>4992459412</t>
  </si>
  <si>
    <t>4992459594</t>
  </si>
  <si>
    <t>77-78</t>
  </si>
  <si>
    <t>4992459409</t>
  </si>
  <si>
    <t>4992456155</t>
  </si>
  <si>
    <t>-4953138742</t>
  </si>
  <si>
    <t>4992459416</t>
  </si>
  <si>
    <t>4996091373</t>
  </si>
  <si>
    <t>4992463500</t>
  </si>
  <si>
    <t>4992428859</t>
  </si>
  <si>
    <t>4992459912</t>
  </si>
  <si>
    <t>4992459904</t>
  </si>
  <si>
    <t>4992459410</t>
  </si>
  <si>
    <t>4992459902</t>
  </si>
  <si>
    <t>4992459896</t>
  </si>
  <si>
    <t>245-98-01</t>
  </si>
  <si>
    <t>4992459801</t>
  </si>
  <si>
    <t>4992457264</t>
  </si>
  <si>
    <t>4992459761</t>
  </si>
  <si>
    <t>4992456420</t>
  </si>
  <si>
    <t>-4992459420</t>
  </si>
  <si>
    <t>4992422003</t>
  </si>
  <si>
    <t>4992459887</t>
  </si>
  <si>
    <t>4992459589</t>
  </si>
  <si>
    <t>4992456422</t>
  </si>
  <si>
    <t>4992469173</t>
  </si>
  <si>
    <t>4992459392</t>
  </si>
  <si>
    <t>4992457727</t>
  </si>
  <si>
    <t>4992457789</t>
  </si>
  <si>
    <t>4992459614</t>
  </si>
  <si>
    <t>4992459615</t>
  </si>
  <si>
    <t>4992459889</t>
  </si>
  <si>
    <t>4992456064</t>
  </si>
  <si>
    <t>4992459601</t>
  </si>
  <si>
    <t>4992459613</t>
  </si>
  <si>
    <t>4992459386</t>
  </si>
  <si>
    <t>4992459588</t>
  </si>
  <si>
    <t>4992459612</t>
  </si>
  <si>
    <t>4992460570</t>
  </si>
  <si>
    <t>4992457993</t>
  </si>
  <si>
    <t>4992454135</t>
  </si>
  <si>
    <t>4992459600</t>
  </si>
  <si>
    <t>4992459888</t>
  </si>
  <si>
    <t>Комсомольский просп., дом. 45</t>
  </si>
  <si>
    <t>2457496</t>
  </si>
  <si>
    <t>2421358</t>
  </si>
  <si>
    <t>2420994</t>
  </si>
  <si>
    <t>2421354</t>
  </si>
  <si>
    <t>2427693</t>
  </si>
  <si>
    <t>2453117</t>
  </si>
  <si>
    <t>2457498</t>
  </si>
  <si>
    <t>2421108</t>
  </si>
  <si>
    <t>2421198</t>
  </si>
  <si>
    <t>2421444</t>
  </si>
  <si>
    <t>2421192</t>
  </si>
  <si>
    <t>4992421156</t>
  </si>
  <si>
    <t>2427714</t>
  </si>
  <si>
    <t>2457655</t>
  </si>
  <si>
    <t>2421064</t>
  </si>
  <si>
    <t>2421352</t>
  </si>
  <si>
    <t>4992420936</t>
  </si>
  <si>
    <t>4992420896</t>
  </si>
  <si>
    <t>4992421084</t>
  </si>
  <si>
    <t>4992420698</t>
  </si>
  <si>
    <t>4992421272</t>
  </si>
  <si>
    <t>4992420778</t>
  </si>
  <si>
    <t>4992420974</t>
  </si>
  <si>
    <t>4992425142</t>
  </si>
  <si>
    <t>4992420736</t>
  </si>
  <si>
    <t>4992421224</t>
  </si>
  <si>
    <t>4992421244</t>
  </si>
  <si>
    <t>4992421264</t>
  </si>
  <si>
    <t>4992424805</t>
  </si>
  <si>
    <t>4992457591</t>
  </si>
  <si>
    <t>4992421268</t>
  </si>
  <si>
    <t>4992421134</t>
  </si>
  <si>
    <t>4992421364</t>
  </si>
  <si>
    <t>4992420874</t>
  </si>
  <si>
    <t>4992421384</t>
  </si>
  <si>
    <t>4992426922</t>
  </si>
  <si>
    <t>-4992552121</t>
  </si>
  <si>
    <t>4992457589</t>
  </si>
  <si>
    <t>4992572225</t>
  </si>
  <si>
    <t>4992421154</t>
  </si>
  <si>
    <t>4992413184</t>
  </si>
  <si>
    <t>4992421422</t>
  </si>
  <si>
    <t>4992425961</t>
  </si>
  <si>
    <t>4997668233</t>
  </si>
  <si>
    <t>4992422134</t>
  </si>
  <si>
    <t>4992421274</t>
  </si>
  <si>
    <t>4992420674</t>
  </si>
  <si>
    <t>4992422444</t>
  </si>
  <si>
    <t>4992420695</t>
  </si>
  <si>
    <t>4992424335</t>
  </si>
  <si>
    <t>4992421014</t>
  </si>
  <si>
    <t>4992425235</t>
  </si>
  <si>
    <t>4992421052</t>
  </si>
  <si>
    <t>4992421174</t>
  </si>
  <si>
    <t>4992424832</t>
  </si>
  <si>
    <t>4992421582</t>
  </si>
  <si>
    <t>4992420696</t>
  </si>
  <si>
    <t>4992421194</t>
  </si>
  <si>
    <t>4992421066</t>
  </si>
  <si>
    <t>4992421086</t>
  </si>
  <si>
    <t>4992427711</t>
  </si>
  <si>
    <t>4992420716</t>
  </si>
  <si>
    <t>4992421072</t>
  </si>
  <si>
    <t>4992423354</t>
  </si>
  <si>
    <t>4992421246</t>
  </si>
  <si>
    <t>84992421266</t>
  </si>
  <si>
    <t>-84992421952</t>
  </si>
  <si>
    <t>84992421106</t>
  </si>
  <si>
    <t>4992428482</t>
  </si>
  <si>
    <t>4992421386</t>
  </si>
  <si>
    <t>4992421406</t>
  </si>
  <si>
    <t>4992421424</t>
  </si>
  <si>
    <t>4992410167</t>
  </si>
  <si>
    <t>9154903153</t>
  </si>
  <si>
    <t>4992421584</t>
  </si>
  <si>
    <t>4997668564</t>
  </si>
  <si>
    <t>4992420622</t>
  </si>
  <si>
    <t>4992421624</t>
  </si>
  <si>
    <t>+7(916)608-17-96</t>
  </si>
  <si>
    <t>4992422132</t>
  </si>
  <si>
    <t>4992420618</t>
  </si>
  <si>
    <t>4992421681</t>
  </si>
  <si>
    <t>4992422995</t>
  </si>
  <si>
    <t>4992423805</t>
  </si>
  <si>
    <t>4992421252</t>
  </si>
  <si>
    <t>4992420976</t>
  </si>
  <si>
    <t>4992572451</t>
  </si>
  <si>
    <t>4992420998</t>
  </si>
  <si>
    <t>4992421018</t>
  </si>
  <si>
    <t>4992422130</t>
  </si>
  <si>
    <t>-4992421592</t>
  </si>
  <si>
    <t>4992420766</t>
  </si>
  <si>
    <t>4997668007</t>
  </si>
  <si>
    <t>4997668238</t>
  </si>
  <si>
    <t>4992421784</t>
  </si>
  <si>
    <t>84992421588</t>
  </si>
  <si>
    <t>84992422125</t>
  </si>
  <si>
    <t>84992421428</t>
  </si>
  <si>
    <t>84992420802</t>
  </si>
  <si>
    <t>84992428873</t>
  </si>
  <si>
    <t>84992421016</t>
  </si>
  <si>
    <t>84992421176</t>
  </si>
  <si>
    <t>84992421398</t>
  </si>
  <si>
    <t>84992424623</t>
  </si>
  <si>
    <t>84992423582</t>
  </si>
  <si>
    <t>84992421410</t>
  </si>
  <si>
    <t>84992422133</t>
  </si>
  <si>
    <t>84992421158</t>
  </si>
  <si>
    <t>4999783866</t>
  </si>
  <si>
    <t>4992421865</t>
  </si>
  <si>
    <t>4992420978</t>
  </si>
  <si>
    <t>4992421844</t>
  </si>
  <si>
    <t>4992421196</t>
  </si>
  <si>
    <t>4992424939</t>
  </si>
  <si>
    <t>4992424282</t>
  </si>
  <si>
    <t>4992421096</t>
  </si>
  <si>
    <t>4992421138</t>
  </si>
  <si>
    <t>4992421062</t>
  </si>
  <si>
    <t>4992428742</t>
  </si>
  <si>
    <t>4992457687</t>
  </si>
  <si>
    <t>4992422126</t>
  </si>
  <si>
    <t>84992457810</t>
  </si>
  <si>
    <t>84992426246</t>
  </si>
  <si>
    <t>84992423343</t>
  </si>
  <si>
    <t>84992457695</t>
  </si>
  <si>
    <t>84992456348</t>
  </si>
  <si>
    <t>84992420934</t>
  </si>
  <si>
    <t>84992422128</t>
  </si>
  <si>
    <t>89164999048</t>
  </si>
  <si>
    <t>84992420774</t>
  </si>
  <si>
    <t>84992457691</t>
  </si>
  <si>
    <t>84992421076</t>
  </si>
  <si>
    <t>84992457689</t>
  </si>
  <si>
    <t>84992421092</t>
  </si>
  <si>
    <t>84992423045</t>
  </si>
  <si>
    <t>4992422100</t>
  </si>
  <si>
    <t>4992457696</t>
  </si>
  <si>
    <t>4992421838</t>
  </si>
  <si>
    <t>4992422129</t>
  </si>
  <si>
    <t>4992424131</t>
  </si>
  <si>
    <t>4992420804</t>
  </si>
  <si>
    <t>4992421048</t>
  </si>
  <si>
    <t>4992420794</t>
  </si>
  <si>
    <t>4992421362</t>
  </si>
  <si>
    <t>4992421644</t>
  </si>
  <si>
    <t>4992425266</t>
  </si>
  <si>
    <t>4992421837</t>
  </si>
  <si>
    <t>4992420916</t>
  </si>
  <si>
    <t>4992421366</t>
  </si>
  <si>
    <t>4992482325</t>
  </si>
  <si>
    <t>4992421042</t>
  </si>
  <si>
    <t>4992421262</t>
  </si>
  <si>
    <t>4992421382</t>
  </si>
  <si>
    <t>4992421094</t>
  </si>
  <si>
    <t>-4992421226</t>
  </si>
  <si>
    <t>4992421486</t>
  </si>
  <si>
    <t>4992420954</t>
  </si>
  <si>
    <t>4992420734</t>
  </si>
  <si>
    <t>4992420982</t>
  </si>
  <si>
    <t>4992421394</t>
  </si>
  <si>
    <t>4997668601</t>
  </si>
  <si>
    <t>4992421402</t>
  </si>
  <si>
    <t>4997668261</t>
  </si>
  <si>
    <t>4992420962</t>
  </si>
  <si>
    <t>4992420952</t>
  </si>
  <si>
    <t>4992422124</t>
  </si>
  <si>
    <t>4992421418</t>
  </si>
  <si>
    <t>4992420956</t>
  </si>
  <si>
    <t>4992421438</t>
  </si>
  <si>
    <t>-4992421044</t>
  </si>
  <si>
    <t>4992422952</t>
  </si>
  <si>
    <t>-4992421680</t>
  </si>
  <si>
    <t>4992428630</t>
  </si>
  <si>
    <t>4992421628</t>
  </si>
  <si>
    <t>4992420958</t>
  </si>
  <si>
    <t>4992421118</t>
  </si>
  <si>
    <t>4992421806</t>
  </si>
  <si>
    <t>4992421786</t>
  </si>
  <si>
    <t>4992421802</t>
  </si>
  <si>
    <t>4992421466</t>
  </si>
  <si>
    <t>4992420856</t>
  </si>
  <si>
    <t>4992421302</t>
  </si>
  <si>
    <t>7154045</t>
  </si>
  <si>
    <t>4992421276</t>
  </si>
  <si>
    <t>4992464473</t>
  </si>
  <si>
    <t>4992421116</t>
  </si>
  <si>
    <t>4992427614</t>
  </si>
  <si>
    <t>4992420718</t>
  </si>
  <si>
    <t>4992420738</t>
  </si>
  <si>
    <t>4992421396</t>
  </si>
  <si>
    <t>4992421446</t>
  </si>
  <si>
    <t>4992421162</t>
  </si>
  <si>
    <t>4992421626</t>
  </si>
  <si>
    <t>4992421646</t>
  </si>
  <si>
    <t>4992420898</t>
  </si>
  <si>
    <t>4992421484</t>
  </si>
  <si>
    <t>4992421058</t>
  </si>
  <si>
    <t>4992421078</t>
  </si>
  <si>
    <t>4992420872</t>
  </si>
  <si>
    <t>4992421098</t>
  </si>
  <si>
    <t>4992421452</t>
  </si>
  <si>
    <t>4992421228</t>
  </si>
  <si>
    <t>4992485759</t>
  </si>
  <si>
    <t>4992426781</t>
  </si>
  <si>
    <t>4992420918</t>
  </si>
  <si>
    <t>4992420878</t>
  </si>
  <si>
    <t>4992420758</t>
  </si>
  <si>
    <t>4992422951</t>
  </si>
  <si>
    <t>84992420876</t>
  </si>
  <si>
    <t>84992420894</t>
  </si>
  <si>
    <t>84992421248</t>
  </si>
  <si>
    <t>234</t>
  </si>
  <si>
    <t>84992420756</t>
  </si>
  <si>
    <t>235</t>
  </si>
  <si>
    <t>-84992421666</t>
  </si>
  <si>
    <t>236</t>
  </si>
  <si>
    <t>237</t>
  </si>
  <si>
    <t>84992421202</t>
  </si>
  <si>
    <t>84992421182</t>
  </si>
  <si>
    <t>Комсомольский просп., дом. 46 к.1</t>
  </si>
  <si>
    <t>4992457205</t>
  </si>
  <si>
    <t>4992553275</t>
  </si>
  <si>
    <t>4992457654</t>
  </si>
  <si>
    <t>4992459913</t>
  </si>
  <si>
    <t>4957203272</t>
  </si>
  <si>
    <t>4992457653</t>
  </si>
  <si>
    <t>4992429922</t>
  </si>
  <si>
    <t>4992428238</t>
  </si>
  <si>
    <t>4992473272</t>
  </si>
  <si>
    <t>4992457991</t>
  </si>
  <si>
    <t>4992459758</t>
  </si>
  <si>
    <t>4992459897</t>
  </si>
  <si>
    <t>4992553273</t>
  </si>
  <si>
    <t>4992459898</t>
  </si>
  <si>
    <t>4992456163</t>
  </si>
  <si>
    <t>4992459795</t>
  </si>
  <si>
    <t>4992459893</t>
  </si>
  <si>
    <t>4992459753</t>
  </si>
  <si>
    <t>4992459892</t>
  </si>
  <si>
    <t>4992459891</t>
  </si>
  <si>
    <t>4992459754</t>
  </si>
  <si>
    <t>4992459778</t>
  </si>
  <si>
    <t>4992459777</t>
  </si>
  <si>
    <t>4992459749</t>
  </si>
  <si>
    <t>4992459774</t>
  </si>
  <si>
    <t>4992459772</t>
  </si>
  <si>
    <t>4992456421</t>
  </si>
  <si>
    <t>4992459890</t>
  </si>
  <si>
    <t>4992453381</t>
  </si>
  <si>
    <t>4992457302</t>
  </si>
  <si>
    <t>4992428703</t>
  </si>
  <si>
    <t>4992459768</t>
  </si>
  <si>
    <t>4992428663</t>
  </si>
  <si>
    <t>4992459750</t>
  </si>
  <si>
    <t>4992459974</t>
  </si>
  <si>
    <t>4992457242</t>
  </si>
  <si>
    <t>4992459771</t>
  </si>
  <si>
    <t>4992457245</t>
  </si>
  <si>
    <t>242-62-58</t>
  </si>
  <si>
    <t>242-62-60</t>
  </si>
  <si>
    <t>245-72-48</t>
  </si>
  <si>
    <t>Комсомольский просп., дом. 46 к.2</t>
  </si>
  <si>
    <t>4992459910</t>
  </si>
  <si>
    <t>4992456391</t>
  </si>
  <si>
    <t>4992459793</t>
  </si>
  <si>
    <t>4992423803</t>
  </si>
  <si>
    <t>4992459747</t>
  </si>
  <si>
    <t>4992459932</t>
  </si>
  <si>
    <t>4992459946</t>
  </si>
  <si>
    <t>4992459947</t>
  </si>
  <si>
    <t>4992459752</t>
  </si>
  <si>
    <t>4992459933</t>
  </si>
  <si>
    <t>4992459935</t>
  </si>
  <si>
    <t>-4992459937</t>
  </si>
  <si>
    <t>4992459936</t>
  </si>
  <si>
    <t>4992459792</t>
  </si>
  <si>
    <t>4992459934</t>
  </si>
  <si>
    <t>4992457652</t>
  </si>
  <si>
    <t>4992424326</t>
  </si>
  <si>
    <t>4992459931</t>
  </si>
  <si>
    <t>4992459944</t>
  </si>
  <si>
    <t>4992459945</t>
  </si>
  <si>
    <t>4992459930</t>
  </si>
  <si>
    <t>242-85-35</t>
  </si>
  <si>
    <t>4992459943</t>
  </si>
  <si>
    <t>4992457990</t>
  </si>
  <si>
    <t>4992459766</t>
  </si>
  <si>
    <t>-4992459942</t>
  </si>
  <si>
    <t>4992459901</t>
  </si>
  <si>
    <t>4992459769</t>
  </si>
  <si>
    <t>4992459214</t>
  </si>
  <si>
    <t>4992450565</t>
  </si>
  <si>
    <t>Комсомольский просп., дом. 46 к.3</t>
  </si>
  <si>
    <t>4992459968</t>
  </si>
  <si>
    <t>4992459948</t>
  </si>
  <si>
    <t>4992457226</t>
  </si>
  <si>
    <t>4992456369</t>
  </si>
  <si>
    <t>4992473270</t>
  </si>
  <si>
    <t>4992459838</t>
  </si>
  <si>
    <t>4992456380</t>
  </si>
  <si>
    <t>4992473043</t>
  </si>
  <si>
    <t>4992422921</t>
  </si>
  <si>
    <t>4992428679</t>
  </si>
  <si>
    <t>4992459815</t>
  </si>
  <si>
    <t>4992457249</t>
  </si>
  <si>
    <t>4992454498</t>
  </si>
  <si>
    <t>4992459950</t>
  </si>
  <si>
    <t>4992459949</t>
  </si>
  <si>
    <t>4992459957</t>
  </si>
  <si>
    <t>4992428544</t>
  </si>
  <si>
    <t>4957083357</t>
  </si>
  <si>
    <t>4992459418</t>
  </si>
  <si>
    <t>4992459952</t>
  </si>
  <si>
    <t>4992457204</t>
  </si>
  <si>
    <t>4992421765</t>
  </si>
  <si>
    <t>4992459916</t>
  </si>
  <si>
    <t>4992459951</t>
  </si>
  <si>
    <t>4992459966</t>
  </si>
  <si>
    <t>84992459966</t>
  </si>
  <si>
    <t>4992459810</t>
  </si>
  <si>
    <t>4992459849</t>
  </si>
  <si>
    <t>4992459818</t>
  </si>
  <si>
    <t>4992459813</t>
  </si>
  <si>
    <t>4992459811</t>
  </si>
  <si>
    <t>-4992459773</t>
  </si>
  <si>
    <t>4992456416</t>
  </si>
  <si>
    <t>4956091880</t>
  </si>
  <si>
    <t>4992457221</t>
  </si>
  <si>
    <t>4992459963</t>
  </si>
  <si>
    <t>4992459608</t>
  </si>
  <si>
    <t>4992455662</t>
  </si>
  <si>
    <t>245-64-18</t>
  </si>
  <si>
    <t>4992456035</t>
  </si>
  <si>
    <t>4992459964</t>
  </si>
  <si>
    <t>-4992459956</t>
  </si>
  <si>
    <t>-4992459853</t>
  </si>
  <si>
    <t>4992459955</t>
  </si>
  <si>
    <t>4992459954</t>
  </si>
  <si>
    <t>4992459953</t>
  </si>
  <si>
    <t>4992459965</t>
  </si>
  <si>
    <t>4992459817</t>
  </si>
  <si>
    <t>4992459848</t>
  </si>
  <si>
    <t>4997664358</t>
  </si>
  <si>
    <t>4992459816</t>
  </si>
  <si>
    <t>4992459833</t>
  </si>
  <si>
    <t>4992456700</t>
  </si>
  <si>
    <t>4992459842</t>
  </si>
  <si>
    <t>4992459822</t>
  </si>
  <si>
    <t>4992459960</t>
  </si>
  <si>
    <t>4992459959</t>
  </si>
  <si>
    <t>4992459962</t>
  </si>
  <si>
    <t>4992459961</t>
  </si>
  <si>
    <t>4954655611</t>
  </si>
  <si>
    <t>4992459812</t>
  </si>
  <si>
    <t>Комсомольский просп., дом. 47</t>
  </si>
  <si>
    <t>242-22-61</t>
  </si>
  <si>
    <t>242-77-00</t>
  </si>
  <si>
    <t>242-14-57</t>
  </si>
  <si>
    <t>4992421928</t>
  </si>
  <si>
    <t>242-85-79</t>
  </si>
  <si>
    <t>4992425095</t>
  </si>
  <si>
    <t>242-75-02</t>
  </si>
  <si>
    <t>4992420209</t>
  </si>
  <si>
    <t>242-22-52</t>
  </si>
  <si>
    <t>242-00-92</t>
  </si>
  <si>
    <t>4997668691</t>
  </si>
  <si>
    <t>84992429709</t>
  </si>
  <si>
    <t>242-22-44</t>
  </si>
  <si>
    <t>242-10-22</t>
  </si>
  <si>
    <t>4992428740</t>
  </si>
  <si>
    <t>4956091705</t>
  </si>
  <si>
    <t>8499-242-22-59</t>
  </si>
  <si>
    <t>4992424055</t>
  </si>
  <si>
    <t>84992422361</t>
  </si>
  <si>
    <t>499-242-18-14</t>
  </si>
  <si>
    <t>242-14-98</t>
  </si>
  <si>
    <t>8499242-35-98</t>
  </si>
  <si>
    <t>84992426673</t>
  </si>
  <si>
    <t>245-63-06</t>
  </si>
  <si>
    <t>84992421465</t>
  </si>
  <si>
    <t>84992422257</t>
  </si>
  <si>
    <t>499-242-10-31</t>
  </si>
  <si>
    <t>245-63-08</t>
  </si>
  <si>
    <t>4992422254</t>
  </si>
  <si>
    <t>499 766-86-30</t>
  </si>
  <si>
    <t>4992420072</t>
  </si>
  <si>
    <t>84992421649</t>
  </si>
  <si>
    <t>7668683</t>
  </si>
  <si>
    <t>4992420197</t>
  </si>
  <si>
    <t>499-766-83-30</t>
  </si>
  <si>
    <t>4992421580</t>
  </si>
  <si>
    <t>84997668328</t>
  </si>
  <si>
    <t>242-01-33</t>
  </si>
  <si>
    <t>242-76-06</t>
  </si>
  <si>
    <t>84992427152</t>
  </si>
  <si>
    <t>4997668903</t>
  </si>
  <si>
    <t>242-70-24</t>
  </si>
  <si>
    <t>242-16-18</t>
  </si>
  <si>
    <t>495-609-10-27</t>
  </si>
  <si>
    <t>242-75-05</t>
  </si>
  <si>
    <t>242-22-46</t>
  </si>
  <si>
    <t>242-70-61</t>
  </si>
  <si>
    <t>84992428145</t>
  </si>
  <si>
    <t>499-242-16-37</t>
  </si>
  <si>
    <t>4992422239</t>
  </si>
  <si>
    <t>8499-242-84-71</t>
  </si>
  <si>
    <t>-84995300776</t>
  </si>
  <si>
    <t>242-66-74</t>
  </si>
  <si>
    <t>242-19-34</t>
  </si>
  <si>
    <t>4992421938</t>
  </si>
  <si>
    <t>242-14-75</t>
  </si>
  <si>
    <t>242-22-37</t>
  </si>
  <si>
    <t>499-242-22-42</t>
  </si>
  <si>
    <t>242-19-36</t>
  </si>
  <si>
    <t>242-09-69</t>
  </si>
  <si>
    <t>242-87-43</t>
  </si>
  <si>
    <t>499-242-16-47</t>
  </si>
  <si>
    <t>4992420460</t>
  </si>
  <si>
    <t>Комсомольский просп., дом. 48/22</t>
  </si>
  <si>
    <t>4992426237</t>
  </si>
  <si>
    <t>4992454263</t>
  </si>
  <si>
    <t>4992421857</t>
  </si>
  <si>
    <t>4956091397</t>
  </si>
  <si>
    <t>4992426531</t>
  </si>
  <si>
    <t>4992423765</t>
  </si>
  <si>
    <t>4992421472</t>
  </si>
  <si>
    <t>4992426979</t>
  </si>
  <si>
    <t>4992427074</t>
  </si>
  <si>
    <t>4992423733</t>
  </si>
  <si>
    <t>4956091330</t>
  </si>
  <si>
    <t>4992429704</t>
  </si>
  <si>
    <t>4992424946</t>
  </si>
  <si>
    <t>4992421047</t>
  </si>
  <si>
    <t>4997668210</t>
  </si>
  <si>
    <t>4992423302</t>
  </si>
  <si>
    <t>4992421193</t>
  </si>
  <si>
    <t>4992425610</t>
  </si>
  <si>
    <t>4992423073</t>
  </si>
  <si>
    <t>4992426261</t>
  </si>
  <si>
    <t>4992423312</t>
  </si>
  <si>
    <t>4992420388</t>
  </si>
  <si>
    <t>4992421195</t>
  </si>
  <si>
    <t>4992421243</t>
  </si>
  <si>
    <t>4992427171</t>
  </si>
  <si>
    <t>-4992421197</t>
  </si>
  <si>
    <t>4992426666</t>
  </si>
  <si>
    <t>-4992423134</t>
  </si>
  <si>
    <t>4992423306</t>
  </si>
  <si>
    <t>4992423767</t>
  </si>
  <si>
    <t>4992428479</t>
  </si>
  <si>
    <t>4997668047</t>
  </si>
  <si>
    <t>4992420404</t>
  </si>
  <si>
    <t>4992425251</t>
  </si>
  <si>
    <t>4992420408</t>
  </si>
  <si>
    <t>4992427070</t>
  </si>
  <si>
    <t>4992423136</t>
  </si>
  <si>
    <t>4992429706</t>
  </si>
  <si>
    <t>4992427169</t>
  </si>
  <si>
    <t>4992420544</t>
  </si>
  <si>
    <t>-4992423304</t>
  </si>
  <si>
    <t>4992456194</t>
  </si>
  <si>
    <t>4992423775</t>
  </si>
  <si>
    <t>4992423423</t>
  </si>
  <si>
    <t>4992423833</t>
  </si>
  <si>
    <t>4992420546</t>
  </si>
  <si>
    <t>4992423757</t>
  </si>
  <si>
    <t>4992427168</t>
  </si>
  <si>
    <t>4992423132</t>
  </si>
  <si>
    <t>4992235377</t>
  </si>
  <si>
    <t>4956091173</t>
  </si>
  <si>
    <t>4992423759</t>
  </si>
  <si>
    <t>4992424673</t>
  </si>
  <si>
    <t>4992420720</t>
  </si>
  <si>
    <t>4992421794</t>
  </si>
  <si>
    <t>4997660967</t>
  </si>
  <si>
    <t>4997660557</t>
  </si>
  <si>
    <t>4992427166</t>
  </si>
  <si>
    <t>4992420386</t>
  </si>
  <si>
    <t>4992420406</t>
  </si>
  <si>
    <t>4992427613</t>
  </si>
  <si>
    <t>4992428588</t>
  </si>
  <si>
    <t>4992728588</t>
  </si>
  <si>
    <t>-4992423474</t>
  </si>
  <si>
    <t>242-34-74</t>
  </si>
  <si>
    <t>4997668253</t>
  </si>
  <si>
    <t>4992572282</t>
  </si>
  <si>
    <t>4992420965</t>
  </si>
  <si>
    <t>4992420548</t>
  </si>
  <si>
    <t>4992420817</t>
  </si>
  <si>
    <t>4992427162</t>
  </si>
  <si>
    <t>4997660963</t>
  </si>
  <si>
    <t>4992428473</t>
  </si>
  <si>
    <t>-4992423739</t>
  </si>
  <si>
    <t>4992427063</t>
  </si>
  <si>
    <t>4992420542</t>
  </si>
  <si>
    <t>4997668046</t>
  </si>
  <si>
    <t>4992428754</t>
  </si>
  <si>
    <t>4992423502</t>
  </si>
  <si>
    <t>4954650934</t>
  </si>
  <si>
    <t>4992423138</t>
  </si>
  <si>
    <t>4992423732</t>
  </si>
  <si>
    <t>Комсомольский просп., дом. 49</t>
  </si>
  <si>
    <t>242-95-96</t>
  </si>
  <si>
    <t>242-75-13</t>
  </si>
  <si>
    <t>4992426112</t>
  </si>
  <si>
    <t>242-20-23</t>
  </si>
  <si>
    <t>242-73-29</t>
  </si>
  <si>
    <t>242-70-92</t>
  </si>
  <si>
    <t>(499)766-86-81</t>
  </si>
  <si>
    <t>242-14-69</t>
  </si>
  <si>
    <t>242-24-16</t>
  </si>
  <si>
    <t>84992426372</t>
  </si>
  <si>
    <t>4992426396</t>
  </si>
  <si>
    <t>4992426207</t>
  </si>
  <si>
    <t>4956091069</t>
  </si>
  <si>
    <t>8499242-21-04</t>
  </si>
  <si>
    <t>4992422104</t>
  </si>
  <si>
    <t>(499)242-22-67</t>
  </si>
  <si>
    <t>4992426596</t>
  </si>
  <si>
    <t>4992427229</t>
  </si>
  <si>
    <t>242-21-12</t>
  </si>
  <si>
    <t>84992428309</t>
  </si>
  <si>
    <t>4992420829</t>
  </si>
  <si>
    <t>4992422148</t>
  </si>
  <si>
    <t>242-75-59</t>
  </si>
  <si>
    <t>242-21-06</t>
  </si>
  <si>
    <t>4992428863</t>
  </si>
  <si>
    <t>242-22-66</t>
  </si>
  <si>
    <t>4992422412</t>
  </si>
  <si>
    <t>242-22-65</t>
  </si>
  <si>
    <t>242-66-76</t>
  </si>
  <si>
    <t>84992421214</t>
  </si>
  <si>
    <t>4992421780</t>
  </si>
  <si>
    <t>84992422108</t>
  </si>
  <si>
    <t>84992427493</t>
  </si>
  <si>
    <t>242-16-95</t>
  </si>
  <si>
    <t>+8(499)245-53-53</t>
  </si>
  <si>
    <t>242-14-73</t>
  </si>
  <si>
    <t>4992427484</t>
  </si>
  <si>
    <t>242-17-98</t>
  </si>
  <si>
    <t>4992428256</t>
  </si>
  <si>
    <t>499-242-15-16</t>
  </si>
  <si>
    <t>242-80-94</t>
  </si>
  <si>
    <t>242-74-10</t>
  </si>
  <si>
    <t>84992426230</t>
  </si>
  <si>
    <t>4992425907</t>
  </si>
  <si>
    <t>4956091127</t>
  </si>
  <si>
    <t>242-16-58</t>
  </si>
  <si>
    <t>4992421631</t>
  </si>
  <si>
    <t>242-22-64</t>
  </si>
  <si>
    <t>4997660657</t>
  </si>
  <si>
    <t>4992424987</t>
  </si>
  <si>
    <t>242-74-12</t>
  </si>
  <si>
    <t>499 242-35-00</t>
  </si>
  <si>
    <t>4992427363</t>
  </si>
  <si>
    <t>4956091676</t>
  </si>
  <si>
    <t>84992423511</t>
  </si>
  <si>
    <t>242-04-69</t>
  </si>
  <si>
    <t>4992422405</t>
  </si>
  <si>
    <t>4997668571</t>
  </si>
  <si>
    <t>245-64-92</t>
  </si>
  <si>
    <t>242-04-73</t>
  </si>
  <si>
    <t>4992420231</t>
  </si>
  <si>
    <t>4992422263</t>
  </si>
  <si>
    <t>242-22-62</t>
  </si>
  <si>
    <t>499-242-25-00</t>
  </si>
  <si>
    <t>242-25-00</t>
  </si>
  <si>
    <t>242-24-08</t>
  </si>
  <si>
    <t>4957902328</t>
  </si>
  <si>
    <t>4992424014</t>
  </si>
  <si>
    <t>4992423568</t>
  </si>
  <si>
    <t>4992420159</t>
  </si>
  <si>
    <t>242-66-75</t>
  </si>
  <si>
    <t>242-25-01</t>
  </si>
  <si>
    <t>4992422414</t>
  </si>
  <si>
    <t>499-242-16-39</t>
  </si>
  <si>
    <t>245-64-37</t>
  </si>
  <si>
    <t>242-20-61</t>
  </si>
  <si>
    <t>6091795</t>
  </si>
  <si>
    <t>242-36-62</t>
  </si>
  <si>
    <t>499-242-20-60</t>
  </si>
  <si>
    <t>4992422418</t>
  </si>
  <si>
    <t>242-75-08</t>
  </si>
  <si>
    <t>8499-242-72-53</t>
  </si>
  <si>
    <t>242-22-58</t>
  </si>
  <si>
    <t>242-68-13</t>
  </si>
  <si>
    <t>4992428146</t>
  </si>
  <si>
    <t>4992428573</t>
  </si>
  <si>
    <t>242-19-54</t>
  </si>
  <si>
    <t>Кооперативная ул., дом. 2 к.12</t>
  </si>
  <si>
    <t>245-69-88</t>
  </si>
  <si>
    <t>4992456991</t>
  </si>
  <si>
    <t>84992456996</t>
  </si>
  <si>
    <t>4992456995</t>
  </si>
  <si>
    <t>4992456989</t>
  </si>
  <si>
    <t>4992456990</t>
  </si>
  <si>
    <t>245-69-93</t>
  </si>
  <si>
    <t>245-69-94</t>
  </si>
  <si>
    <t>4992456924</t>
  </si>
  <si>
    <t>4992456920</t>
  </si>
  <si>
    <t>4992453566</t>
  </si>
  <si>
    <t>245-69-97</t>
  </si>
  <si>
    <t>84992456997</t>
  </si>
  <si>
    <t>84992456925</t>
  </si>
  <si>
    <t>245-69-98</t>
  </si>
  <si>
    <t>245-44-06</t>
  </si>
  <si>
    <t>84992456945</t>
  </si>
  <si>
    <t>245-69-50</t>
  </si>
  <si>
    <t>4992456948</t>
  </si>
  <si>
    <t>245-69-49</t>
  </si>
  <si>
    <t>499 245-69-73</t>
  </si>
  <si>
    <t>4992456943</t>
  </si>
  <si>
    <t>84992456942</t>
  </si>
  <si>
    <t>4992456944</t>
  </si>
  <si>
    <t>4992456946</t>
  </si>
  <si>
    <t>242-23-49</t>
  </si>
  <si>
    <t>245-69-31</t>
  </si>
  <si>
    <t>245-69-26</t>
  </si>
  <si>
    <t>4992456928</t>
  </si>
  <si>
    <t>245-69-32</t>
  </si>
  <si>
    <t>84992456927</t>
  </si>
  <si>
    <t>4992456933</t>
  </si>
  <si>
    <t>-4997664734</t>
  </si>
  <si>
    <t>245-69-30</t>
  </si>
  <si>
    <t>84992457967</t>
  </si>
  <si>
    <t>4992456937</t>
  </si>
  <si>
    <t>245-69-39</t>
  </si>
  <si>
    <t>245-69-40</t>
  </si>
  <si>
    <t>245-69-34</t>
  </si>
  <si>
    <t>245-69-35</t>
  </si>
  <si>
    <t>245-69-41</t>
  </si>
  <si>
    <t>4992456936</t>
  </si>
  <si>
    <t>245-69-54</t>
  </si>
  <si>
    <t>4992456487</t>
  </si>
  <si>
    <t>245-65-34</t>
  </si>
  <si>
    <t>499-245-69-52</t>
  </si>
  <si>
    <t>245-69-53</t>
  </si>
  <si>
    <t>245-75-42</t>
  </si>
  <si>
    <t>499-245-69-55</t>
  </si>
  <si>
    <t>245-66-76</t>
  </si>
  <si>
    <t>Кооперативная ул., дом. 2 к.13</t>
  </si>
  <si>
    <t>245-40-81</t>
  </si>
  <si>
    <t>584992451680</t>
  </si>
  <si>
    <t>245-40-83</t>
  </si>
  <si>
    <t>84992469330</t>
  </si>
  <si>
    <t>245-43-20</t>
  </si>
  <si>
    <t>245-41-24</t>
  </si>
  <si>
    <t>245-57-45</t>
  </si>
  <si>
    <t>499-245-47-92</t>
  </si>
  <si>
    <t>245-44-01</t>
  </si>
  <si>
    <t>245-43-04</t>
  </si>
  <si>
    <t>4992454405</t>
  </si>
  <si>
    <t>245-46-43</t>
  </si>
  <si>
    <t>245-46-44</t>
  </si>
  <si>
    <t>499-246-36-96</t>
  </si>
  <si>
    <t>499-245-40-06</t>
  </si>
  <si>
    <t>245-59-05</t>
  </si>
  <si>
    <t>499-245-50-06</t>
  </si>
  <si>
    <t>245-45-87</t>
  </si>
  <si>
    <t>245-51-94</t>
  </si>
  <si>
    <t>84992455436</t>
  </si>
  <si>
    <t>4992455358</t>
  </si>
  <si>
    <t>245-53-28</t>
  </si>
  <si>
    <t>4992455965</t>
  </si>
  <si>
    <t>499 245-44-67</t>
  </si>
  <si>
    <t>84992455539</t>
  </si>
  <si>
    <t>4992455689</t>
  </si>
  <si>
    <t>245-54-12</t>
  </si>
  <si>
    <t>245-40-91</t>
  </si>
  <si>
    <t>4992454273</t>
  </si>
  <si>
    <t>245-40-89</t>
  </si>
  <si>
    <t>4992454090</t>
  </si>
  <si>
    <t>4992454404</t>
  </si>
  <si>
    <t>4992455721</t>
  </si>
  <si>
    <t>84992455562</t>
  </si>
  <si>
    <t>-4992455309</t>
  </si>
  <si>
    <t>245-52-69</t>
  </si>
  <si>
    <t>245-57-65</t>
  </si>
  <si>
    <t>245-58-08</t>
  </si>
  <si>
    <t>245-53-68</t>
  </si>
  <si>
    <t>4992455651</t>
  </si>
  <si>
    <t>Кооперативная ул., дом. 2 к.14</t>
  </si>
  <si>
    <t>245-69-60</t>
  </si>
  <si>
    <t>245-69-64</t>
  </si>
  <si>
    <t>4992456957</t>
  </si>
  <si>
    <t>499-245-69-63</t>
  </si>
  <si>
    <t>499-245-69-76</t>
  </si>
  <si>
    <t>245-69-76</t>
  </si>
  <si>
    <t>4992456958</t>
  </si>
  <si>
    <t>245-90-00</t>
  </si>
  <si>
    <t>499-245-69-70</t>
  </si>
  <si>
    <t>84992456967</t>
  </si>
  <si>
    <t>245-69-68</t>
  </si>
  <si>
    <t>4992455311</t>
  </si>
  <si>
    <t>84992456969</t>
  </si>
  <si>
    <t>245-79-68</t>
  </si>
  <si>
    <t>2459002</t>
  </si>
  <si>
    <t>245-90-09</t>
  </si>
  <si>
    <t>84992459001</t>
  </si>
  <si>
    <t>84992455895</t>
  </si>
  <si>
    <t>4992454846</t>
  </si>
  <si>
    <t>84992455588</t>
  </si>
  <si>
    <t>499-245-79-64</t>
  </si>
  <si>
    <t>245-54-44</t>
  </si>
  <si>
    <t>499-245-69-85</t>
  </si>
  <si>
    <t>495-245-69-87</t>
  </si>
  <si>
    <t>84992456971</t>
  </si>
  <si>
    <t>245-69-86</t>
  </si>
  <si>
    <t>84992456984</t>
  </si>
  <si>
    <t>245-69-79</t>
  </si>
  <si>
    <t>+7(916)493-70-38</t>
  </si>
  <si>
    <t>245-69-81</t>
  </si>
  <si>
    <t>245-79-69</t>
  </si>
  <si>
    <t>245-79-71</t>
  </si>
  <si>
    <t>4992457646</t>
  </si>
  <si>
    <t>4992456982</t>
  </si>
  <si>
    <t>245-79-73</t>
  </si>
  <si>
    <t>245-69-04</t>
  </si>
  <si>
    <t>245-60-96</t>
  </si>
  <si>
    <t>499-245-69-13</t>
  </si>
  <si>
    <t>245-79-72</t>
  </si>
  <si>
    <t>4992459005</t>
  </si>
  <si>
    <t>245-68-09</t>
  </si>
  <si>
    <t>Кооперативная ул., дом. 3 к.4</t>
  </si>
  <si>
    <t>4992454609</t>
  </si>
  <si>
    <t>84992454369</t>
  </si>
  <si>
    <t>4992457182</t>
  </si>
  <si>
    <t>499-245-57-19</t>
  </si>
  <si>
    <t>4992454966</t>
  </si>
  <si>
    <t>84992454417</t>
  </si>
  <si>
    <t>245-46-94</t>
  </si>
  <si>
    <t>245-57-24</t>
  </si>
  <si>
    <t>4992455314</t>
  </si>
  <si>
    <t>499-245-47-11</t>
  </si>
  <si>
    <t>245-47-09</t>
  </si>
  <si>
    <t>4992454717</t>
  </si>
  <si>
    <t>4992454020</t>
  </si>
  <si>
    <t>4992454385</t>
  </si>
  <si>
    <t>245-57-47</t>
  </si>
  <si>
    <t>499-245-54-94</t>
  </si>
  <si>
    <t>245-52-52</t>
  </si>
  <si>
    <t>499-245-59-86</t>
  </si>
  <si>
    <t>499-245-56-88</t>
  </si>
  <si>
    <t>499 245-57-40</t>
  </si>
  <si>
    <t>4992454924</t>
  </si>
  <si>
    <t>499-245-42-26</t>
  </si>
  <si>
    <t>245-47-76</t>
  </si>
  <si>
    <t>245-47-10</t>
  </si>
  <si>
    <t>4992455973</t>
  </si>
  <si>
    <t>245-49-23</t>
  </si>
  <si>
    <t>245-48-28</t>
  </si>
  <si>
    <t>245-42-90</t>
  </si>
  <si>
    <t>245-48-11</t>
  </si>
  <si>
    <t>245-47-16</t>
  </si>
  <si>
    <t>499-245-42-29</t>
  </si>
  <si>
    <t>245-58-66</t>
  </si>
  <si>
    <t>4992454117</t>
  </si>
  <si>
    <t>4992455374</t>
  </si>
  <si>
    <t>245-55-91</t>
  </si>
  <si>
    <t>245-43-14</t>
  </si>
  <si>
    <t>-4992454586</t>
  </si>
  <si>
    <t>245-56-30</t>
  </si>
  <si>
    <t>4992454043</t>
  </si>
  <si>
    <t>84992455371</t>
  </si>
  <si>
    <t>000</t>
  </si>
  <si>
    <t>-4992454332</t>
  </si>
  <si>
    <t>245-56-33</t>
  </si>
  <si>
    <t>(499)245-40-79</t>
  </si>
  <si>
    <t>245-45-52</t>
  </si>
  <si>
    <t>245-46-68</t>
  </si>
  <si>
    <t>-84992455207</t>
  </si>
  <si>
    <t>245-42-27</t>
  </si>
  <si>
    <t>4992455084</t>
  </si>
  <si>
    <t>245-54-07</t>
  </si>
  <si>
    <t>245-54-69</t>
  </si>
  <si>
    <t>4992454757</t>
  </si>
  <si>
    <t>245-46-39</t>
  </si>
  <si>
    <t>4992454958</t>
  </si>
  <si>
    <t>4992455258</t>
  </si>
  <si>
    <t>4992454368</t>
  </si>
  <si>
    <t>4992455429</t>
  </si>
  <si>
    <t>84992455325</t>
  </si>
  <si>
    <t>4992454738</t>
  </si>
  <si>
    <t>245-51-88</t>
  </si>
  <si>
    <t>245-58-77</t>
  </si>
  <si>
    <t>Кооперативная ул., дом. 3 к.5</t>
  </si>
  <si>
    <t>4992454197</t>
  </si>
  <si>
    <t>245-58-04</t>
  </si>
  <si>
    <t>4992455783</t>
  </si>
  <si>
    <t>4992464608</t>
  </si>
  <si>
    <t>245-52-50</t>
  </si>
  <si>
    <t>4992455439</t>
  </si>
  <si>
    <t>4992454546</t>
  </si>
  <si>
    <t>4992454425</t>
  </si>
  <si>
    <t>245-56-80</t>
  </si>
  <si>
    <t>4992454728</t>
  </si>
  <si>
    <t>4992454384</t>
  </si>
  <si>
    <t>245-47-02</t>
  </si>
  <si>
    <t>245-55-82</t>
  </si>
  <si>
    <t>245-43-95</t>
  </si>
  <si>
    <t>245-45-85</t>
  </si>
  <si>
    <t>245-51-69</t>
  </si>
  <si>
    <t>245-46-33</t>
  </si>
  <si>
    <t>499-245-54-97</t>
  </si>
  <si>
    <t>499-245-40-67</t>
  </si>
  <si>
    <t>609-15-39</t>
  </si>
  <si>
    <t>245-50-35</t>
  </si>
  <si>
    <t>4992454023</t>
  </si>
  <si>
    <t>499-245-47-33</t>
  </si>
  <si>
    <t>499454729</t>
  </si>
  <si>
    <t>499-245-49-55</t>
  </si>
  <si>
    <t>4992454840</t>
  </si>
  <si>
    <t>4992454601</t>
  </si>
  <si>
    <t>245-51-77</t>
  </si>
  <si>
    <t>499-245-56-19</t>
  </si>
  <si>
    <t>245-57-96</t>
  </si>
  <si>
    <t>245-42-57</t>
  </si>
  <si>
    <t>4992454735</t>
  </si>
  <si>
    <t>245-49-60</t>
  </si>
  <si>
    <t>245-47-32</t>
  </si>
  <si>
    <t>499-245-47-30</t>
  </si>
  <si>
    <t>499-245-47-34</t>
  </si>
  <si>
    <t>245-58-39</t>
  </si>
  <si>
    <t>245-46-53</t>
  </si>
  <si>
    <t>245-52-78</t>
  </si>
  <si>
    <t>245-58-91</t>
  </si>
  <si>
    <t>499-245-46-49</t>
  </si>
  <si>
    <t>245-55-48</t>
  </si>
  <si>
    <t>Кооперативная ул., дом. 3 к.6</t>
  </si>
  <si>
    <t>245-40-93</t>
  </si>
  <si>
    <t>84992455803</t>
  </si>
  <si>
    <t>4992455753</t>
  </si>
  <si>
    <t>(499)245-43-81</t>
  </si>
  <si>
    <t>245-43-81</t>
  </si>
  <si>
    <t>245-58-10</t>
  </si>
  <si>
    <t>4992455810</t>
  </si>
  <si>
    <t>245-59-49</t>
  </si>
  <si>
    <t>4992454704</t>
  </si>
  <si>
    <t>84992454931</t>
  </si>
  <si>
    <t>4992454906</t>
  </si>
  <si>
    <t>4992468234</t>
  </si>
  <si>
    <t>245-41-68</t>
  </si>
  <si>
    <t>245-77-45</t>
  </si>
  <si>
    <t>84992455243</t>
  </si>
  <si>
    <t>985-920-53-82</t>
  </si>
  <si>
    <t>245-42-47</t>
  </si>
  <si>
    <t>245-58-92</t>
  </si>
  <si>
    <t>499-245-58-90</t>
  </si>
  <si>
    <t>84992455890</t>
  </si>
  <si>
    <t>242-50-12</t>
  </si>
  <si>
    <t>245-57-98</t>
  </si>
  <si>
    <t>245-57-85</t>
  </si>
  <si>
    <t>4992455920</t>
  </si>
  <si>
    <t>-4992455724</t>
  </si>
  <si>
    <t>4992455509</t>
  </si>
  <si>
    <t>4992455786</t>
  </si>
  <si>
    <t>4992454345</t>
  </si>
  <si>
    <t>84993676160</t>
  </si>
  <si>
    <t>245-45-68</t>
  </si>
  <si>
    <t>4992454739</t>
  </si>
  <si>
    <t>4992454617</t>
  </si>
  <si>
    <t>499-245-59-78</t>
  </si>
  <si>
    <t>84992454001</t>
  </si>
  <si>
    <t>4992455441</t>
  </si>
  <si>
    <t>4992455508</t>
  </si>
  <si>
    <t>245-56-46</t>
  </si>
  <si>
    <t>299-53-87</t>
  </si>
  <si>
    <t>245-54-46</t>
  </si>
  <si>
    <t>245-55-11</t>
  </si>
  <si>
    <t>Кооперативная ул., дом. 4 к.9</t>
  </si>
  <si>
    <t>-84992454034</t>
  </si>
  <si>
    <t>4992455533</t>
  </si>
  <si>
    <t>245-40-77</t>
  </si>
  <si>
    <t>499-245-55-67</t>
  </si>
  <si>
    <t>4992455778</t>
  </si>
  <si>
    <t>4992454833</t>
  </si>
  <si>
    <t>84992454998</t>
  </si>
  <si>
    <t>4992454978</t>
  </si>
  <si>
    <t>4992454736</t>
  </si>
  <si>
    <t>245-43-82</t>
  </si>
  <si>
    <t>245-44-51</t>
  </si>
  <si>
    <t>499-245-64-48</t>
  </si>
  <si>
    <t>4992454910</t>
  </si>
  <si>
    <t>4992454769</t>
  </si>
  <si>
    <t>-4992455229</t>
  </si>
  <si>
    <t>245-48-79</t>
  </si>
  <si>
    <t>4992454917</t>
  </si>
  <si>
    <t>245-43-44</t>
  </si>
  <si>
    <t>-4992454631</t>
  </si>
  <si>
    <t>245-49-79</t>
  </si>
  <si>
    <t>245-58-45</t>
  </si>
  <si>
    <t>84А</t>
  </si>
  <si>
    <t>245-44-19</t>
  </si>
  <si>
    <t>(916)533-58-81</t>
  </si>
  <si>
    <t>245-44-21</t>
  </si>
  <si>
    <t>245-57-94</t>
  </si>
  <si>
    <t>4992454832</t>
  </si>
  <si>
    <t>245-58-99</t>
  </si>
  <si>
    <t>245-53-98</t>
  </si>
  <si>
    <t>499-245-45-66</t>
  </si>
  <si>
    <t>84992454863</t>
  </si>
  <si>
    <t>84992455166</t>
  </si>
  <si>
    <t>84992454280</t>
  </si>
  <si>
    <t>245-45-74</t>
  </si>
  <si>
    <t>245-51-15</t>
  </si>
  <si>
    <t>499-245-49-26</t>
  </si>
  <si>
    <t>245-50-67</t>
  </si>
  <si>
    <t>4992454172</t>
  </si>
  <si>
    <t>245-43-79</t>
  </si>
  <si>
    <t>245-54-53</t>
  </si>
  <si>
    <t>105А</t>
  </si>
  <si>
    <t>Кооперативная ул., дом. 4 к.10</t>
  </si>
  <si>
    <t>84992455460</t>
  </si>
  <si>
    <t>4992454189</t>
  </si>
  <si>
    <t>4992455727</t>
  </si>
  <si>
    <t>(499)246-80-34</t>
  </si>
  <si>
    <t>4992455503</t>
  </si>
  <si>
    <t>4992455335</t>
  </si>
  <si>
    <t>245-56-96</t>
  </si>
  <si>
    <t>8499245-56-32</t>
  </si>
  <si>
    <t>4992454502</t>
  </si>
  <si>
    <t>4992455682</t>
  </si>
  <si>
    <t>4992454375</t>
  </si>
  <si>
    <t>4992455417</t>
  </si>
  <si>
    <t>4992455210</t>
  </si>
  <si>
    <t>84992454228</t>
  </si>
  <si>
    <t>-84992454218</t>
  </si>
  <si>
    <t>4992455405</t>
  </si>
  <si>
    <t>4992455318</t>
  </si>
  <si>
    <t>-4992454033</t>
  </si>
  <si>
    <t>245-40-28</t>
  </si>
  <si>
    <t>245-57-73</t>
  </si>
  <si>
    <t>245-54-18</t>
  </si>
  <si>
    <t>84992455544</t>
  </si>
  <si>
    <t>499-245-55-06</t>
  </si>
  <si>
    <t>84992455767</t>
  </si>
  <si>
    <t>245-43-13</t>
  </si>
  <si>
    <t>499-245-58-17</t>
  </si>
  <si>
    <t>246-66-20</t>
  </si>
  <si>
    <t>245-55-65</t>
  </si>
  <si>
    <t>84992454035</t>
  </si>
  <si>
    <t>4992454855</t>
  </si>
  <si>
    <t>245-40-41</t>
  </si>
  <si>
    <t>245-42-59</t>
  </si>
  <si>
    <t>4992455913</t>
  </si>
  <si>
    <t>-4992454312</t>
  </si>
  <si>
    <t>245-55-63</t>
  </si>
  <si>
    <t>245-51-86</t>
  </si>
  <si>
    <t>499-245-52-46</t>
  </si>
  <si>
    <t>*</t>
  </si>
  <si>
    <t>4992457666</t>
  </si>
  <si>
    <t>245-59-19</t>
  </si>
  <si>
    <t>84992455004</t>
  </si>
  <si>
    <t>245-51-60</t>
  </si>
  <si>
    <t>4992455748</t>
  </si>
  <si>
    <t>245-46-06</t>
  </si>
  <si>
    <t>4992455967</t>
  </si>
  <si>
    <t>245-45-20</t>
  </si>
  <si>
    <t>Кооперативная ул., дом. 4 к.11</t>
  </si>
  <si>
    <t>-4992455149</t>
  </si>
  <si>
    <t>4992455175</t>
  </si>
  <si>
    <t>245-48-59</t>
  </si>
  <si>
    <t>499-245-45-48</t>
  </si>
  <si>
    <t>245-55-24</t>
  </si>
  <si>
    <t>84992454461</t>
  </si>
  <si>
    <t>4992455498</t>
  </si>
  <si>
    <t>245-53-24</t>
  </si>
  <si>
    <t>245-44-26</t>
  </si>
  <si>
    <t>245-56-98</t>
  </si>
  <si>
    <t>84992454723</t>
  </si>
  <si>
    <t>499-245-45-24</t>
  </si>
  <si>
    <t>4992455345</t>
  </si>
  <si>
    <t>84992454510</t>
  </si>
  <si>
    <t>245-54-30</t>
  </si>
  <si>
    <t>4992455573</t>
  </si>
  <si>
    <t>84992450564</t>
  </si>
  <si>
    <t>245-52-90</t>
  </si>
  <si>
    <t>4992454682</t>
  </si>
  <si>
    <t>245-47-05</t>
  </si>
  <si>
    <t>4992455387</t>
  </si>
  <si>
    <t>4992455235</t>
  </si>
  <si>
    <t>84992465239</t>
  </si>
  <si>
    <t>245-52-27</t>
  </si>
  <si>
    <t>4991369920</t>
  </si>
  <si>
    <t>245-40-45</t>
  </si>
  <si>
    <t>245-51-43</t>
  </si>
  <si>
    <t>499-245-53-36</t>
  </si>
  <si>
    <t>84992454973</t>
  </si>
  <si>
    <t>84992455130</t>
  </si>
  <si>
    <t>245-53-97</t>
  </si>
  <si>
    <t>84992455347</t>
  </si>
  <si>
    <t>4992455347</t>
  </si>
  <si>
    <t>4992455076</t>
  </si>
  <si>
    <t>245-51-26</t>
  </si>
  <si>
    <t>000000000</t>
  </si>
  <si>
    <t>499-245-57-82</t>
  </si>
  <si>
    <t>245-53-77</t>
  </si>
  <si>
    <t>245-48-22</t>
  </si>
  <si>
    <t>84992455939</t>
  </si>
  <si>
    <t>499-245-45-77</t>
  </si>
  <si>
    <t>245-41-96</t>
  </si>
  <si>
    <t>Кооперативная ул., дом. 10</t>
  </si>
  <si>
    <t>84992455788</t>
  </si>
  <si>
    <t>245-45-59</t>
  </si>
  <si>
    <t>245-63-32</t>
  </si>
  <si>
    <t>245-42-19</t>
  </si>
  <si>
    <t>245-45-30</t>
  </si>
  <si>
    <t>2454696</t>
  </si>
  <si>
    <t>4992454166</t>
  </si>
  <si>
    <t>-2454719</t>
  </si>
  <si>
    <t>499-245-42-25</t>
  </si>
  <si>
    <t>245-59-53</t>
  </si>
  <si>
    <t>84992455675</t>
  </si>
  <si>
    <t>499-245-47-06</t>
  </si>
  <si>
    <t>245-47-58</t>
  </si>
  <si>
    <t>84992469801</t>
  </si>
  <si>
    <t>245-58-41</t>
  </si>
  <si>
    <t>245-54-87</t>
  </si>
  <si>
    <t>4992455860</t>
  </si>
  <si>
    <t>4992454107</t>
  </si>
  <si>
    <t>245-42-16</t>
  </si>
  <si>
    <t>245-49-25</t>
  </si>
  <si>
    <t>257-24-01</t>
  </si>
  <si>
    <t>245-45-05</t>
  </si>
  <si>
    <t>4992455909</t>
  </si>
  <si>
    <t>499-245-56-39</t>
  </si>
  <si>
    <t>245-48-07</t>
  </si>
  <si>
    <t>Кремлевская наб., дом. 1/9 стр.9</t>
  </si>
  <si>
    <t>499-697-32-19</t>
  </si>
  <si>
    <t>203-32-19</t>
  </si>
  <si>
    <t>6977159</t>
  </si>
  <si>
    <t>6979255</t>
  </si>
  <si>
    <t>6974553</t>
  </si>
  <si>
    <t>6977011</t>
  </si>
  <si>
    <t>6977202</t>
  </si>
  <si>
    <t>6974451</t>
  </si>
  <si>
    <t>4956970054</t>
  </si>
  <si>
    <t>84956970054</t>
  </si>
  <si>
    <t>6972808</t>
  </si>
  <si>
    <t>697-02-71</t>
  </si>
  <si>
    <t>6970271</t>
  </si>
  <si>
    <t>279-88-42</t>
  </si>
  <si>
    <t>203-02-71</t>
  </si>
  <si>
    <t>6973875</t>
  </si>
  <si>
    <t>6977352</t>
  </si>
  <si>
    <t>6977102</t>
  </si>
  <si>
    <t>84956977060</t>
  </si>
  <si>
    <t>6975031</t>
  </si>
  <si>
    <t>Кропоткинский пер., дом. 9</t>
  </si>
  <si>
    <t>4992456556</t>
  </si>
  <si>
    <t>4992464662</t>
  </si>
  <si>
    <t>288-88-07</t>
  </si>
  <si>
    <t>499 242-21-59</t>
  </si>
  <si>
    <t>4992467825</t>
  </si>
  <si>
    <t>84992463209</t>
  </si>
  <si>
    <t>245-78-35</t>
  </si>
  <si>
    <t>245-79-21</t>
  </si>
  <si>
    <t>4992461632</t>
  </si>
  <si>
    <t>499-246-46-32</t>
  </si>
  <si>
    <t>4992558269</t>
  </si>
  <si>
    <t>84992464025</t>
  </si>
  <si>
    <t>84992553167</t>
  </si>
  <si>
    <t>499 766-47-25</t>
  </si>
  <si>
    <t>Кропоткинский пер., дом. 11</t>
  </si>
  <si>
    <t>4997664796</t>
  </si>
  <si>
    <t>84992467310</t>
  </si>
  <si>
    <t>246-37-05</t>
  </si>
  <si>
    <t>246-94-99</t>
  </si>
  <si>
    <t>246-69-19</t>
  </si>
  <si>
    <t>84992465926</t>
  </si>
  <si>
    <t>499-246-40-76</t>
  </si>
  <si>
    <t>84992464076</t>
  </si>
  <si>
    <t>246-23-07</t>
  </si>
  <si>
    <t>4992469696</t>
  </si>
  <si>
    <t>4992462528</t>
  </si>
  <si>
    <t>84992462528</t>
  </si>
  <si>
    <t>4992451220</t>
  </si>
  <si>
    <t>246-38-98</t>
  </si>
  <si>
    <t>246-62-26</t>
  </si>
  <si>
    <t>4992467437</t>
  </si>
  <si>
    <t>246-81-09</t>
  </si>
  <si>
    <t>499-246-99-13</t>
  </si>
  <si>
    <t>246-43-17</t>
  </si>
  <si>
    <t>4992463808</t>
  </si>
  <si>
    <t>246-60-50</t>
  </si>
  <si>
    <t>4992466308</t>
  </si>
  <si>
    <t>246-13-91</t>
  </si>
  <si>
    <t>4992464999</t>
  </si>
  <si>
    <t>246-91-50</t>
  </si>
  <si>
    <t>4992468132</t>
  </si>
  <si>
    <t>246-24-70</t>
  </si>
  <si>
    <t>84992462470</t>
  </si>
  <si>
    <t>84992465810</t>
  </si>
  <si>
    <t>4992467175</t>
  </si>
  <si>
    <t>246-86-71</t>
  </si>
  <si>
    <t>246-83-35</t>
  </si>
  <si>
    <t>Кропоткинский пер., дом. 20</t>
  </si>
  <si>
    <t>247-17-59</t>
  </si>
  <si>
    <t>246-95-41</t>
  </si>
  <si>
    <t>4992465737</t>
  </si>
  <si>
    <t>4992460207</t>
  </si>
  <si>
    <t>84992465738</t>
  </si>
  <si>
    <t>245-64-73</t>
  </si>
  <si>
    <t>246-20-42</t>
  </si>
  <si>
    <t>4992465181</t>
  </si>
  <si>
    <t>246-57-30</t>
  </si>
  <si>
    <t>246-93-62</t>
  </si>
  <si>
    <t>4992466857</t>
  </si>
  <si>
    <t>4992469361</t>
  </si>
  <si>
    <t>499-255-24-67</t>
  </si>
  <si>
    <t>246-57-35</t>
  </si>
  <si>
    <t>246-93-85</t>
  </si>
  <si>
    <t>246-57-43</t>
  </si>
  <si>
    <t>2557671</t>
  </si>
  <si>
    <t>246-93-77</t>
  </si>
  <si>
    <t>4992469100</t>
  </si>
  <si>
    <t>246-70-51</t>
  </si>
  <si>
    <t>246-91-10</t>
  </si>
  <si>
    <t>4992465964</t>
  </si>
  <si>
    <t>4992468879</t>
  </si>
  <si>
    <t>246-59-66</t>
  </si>
  <si>
    <t>246-88-81</t>
  </si>
  <si>
    <t>246-81-81</t>
  </si>
  <si>
    <t>4992557182</t>
  </si>
  <si>
    <t>4992557187</t>
  </si>
  <si>
    <t>4992552091</t>
  </si>
  <si>
    <t>-4957083132</t>
  </si>
  <si>
    <t>246-57-68</t>
  </si>
  <si>
    <t>4992465096</t>
  </si>
  <si>
    <t>4992450460</t>
  </si>
  <si>
    <t>4992557326</t>
  </si>
  <si>
    <t>247-13-25</t>
  </si>
  <si>
    <t>4992465765</t>
  </si>
  <si>
    <t>84992465068</t>
  </si>
  <si>
    <t>4992465998</t>
  </si>
  <si>
    <t>246-42-47</t>
  </si>
  <si>
    <t>4992465997</t>
  </si>
  <si>
    <t>4992466870</t>
  </si>
  <si>
    <t>4992465960</t>
  </si>
  <si>
    <t>4992466954</t>
  </si>
  <si>
    <t>4992467059</t>
  </si>
  <si>
    <t>84992464985</t>
  </si>
  <si>
    <t>246-68-59</t>
  </si>
  <si>
    <t>246-68-60</t>
  </si>
  <si>
    <t>246-45-88</t>
  </si>
  <si>
    <t>246-57-29</t>
  </si>
  <si>
    <t>246-68-53</t>
  </si>
  <si>
    <t>246-68-54</t>
  </si>
  <si>
    <t>246-57-27</t>
  </si>
  <si>
    <t>246-49-84</t>
  </si>
  <si>
    <t>499 246-96-25</t>
  </si>
  <si>
    <t>246-96-26</t>
  </si>
  <si>
    <t>246-68-71</t>
  </si>
  <si>
    <t>4992467054</t>
  </si>
  <si>
    <t>4992658623</t>
  </si>
  <si>
    <t>4992552119</t>
  </si>
  <si>
    <t>84992552118</t>
  </si>
  <si>
    <t>4992552139</t>
  </si>
  <si>
    <t>246-67-01</t>
  </si>
  <si>
    <t>247-01-37</t>
  </si>
  <si>
    <t>4992552318</t>
  </si>
  <si>
    <t>4992552319</t>
  </si>
  <si>
    <t>4992466702</t>
  </si>
  <si>
    <t>247-04-29</t>
  </si>
  <si>
    <t>2552422</t>
  </si>
  <si>
    <t>4992552559</t>
  </si>
  <si>
    <t>4992552609</t>
  </si>
  <si>
    <t>247-06-08</t>
  </si>
  <si>
    <t>247-19-43</t>
  </si>
  <si>
    <t>84992557944</t>
  </si>
  <si>
    <t>247-80-62</t>
  </si>
  <si>
    <t>84956353230</t>
  </si>
  <si>
    <t>4992468369</t>
  </si>
  <si>
    <t>84992552146</t>
  </si>
  <si>
    <t>247-08-82</t>
  </si>
  <si>
    <t>4992552881</t>
  </si>
  <si>
    <t>247-09-32</t>
  </si>
  <si>
    <t>4992552930</t>
  </si>
  <si>
    <t>4992552662</t>
  </si>
  <si>
    <t>255-26-61</t>
  </si>
  <si>
    <t>84992557658</t>
  </si>
  <si>
    <t>84992552161</t>
  </si>
  <si>
    <t>247-16-57</t>
  </si>
  <si>
    <t>4992467388</t>
  </si>
  <si>
    <t>245-31-35</t>
  </si>
  <si>
    <t>4992552162</t>
  </si>
  <si>
    <t>84992552181</t>
  </si>
  <si>
    <t>4992557208</t>
  </si>
  <si>
    <t>84992552182</t>
  </si>
  <si>
    <t>246-73-54</t>
  </si>
  <si>
    <t>Курсовой пер., дом. 15</t>
  </si>
  <si>
    <t>7669580580</t>
  </si>
  <si>
    <t>495 695-28-63</t>
  </si>
  <si>
    <t>84957669243</t>
  </si>
  <si>
    <t>8-916-851</t>
  </si>
  <si>
    <t>84957669980</t>
  </si>
  <si>
    <t>84956952864</t>
  </si>
  <si>
    <t>84997769920</t>
  </si>
  <si>
    <t>84997669320</t>
  </si>
  <si>
    <t>109-14-60</t>
  </si>
  <si>
    <t>7669349</t>
  </si>
  <si>
    <t>84997669721</t>
  </si>
  <si>
    <t>7997617</t>
  </si>
  <si>
    <t>7669884</t>
  </si>
  <si>
    <t>84997669401</t>
  </si>
  <si>
    <t>702-40-80</t>
  </si>
  <si>
    <t>203-19-66</t>
  </si>
  <si>
    <t>499-766-99-72</t>
  </si>
  <si>
    <t>4997669929</t>
  </si>
  <si>
    <t>637-37-47</t>
  </si>
  <si>
    <t>499-766-98-92</t>
  </si>
  <si>
    <t>7669913</t>
  </si>
  <si>
    <t>4997669323</t>
  </si>
  <si>
    <t>4997669113</t>
  </si>
  <si>
    <t>7769330</t>
  </si>
  <si>
    <t>499-677-91-23</t>
  </si>
  <si>
    <t>7669295</t>
  </si>
  <si>
    <t>7769991</t>
  </si>
  <si>
    <t>916-617-60-94</t>
  </si>
  <si>
    <t>7662291</t>
  </si>
  <si>
    <t>7669481</t>
  </si>
  <si>
    <t>4997669868</t>
  </si>
  <si>
    <t>Левшинский Б. пер., дом. 8/1 стр.2</t>
  </si>
  <si>
    <t>15А</t>
  </si>
  <si>
    <t>Левшинский Б. пер., дом. 12</t>
  </si>
  <si>
    <t>6509561</t>
  </si>
  <si>
    <t>4956372205</t>
  </si>
  <si>
    <t>6375967</t>
  </si>
  <si>
    <t>6373800</t>
  </si>
  <si>
    <t>6372838</t>
  </si>
  <si>
    <t>4956372201</t>
  </si>
  <si>
    <t>Левшинский Б. пер., дом. 17/25</t>
  </si>
  <si>
    <t>201-24-10</t>
  </si>
  <si>
    <t>(495)637-22-23</t>
  </si>
  <si>
    <t>4956372243</t>
  </si>
  <si>
    <t>201-21-16</t>
  </si>
  <si>
    <t>6373949</t>
  </si>
  <si>
    <t>84956372501</t>
  </si>
  <si>
    <t>6372492</t>
  </si>
  <si>
    <t>201-34-69</t>
  </si>
  <si>
    <t>-6372236</t>
  </si>
  <si>
    <t>6372236</t>
  </si>
  <si>
    <t>84956372465</t>
  </si>
  <si>
    <t>637-24-87</t>
  </si>
  <si>
    <t>6372643</t>
  </si>
  <si>
    <t>637-25-58</t>
  </si>
  <si>
    <t>4956372361</t>
  </si>
  <si>
    <t>201-25-38</t>
  </si>
  <si>
    <t>201-55-38</t>
  </si>
  <si>
    <t>201-59-60</t>
  </si>
  <si>
    <t>637-55-12</t>
  </si>
  <si>
    <t>4956375534</t>
  </si>
  <si>
    <t>Левшинский Б. пер., дом. 19</t>
  </si>
  <si>
    <t>Левшинский М. пер., дом. 1 к.8</t>
  </si>
  <si>
    <t>201-48-16</t>
  </si>
  <si>
    <t>201-27-70</t>
  </si>
  <si>
    <t>637-35-27</t>
  </si>
  <si>
    <t>637-49-10</t>
  </si>
  <si>
    <t>201-47-90</t>
  </si>
  <si>
    <t>637-40-89</t>
  </si>
  <si>
    <t>6373258</t>
  </si>
  <si>
    <t>4956373401</t>
  </si>
  <si>
    <t>Левшинский М. пер., дом. 1/32 стр.3</t>
  </si>
  <si>
    <t>4956374867</t>
  </si>
  <si>
    <t>4956373616</t>
  </si>
  <si>
    <t>Левшинский М. пер., дом. 3</t>
  </si>
  <si>
    <t>201-58-18</t>
  </si>
  <si>
    <t>4956374581</t>
  </si>
  <si>
    <t>84996374338</t>
  </si>
  <si>
    <t>201-45-61</t>
  </si>
  <si>
    <t>201-42-47</t>
  </si>
  <si>
    <t>4996374383</t>
  </si>
  <si>
    <t>4956374314</t>
  </si>
  <si>
    <t>6375852</t>
  </si>
  <si>
    <t>201-31-96</t>
  </si>
  <si>
    <t>6953292</t>
  </si>
  <si>
    <t>4956374125</t>
  </si>
  <si>
    <t>6374194</t>
  </si>
  <si>
    <t>84956375532</t>
  </si>
  <si>
    <t>84956374696</t>
  </si>
  <si>
    <t>6375263</t>
  </si>
  <si>
    <t>6375672</t>
  </si>
  <si>
    <t>4956375261</t>
  </si>
  <si>
    <t>4956375547</t>
  </si>
  <si>
    <t>201-57-54</t>
  </si>
  <si>
    <t>637-48-81</t>
  </si>
  <si>
    <t>-4956375729</t>
  </si>
  <si>
    <t>637-29-16</t>
  </si>
  <si>
    <t>201-49-58</t>
  </si>
  <si>
    <t>201-25-52</t>
  </si>
  <si>
    <t>201-52-70</t>
  </si>
  <si>
    <t>6374274</t>
  </si>
  <si>
    <t>4956375812</t>
  </si>
  <si>
    <t>4956374967</t>
  </si>
  <si>
    <t>201-40-63</t>
  </si>
  <si>
    <t>201-29-49</t>
  </si>
  <si>
    <t>201-58-63</t>
  </si>
  <si>
    <t>201-73-87</t>
  </si>
  <si>
    <t>6372221</t>
  </si>
  <si>
    <t>4956375141</t>
  </si>
  <si>
    <t>84956375001</t>
  </si>
  <si>
    <t>4956372347</t>
  </si>
  <si>
    <t>4992012761</t>
  </si>
  <si>
    <t>6372887</t>
  </si>
  <si>
    <t>201-24-58</t>
  </si>
  <si>
    <t>84956377215</t>
  </si>
  <si>
    <t>4956375734</t>
  </si>
  <si>
    <t>637-23-03</t>
  </si>
  <si>
    <t>637-26-09</t>
  </si>
  <si>
    <t>201-45-41</t>
  </si>
  <si>
    <t>4956373725</t>
  </si>
  <si>
    <t>4956374370</t>
  </si>
  <si>
    <t>6374267</t>
  </si>
  <si>
    <t>201-48-92</t>
  </si>
  <si>
    <t>4956374176</t>
  </si>
  <si>
    <t>201-37-45</t>
  </si>
  <si>
    <t>201-26-55</t>
  </si>
  <si>
    <t>201-27-33</t>
  </si>
  <si>
    <t>84956374072</t>
  </si>
  <si>
    <t>84956374136</t>
  </si>
  <si>
    <t>6372581</t>
  </si>
  <si>
    <t>Левшинский М. пер., дом. 10</t>
  </si>
  <si>
    <t>6375387</t>
  </si>
  <si>
    <t>6377377</t>
  </si>
  <si>
    <t>6375450</t>
  </si>
  <si>
    <t>13а</t>
  </si>
  <si>
    <t>6375249</t>
  </si>
  <si>
    <t>14а</t>
  </si>
  <si>
    <t>201-21-63</t>
  </si>
  <si>
    <t>6375936</t>
  </si>
  <si>
    <t>6372121</t>
  </si>
  <si>
    <t>6373247</t>
  </si>
  <si>
    <t>19а</t>
  </si>
  <si>
    <t>-6374534</t>
  </si>
  <si>
    <t>20а</t>
  </si>
  <si>
    <t>Левшинский М. пер., дом. 12</t>
  </si>
  <si>
    <t>84956374532</t>
  </si>
  <si>
    <t>4956375269</t>
  </si>
  <si>
    <t>6375236</t>
  </si>
  <si>
    <t>201-93-54</t>
  </si>
  <si>
    <t>6375809</t>
  </si>
  <si>
    <t>84956377152</t>
  </si>
  <si>
    <t>4956374385</t>
  </si>
  <si>
    <t>4956375836</t>
  </si>
  <si>
    <t>4956373839</t>
  </si>
  <si>
    <t>4956374032</t>
  </si>
  <si>
    <t>637-42-89</t>
  </si>
  <si>
    <t>201-59-10</t>
  </si>
  <si>
    <t>201-52-94</t>
  </si>
  <si>
    <t>Левшинский М. пер., дом. 14/9 стр.1</t>
  </si>
  <si>
    <t>201-52-50</t>
  </si>
  <si>
    <t>201-49-38</t>
  </si>
  <si>
    <t>4956375345</t>
  </si>
  <si>
    <t>4956374309</t>
  </si>
  <si>
    <t>201-43-96</t>
  </si>
  <si>
    <t>201-43-56</t>
  </si>
  <si>
    <t>6372314</t>
  </si>
  <si>
    <t>4956374316</t>
  </si>
  <si>
    <t>84956372345</t>
  </si>
  <si>
    <t>725-98-81</t>
  </si>
  <si>
    <t>4956377980</t>
  </si>
  <si>
    <t>201-52-83</t>
  </si>
  <si>
    <t>201-59-12</t>
  </si>
  <si>
    <t>201-43-01</t>
  </si>
  <si>
    <t>6374961</t>
  </si>
  <si>
    <t>6374201</t>
  </si>
  <si>
    <t>6374135</t>
  </si>
  <si>
    <t>201-22-92</t>
  </si>
  <si>
    <t>4956375921</t>
  </si>
  <si>
    <t>201-28-56</t>
  </si>
  <si>
    <t>6375901</t>
  </si>
  <si>
    <t>6374352</t>
  </si>
  <si>
    <t>6372198</t>
  </si>
  <si>
    <t>4956375989</t>
  </si>
  <si>
    <t>4956375356</t>
  </si>
  <si>
    <t>4956375254</t>
  </si>
  <si>
    <t>201-54-56</t>
  </si>
  <si>
    <t>6375949</t>
  </si>
  <si>
    <t>4956373929</t>
  </si>
  <si>
    <t>4956375216</t>
  </si>
  <si>
    <t>4956375476</t>
  </si>
  <si>
    <t>4996375350</t>
  </si>
  <si>
    <t>201-52-81</t>
  </si>
  <si>
    <t>4956374276</t>
  </si>
  <si>
    <t>34А</t>
  </si>
  <si>
    <t>201-53-58</t>
  </si>
  <si>
    <t>4956373155</t>
  </si>
  <si>
    <t>6372294</t>
  </si>
  <si>
    <t>201-21-61</t>
  </si>
  <si>
    <t>4956372150</t>
  </si>
  <si>
    <t>6375934</t>
  </si>
  <si>
    <t>637-32-16</t>
  </si>
  <si>
    <t>637-21-67</t>
  </si>
  <si>
    <t>6375285</t>
  </si>
  <si>
    <t>201-21-83</t>
  </si>
  <si>
    <t>-4956375814</t>
  </si>
  <si>
    <t>4956375323</t>
  </si>
  <si>
    <t>4956375985</t>
  </si>
  <si>
    <t>4956374292</t>
  </si>
  <si>
    <t>84956375321</t>
  </si>
  <si>
    <t>495 637-52-27</t>
  </si>
  <si>
    <t>201-52-45</t>
  </si>
  <si>
    <t>4956375383</t>
  </si>
  <si>
    <t>+7(495)637-40-38</t>
  </si>
  <si>
    <t>4956374216</t>
  </si>
  <si>
    <t>637-54-91</t>
  </si>
  <si>
    <t>4956374221</t>
  </si>
  <si>
    <t>-6374621</t>
  </si>
  <si>
    <t>201-53-27</t>
  </si>
  <si>
    <t>201-46-48</t>
  </si>
  <si>
    <t>201-21-54</t>
  </si>
  <si>
    <t>4956375365</t>
  </si>
  <si>
    <t>499-637-24-13</t>
  </si>
  <si>
    <t>201-53-03</t>
  </si>
  <si>
    <t>637-42-52</t>
  </si>
  <si>
    <t>201-23-96</t>
  </si>
  <si>
    <t>637-53-94</t>
  </si>
  <si>
    <t>6375938</t>
  </si>
  <si>
    <t>201-58-01</t>
  </si>
  <si>
    <t>201-59-98</t>
  </si>
  <si>
    <t>84956375947</t>
  </si>
  <si>
    <t>84956375449</t>
  </si>
  <si>
    <t>201-59-32</t>
  </si>
  <si>
    <t>201-49-27</t>
  </si>
  <si>
    <t>201-49-09</t>
  </si>
  <si>
    <t>+7(968)797-79-11</t>
  </si>
  <si>
    <t>4956374178</t>
  </si>
  <si>
    <t>74А</t>
  </si>
  <si>
    <t>201-23-85</t>
  </si>
  <si>
    <t>201-59-78</t>
  </si>
  <si>
    <t>4956375325</t>
  </si>
  <si>
    <t>637-21-41</t>
  </si>
  <si>
    <t>201-54-58</t>
  </si>
  <si>
    <t>201-43-50</t>
  </si>
  <si>
    <t>4956374303</t>
  </si>
  <si>
    <t>84956375256</t>
  </si>
  <si>
    <t>-89152879235</t>
  </si>
  <si>
    <t>201-53-05</t>
  </si>
  <si>
    <t>Левшинский М. пер., дом. 14/9 стр.2</t>
  </si>
  <si>
    <t>4956374365</t>
  </si>
  <si>
    <t>201-52-67</t>
  </si>
  <si>
    <t>4956375301</t>
  </si>
  <si>
    <t>201-26-94</t>
  </si>
  <si>
    <t>4956357381</t>
  </si>
  <si>
    <t>4996375147</t>
  </si>
  <si>
    <t>4956375854</t>
  </si>
  <si>
    <t>4956375821</t>
  </si>
  <si>
    <t>-4956375821</t>
  </si>
  <si>
    <t>4956374307</t>
  </si>
  <si>
    <t>110А</t>
  </si>
  <si>
    <t>637-54-45</t>
  </si>
  <si>
    <t>4956375225</t>
  </si>
  <si>
    <t>4957618152</t>
  </si>
  <si>
    <t>4956375314</t>
  </si>
  <si>
    <t>113А</t>
  </si>
  <si>
    <t>4956373892</t>
  </si>
  <si>
    <t>201-52-25</t>
  </si>
  <si>
    <t>Лужнецкий пр., дом. 13а</t>
  </si>
  <si>
    <t>Льва Толстого ул., дом. 3</t>
  </si>
  <si>
    <t>246-54-14</t>
  </si>
  <si>
    <t>246-23-22</t>
  </si>
  <si>
    <t>84992450503</t>
  </si>
  <si>
    <t>247-02-57</t>
  </si>
  <si>
    <t>84992552259</t>
  </si>
  <si>
    <t>4992466962</t>
  </si>
  <si>
    <t>84998460418</t>
  </si>
  <si>
    <t>245-17-87</t>
  </si>
  <si>
    <t>-4992467494</t>
  </si>
  <si>
    <t>246-45-86</t>
  </si>
  <si>
    <t>247-05-09</t>
  </si>
  <si>
    <t>4992469808</t>
  </si>
  <si>
    <t>4992451114</t>
  </si>
  <si>
    <t>4992461566</t>
  </si>
  <si>
    <t>499-246-88-27</t>
  </si>
  <si>
    <t>246-89-38</t>
  </si>
  <si>
    <t>245-11-92</t>
  </si>
  <si>
    <t>4992467410</t>
  </si>
  <si>
    <t>245-11-93</t>
  </si>
  <si>
    <t>246-02-15</t>
  </si>
  <si>
    <t>4992460305</t>
  </si>
  <si>
    <t>4992552065</t>
  </si>
  <si>
    <t>245-23-35</t>
  </si>
  <si>
    <t>248-28-12</t>
  </si>
  <si>
    <t>245-08-13</t>
  </si>
  <si>
    <t>499 245-05-67</t>
  </si>
  <si>
    <t>4992464182</t>
  </si>
  <si>
    <t>4992468411</t>
  </si>
  <si>
    <t>499 246-24-22</t>
  </si>
  <si>
    <t>245-39-22</t>
  </si>
  <si>
    <t>246-77-94</t>
  </si>
  <si>
    <t>499-245-05-68</t>
  </si>
  <si>
    <t>4992468232</t>
  </si>
  <si>
    <t>4992464625</t>
  </si>
  <si>
    <t>246-22-14</t>
  </si>
  <si>
    <t>245-39-21</t>
  </si>
  <si>
    <t>4992468378</t>
  </si>
  <si>
    <t>84952467973</t>
  </si>
  <si>
    <t>499-246-28-34</t>
  </si>
  <si>
    <t>4992468725</t>
  </si>
  <si>
    <t>4992469954</t>
  </si>
  <si>
    <t>4992462874</t>
  </si>
  <si>
    <t>4992467897</t>
  </si>
  <si>
    <t>246-78-99</t>
  </si>
  <si>
    <t>247-06-88</t>
  </si>
  <si>
    <t>499-245-33-02</t>
  </si>
  <si>
    <t>246-77-75</t>
  </si>
  <si>
    <t>246-88-44</t>
  </si>
  <si>
    <t>246-66-92</t>
  </si>
  <si>
    <t>84992466689</t>
  </si>
  <si>
    <t>4992461553</t>
  </si>
  <si>
    <t>246-75-99</t>
  </si>
  <si>
    <t>499-246-86-83</t>
  </si>
  <si>
    <t>4992464591</t>
  </si>
  <si>
    <t>4992461580</t>
  </si>
  <si>
    <t>4992464581</t>
  </si>
  <si>
    <t>246-65-26</t>
  </si>
  <si>
    <t>4992464580</t>
  </si>
  <si>
    <t>84992463407</t>
  </si>
  <si>
    <t>246-35-20</t>
  </si>
  <si>
    <t>4992552777</t>
  </si>
  <si>
    <t>2464592</t>
  </si>
  <si>
    <t>4992462894</t>
  </si>
  <si>
    <t>4992465102</t>
  </si>
  <si>
    <t>49924620115</t>
  </si>
  <si>
    <t>246-48-38</t>
  </si>
  <si>
    <t>246-88-89</t>
  </si>
  <si>
    <t>-4992465959</t>
  </si>
  <si>
    <t>84992464072</t>
  </si>
  <si>
    <t>84992465325</t>
  </si>
  <si>
    <t>Мансуровский пер., дом. 1/4</t>
  </si>
  <si>
    <t>202-13-15</t>
  </si>
  <si>
    <t>Мансуровский пер., дом. 8</t>
  </si>
  <si>
    <t>4956951490</t>
  </si>
  <si>
    <t>4956951461</t>
  </si>
  <si>
    <t>4956950139</t>
  </si>
  <si>
    <t>4956951486</t>
  </si>
  <si>
    <t>4956951424</t>
  </si>
  <si>
    <t>4956951421</t>
  </si>
  <si>
    <t>4959651427</t>
  </si>
  <si>
    <t>4956951524</t>
  </si>
  <si>
    <t>4956951460</t>
  </si>
  <si>
    <t>4956951475</t>
  </si>
  <si>
    <t>-4956951451</t>
  </si>
  <si>
    <t>4956951507</t>
  </si>
  <si>
    <t>4956951439</t>
  </si>
  <si>
    <t>4956951457</t>
  </si>
  <si>
    <t>4956951472</t>
  </si>
  <si>
    <t>4956951454</t>
  </si>
  <si>
    <t>4956951445</t>
  </si>
  <si>
    <t>4956951438</t>
  </si>
  <si>
    <t>4956951431</t>
  </si>
  <si>
    <t>4956950084</t>
  </si>
  <si>
    <t>4956951430</t>
  </si>
  <si>
    <t>4956951428</t>
  </si>
  <si>
    <t>-999</t>
  </si>
  <si>
    <t>4956951450</t>
  </si>
  <si>
    <t>4992466992</t>
  </si>
  <si>
    <t>4956373966</t>
  </si>
  <si>
    <t>4956951474</t>
  </si>
  <si>
    <t>9039689268</t>
  </si>
  <si>
    <t>4956951451</t>
  </si>
  <si>
    <t>4956951047</t>
  </si>
  <si>
    <t>4956951485</t>
  </si>
  <si>
    <t>4956951531</t>
  </si>
  <si>
    <t>4956951447</t>
  </si>
  <si>
    <t>4956951442</t>
  </si>
  <si>
    <t>4956371494</t>
  </si>
  <si>
    <t>4956374059</t>
  </si>
  <si>
    <t>4956951449</t>
  </si>
  <si>
    <t>4957280501</t>
  </si>
  <si>
    <t>4956951484</t>
  </si>
  <si>
    <t>4956951448</t>
  </si>
  <si>
    <t>4956951446</t>
  </si>
  <si>
    <t>-4956951439</t>
  </si>
  <si>
    <t>4956951426</t>
  </si>
  <si>
    <t>4956951425</t>
  </si>
  <si>
    <t>-4956951462</t>
  </si>
  <si>
    <t>4956951440</t>
  </si>
  <si>
    <t>4956951437</t>
  </si>
  <si>
    <t>4956951436</t>
  </si>
  <si>
    <t>Мансуровский пер., дом. 10 стр.1</t>
  </si>
  <si>
    <t>33,34</t>
  </si>
  <si>
    <t>4956372101</t>
  </si>
  <si>
    <t>6374625</t>
  </si>
  <si>
    <t>201-45-89</t>
  </si>
  <si>
    <t>6372975</t>
  </si>
  <si>
    <t>6372475</t>
  </si>
  <si>
    <t>637-48-18</t>
  </si>
  <si>
    <t>201-29-63</t>
  </si>
  <si>
    <t>637-46-52</t>
  </si>
  <si>
    <t>6372950</t>
  </si>
  <si>
    <t>201-39-80</t>
  </si>
  <si>
    <t>4956372945</t>
  </si>
  <si>
    <t>201-21-18</t>
  </si>
  <si>
    <t>201-21-92</t>
  </si>
  <si>
    <t>201-41-13</t>
  </si>
  <si>
    <t>6373946</t>
  </si>
  <si>
    <t>201-21-87</t>
  </si>
  <si>
    <t>Мансуровский пер., дом. 10 стр.1А</t>
  </si>
  <si>
    <t>Мансуровский пер., дом. 10 стр.2</t>
  </si>
  <si>
    <t>84996375533</t>
  </si>
  <si>
    <t>6374647</t>
  </si>
  <si>
    <t>201-38-14</t>
  </si>
  <si>
    <t>201-47-14</t>
  </si>
  <si>
    <t>201-29-65</t>
  </si>
  <si>
    <t>201-46-29</t>
  </si>
  <si>
    <t>201-46-30</t>
  </si>
  <si>
    <t>201-21-10</t>
  </si>
  <si>
    <t>201-21-05</t>
  </si>
  <si>
    <t>201-39-84</t>
  </si>
  <si>
    <t>4956374805</t>
  </si>
  <si>
    <t>4956374829</t>
  </si>
  <si>
    <t>6372178</t>
  </si>
  <si>
    <t>4956374905</t>
  </si>
  <si>
    <t>4956374114</t>
  </si>
  <si>
    <t>201-29-38</t>
  </si>
  <si>
    <t>637-38-20</t>
  </si>
  <si>
    <t>201-49-23</t>
  </si>
  <si>
    <t>Мансуровский пер., дом. 13</t>
  </si>
  <si>
    <t>4956951555</t>
  </si>
  <si>
    <t>84956371903</t>
  </si>
  <si>
    <t>84956378905</t>
  </si>
  <si>
    <t>84956371775</t>
  </si>
  <si>
    <t>201-38-74</t>
  </si>
  <si>
    <t>4956363872</t>
  </si>
  <si>
    <t>Нащокинский пер., дом. 6</t>
  </si>
  <si>
    <t>4956951027</t>
  </si>
  <si>
    <t>695-08-32</t>
  </si>
  <si>
    <t>4956950998</t>
  </si>
  <si>
    <t>4956957474</t>
  </si>
  <si>
    <t>4956950920</t>
  </si>
  <si>
    <t>84956950834</t>
  </si>
  <si>
    <t>291-16-73</t>
  </si>
  <si>
    <t>291-21-46</t>
  </si>
  <si>
    <t>84956950748</t>
  </si>
  <si>
    <t>4956950827</t>
  </si>
  <si>
    <t>4956950658</t>
  </si>
  <si>
    <t>291-21-57</t>
  </si>
  <si>
    <t>4957609997</t>
  </si>
  <si>
    <t>291-21-95</t>
  </si>
  <si>
    <t>Неопалимовский 1-й пер., дом. 3/10</t>
  </si>
  <si>
    <t>248-10-68</t>
  </si>
  <si>
    <t>499-248-04-35</t>
  </si>
  <si>
    <t>248-20-13</t>
  </si>
  <si>
    <t>84992410818</t>
  </si>
  <si>
    <t>244-02-28</t>
  </si>
  <si>
    <t>4992487670</t>
  </si>
  <si>
    <t>241-43-35</t>
  </si>
  <si>
    <t>248-36-28</t>
  </si>
  <si>
    <t>244-03-48</t>
  </si>
  <si>
    <t>84992487375</t>
  </si>
  <si>
    <t>244-01-71</t>
  </si>
  <si>
    <t>4992483041</t>
  </si>
  <si>
    <t>248-60-58</t>
  </si>
  <si>
    <t>244-03-90</t>
  </si>
  <si>
    <t>244-05-84</t>
  </si>
  <si>
    <t>244-02-22</t>
  </si>
  <si>
    <t>4992528541</t>
  </si>
  <si>
    <t>4992528290</t>
  </si>
  <si>
    <t>4992485650</t>
  </si>
  <si>
    <t>11а</t>
  </si>
  <si>
    <t>4992418935</t>
  </si>
  <si>
    <t>4992419019</t>
  </si>
  <si>
    <t>4992419215</t>
  </si>
  <si>
    <t>241-82-79</t>
  </si>
  <si>
    <t>4992527742</t>
  </si>
  <si>
    <t>241-77-78</t>
  </si>
  <si>
    <t>4992480557</t>
  </si>
  <si>
    <t>4992419473</t>
  </si>
  <si>
    <t>+8(499)252-72-72</t>
  </si>
  <si>
    <t>241-88-14</t>
  </si>
  <si>
    <t>241-80-14</t>
  </si>
  <si>
    <t>241-99-19</t>
  </si>
  <si>
    <t>241-96-14</t>
  </si>
  <si>
    <t>241-75-79</t>
  </si>
  <si>
    <t>244-00-19</t>
  </si>
  <si>
    <t>84992418454</t>
  </si>
  <si>
    <t>2527311</t>
  </si>
  <si>
    <t>241-99-17</t>
  </si>
  <si>
    <t>Неопалимовский 1-й пер., дом. 9/15</t>
  </si>
  <si>
    <t>84992482304</t>
  </si>
  <si>
    <t>4992482895</t>
  </si>
  <si>
    <t>2484538</t>
  </si>
  <si>
    <t>-4992527874</t>
  </si>
  <si>
    <t>248-04-15</t>
  </si>
  <si>
    <t>2528411</t>
  </si>
  <si>
    <t>4992528197</t>
  </si>
  <si>
    <t>244-04-82</t>
  </si>
  <si>
    <t>248-04-18</t>
  </si>
  <si>
    <t>4992483995</t>
  </si>
  <si>
    <t>4992484569</t>
  </si>
  <si>
    <t>Неопалимовский 1-й пер., дом. 10</t>
  </si>
  <si>
    <t>4992480345</t>
  </si>
  <si>
    <t>84992528385</t>
  </si>
  <si>
    <t>84992484515</t>
  </si>
  <si>
    <t>244-07-63</t>
  </si>
  <si>
    <t>248-16-57</t>
  </si>
  <si>
    <t>84992484136</t>
  </si>
  <si>
    <t>2527045</t>
  </si>
  <si>
    <t>248-04-78</t>
  </si>
  <si>
    <t>4992485668</t>
  </si>
  <si>
    <t>244-06-20</t>
  </si>
  <si>
    <t>84992482897</t>
  </si>
  <si>
    <t>248-29-60</t>
  </si>
  <si>
    <t>244-33-78</t>
  </si>
  <si>
    <t>4992528146</t>
  </si>
  <si>
    <t>4992527882</t>
  </si>
  <si>
    <t>248-45-58</t>
  </si>
  <si>
    <t>4992411761</t>
  </si>
  <si>
    <t>244-00-59</t>
  </si>
  <si>
    <t>2528652</t>
  </si>
  <si>
    <t>248-32-97</t>
  </si>
  <si>
    <t>4992480370</t>
  </si>
  <si>
    <t>24А</t>
  </si>
  <si>
    <t>244-72-33</t>
  </si>
  <si>
    <t>2527044</t>
  </si>
  <si>
    <t>248-09-20</t>
  </si>
  <si>
    <t>244-79-19</t>
  </si>
  <si>
    <t>-4992527893</t>
  </si>
  <si>
    <t>4992482172</t>
  </si>
  <si>
    <t>2528520</t>
  </si>
  <si>
    <t>84992481542</t>
  </si>
  <si>
    <t>2485004</t>
  </si>
  <si>
    <t>84992528623</t>
  </si>
  <si>
    <t>4992482929</t>
  </si>
  <si>
    <t>4992528638</t>
  </si>
  <si>
    <t>84992480485</t>
  </si>
  <si>
    <t>4992527534</t>
  </si>
  <si>
    <t>4992482902</t>
  </si>
  <si>
    <t>4992481636</t>
  </si>
  <si>
    <t>4992412009</t>
  </si>
  <si>
    <t>244-09-68</t>
  </si>
  <si>
    <t>248-29-36</t>
  </si>
  <si>
    <t>4992528869</t>
  </si>
  <si>
    <t>4992527026</t>
  </si>
  <si>
    <t>4992483553</t>
  </si>
  <si>
    <t>241-20-23</t>
  </si>
  <si>
    <t>89255050048</t>
  </si>
  <si>
    <t>4992482948</t>
  </si>
  <si>
    <t>Неопалимовский 1-й пер., дом. 11/22</t>
  </si>
  <si>
    <t>4992463813</t>
  </si>
  <si>
    <t>246-80-51</t>
  </si>
  <si>
    <t>4992467379</t>
  </si>
  <si>
    <t>246-69-65</t>
  </si>
  <si>
    <t>4992468111</t>
  </si>
  <si>
    <t>246-36-04</t>
  </si>
  <si>
    <t>246-21-79</t>
  </si>
  <si>
    <t>246-64-53</t>
  </si>
  <si>
    <t>4992557058</t>
  </si>
  <si>
    <t>246-64-38</t>
  </si>
  <si>
    <t>4992451202</t>
  </si>
  <si>
    <t>246-68-52</t>
  </si>
  <si>
    <t>246-77-87</t>
  </si>
  <si>
    <t>246-70-55</t>
  </si>
  <si>
    <t>246-43-96</t>
  </si>
  <si>
    <t>84992451713</t>
  </si>
  <si>
    <t>246-28-75</t>
  </si>
  <si>
    <t>84992453823</t>
  </si>
  <si>
    <t>245-07-39</t>
  </si>
  <si>
    <t>4992466417</t>
  </si>
  <si>
    <t>4992464834</t>
  </si>
  <si>
    <t>246-31-72</t>
  </si>
  <si>
    <t>4992462718</t>
  </si>
  <si>
    <t>246-43-55</t>
  </si>
  <si>
    <t>246-27-85</t>
  </si>
  <si>
    <t>246-73-82</t>
  </si>
  <si>
    <t>Неопалимовский 1-й пер., дом. 14/16</t>
  </si>
  <si>
    <t>244-05-36</t>
  </si>
  <si>
    <t>248-03-54</t>
  </si>
  <si>
    <t>2527006</t>
  </si>
  <si>
    <t>4992528421</t>
  </si>
  <si>
    <t>4992528441</t>
  </si>
  <si>
    <t>244-04-53</t>
  </si>
  <si>
    <t>4992415938</t>
  </si>
  <si>
    <t>84992527220</t>
  </si>
  <si>
    <t>-2528676</t>
  </si>
  <si>
    <t>-4992528170</t>
  </si>
  <si>
    <t>(499)252-81-70</t>
  </si>
  <si>
    <t>244-01-70</t>
  </si>
  <si>
    <t>2528467</t>
  </si>
  <si>
    <t>248-41-39</t>
  </si>
  <si>
    <t>4992528187</t>
  </si>
  <si>
    <t>4992528050</t>
  </si>
  <si>
    <t>2528410</t>
  </si>
  <si>
    <t>244-00-60</t>
  </si>
  <si>
    <t>4992528177</t>
  </si>
  <si>
    <t>4992528116</t>
  </si>
  <si>
    <t>4992413842</t>
  </si>
  <si>
    <t>4992528434</t>
  </si>
  <si>
    <t>244-01-90</t>
  </si>
  <si>
    <t>Неопалимовский 1-й пер., дом. 16/13</t>
  </si>
  <si>
    <t>499-143-06-23</t>
  </si>
  <si>
    <t>84992528002</t>
  </si>
  <si>
    <t>4992528550</t>
  </si>
  <si>
    <t>4992467636</t>
  </si>
  <si>
    <t>244-05-46</t>
  </si>
  <si>
    <t>4992417396</t>
  </si>
  <si>
    <t>244-00-61</t>
  </si>
  <si>
    <t>-4992419594</t>
  </si>
  <si>
    <t>248-63-15</t>
  </si>
  <si>
    <t>Неопалимовский 2-й пер., дом. 7</t>
  </si>
  <si>
    <t>245-30-74</t>
  </si>
  <si>
    <t>4992461556</t>
  </si>
  <si>
    <t>84992469606</t>
  </si>
  <si>
    <t>246-90-13</t>
  </si>
  <si>
    <t>4992469634</t>
  </si>
  <si>
    <t>246-20-88</t>
  </si>
  <si>
    <t>4992553799</t>
  </si>
  <si>
    <t>246-31-37</t>
  </si>
  <si>
    <t>4992463037</t>
  </si>
  <si>
    <t>246-36-55</t>
  </si>
  <si>
    <t>246-23-76</t>
  </si>
  <si>
    <t>246-23-56</t>
  </si>
  <si>
    <t>246-23-96</t>
  </si>
  <si>
    <t>Неопалимовский 2-й пер., дом. 11</t>
  </si>
  <si>
    <t>8492487796</t>
  </si>
  <si>
    <t>4992469626</t>
  </si>
  <si>
    <t>4992465984</t>
  </si>
  <si>
    <t>246-40-18</t>
  </si>
  <si>
    <t>246-41-19</t>
  </si>
  <si>
    <t>246-41-17</t>
  </si>
  <si>
    <t>84992463071</t>
  </si>
  <si>
    <t>4992453575</t>
  </si>
  <si>
    <t>245-36-76</t>
  </si>
  <si>
    <t>245-36-75</t>
  </si>
  <si>
    <t>4997664255</t>
  </si>
  <si>
    <t>248-25-53</t>
  </si>
  <si>
    <t>4992463729</t>
  </si>
  <si>
    <t>246-92-90</t>
  </si>
  <si>
    <t>248-59-45</t>
  </si>
  <si>
    <t>246-95-10</t>
  </si>
  <si>
    <t>246-89-30</t>
  </si>
  <si>
    <t>4992467293</t>
  </si>
  <si>
    <t>499-246-77-14</t>
  </si>
  <si>
    <t>4992467714</t>
  </si>
  <si>
    <t>245-27-81</t>
  </si>
  <si>
    <t>4992467773</t>
  </si>
  <si>
    <t>4992468188</t>
  </si>
  <si>
    <t>246-15-98</t>
  </si>
  <si>
    <t>246-83-88</t>
  </si>
  <si>
    <t>Новодевичий пр., дом. 2</t>
  </si>
  <si>
    <t>245-49-29</t>
  </si>
  <si>
    <t>499-246-09-22</t>
  </si>
  <si>
    <t>246-45-08</t>
  </si>
  <si>
    <t>246-16-08</t>
  </si>
  <si>
    <t>4992552401</t>
  </si>
  <si>
    <t>4992557803</t>
  </si>
  <si>
    <t>4992465656</t>
  </si>
  <si>
    <t>4992464071</t>
  </si>
  <si>
    <t>84992463972</t>
  </si>
  <si>
    <t>+8(499)246-00-27</t>
  </si>
  <si>
    <t>499-246-56-87</t>
  </si>
  <si>
    <t>+8(499)245-76-81</t>
  </si>
  <si>
    <t>246-64-50</t>
  </si>
  <si>
    <t>4992467932</t>
  </si>
  <si>
    <t>246-56-94</t>
  </si>
  <si>
    <t>246-98-76</t>
  </si>
  <si>
    <t>4992464195</t>
  </si>
  <si>
    <t>247-18-27</t>
  </si>
  <si>
    <t>245-59-89</t>
  </si>
  <si>
    <t>246-54-60</t>
  </si>
  <si>
    <t>4992552438</t>
  </si>
  <si>
    <t>4992465647</t>
  </si>
  <si>
    <t>4992465644</t>
  </si>
  <si>
    <t>4992557526</t>
  </si>
  <si>
    <t>246-33-56</t>
  </si>
  <si>
    <t>4992462472</t>
  </si>
  <si>
    <t>84992453398</t>
  </si>
  <si>
    <t>4992552410</t>
  </si>
  <si>
    <t>84992552192</t>
  </si>
  <si>
    <t>4992552193</t>
  </si>
  <si>
    <t>-4992465574</t>
  </si>
  <si>
    <t>247-14-20</t>
  </si>
  <si>
    <t>246-95-53</t>
  </si>
  <si>
    <t>4992485984</t>
  </si>
  <si>
    <t>247-02-07</t>
  </si>
  <si>
    <t>4992552208</t>
  </si>
  <si>
    <t>84992552062</t>
  </si>
  <si>
    <t>246-87-19</t>
  </si>
  <si>
    <t>4992465580</t>
  </si>
  <si>
    <t>84992461729</t>
  </si>
  <si>
    <t>247-02-09</t>
  </si>
  <si>
    <t>246-55-96</t>
  </si>
  <si>
    <t>84992465585</t>
  </si>
  <si>
    <t>246-55-85</t>
  </si>
  <si>
    <t>247-02-10</t>
  </si>
  <si>
    <t>246-56-03</t>
  </si>
  <si>
    <t>+7(925)641-76-27</t>
  </si>
  <si>
    <t>84992552338</t>
  </si>
  <si>
    <t>84992566978</t>
  </si>
  <si>
    <t>4992552287</t>
  </si>
  <si>
    <t>246-55-55</t>
  </si>
  <si>
    <t>84992552049</t>
  </si>
  <si>
    <t>4992552596</t>
  </si>
  <si>
    <t>4992463967</t>
  </si>
  <si>
    <t>4992465570</t>
  </si>
  <si>
    <t>499-246-86-43</t>
  </si>
  <si>
    <t>4992552327</t>
  </si>
  <si>
    <t>247-18-10</t>
  </si>
  <si>
    <t>84992469309</t>
  </si>
  <si>
    <t>245-35-90</t>
  </si>
  <si>
    <t>84992465465</t>
  </si>
  <si>
    <t>246-54-79</t>
  </si>
  <si>
    <t>247-64-74</t>
  </si>
  <si>
    <t>246-63-26</t>
  </si>
  <si>
    <t>499-245-74-36</t>
  </si>
  <si>
    <t>4992552592</t>
  </si>
  <si>
    <t>4992552787</t>
  </si>
  <si>
    <t>4992465492</t>
  </si>
  <si>
    <t>4992465485</t>
  </si>
  <si>
    <t>4992457981</t>
  </si>
  <si>
    <t>246-41-96</t>
  </si>
  <si>
    <t>499-246-41-45</t>
  </si>
  <si>
    <t>49925520155</t>
  </si>
  <si>
    <t>245-39-94</t>
  </si>
  <si>
    <t>4992463245</t>
  </si>
  <si>
    <t>4992463249</t>
  </si>
  <si>
    <t>4992465358</t>
  </si>
  <si>
    <t>4992465112</t>
  </si>
  <si>
    <t>246-40-51</t>
  </si>
  <si>
    <t>245-34-57</t>
  </si>
  <si>
    <t>247-13-40</t>
  </si>
  <si>
    <t>4992557345</t>
  </si>
  <si>
    <t>4992464125</t>
  </si>
  <si>
    <t>4992464070</t>
  </si>
  <si>
    <t>4992463884</t>
  </si>
  <si>
    <t>84992467111</t>
  </si>
  <si>
    <t>246-06-46</t>
  </si>
  <si>
    <t>4992452693</t>
  </si>
  <si>
    <t>499-255-29-44</t>
  </si>
  <si>
    <t>4992466229</t>
  </si>
  <si>
    <t>84992557349</t>
  </si>
  <si>
    <t>84992557292</t>
  </si>
  <si>
    <t>499-246-06-22</t>
  </si>
  <si>
    <t>499-245-15-91</t>
  </si>
  <si>
    <t>246-62-46</t>
  </si>
  <si>
    <t>247-14-46</t>
  </si>
  <si>
    <t>000-000-00-00</t>
  </si>
  <si>
    <t>84992552293</t>
  </si>
  <si>
    <t>246-62-51</t>
  </si>
  <si>
    <t>4992462027</t>
  </si>
  <si>
    <t>4992557800</t>
  </si>
  <si>
    <t>247-05-06</t>
  </si>
  <si>
    <t>247-08-00</t>
  </si>
  <si>
    <t>4992552220</t>
  </si>
  <si>
    <t>4992557365</t>
  </si>
  <si>
    <t>4992552272</t>
  </si>
  <si>
    <t>247-02-24</t>
  </si>
  <si>
    <t>4992557362</t>
  </si>
  <si>
    <t>247-30-26</t>
  </si>
  <si>
    <t>84992552900</t>
  </si>
  <si>
    <t>247-09-01</t>
  </si>
  <si>
    <t>-84992461612</t>
  </si>
  <si>
    <t>4992552022</t>
  </si>
  <si>
    <t>247-08-22</t>
  </si>
  <si>
    <t>499-246-46-94</t>
  </si>
  <si>
    <t>4992557204</t>
  </si>
  <si>
    <t>-4992557207</t>
  </si>
  <si>
    <t>4992552820</t>
  </si>
  <si>
    <t>247-02-71</t>
  </si>
  <si>
    <t>499 255-22-62</t>
  </si>
  <si>
    <t>84992557170</t>
  </si>
  <si>
    <t>246-37-70</t>
  </si>
  <si>
    <t>247-12-20</t>
  </si>
  <si>
    <t>4992557282</t>
  </si>
  <si>
    <t>247-11-71</t>
  </si>
  <si>
    <t>4992557469</t>
  </si>
  <si>
    <t>247-14-70</t>
  </si>
  <si>
    <t>4992552936</t>
  </si>
  <si>
    <t>247-06-21</t>
  </si>
  <si>
    <t>247-07-32</t>
  </si>
  <si>
    <t>247-07-33</t>
  </si>
  <si>
    <t>4992552042</t>
  </si>
  <si>
    <t>499-255-20-42</t>
  </si>
  <si>
    <t>246-24-47</t>
  </si>
  <si>
    <t>4992463575</t>
  </si>
  <si>
    <t>84992557261</t>
  </si>
  <si>
    <t>4992557269</t>
  </si>
  <si>
    <t>4992456491</t>
  </si>
  <si>
    <t>4992552150</t>
  </si>
  <si>
    <t>4992552306</t>
  </si>
  <si>
    <t>4992552082</t>
  </si>
  <si>
    <t>84992557059</t>
  </si>
  <si>
    <t>247-10-62</t>
  </si>
  <si>
    <t>4992456319</t>
  </si>
  <si>
    <t>247-03-12</t>
  </si>
  <si>
    <t>247-06-82</t>
  </si>
  <si>
    <t>4992552186</t>
  </si>
  <si>
    <t>84992552089</t>
  </si>
  <si>
    <t>84992557481</t>
  </si>
  <si>
    <t>499-255-70-88</t>
  </si>
  <si>
    <t>84992557089</t>
  </si>
  <si>
    <t>4992552288</t>
  </si>
  <si>
    <t>84992557489</t>
  </si>
  <si>
    <t>499-255-73-92</t>
  </si>
  <si>
    <t>247-13-98</t>
  </si>
  <si>
    <t>84992552449</t>
  </si>
  <si>
    <t>4992552449</t>
  </si>
  <si>
    <t>4992552054</t>
  </si>
  <si>
    <t>246-21-16</t>
  </si>
  <si>
    <t>4992552278</t>
  </si>
  <si>
    <t>247-08-50</t>
  </si>
  <si>
    <t>247-08-52</t>
  </si>
  <si>
    <t>8499246-54-52</t>
  </si>
  <si>
    <t>84992465452</t>
  </si>
  <si>
    <t>247-03-20</t>
  </si>
  <si>
    <t>Новодевичий пр., дом. 4</t>
  </si>
  <si>
    <t>499-255-78-44</t>
  </si>
  <si>
    <t>4992452827</t>
  </si>
  <si>
    <t>-4992552795</t>
  </si>
  <si>
    <t>246-68-65</t>
  </si>
  <si>
    <t>499 246-16-24</t>
  </si>
  <si>
    <t>4992457766</t>
  </si>
  <si>
    <t>4992467129</t>
  </si>
  <si>
    <t>84992552794</t>
  </si>
  <si>
    <t>84992552894</t>
  </si>
  <si>
    <t>499-255-28-95</t>
  </si>
  <si>
    <t>4992552701</t>
  </si>
  <si>
    <t>499-255-27-00</t>
  </si>
  <si>
    <t>247-17-81</t>
  </si>
  <si>
    <t>-4992557782</t>
  </si>
  <si>
    <t>4992557545</t>
  </si>
  <si>
    <t>247-11-46</t>
  </si>
  <si>
    <t>245-12-82</t>
  </si>
  <si>
    <t>4992465250</t>
  </si>
  <si>
    <t>4992557144</t>
  </si>
  <si>
    <t>247-15-46</t>
  </si>
  <si>
    <t>246-52-61</t>
  </si>
  <si>
    <t>4992465268</t>
  </si>
  <si>
    <t>84992450992</t>
  </si>
  <si>
    <t>4992552683</t>
  </si>
  <si>
    <t>245-29-82</t>
  </si>
  <si>
    <t>4992557147</t>
  </si>
  <si>
    <t>247-07-38</t>
  </si>
  <si>
    <t>4992452948</t>
  </si>
  <si>
    <t>84992552284</t>
  </si>
  <si>
    <t>499255-22-83</t>
  </si>
  <si>
    <t>4992552940</t>
  </si>
  <si>
    <t>247-09-52</t>
  </si>
  <si>
    <t>84956112918</t>
  </si>
  <si>
    <t>247-02-95</t>
  </si>
  <si>
    <t>4992467255</t>
  </si>
  <si>
    <t>247-07-62</t>
  </si>
  <si>
    <t>4992460436</t>
  </si>
  <si>
    <t>4992552993</t>
  </si>
  <si>
    <t>247-07-52</t>
  </si>
  <si>
    <t>4992557001</t>
  </si>
  <si>
    <t>247-16-24</t>
  </si>
  <si>
    <t>246-71-27</t>
  </si>
  <si>
    <t>499 255-22-16</t>
  </si>
  <si>
    <t>4992552510</t>
  </si>
  <si>
    <t>4992552512</t>
  </si>
  <si>
    <t>245-04-30</t>
  </si>
  <si>
    <t>247-11-45</t>
  </si>
  <si>
    <t>4992552920</t>
  </si>
  <si>
    <t>247-09-26</t>
  </si>
  <si>
    <t>247-11-92</t>
  </si>
  <si>
    <t>4992557188</t>
  </si>
  <si>
    <t>4992552531</t>
  </si>
  <si>
    <t>4992552532</t>
  </si>
  <si>
    <t>-4992557169</t>
  </si>
  <si>
    <t>247-11-53</t>
  </si>
  <si>
    <t>4992557174</t>
  </si>
  <si>
    <t>4992467098</t>
  </si>
  <si>
    <t>247-11-12</t>
  </si>
  <si>
    <t>4992452821</t>
  </si>
  <si>
    <t>4992552640</t>
  </si>
  <si>
    <t>84992451269</t>
  </si>
  <si>
    <t>4992557110</t>
  </si>
  <si>
    <t>84992557104</t>
  </si>
  <si>
    <t>4992482563</t>
  </si>
  <si>
    <t>247-10-79</t>
  </si>
  <si>
    <t>4992452082</t>
  </si>
  <si>
    <t>4992465146</t>
  </si>
  <si>
    <t>4992467075</t>
  </si>
  <si>
    <t>4992557320</t>
  </si>
  <si>
    <t>4992557310</t>
  </si>
  <si>
    <t>4992452083</t>
  </si>
  <si>
    <t>4992552635</t>
  </si>
  <si>
    <t>4992557792</t>
  </si>
  <si>
    <t>4992557790</t>
  </si>
  <si>
    <t>4992557741</t>
  </si>
  <si>
    <t>4992466286</t>
  </si>
  <si>
    <t>4992552710</t>
  </si>
  <si>
    <t>245-29-66</t>
  </si>
  <si>
    <t>4992557740</t>
  </si>
  <si>
    <t>4992552684</t>
  </si>
  <si>
    <t>247-18-89</t>
  </si>
  <si>
    <t>-4992557888</t>
  </si>
  <si>
    <t>4992457391</t>
  </si>
  <si>
    <t>4992557838</t>
  </si>
  <si>
    <t>4992451243</t>
  </si>
  <si>
    <t>499-255-79-41</t>
  </si>
  <si>
    <t>84992487758</t>
  </si>
  <si>
    <t>4992450601</t>
  </si>
  <si>
    <t>247-17-32</t>
  </si>
  <si>
    <t>84992462558</t>
  </si>
  <si>
    <t>245-06-09</t>
  </si>
  <si>
    <t>4992552533</t>
  </si>
  <si>
    <t>499-245-29-83</t>
  </si>
  <si>
    <t>4992466699</t>
  </si>
  <si>
    <t>-4992557779</t>
  </si>
  <si>
    <t>247-05-34</t>
  </si>
  <si>
    <t>4992552695</t>
  </si>
  <si>
    <t>4992467105</t>
  </si>
  <si>
    <t>246-70-52</t>
  </si>
  <si>
    <t>4992451920</t>
  </si>
  <si>
    <t>4992557708</t>
  </si>
  <si>
    <t>247-17-10</t>
  </si>
  <si>
    <t>247-15-16</t>
  </si>
  <si>
    <t>247-10-11</t>
  </si>
  <si>
    <t>245-29-61</t>
  </si>
  <si>
    <t>84992557315</t>
  </si>
  <si>
    <t>245-29-93</t>
  </si>
  <si>
    <t>Новодевичий пр., дом. 6</t>
  </si>
  <si>
    <t>4992463866</t>
  </si>
  <si>
    <t>4992552323</t>
  </si>
  <si>
    <t>4992552324</t>
  </si>
  <si>
    <t>4992452671</t>
  </si>
  <si>
    <t>246-72-98</t>
  </si>
  <si>
    <t>84992457165</t>
  </si>
  <si>
    <t>4992451346</t>
  </si>
  <si>
    <t>245-12-94</t>
  </si>
  <si>
    <t>4992557376</t>
  </si>
  <si>
    <t>4992552616</t>
  </si>
  <si>
    <t>246-72-68</t>
  </si>
  <si>
    <t>246-72-82</t>
  </si>
  <si>
    <t>4957083808</t>
  </si>
  <si>
    <t>246-04-72</t>
  </si>
  <si>
    <t>4992552617</t>
  </si>
  <si>
    <t>4992465225</t>
  </si>
  <si>
    <t>4992451312</t>
  </si>
  <si>
    <t>247-12-55</t>
  </si>
  <si>
    <t>4992557394</t>
  </si>
  <si>
    <t>499-255-26-10</t>
  </si>
  <si>
    <t>247-06-10</t>
  </si>
  <si>
    <t>246-23-70</t>
  </si>
  <si>
    <t>4992557597</t>
  </si>
  <si>
    <t>4992552358</t>
  </si>
  <si>
    <t>4992552667</t>
  </si>
  <si>
    <t>4992552624</t>
  </si>
  <si>
    <t>4992480106</t>
  </si>
  <si>
    <t>4992552354</t>
  </si>
  <si>
    <t>247-03-54</t>
  </si>
  <si>
    <t>84992471267</t>
  </si>
  <si>
    <t>247-12-67</t>
  </si>
  <si>
    <t>84992451309</t>
  </si>
  <si>
    <t>245-26-83</t>
  </si>
  <si>
    <t>247-06-77</t>
  </si>
  <si>
    <t>499-255-26-77</t>
  </si>
  <si>
    <t>247-03-53</t>
  </si>
  <si>
    <t>246-65-87</t>
  </si>
  <si>
    <t>84992552782</t>
  </si>
  <si>
    <t>245-27-32</t>
  </si>
  <si>
    <t>4992557396</t>
  </si>
  <si>
    <t>499-255-27-81</t>
  </si>
  <si>
    <t>8499245-27-40</t>
  </si>
  <si>
    <t>4992552666</t>
  </si>
  <si>
    <t>246-72-44</t>
  </si>
  <si>
    <t>246-94-20</t>
  </si>
  <si>
    <t>4992552744</t>
  </si>
  <si>
    <t>246-71-99</t>
  </si>
  <si>
    <t>499-245-14-36</t>
  </si>
  <si>
    <t>4992552873</t>
  </si>
  <si>
    <t>246-19-39</t>
  </si>
  <si>
    <t>499-246-19-39</t>
  </si>
  <si>
    <t>255-70-74</t>
  </si>
  <si>
    <t>(499)245-14-37</t>
  </si>
  <si>
    <t>4992452783</t>
  </si>
  <si>
    <t>499-246-33-35</t>
  </si>
  <si>
    <t>247-09-73</t>
  </si>
  <si>
    <t>499-245-14-31</t>
  </si>
  <si>
    <t>247-02-75</t>
  </si>
  <si>
    <t>4992466595</t>
  </si>
  <si>
    <t>4992557569</t>
  </si>
  <si>
    <t>4992552103</t>
  </si>
  <si>
    <t>4992552839</t>
  </si>
  <si>
    <t>4992467196</t>
  </si>
  <si>
    <t>4992451043</t>
  </si>
  <si>
    <t>245-14-40</t>
  </si>
  <si>
    <t>4992557163</t>
  </si>
  <si>
    <t>245-10-95</t>
  </si>
  <si>
    <t>Новодевичий пр., дом. 8</t>
  </si>
  <si>
    <t>4992552910</t>
  </si>
  <si>
    <t>499-255-72-05</t>
  </si>
  <si>
    <t>245-25-49</t>
  </si>
  <si>
    <t>4992452532</t>
  </si>
  <si>
    <t>245-10-36</t>
  </si>
  <si>
    <t>247-01-65</t>
  </si>
  <si>
    <t>245-25-25</t>
  </si>
  <si>
    <t>247-01-66</t>
  </si>
  <si>
    <t>4992557524</t>
  </si>
  <si>
    <t>499-255-23-05</t>
  </si>
  <si>
    <t>4992457219</t>
  </si>
  <si>
    <t>4992557527</t>
  </si>
  <si>
    <t>84992454306</t>
  </si>
  <si>
    <t>84992453615</t>
  </si>
  <si>
    <t>4992552296</t>
  </si>
  <si>
    <t>84992552297</t>
  </si>
  <si>
    <t>246-77-24</t>
  </si>
  <si>
    <t>4992552658</t>
  </si>
  <si>
    <t>-4992466211</t>
  </si>
  <si>
    <t>499-766-46-75</t>
  </si>
  <si>
    <t>4992460928</t>
  </si>
  <si>
    <t>4992557726</t>
  </si>
  <si>
    <t>9031360505</t>
  </si>
  <si>
    <t>89859920587</t>
  </si>
  <si>
    <t>499-245-26-58</t>
  </si>
  <si>
    <t>245-15-09</t>
  </si>
  <si>
    <t>499-255-27-46</t>
  </si>
  <si>
    <t>499-245-15-01</t>
  </si>
  <si>
    <t>4992451501</t>
  </si>
  <si>
    <t>-4992557253</t>
  </si>
  <si>
    <t>246-44-66</t>
  </si>
  <si>
    <t>247-17-53</t>
  </si>
  <si>
    <t>246-62-30</t>
  </si>
  <si>
    <t>4992451409</t>
  </si>
  <si>
    <t>4992557356</t>
  </si>
  <si>
    <t>84992451407</t>
  </si>
  <si>
    <t>245-25-71</t>
  </si>
  <si>
    <t>245-06-53</t>
  </si>
  <si>
    <t>4992551355</t>
  </si>
  <si>
    <t>4992552023</t>
  </si>
  <si>
    <t>247-00-24</t>
  </si>
  <si>
    <t>84992452521</t>
  </si>
  <si>
    <t>4992466001</t>
  </si>
  <si>
    <t>4992452760</t>
  </si>
  <si>
    <t>84992460427</t>
  </si>
  <si>
    <t>4992461225</t>
  </si>
  <si>
    <t>-4992552034</t>
  </si>
  <si>
    <t>4992557245</t>
  </si>
  <si>
    <t>-4992455330</t>
  </si>
  <si>
    <t>4992552668</t>
  </si>
  <si>
    <t>4992552026</t>
  </si>
  <si>
    <t>499-245-01-67</t>
  </si>
  <si>
    <t>4992552627</t>
  </si>
  <si>
    <t>84992452762</t>
  </si>
  <si>
    <t>499-246-51-36</t>
  </si>
  <si>
    <t>248-17-81</t>
  </si>
  <si>
    <t>-89031124690</t>
  </si>
  <si>
    <t>246-61-30</t>
  </si>
  <si>
    <t>Новодевичий пр., дом. 10</t>
  </si>
  <si>
    <t>245-21-83</t>
  </si>
  <si>
    <t>499-255-79-56</t>
  </si>
  <si>
    <t>4992452154</t>
  </si>
  <si>
    <t>4992461816</t>
  </si>
  <si>
    <t>247-19-57</t>
  </si>
  <si>
    <t>-84992452221</t>
  </si>
  <si>
    <t>4992557948</t>
  </si>
  <si>
    <t>84992557947</t>
  </si>
  <si>
    <t>246-65-63</t>
  </si>
  <si>
    <t>4992552713</t>
  </si>
  <si>
    <t>9857669888</t>
  </si>
  <si>
    <t>245-28-29</t>
  </si>
  <si>
    <t>84992557745</t>
  </si>
  <si>
    <t>247-17-49</t>
  </si>
  <si>
    <t>-4992557143</t>
  </si>
  <si>
    <t>84992459195</t>
  </si>
  <si>
    <t>84992557514</t>
  </si>
  <si>
    <t>246-66-10</t>
  </si>
  <si>
    <t>247-11-39</t>
  </si>
  <si>
    <t>246-64-56</t>
  </si>
  <si>
    <t>84992557316</t>
  </si>
  <si>
    <t>499-255-71-94</t>
  </si>
  <si>
    <t>245-24-78</t>
  </si>
  <si>
    <t>4992452688</t>
  </si>
  <si>
    <t>246-28-03</t>
  </si>
  <si>
    <t>4992557195</t>
  </si>
  <si>
    <t>84992452690</t>
  </si>
  <si>
    <t>4992557120</t>
  </si>
  <si>
    <t>84992557122</t>
  </si>
  <si>
    <t>4992452425</t>
  </si>
  <si>
    <t>499-255-71-13</t>
  </si>
  <si>
    <t>245-27-04</t>
  </si>
  <si>
    <t>4992457984</t>
  </si>
  <si>
    <t>84992457984</t>
  </si>
  <si>
    <t>84992452736</t>
  </si>
  <si>
    <t>247-11-11</t>
  </si>
  <si>
    <t>4992557094</t>
  </si>
  <si>
    <t>245-00-68</t>
  </si>
  <si>
    <t>4992557043</t>
  </si>
  <si>
    <t>-84992557410</t>
  </si>
  <si>
    <t>84992452104</t>
  </si>
  <si>
    <t>499-245-21-49</t>
  </si>
  <si>
    <t>4992452482</t>
  </si>
  <si>
    <t>246-65-57</t>
  </si>
  <si>
    <t>499-255-70-16</t>
  </si>
  <si>
    <t>247-10-17</t>
  </si>
  <si>
    <t>4992552974</t>
  </si>
  <si>
    <t>84992552971</t>
  </si>
  <si>
    <t>2528879</t>
  </si>
  <si>
    <t>4992557034</t>
  </si>
  <si>
    <t>4992552896</t>
  </si>
  <si>
    <t>4997664680</t>
  </si>
  <si>
    <t>4992466567</t>
  </si>
  <si>
    <t>4992452153</t>
  </si>
  <si>
    <t>-4992557183</t>
  </si>
  <si>
    <t>4992557184</t>
  </si>
  <si>
    <t>247-08-75</t>
  </si>
  <si>
    <t>499 766-42-48</t>
  </si>
  <si>
    <t>245-26-29</t>
  </si>
  <si>
    <t>4992552417</t>
  </si>
  <si>
    <t>499-246-80-30</t>
  </si>
  <si>
    <t>4992552870</t>
  </si>
  <si>
    <t>247-07-70</t>
  </si>
  <si>
    <t>495-558-54-24</t>
  </si>
  <si>
    <t>245-27-47</t>
  </si>
  <si>
    <t>245-22-87</t>
  </si>
  <si>
    <t>255-24-15</t>
  </si>
  <si>
    <t>499-245-22-58</t>
  </si>
  <si>
    <t>499-245-11-95</t>
  </si>
  <si>
    <t>84992452718</t>
  </si>
  <si>
    <t>-4992452730</t>
  </si>
  <si>
    <t>4992452630</t>
  </si>
  <si>
    <t>247-01-36</t>
  </si>
  <si>
    <t>4992552135</t>
  </si>
  <si>
    <t>84992452636</t>
  </si>
  <si>
    <t>4992557730</t>
  </si>
  <si>
    <t>4992452719</t>
  </si>
  <si>
    <t>84992452729</t>
  </si>
  <si>
    <t>-4992465244</t>
  </si>
  <si>
    <t>4992451209</t>
  </si>
  <si>
    <t>245-27-20</t>
  </si>
  <si>
    <t>4992452720</t>
  </si>
  <si>
    <t>245-14-95</t>
  </si>
  <si>
    <t>245-24-69</t>
  </si>
  <si>
    <t>4992452469</t>
  </si>
  <si>
    <t>84992452436</t>
  </si>
  <si>
    <t>4992451475</t>
  </si>
  <si>
    <t>245-23-28</t>
  </si>
  <si>
    <t>245-15-53</t>
  </si>
  <si>
    <t>245-14-76</t>
  </si>
  <si>
    <t>-4992452438</t>
  </si>
  <si>
    <t>245-23-29</t>
  </si>
  <si>
    <t>499 245-15-54</t>
  </si>
  <si>
    <t>4992452585</t>
  </si>
  <si>
    <t>84992452365</t>
  </si>
  <si>
    <t>4992452320</t>
  </si>
  <si>
    <t>4992452351</t>
  </si>
  <si>
    <t>245-22-34</t>
  </si>
  <si>
    <t>8499-245-22-36</t>
  </si>
  <si>
    <t>499-245-20-87</t>
  </si>
  <si>
    <t>-4992452709</t>
  </si>
  <si>
    <t>245-23-53</t>
  </si>
  <si>
    <t>84992452361</t>
  </si>
  <si>
    <t>84992452227</t>
  </si>
  <si>
    <t>245-22-29</t>
  </si>
  <si>
    <t>245-23-22</t>
  </si>
  <si>
    <t>2454992324</t>
  </si>
  <si>
    <t>245-20-88</t>
  </si>
  <si>
    <t>499-246-34-10</t>
  </si>
  <si>
    <t>84992452240</t>
  </si>
  <si>
    <t>245-23-83</t>
  </si>
  <si>
    <t>245-23-94</t>
  </si>
  <si>
    <t>Новоконюшенный пер., дом. 14</t>
  </si>
  <si>
    <t>4992484715</t>
  </si>
  <si>
    <t>8499248-30-19</t>
  </si>
  <si>
    <t>708-38-40</t>
  </si>
  <si>
    <t>248-49-58</t>
  </si>
  <si>
    <t>248-52-21</t>
  </si>
  <si>
    <t>248-41-94</t>
  </si>
  <si>
    <t>246-96-14</t>
  </si>
  <si>
    <t>4992484787</t>
  </si>
  <si>
    <t>248-48-45</t>
  </si>
  <si>
    <t>248-12-73</t>
  </si>
  <si>
    <t>4992483018</t>
  </si>
  <si>
    <t>248-41-34</t>
  </si>
  <si>
    <t>246-54-77</t>
  </si>
  <si>
    <t>4992483090</t>
  </si>
  <si>
    <t>248-30-68</t>
  </si>
  <si>
    <t>4992484776</t>
  </si>
  <si>
    <t>4992484739</t>
  </si>
  <si>
    <t>248-47-14</t>
  </si>
  <si>
    <t>499 248-50-37</t>
  </si>
  <si>
    <t>248-45-26</t>
  </si>
  <si>
    <t>248-47-24</t>
  </si>
  <si>
    <t>248-38-86</t>
  </si>
  <si>
    <t>248-22-15</t>
  </si>
  <si>
    <t>4992484768</t>
  </si>
  <si>
    <t>248-45-47</t>
  </si>
  <si>
    <t>499-248-47-78</t>
  </si>
  <si>
    <t>248-45-65</t>
  </si>
  <si>
    <t>248-30-89</t>
  </si>
  <si>
    <t>4992484585</t>
  </si>
  <si>
    <t>499-248-22-50</t>
  </si>
  <si>
    <t>495 248-05-26</t>
  </si>
  <si>
    <t>4992484664</t>
  </si>
  <si>
    <t>248-45-05</t>
  </si>
  <si>
    <t>84992486590</t>
  </si>
  <si>
    <t>84992483017</t>
  </si>
  <si>
    <t>4992483289</t>
  </si>
  <si>
    <t>248-45-49</t>
  </si>
  <si>
    <t>248-30-56</t>
  </si>
  <si>
    <t>246-55-58</t>
  </si>
  <si>
    <t>4992484864</t>
  </si>
  <si>
    <t>248-35-86</t>
  </si>
  <si>
    <t>499-248-32-67</t>
  </si>
  <si>
    <t>248-32-91</t>
  </si>
  <si>
    <t>248-34-38</t>
  </si>
  <si>
    <t>499-248-34-19</t>
  </si>
  <si>
    <t>248-41-30</t>
  </si>
  <si>
    <t>248-43-87</t>
  </si>
  <si>
    <t>84992489064</t>
  </si>
  <si>
    <t>4992484158</t>
  </si>
  <si>
    <t>248-34-83</t>
  </si>
  <si>
    <t>248-30-59</t>
  </si>
  <si>
    <t>248-34-46</t>
  </si>
  <si>
    <t>248-34-93</t>
  </si>
  <si>
    <t>248-34-96</t>
  </si>
  <si>
    <t>8499248491</t>
  </si>
  <si>
    <t>248-44-49</t>
  </si>
  <si>
    <t>-4992483448</t>
  </si>
  <si>
    <t>4992483468</t>
  </si>
  <si>
    <t>4992483079</t>
  </si>
  <si>
    <t>248-22-06</t>
  </si>
  <si>
    <t>4992483458</t>
  </si>
  <si>
    <t>4992483160</t>
  </si>
  <si>
    <t>4992483085</t>
  </si>
  <si>
    <t>4992483086</t>
  </si>
  <si>
    <t>Оболенский пер., дом. 2</t>
  </si>
  <si>
    <t>4992465338</t>
  </si>
  <si>
    <t>4992553008</t>
  </si>
  <si>
    <t>4992553007</t>
  </si>
  <si>
    <t>4992553441</t>
  </si>
  <si>
    <t>4992553390</t>
  </si>
  <si>
    <t>4992465297</t>
  </si>
  <si>
    <t>4992553492</t>
  </si>
  <si>
    <t>4992462714</t>
  </si>
  <si>
    <t>4992465312</t>
  </si>
  <si>
    <t>4992465359</t>
  </si>
  <si>
    <t>4992465317</t>
  </si>
  <si>
    <t>4956091286</t>
  </si>
  <si>
    <t>4992466616</t>
  </si>
  <si>
    <t>4992465435</t>
  </si>
  <si>
    <t>4992451685</t>
  </si>
  <si>
    <t>4992466066</t>
  </si>
  <si>
    <t>4992553211</t>
  </si>
  <si>
    <t>4992465437</t>
  </si>
  <si>
    <t>4992465232</t>
  </si>
  <si>
    <t>4992465236</t>
  </si>
  <si>
    <t>499-246-52-36</t>
  </si>
  <si>
    <t>4955442492</t>
  </si>
  <si>
    <t>4992465172</t>
  </si>
  <si>
    <t>4992553354</t>
  </si>
  <si>
    <t>4992553494</t>
  </si>
  <si>
    <t>4992465198</t>
  </si>
  <si>
    <t>4992451299</t>
  </si>
  <si>
    <t>4992465291</t>
  </si>
  <si>
    <t>4992553355</t>
  </si>
  <si>
    <t>4992465278</t>
  </si>
  <si>
    <t>4992553498</t>
  </si>
  <si>
    <t>247-34-98</t>
  </si>
  <si>
    <t>-4992553497</t>
  </si>
  <si>
    <t>4992452816</t>
  </si>
  <si>
    <t>4992465292</t>
  </si>
  <si>
    <t>4992466065</t>
  </si>
  <si>
    <t>4952553357</t>
  </si>
  <si>
    <t>4992466064</t>
  </si>
  <si>
    <t>4992466054</t>
  </si>
  <si>
    <t>4992465158</t>
  </si>
  <si>
    <t>4992465159</t>
  </si>
  <si>
    <t>4992553495</t>
  </si>
  <si>
    <t>4992553359</t>
  </si>
  <si>
    <t>4992465157</t>
  </si>
  <si>
    <t>246-51-57</t>
  </si>
  <si>
    <t>4992465079</t>
  </si>
  <si>
    <t>4992466138</t>
  </si>
  <si>
    <t>4992553358</t>
  </si>
  <si>
    <t>4992553630</t>
  </si>
  <si>
    <t>247-34-93</t>
  </si>
  <si>
    <t>4992465053</t>
  </si>
  <si>
    <t>4992465057</t>
  </si>
  <si>
    <t>499 246-53-59</t>
  </si>
  <si>
    <t>4992465059</t>
  </si>
  <si>
    <t>4992465070</t>
  </si>
  <si>
    <t>4992465062</t>
  </si>
  <si>
    <t>4992457960</t>
  </si>
  <si>
    <t>-4992553491</t>
  </si>
  <si>
    <t>4992553353</t>
  </si>
  <si>
    <t>4992553665</t>
  </si>
  <si>
    <t>4992465419</t>
  </si>
  <si>
    <t>4992466624</t>
  </si>
  <si>
    <t>4992456743</t>
  </si>
  <si>
    <t>4992465075</t>
  </si>
  <si>
    <t>+7(903)535-78-00</t>
  </si>
  <si>
    <t>4992553496</t>
  </si>
  <si>
    <t>Обыденский 1-й пер., дом. 9/12</t>
  </si>
  <si>
    <t>4956952730</t>
  </si>
  <si>
    <t>6952659</t>
  </si>
  <si>
    <t>6952736</t>
  </si>
  <si>
    <t>499 245-43-97</t>
  </si>
  <si>
    <t>202-96-61</t>
  </si>
  <si>
    <t>495-695-26-76</t>
  </si>
  <si>
    <t>6951898</t>
  </si>
  <si>
    <t>4956952640</t>
  </si>
  <si>
    <t>202-98-24</t>
  </si>
  <si>
    <t>12Б</t>
  </si>
  <si>
    <t>926-30-76</t>
  </si>
  <si>
    <t>287-84-25</t>
  </si>
  <si>
    <t>495-695-26-92</t>
  </si>
  <si>
    <t>84956952624</t>
  </si>
  <si>
    <t>695 -27-92</t>
  </si>
  <si>
    <t>695-26-18</t>
  </si>
  <si>
    <t>695-27-89</t>
  </si>
  <si>
    <t>84956952786</t>
  </si>
  <si>
    <t>4956952658</t>
  </si>
  <si>
    <t>84956952663</t>
  </si>
  <si>
    <t>202-97-26</t>
  </si>
  <si>
    <t>6952725</t>
  </si>
  <si>
    <t>291-23-77</t>
  </si>
  <si>
    <t>202-97-18</t>
  </si>
  <si>
    <t>89163856016</t>
  </si>
  <si>
    <t>695-27-64</t>
  </si>
  <si>
    <t>4956952668</t>
  </si>
  <si>
    <t>6952614</t>
  </si>
  <si>
    <t>202-96-55</t>
  </si>
  <si>
    <t>Обыденский 2-й пер., дом. 13</t>
  </si>
  <si>
    <t>84956950230</t>
  </si>
  <si>
    <t>499-249-01-77</t>
  </si>
  <si>
    <t>695-03-32</t>
  </si>
  <si>
    <t>-84956956495</t>
  </si>
  <si>
    <t>4956950001</t>
  </si>
  <si>
    <t>695-02-49</t>
  </si>
  <si>
    <t>-6950248</t>
  </si>
  <si>
    <t>4956950086</t>
  </si>
  <si>
    <t>4956950023</t>
  </si>
  <si>
    <t>6951000</t>
  </si>
  <si>
    <t>6950173</t>
  </si>
  <si>
    <t>84952650240</t>
  </si>
  <si>
    <t>202-71-10</t>
  </si>
  <si>
    <t>518-09-24</t>
  </si>
  <si>
    <t>202-71-75</t>
  </si>
  <si>
    <t>Олсуфьевский пер., дом. 2/4</t>
  </si>
  <si>
    <t>4992455291</t>
  </si>
  <si>
    <t>4992455627</t>
  </si>
  <si>
    <t>499-245-74-12</t>
  </si>
  <si>
    <t>84992453094</t>
  </si>
  <si>
    <t>4992465716</t>
  </si>
  <si>
    <t>2465760</t>
  </si>
  <si>
    <t>-4992460977</t>
  </si>
  <si>
    <t>499 245-48-45</t>
  </si>
  <si>
    <t>245-58-88</t>
  </si>
  <si>
    <t>4992461972</t>
  </si>
  <si>
    <t>246-19-72</t>
  </si>
  <si>
    <t>84992463208</t>
  </si>
  <si>
    <t>178-31-50</t>
  </si>
  <si>
    <t>84992451939</t>
  </si>
  <si>
    <t>247-37-65</t>
  </si>
  <si>
    <t>Олсуфьевский пер., дом. 6 стр.1</t>
  </si>
  <si>
    <t>200-18-79</t>
  </si>
  <si>
    <t>4992558089</t>
  </si>
  <si>
    <t>245-63-35</t>
  </si>
  <si>
    <t>84992457919</t>
  </si>
  <si>
    <t>4992464609</t>
  </si>
  <si>
    <t>89175071750</t>
  </si>
  <si>
    <t>246-02-97</t>
  </si>
  <si>
    <t>246-00-62</t>
  </si>
  <si>
    <t>4992462925</t>
  </si>
  <si>
    <t>Остоженка ул., дом. 8 к.3</t>
  </si>
  <si>
    <t>Остоженка ул., дом. 22/1</t>
  </si>
  <si>
    <t>4997669951</t>
  </si>
  <si>
    <t>495-766-98-86</t>
  </si>
  <si>
    <t>203-25-91</t>
  </si>
  <si>
    <t>89037227885</t>
  </si>
  <si>
    <t>4997669246</t>
  </si>
  <si>
    <t>Остоженка ул., дом. 30 стр.1</t>
  </si>
  <si>
    <t>Остоженка ул., дом. 40/1</t>
  </si>
  <si>
    <t>246-75-24</t>
  </si>
  <si>
    <t>245-38-76</t>
  </si>
  <si>
    <t>4992450758</t>
  </si>
  <si>
    <t>246-01-73</t>
  </si>
  <si>
    <t>245-30-81</t>
  </si>
  <si>
    <t>247-04-86</t>
  </si>
  <si>
    <t>-84997664928</t>
  </si>
  <si>
    <t>245-14-17</t>
  </si>
  <si>
    <t>246-63-55</t>
  </si>
  <si>
    <t>246-16-14</t>
  </si>
  <si>
    <t>247-01-87</t>
  </si>
  <si>
    <t>245-06-23</t>
  </si>
  <si>
    <t>245-03-30</t>
  </si>
  <si>
    <t>4992451754</t>
  </si>
  <si>
    <t>247-06-28</t>
  </si>
  <si>
    <t>246-95-16</t>
  </si>
  <si>
    <t>245-10-24</t>
  </si>
  <si>
    <t>245-23-30</t>
  </si>
  <si>
    <t>245-26-21</t>
  </si>
  <si>
    <t>245-25-44</t>
  </si>
  <si>
    <t>245-15-34</t>
  </si>
  <si>
    <t>84957063421</t>
  </si>
  <si>
    <t>245-04-17</t>
  </si>
  <si>
    <t>246-36-41</t>
  </si>
  <si>
    <t>9163330488</t>
  </si>
  <si>
    <t>4992420208</t>
  </si>
  <si>
    <t>8499246-89-81</t>
  </si>
  <si>
    <t>246-51-82</t>
  </si>
  <si>
    <t>84992452336</t>
  </si>
  <si>
    <t>246-30-77</t>
  </si>
  <si>
    <t>245-01-49</t>
  </si>
  <si>
    <t>84992462103</t>
  </si>
  <si>
    <t>4992451345</t>
  </si>
  <si>
    <t>2557493</t>
  </si>
  <si>
    <t>499-246-95-30</t>
  </si>
  <si>
    <t>4992468577</t>
  </si>
  <si>
    <t>248-56-38</t>
  </si>
  <si>
    <t>245-32-86</t>
  </si>
  <si>
    <t>495-973-58-68</t>
  </si>
  <si>
    <t>4992452472</t>
  </si>
  <si>
    <t>246-95-82</t>
  </si>
  <si>
    <t>245-41-26</t>
  </si>
  <si>
    <t>245-22-33</t>
  </si>
  <si>
    <t>246-60-99</t>
  </si>
  <si>
    <t>4992453723</t>
  </si>
  <si>
    <t>245-26-19</t>
  </si>
  <si>
    <t>233-93-39м</t>
  </si>
  <si>
    <t>89055641023</t>
  </si>
  <si>
    <t>245-35-86</t>
  </si>
  <si>
    <t>Остоженка ул., дом. 42</t>
  </si>
  <si>
    <t>246-61-13</t>
  </si>
  <si>
    <t>245-12-44</t>
  </si>
  <si>
    <t>Остоженка ул., дом. 47</t>
  </si>
  <si>
    <t>4992451707</t>
  </si>
  <si>
    <t>+7(926)249-64-48</t>
  </si>
  <si>
    <t>4992463776</t>
  </si>
  <si>
    <t>499-246-86-38</t>
  </si>
  <si>
    <t>246-86-81</t>
  </si>
  <si>
    <t>246-42-19</t>
  </si>
  <si>
    <t>246-03-13</t>
  </si>
  <si>
    <t>4992450744</t>
  </si>
  <si>
    <t>499-245-05-41</t>
  </si>
  <si>
    <t>245-05-41</t>
  </si>
  <si>
    <t>Пироговская Б. ул., дом. 29</t>
  </si>
  <si>
    <t>246-79-11</t>
  </si>
  <si>
    <t>4992486381</t>
  </si>
  <si>
    <t>248-05-69</t>
  </si>
  <si>
    <t>499 248-05-70</t>
  </si>
  <si>
    <t>-84992455604</t>
  </si>
  <si>
    <t>4992486421</t>
  </si>
  <si>
    <t>4992486363</t>
  </si>
  <si>
    <t>84992466528</t>
  </si>
  <si>
    <t>4992481257</t>
  </si>
  <si>
    <t>248-62-68</t>
  </si>
  <si>
    <t>4992468233</t>
  </si>
  <si>
    <t>248-64-39</t>
  </si>
  <si>
    <t>4992486370</t>
  </si>
  <si>
    <t>248-60-89</t>
  </si>
  <si>
    <t>84992469751</t>
  </si>
  <si>
    <t>4992486437</t>
  </si>
  <si>
    <t>246-73-62</t>
  </si>
  <si>
    <t>4992486281</t>
  </si>
  <si>
    <t>248-63-30</t>
  </si>
  <si>
    <t>499-245-36-95</t>
  </si>
  <si>
    <t>248-61-62</t>
  </si>
  <si>
    <t>248-60-96</t>
  </si>
  <si>
    <t>8499-248-60-98</t>
  </si>
  <si>
    <t>248-61-70</t>
  </si>
  <si>
    <t>4992480293</t>
  </si>
  <si>
    <t>248-62-80</t>
  </si>
  <si>
    <t>-4992467179</t>
  </si>
  <si>
    <t>4992469695</t>
  </si>
  <si>
    <t>248-62-28</t>
  </si>
  <si>
    <t>246-57-39</t>
  </si>
  <si>
    <t>248-63-80</t>
  </si>
  <si>
    <t>4992486290</t>
  </si>
  <si>
    <t>248-62-98</t>
  </si>
  <si>
    <t>499-246-96-79</t>
  </si>
  <si>
    <t>-4992466746</t>
  </si>
  <si>
    <t>499-246-67-46</t>
  </si>
  <si>
    <t>248-62-30</t>
  </si>
  <si>
    <t>84992486249</t>
  </si>
  <si>
    <t>499-245-36-80</t>
  </si>
  <si>
    <t>4992469831</t>
  </si>
  <si>
    <t>4992482726</t>
  </si>
  <si>
    <t>8499245356</t>
  </si>
  <si>
    <t>245-02-04</t>
  </si>
  <si>
    <t>84952480584</t>
  </si>
  <si>
    <t>4992486257</t>
  </si>
  <si>
    <t>248-62-37</t>
  </si>
  <si>
    <t>4992460605</t>
  </si>
  <si>
    <t>248-62-10</t>
  </si>
  <si>
    <t>84992461810</t>
  </si>
  <si>
    <t>248-41-08</t>
  </si>
  <si>
    <t>248-05-20</t>
  </si>
  <si>
    <t>4992465035</t>
  </si>
  <si>
    <t>246-22-95</t>
  </si>
  <si>
    <t>4992486259</t>
  </si>
  <si>
    <t>84992480562</t>
  </si>
  <si>
    <t>246-01-06</t>
  </si>
  <si>
    <t>246-73-75</t>
  </si>
  <si>
    <t>4992461447</t>
  </si>
  <si>
    <t>246-67-45</t>
  </si>
  <si>
    <t>246-98-77</t>
  </si>
  <si>
    <t>84992465042</t>
  </si>
  <si>
    <t>84992486201</t>
  </si>
  <si>
    <t>4992468831</t>
  </si>
  <si>
    <t>4992467887</t>
  </si>
  <si>
    <t>4992469396</t>
  </si>
  <si>
    <t>4992469945</t>
  </si>
  <si>
    <t>84992486336</t>
  </si>
  <si>
    <t>246-66-35</t>
  </si>
  <si>
    <t>4992486269</t>
  </si>
  <si>
    <t>84992486180</t>
  </si>
  <si>
    <t>4992467253</t>
  </si>
  <si>
    <t>246-71-74</t>
  </si>
  <si>
    <t>499-248-60-25</t>
  </si>
  <si>
    <t>499-246-66-34</t>
  </si>
  <si>
    <t>-4992486054</t>
  </si>
  <si>
    <t>4992462334</t>
  </si>
  <si>
    <t>4992453366</t>
  </si>
  <si>
    <t>246-90-03</t>
  </si>
  <si>
    <t>84992480359</t>
  </si>
  <si>
    <t>4992463835</t>
  </si>
  <si>
    <t>499-248-64-08</t>
  </si>
  <si>
    <t>4992486409</t>
  </si>
  <si>
    <t>248-64-10</t>
  </si>
  <si>
    <t>246-49-71</t>
  </si>
  <si>
    <t>248-62-45</t>
  </si>
  <si>
    <t>248-62-56</t>
  </si>
  <si>
    <t>4992486320</t>
  </si>
  <si>
    <t>4992486224</t>
  </si>
  <si>
    <t>245-63-14</t>
  </si>
  <si>
    <t>246-36-21</t>
  </si>
  <si>
    <t>84992466581</t>
  </si>
  <si>
    <t>247-47-30</t>
  </si>
  <si>
    <t>246-39-56</t>
  </si>
  <si>
    <t>246-36-84</t>
  </si>
  <si>
    <t>246-97-78</t>
  </si>
  <si>
    <t>248-60-95</t>
  </si>
  <si>
    <t>4992486340</t>
  </si>
  <si>
    <t>4992468385</t>
  </si>
  <si>
    <t>4992480160</t>
  </si>
  <si>
    <t>499 248-49-33</t>
  </si>
  <si>
    <t>248-62-36</t>
  </si>
  <si>
    <t>248-62-70</t>
  </si>
  <si>
    <t>4992486962</t>
  </si>
  <si>
    <t>248-07-71</t>
  </si>
  <si>
    <t>84992463193</t>
  </si>
  <si>
    <t>4992465799</t>
  </si>
  <si>
    <t>246-61-58</t>
  </si>
  <si>
    <t>4992557485</t>
  </si>
  <si>
    <t>4992486327</t>
  </si>
  <si>
    <t>4992480374</t>
  </si>
  <si>
    <t>4992486152</t>
  </si>
  <si>
    <t>499 246-65-29</t>
  </si>
  <si>
    <t>4992483507</t>
  </si>
  <si>
    <t>4992467510</t>
  </si>
  <si>
    <t>4992480540</t>
  </si>
  <si>
    <t>4992467341</t>
  </si>
  <si>
    <t>4992486349</t>
  </si>
  <si>
    <t>422-12-22</t>
  </si>
  <si>
    <t>4992486413</t>
  </si>
  <si>
    <t>246-25-44</t>
  </si>
  <si>
    <t>4992451814</t>
  </si>
  <si>
    <t>84992466505</t>
  </si>
  <si>
    <t>248-08-07</t>
  </si>
  <si>
    <t>4992480801</t>
  </si>
  <si>
    <t>4992486420</t>
  </si>
  <si>
    <t>246-39-80</t>
  </si>
  <si>
    <t>248-63-50</t>
  </si>
  <si>
    <t>84992466506</t>
  </si>
  <si>
    <t>248-60-59</t>
  </si>
  <si>
    <t>4992557258</t>
  </si>
  <si>
    <t>4992486020</t>
  </si>
  <si>
    <t>246-65-80</t>
  </si>
  <si>
    <t>84992480656</t>
  </si>
  <si>
    <t>248-60-05</t>
  </si>
  <si>
    <t>248-57-76</t>
  </si>
  <si>
    <t>246-72-20</t>
  </si>
  <si>
    <t>84992486060</t>
  </si>
  <si>
    <t>4992466524</t>
  </si>
  <si>
    <t>4992486009</t>
  </si>
  <si>
    <t>246-06-12</t>
  </si>
  <si>
    <t>-4992480657</t>
  </si>
  <si>
    <t>248-60-16</t>
  </si>
  <si>
    <t>335-54-17</t>
  </si>
  <si>
    <t>4992467211</t>
  </si>
  <si>
    <t>499-248-60-87</t>
  </si>
  <si>
    <t>248-60-91</t>
  </si>
  <si>
    <t>84992469080</t>
  </si>
  <si>
    <t>246-12-22</t>
  </si>
  <si>
    <t>499-246-74-88</t>
  </si>
  <si>
    <t>248-60-67</t>
  </si>
  <si>
    <t>248-01-91</t>
  </si>
  <si>
    <t>248-60-62</t>
  </si>
  <si>
    <t>246-94-16</t>
  </si>
  <si>
    <t>246-67-68</t>
  </si>
  <si>
    <t>4992467772</t>
  </si>
  <si>
    <t>4992486036</t>
  </si>
  <si>
    <t>997-69-11</t>
  </si>
  <si>
    <t>248-05-13</t>
  </si>
  <si>
    <t>4992552565</t>
  </si>
  <si>
    <t>246-67-67</t>
  </si>
  <si>
    <t>4992466156</t>
  </si>
  <si>
    <t>248-57-42</t>
  </si>
  <si>
    <t>246-58-13</t>
  </si>
  <si>
    <t>4992465813</t>
  </si>
  <si>
    <t>248-67-60</t>
  </si>
  <si>
    <t>248-06-63</t>
  </si>
  <si>
    <t>248-60-45</t>
  </si>
  <si>
    <t>4992480590</t>
  </si>
  <si>
    <t>499-248-60-78</t>
  </si>
  <si>
    <t>4992552797</t>
  </si>
  <si>
    <t>246-89-75</t>
  </si>
  <si>
    <t>248-03-82</t>
  </si>
  <si>
    <t>4992451384</t>
  </si>
  <si>
    <t>4992486028</t>
  </si>
  <si>
    <t>499-248-61-04</t>
  </si>
  <si>
    <t>8499246-65-71</t>
  </si>
  <si>
    <t>84992466571</t>
  </si>
  <si>
    <t>4992468796</t>
  </si>
  <si>
    <t>499-246-67-92</t>
  </si>
  <si>
    <t>247-05-64</t>
  </si>
  <si>
    <t>4992464347</t>
  </si>
  <si>
    <t>4992486039</t>
  </si>
  <si>
    <t>499 255-26-74</t>
  </si>
  <si>
    <t>499-246-64-82</t>
  </si>
  <si>
    <t>499-245-33-56</t>
  </si>
  <si>
    <t>499-248-60-79</t>
  </si>
  <si>
    <t>4992463862</t>
  </si>
  <si>
    <t>248-03-90</t>
  </si>
  <si>
    <t>246-73-66</t>
  </si>
  <si>
    <t>-4992484575</t>
  </si>
  <si>
    <t>4992486030</t>
  </si>
  <si>
    <t>246-96-17</t>
  </si>
  <si>
    <t>246-53-32</t>
  </si>
  <si>
    <t>246-68-30</t>
  </si>
  <si>
    <t>246-67-91</t>
  </si>
  <si>
    <t>4992469996</t>
  </si>
  <si>
    <t>4992464348</t>
  </si>
  <si>
    <t>4992466819</t>
  </si>
  <si>
    <t>499-248-61-20</t>
  </si>
  <si>
    <t>246-95-08</t>
  </si>
  <si>
    <t>4992467677</t>
  </si>
  <si>
    <t>499-248-14-70</t>
  </si>
  <si>
    <t>248-29-21</t>
  </si>
  <si>
    <t>84992480874</t>
  </si>
  <si>
    <t>499-248-60-48</t>
  </si>
  <si>
    <t>4992469941</t>
  </si>
  <si>
    <t>4992451846</t>
  </si>
  <si>
    <t>-4992486219</t>
  </si>
  <si>
    <t>4992452591</t>
  </si>
  <si>
    <t>499-246-45-83</t>
  </si>
  <si>
    <t>4992485771</t>
  </si>
  <si>
    <t>4992469749</t>
  </si>
  <si>
    <t>248-60-50</t>
  </si>
  <si>
    <t>4992486275</t>
  </si>
  <si>
    <t>4992469888</t>
  </si>
  <si>
    <t>499-248-61-59</t>
  </si>
  <si>
    <t>248-67-48 499</t>
  </si>
  <si>
    <t>4992469651</t>
  </si>
  <si>
    <t>246-66-00</t>
  </si>
  <si>
    <t>247-06-38</t>
  </si>
  <si>
    <t>223-224</t>
  </si>
  <si>
    <t>246-65-27</t>
  </si>
  <si>
    <t>Пироговская Б. ул., дом. 35</t>
  </si>
  <si>
    <t>4992487960</t>
  </si>
  <si>
    <t>248-78-86</t>
  </si>
  <si>
    <t>248-23-95</t>
  </si>
  <si>
    <t>4992482403</t>
  </si>
  <si>
    <t>4992480784</t>
  </si>
  <si>
    <t>8-9</t>
  </si>
  <si>
    <t>248-33-85</t>
  </si>
  <si>
    <t>Пироговская Б. ул., дом. 35а стр.1</t>
  </si>
  <si>
    <t>4992469492</t>
  </si>
  <si>
    <t>499-246-19-77</t>
  </si>
  <si>
    <t>4992469574</t>
  </si>
  <si>
    <t>246-65-42</t>
  </si>
  <si>
    <t>4992466546</t>
  </si>
  <si>
    <t>4992557179</t>
  </si>
  <si>
    <t>499-255-71-97</t>
  </si>
  <si>
    <t>246-72-01</t>
  </si>
  <si>
    <t>246-72-05</t>
  </si>
  <si>
    <t>84992463353</t>
  </si>
  <si>
    <t>84992460517</t>
  </si>
  <si>
    <t>245-06-95</t>
  </si>
  <si>
    <t>246-74-25</t>
  </si>
  <si>
    <t>246-51-65</t>
  </si>
  <si>
    <t>4992465145</t>
  </si>
  <si>
    <t>+7(915)025-12-78</t>
  </si>
  <si>
    <t>246-74-30</t>
  </si>
  <si>
    <t>246-56-17</t>
  </si>
  <si>
    <t>4992465619</t>
  </si>
  <si>
    <t>245-22-41</t>
  </si>
  <si>
    <t>246-55-46</t>
  </si>
  <si>
    <t>246-55-57</t>
  </si>
  <si>
    <t>246-21-40</t>
  </si>
  <si>
    <t>4992465559</t>
  </si>
  <si>
    <t>Пироговская Б. ул., дом. 35а стр.2</t>
  </si>
  <si>
    <t>246-91-33</t>
  </si>
  <si>
    <t>245-32-79</t>
  </si>
  <si>
    <t>246-95-57</t>
  </si>
  <si>
    <t>499-246-95-57</t>
  </si>
  <si>
    <t>245-09-03</t>
  </si>
  <si>
    <t>246-54-70</t>
  </si>
  <si>
    <t>4992465780</t>
  </si>
  <si>
    <t>246-58-14</t>
  </si>
  <si>
    <t>4992450948</t>
  </si>
  <si>
    <t>245-32-38</t>
  </si>
  <si>
    <t>4992460673</t>
  </si>
  <si>
    <t>4992465803</t>
  </si>
  <si>
    <t>4992468935</t>
  </si>
  <si>
    <t>4992460689</t>
  </si>
  <si>
    <t>246-06-89</t>
  </si>
  <si>
    <t>246-89-39</t>
  </si>
  <si>
    <t>4992465883</t>
  </si>
  <si>
    <t>4992450943</t>
  </si>
  <si>
    <t>4992467680</t>
  </si>
  <si>
    <t>245-09-64</t>
  </si>
  <si>
    <t>4992466030</t>
  </si>
  <si>
    <t>245-09-72</t>
  </si>
  <si>
    <t>246-22-68</t>
  </si>
  <si>
    <t>4992466071</t>
  </si>
  <si>
    <t>246-28-65</t>
  </si>
  <si>
    <t>246-10-53</t>
  </si>
  <si>
    <t>4992461193</t>
  </si>
  <si>
    <t>246-94-96</t>
  </si>
  <si>
    <t>246-92-47</t>
  </si>
  <si>
    <t>84993144833</t>
  </si>
  <si>
    <t>-84992465379</t>
  </si>
  <si>
    <t>245-09-42</t>
  </si>
  <si>
    <t>245-09-30</t>
  </si>
  <si>
    <t>245-09-28</t>
  </si>
  <si>
    <t>4992466160</t>
  </si>
  <si>
    <t>84992466162</t>
  </si>
  <si>
    <t>4992450892</t>
  </si>
  <si>
    <t>4992457775</t>
  </si>
  <si>
    <t>246-95-67</t>
  </si>
  <si>
    <t>246-95-69</t>
  </si>
  <si>
    <t>245-08-88</t>
  </si>
  <si>
    <t>84992451259</t>
  </si>
  <si>
    <t>246-60-74</t>
  </si>
  <si>
    <t>245-09-09</t>
  </si>
  <si>
    <t>4992463202</t>
  </si>
  <si>
    <t>246-32-04</t>
  </si>
  <si>
    <t>4992469495</t>
  </si>
  <si>
    <t>245-14-24</t>
  </si>
  <si>
    <t>84992459165</t>
  </si>
  <si>
    <t>-84992463645</t>
  </si>
  <si>
    <t>499-246-36-49</t>
  </si>
  <si>
    <t>246-80-61</t>
  </si>
  <si>
    <t>499-246-92-85</t>
  </si>
  <si>
    <t>Пироговская Б. ул., дом. 37-43 к.А</t>
  </si>
  <si>
    <t>499-248-46-54</t>
  </si>
  <si>
    <t>248-46-54</t>
  </si>
  <si>
    <t>245-07-97</t>
  </si>
  <si>
    <t>4992481263</t>
  </si>
  <si>
    <t>248-43-54</t>
  </si>
  <si>
    <t>248-19-21</t>
  </si>
  <si>
    <t>248-17-63</t>
  </si>
  <si>
    <t>248-19-19</t>
  </si>
  <si>
    <t>248-14-85</t>
  </si>
  <si>
    <t>(499)248-17-15</t>
  </si>
  <si>
    <t>4992481730</t>
  </si>
  <si>
    <t>248-11-24</t>
  </si>
  <si>
    <t>4992481430</t>
  </si>
  <si>
    <t>248-17-17</t>
  </si>
  <si>
    <t>248-19-37</t>
  </si>
  <si>
    <t>248-10-05</t>
  </si>
  <si>
    <t>4992453989</t>
  </si>
  <si>
    <t>4992481509</t>
  </si>
  <si>
    <t>248-19-81</t>
  </si>
  <si>
    <t>248-12-29</t>
  </si>
  <si>
    <t>245-20-17</t>
  </si>
  <si>
    <t>4992481235</t>
  </si>
  <si>
    <t>4992481581</t>
  </si>
  <si>
    <t>245-29-37</t>
  </si>
  <si>
    <t>84992481939</t>
  </si>
  <si>
    <t>248-15-18</t>
  </si>
  <si>
    <t>499-248-15-18</t>
  </si>
  <si>
    <t>248-19-18</t>
  </si>
  <si>
    <t>4992482186</t>
  </si>
  <si>
    <t>248-68-14</t>
  </si>
  <si>
    <t>248-19-52</t>
  </si>
  <si>
    <t>248-14-14</t>
  </si>
  <si>
    <t>248-15-04</t>
  </si>
  <si>
    <t>84992481330</t>
  </si>
  <si>
    <t>248-14-87</t>
  </si>
  <si>
    <t>248-10-08</t>
  </si>
  <si>
    <t>248-26-21</t>
  </si>
  <si>
    <t>84992481732</t>
  </si>
  <si>
    <t>84992453237</t>
  </si>
  <si>
    <t>248-12-03</t>
  </si>
  <si>
    <t>4992481506</t>
  </si>
  <si>
    <t>248-14-86</t>
  </si>
  <si>
    <t>245-12-85</t>
  </si>
  <si>
    <t>248-42-43</t>
  </si>
  <si>
    <t>4992552345</t>
  </si>
  <si>
    <t>248-17-09</t>
  </si>
  <si>
    <t>245-31-37</t>
  </si>
  <si>
    <t>248-14-05</t>
  </si>
  <si>
    <t>248-14-69</t>
  </si>
  <si>
    <t>4992481363</t>
  </si>
  <si>
    <t>248-12-71</t>
  </si>
  <si>
    <t>84992451406</t>
  </si>
  <si>
    <t>248-10-71</t>
  </si>
  <si>
    <t>248-22-39</t>
  </si>
  <si>
    <t>4992481060</t>
  </si>
  <si>
    <t>4992481183</t>
  </si>
  <si>
    <t>248-19-35</t>
  </si>
  <si>
    <t>248-17-96</t>
  </si>
  <si>
    <t>499-245-13-85</t>
  </si>
  <si>
    <t>499-248-10-58</t>
  </si>
  <si>
    <t>4992483694</t>
  </si>
  <si>
    <t>248-13-34</t>
  </si>
  <si>
    <t>84992481334</t>
  </si>
  <si>
    <t>246-89-50</t>
  </si>
  <si>
    <t>248-10-24</t>
  </si>
  <si>
    <t>248-10-17</t>
  </si>
  <si>
    <t>245-04-64</t>
  </si>
  <si>
    <t>248-67-48</t>
  </si>
  <si>
    <t>4992481258</t>
  </si>
  <si>
    <t>4992452505</t>
  </si>
  <si>
    <t>-4992481062</t>
  </si>
  <si>
    <t>248-10-91</t>
  </si>
  <si>
    <t>4992481210</t>
  </si>
  <si>
    <t>84992481130</t>
  </si>
  <si>
    <t>248-13-18</t>
  </si>
  <si>
    <t>248-10-09</t>
  </si>
  <si>
    <t>499-248-10-09</t>
  </si>
  <si>
    <t>4992481118</t>
  </si>
  <si>
    <t>4992481126</t>
  </si>
  <si>
    <t>-4992481057</t>
  </si>
  <si>
    <t>4992481319</t>
  </si>
  <si>
    <t>499-248-09-59</t>
  </si>
  <si>
    <t>248-15-39</t>
  </si>
  <si>
    <t>248-14-96</t>
  </si>
  <si>
    <t>4992481242</t>
  </si>
  <si>
    <t>84992481242</t>
  </si>
  <si>
    <t>248-14-68</t>
  </si>
  <si>
    <t>4992451917</t>
  </si>
  <si>
    <t>84992451917</t>
  </si>
  <si>
    <t>84992451817</t>
  </si>
  <si>
    <t>-4992481061</t>
  </si>
  <si>
    <t>248-63-41</t>
  </si>
  <si>
    <t>248-73-25</t>
  </si>
  <si>
    <t>248-13-26</t>
  </si>
  <si>
    <t>248-17-08</t>
  </si>
  <si>
    <t>84992452938</t>
  </si>
  <si>
    <t>248-14-26</t>
  </si>
  <si>
    <t>4992481497</t>
  </si>
  <si>
    <t>4992480050</t>
  </si>
  <si>
    <t>245-24-15</t>
  </si>
  <si>
    <t>248-13-06</t>
  </si>
  <si>
    <t>4992481076</t>
  </si>
  <si>
    <t>245-03-02</t>
  </si>
  <si>
    <t>248-15-96</t>
  </si>
  <si>
    <t>248-15-17</t>
  </si>
  <si>
    <t>248-13-20</t>
  </si>
  <si>
    <t>4992481457</t>
  </si>
  <si>
    <t>248-10-82</t>
  </si>
  <si>
    <t>248-10-86</t>
  </si>
  <si>
    <t>4992481085</t>
  </si>
  <si>
    <t>4992481053</t>
  </si>
  <si>
    <t>84992481727</t>
  </si>
  <si>
    <t>84992481324</t>
  </si>
  <si>
    <t>248-10-39</t>
  </si>
  <si>
    <t>245-20-37</t>
  </si>
  <si>
    <t>248-19-02</t>
  </si>
  <si>
    <t>4992452125</t>
  </si>
  <si>
    <t>4992451937</t>
  </si>
  <si>
    <t>245-21-37</t>
  </si>
  <si>
    <t>Пироговская Б. ул., дом. 37-43 к.Б</t>
  </si>
  <si>
    <t>248-15-41</t>
  </si>
  <si>
    <t>4992481920</t>
  </si>
  <si>
    <t>4992480278</t>
  </si>
  <si>
    <t>499-248-10-12</t>
  </si>
  <si>
    <t>248-11-25</t>
  </si>
  <si>
    <t>499 248-12-28</t>
  </si>
  <si>
    <t>245-39-37</t>
  </si>
  <si>
    <t>248-12-34</t>
  </si>
  <si>
    <t>248-10-90</t>
  </si>
  <si>
    <t>248-56-47 499</t>
  </si>
  <si>
    <t>248-10-64</t>
  </si>
  <si>
    <t>4992481262</t>
  </si>
  <si>
    <t>248-72-23</t>
  </si>
  <si>
    <t>84992487223</t>
  </si>
  <si>
    <t>248-11-72</t>
  </si>
  <si>
    <t>(499)248-78-75</t>
  </si>
  <si>
    <t>4992481308</t>
  </si>
  <si>
    <t>248-20-08</t>
  </si>
  <si>
    <t>248-20-42</t>
  </si>
  <si>
    <t>18А</t>
  </si>
  <si>
    <t>499-248-23-87</t>
  </si>
  <si>
    <t>4992481785</t>
  </si>
  <si>
    <t>248-11-50</t>
  </si>
  <si>
    <t>248-15-20</t>
  </si>
  <si>
    <t>248-17-26</t>
  </si>
  <si>
    <t>245-24-37</t>
  </si>
  <si>
    <t>4992481394</t>
  </si>
  <si>
    <t>248-11-07</t>
  </si>
  <si>
    <t>248-11-32</t>
  </si>
  <si>
    <t>+7(499)248-05-01</t>
  </si>
  <si>
    <t>248-10-37</t>
  </si>
  <si>
    <t>248-12-05</t>
  </si>
  <si>
    <t>248-19-09</t>
  </si>
  <si>
    <t>245-25-37</t>
  </si>
  <si>
    <t>248-17-07</t>
  </si>
  <si>
    <t>4992481131</t>
  </si>
  <si>
    <t>248-15-02</t>
  </si>
  <si>
    <t>499-248-11-34</t>
  </si>
  <si>
    <t>4992452337</t>
  </si>
  <si>
    <t>4992481447</t>
  </si>
  <si>
    <t>248-14-54</t>
  </si>
  <si>
    <t>4992481080</t>
  </si>
  <si>
    <t>248-13-27</t>
  </si>
  <si>
    <t>4992481094</t>
  </si>
  <si>
    <t>248-15-37</t>
  </si>
  <si>
    <t>248-10-49</t>
  </si>
  <si>
    <t>84992481731</t>
  </si>
  <si>
    <t>248-13-32</t>
  </si>
  <si>
    <t>619-45-66</t>
  </si>
  <si>
    <t>4992481905</t>
  </si>
  <si>
    <t>499-248-13-04</t>
  </si>
  <si>
    <t>248-11-93</t>
  </si>
  <si>
    <t>248-12-40</t>
  </si>
  <si>
    <t>4992481473</t>
  </si>
  <si>
    <t>4992481282</t>
  </si>
  <si>
    <t>499-248-15-90</t>
  </si>
  <si>
    <t>248-10-16</t>
  </si>
  <si>
    <t>245-28-37</t>
  </si>
  <si>
    <t>4992481907</t>
  </si>
  <si>
    <t>499-248-15-36</t>
  </si>
  <si>
    <t>248-11-43</t>
  </si>
  <si>
    <t>4992480709</t>
  </si>
  <si>
    <t>4992480949</t>
  </si>
  <si>
    <t>248-11-16</t>
  </si>
  <si>
    <t>248-11-17</t>
  </si>
  <si>
    <t>Пироговская Б. ул., дом. 37-43 к.В</t>
  </si>
  <si>
    <t>248-11-90</t>
  </si>
  <si>
    <t>3380667</t>
  </si>
  <si>
    <t>248-15-19</t>
  </si>
  <si>
    <t>248-17-94</t>
  </si>
  <si>
    <t>4992481184</t>
  </si>
  <si>
    <t>Пироговская Б. ул., дом. 53</t>
  </si>
  <si>
    <t>499-246-84-77</t>
  </si>
  <si>
    <t>246-73-06</t>
  </si>
  <si>
    <t>84992451752</t>
  </si>
  <si>
    <t>84992467758</t>
  </si>
  <si>
    <t>4992453528</t>
  </si>
  <si>
    <t>246-21-01</t>
  </si>
  <si>
    <t>84992460923</t>
  </si>
  <si>
    <t>246-31-76</t>
  </si>
  <si>
    <t>246-30-59</t>
  </si>
  <si>
    <t>246-32-80</t>
  </si>
  <si>
    <t>4992465558</t>
  </si>
  <si>
    <t>245-17-11</t>
  </si>
  <si>
    <t>246-34-84</t>
  </si>
  <si>
    <t>4992463580</t>
  </si>
  <si>
    <t>246-51-63</t>
  </si>
  <si>
    <t>245-18-42</t>
  </si>
  <si>
    <t>246-93-59</t>
  </si>
  <si>
    <t>245-28-46</t>
  </si>
  <si>
    <t>84992467525</t>
  </si>
  <si>
    <t>499-245-08-65</t>
  </si>
  <si>
    <t>246-82-64</t>
  </si>
  <si>
    <t>4992451611</t>
  </si>
  <si>
    <t>245-15-48</t>
  </si>
  <si>
    <t>4992464354</t>
  </si>
  <si>
    <t>246-44-28</t>
  </si>
  <si>
    <t>245-09-11</t>
  </si>
  <si>
    <t>-4992469712</t>
  </si>
  <si>
    <t>84992465553</t>
  </si>
  <si>
    <t>499-246-81-26</t>
  </si>
  <si>
    <t>246-56-66</t>
  </si>
  <si>
    <t>499-245-14-11</t>
  </si>
  <si>
    <t>4992553502</t>
  </si>
  <si>
    <t>4992451897</t>
  </si>
  <si>
    <t>245-03-82</t>
  </si>
  <si>
    <t>246-56-89</t>
  </si>
  <si>
    <t>84992468042</t>
  </si>
  <si>
    <t>499 246-83-23</t>
  </si>
  <si>
    <t>245-13-11</t>
  </si>
  <si>
    <t>4992469717</t>
  </si>
  <si>
    <t>246-68-27</t>
  </si>
  <si>
    <t>4992450765</t>
  </si>
  <si>
    <t>4992468122</t>
  </si>
  <si>
    <t>245-12-68</t>
  </si>
  <si>
    <t>245-12-41</t>
  </si>
  <si>
    <t>246-96-49</t>
  </si>
  <si>
    <t>246-99-20</t>
  </si>
  <si>
    <t>50А</t>
  </si>
  <si>
    <t>246-23-18</t>
  </si>
  <si>
    <t>84992469849</t>
  </si>
  <si>
    <t>245-71-68</t>
  </si>
  <si>
    <t>84992461078</t>
  </si>
  <si>
    <t>4992467562</t>
  </si>
  <si>
    <t>84992451796</t>
  </si>
  <si>
    <t>245-12-01</t>
  </si>
  <si>
    <t>245-36-64</t>
  </si>
  <si>
    <t>245-10-11</t>
  </si>
  <si>
    <t>245-36-01</t>
  </si>
  <si>
    <t>246-90-07</t>
  </si>
  <si>
    <t>246-55-49</t>
  </si>
  <si>
    <t>4992464229</t>
  </si>
  <si>
    <t>245-16-87</t>
  </si>
  <si>
    <t>246-55-41</t>
  </si>
  <si>
    <t>245-36-18</t>
  </si>
  <si>
    <t>84992469449</t>
  </si>
  <si>
    <t>246-55-56</t>
  </si>
  <si>
    <t>84992469780</t>
  </si>
  <si>
    <t>4992464829</t>
  </si>
  <si>
    <t>4992468265</t>
  </si>
  <si>
    <t>4992465789</t>
  </si>
  <si>
    <t>4992464792</t>
  </si>
  <si>
    <t>4992467541</t>
  </si>
  <si>
    <t>4992467684</t>
  </si>
  <si>
    <t>246-44-56</t>
  </si>
  <si>
    <t>246-99-23</t>
  </si>
  <si>
    <t>246-94-81</t>
  </si>
  <si>
    <t>84992468998</t>
  </si>
  <si>
    <t>246-63-68</t>
  </si>
  <si>
    <t>246-57-61</t>
  </si>
  <si>
    <t>499-245-28-68</t>
  </si>
  <si>
    <t>84992453900</t>
  </si>
  <si>
    <t>246-82-44</t>
  </si>
  <si>
    <t>246-38-49</t>
  </si>
  <si>
    <t>246-93-49</t>
  </si>
  <si>
    <t>246-50-40</t>
  </si>
  <si>
    <t>246-52-47</t>
  </si>
  <si>
    <t>246-62-45</t>
  </si>
  <si>
    <t>246-50-69</t>
  </si>
  <si>
    <t>4992465041</t>
  </si>
  <si>
    <t>4992451055</t>
  </si>
  <si>
    <t>499-255-79-40</t>
  </si>
  <si>
    <t>246-12-01</t>
  </si>
  <si>
    <t>4992453960</t>
  </si>
  <si>
    <t>499-246-75-89</t>
  </si>
  <si>
    <t>499-245-27-46</t>
  </si>
  <si>
    <t>4992462287</t>
  </si>
  <si>
    <t>4992461564</t>
  </si>
  <si>
    <t>246-25-78</t>
  </si>
  <si>
    <t>246-19-14</t>
  </si>
  <si>
    <t>4992467226</t>
  </si>
  <si>
    <t>246-62-65</t>
  </si>
  <si>
    <t>84992463218</t>
  </si>
  <si>
    <t>84992450383</t>
  </si>
  <si>
    <t>4992463463</t>
  </si>
  <si>
    <t>245-05-45</t>
  </si>
  <si>
    <t>4992469125</t>
  </si>
  <si>
    <t>4992467923</t>
  </si>
  <si>
    <t>4992464938</t>
  </si>
  <si>
    <t>246-32-19</t>
  </si>
  <si>
    <t>246-59-43</t>
  </si>
  <si>
    <t>246-87-02</t>
  </si>
  <si>
    <t>4992468124</t>
  </si>
  <si>
    <t>4992469966</t>
  </si>
  <si>
    <t>246-65-23</t>
  </si>
  <si>
    <t>245-05-01</t>
  </si>
  <si>
    <t>246-82-22</t>
  </si>
  <si>
    <t>4992469009</t>
  </si>
  <si>
    <t>4992464374</t>
  </si>
  <si>
    <t>246-57-25</t>
  </si>
  <si>
    <t>245-05-59</t>
  </si>
  <si>
    <t>245-05-66</t>
  </si>
  <si>
    <t>246-89-62</t>
  </si>
  <si>
    <t>4992457435</t>
  </si>
  <si>
    <t>4992467623</t>
  </si>
  <si>
    <t>246-70-23</t>
  </si>
  <si>
    <t>245-37-07</t>
  </si>
  <si>
    <t>4992528936</t>
  </si>
  <si>
    <t>246-88-29</t>
  </si>
  <si>
    <t>499-246-48-92</t>
  </si>
  <si>
    <t>246-38-86</t>
  </si>
  <si>
    <t>246-32-20</t>
  </si>
  <si>
    <t>246-26-27</t>
  </si>
  <si>
    <t>4957083542</t>
  </si>
  <si>
    <t>137А</t>
  </si>
  <si>
    <t>246-97-57</t>
  </si>
  <si>
    <t>246-06-68</t>
  </si>
  <si>
    <t>246-47-92</t>
  </si>
  <si>
    <t>247-17-88</t>
  </si>
  <si>
    <t>4992468324</t>
  </si>
  <si>
    <t>499-246-57-02</t>
  </si>
  <si>
    <t>2499465929</t>
  </si>
  <si>
    <t>4992466185</t>
  </si>
  <si>
    <t>246-62-01</t>
  </si>
  <si>
    <t>-84992466201</t>
  </si>
  <si>
    <t>246-98-63</t>
  </si>
  <si>
    <t>4992450810</t>
  </si>
  <si>
    <t>246-69-50</t>
  </si>
  <si>
    <t>245-23-11</t>
  </si>
  <si>
    <t>-4992452414</t>
  </si>
  <si>
    <t>245-25-11</t>
  </si>
  <si>
    <t>245-29-03</t>
  </si>
  <si>
    <t>84992452611</t>
  </si>
  <si>
    <t>245-22-69</t>
  </si>
  <si>
    <t>245-33-11</t>
  </si>
  <si>
    <t>4992468321</t>
  </si>
  <si>
    <t>84997664227</t>
  </si>
  <si>
    <t>246-71-18</t>
  </si>
  <si>
    <t>84992469520</t>
  </si>
  <si>
    <t>499-245-21-41</t>
  </si>
  <si>
    <t>245-21-26</t>
  </si>
  <si>
    <t>4992552307</t>
  </si>
  <si>
    <t>499-245-21-05</t>
  </si>
  <si>
    <t>246-64-44</t>
  </si>
  <si>
    <t>4992465445</t>
  </si>
  <si>
    <t>84992466301</t>
  </si>
  <si>
    <t>246-24-65</t>
  </si>
  <si>
    <t>499-246-78-28</t>
  </si>
  <si>
    <t>246-72-81</t>
  </si>
  <si>
    <t>245-21-03</t>
  </si>
  <si>
    <t>499-246-52-10</t>
  </si>
  <si>
    <t>4992460816</t>
  </si>
  <si>
    <t>499-246-75-60</t>
  </si>
  <si>
    <t>246-79-90</t>
  </si>
  <si>
    <t>245-20-11</t>
  </si>
  <si>
    <t>4992469861</t>
  </si>
  <si>
    <t>499-245-19-23</t>
  </si>
  <si>
    <t>246-87-26</t>
  </si>
  <si>
    <t>4992557080</t>
  </si>
  <si>
    <t>4992451946</t>
  </si>
  <si>
    <t>84992451946</t>
  </si>
  <si>
    <t>499-246-10-19</t>
  </si>
  <si>
    <t>84959924407</t>
  </si>
  <si>
    <t>4992463057</t>
  </si>
  <si>
    <t>246-23-44</t>
  </si>
  <si>
    <t>4992463210</t>
  </si>
  <si>
    <t>Пироговская М. ул., дом. 6/4</t>
  </si>
  <si>
    <t>246-34-69</t>
  </si>
  <si>
    <t>246-34-70</t>
  </si>
  <si>
    <t>4992461138</t>
  </si>
  <si>
    <t>247-18-33</t>
  </si>
  <si>
    <t>246-69-76</t>
  </si>
  <si>
    <t>84992464714</t>
  </si>
  <si>
    <t>84992463431</t>
  </si>
  <si>
    <t>499-248-50-17</t>
  </si>
  <si>
    <t>499-246-33-94</t>
  </si>
  <si>
    <t>246-33-72</t>
  </si>
  <si>
    <t>246-33-73</t>
  </si>
  <si>
    <t>84992463599</t>
  </si>
  <si>
    <t>4992461920</t>
  </si>
  <si>
    <t>4992462648</t>
  </si>
  <si>
    <t>246-47-13</t>
  </si>
  <si>
    <t>84992557893</t>
  </si>
  <si>
    <t>246-46-87</t>
  </si>
  <si>
    <t>4957083496</t>
  </si>
  <si>
    <t>84992556894</t>
  </si>
  <si>
    <t>4992464688</t>
  </si>
  <si>
    <t>247-19-96</t>
  </si>
  <si>
    <t>247-18-34</t>
  </si>
  <si>
    <t>4992557995</t>
  </si>
  <si>
    <t>+7(968)498-99-40</t>
  </si>
  <si>
    <t>4992557884</t>
  </si>
  <si>
    <t>4992552642</t>
  </si>
  <si>
    <t>84992463157</t>
  </si>
  <si>
    <t>84992455943</t>
  </si>
  <si>
    <t>4992557923</t>
  </si>
  <si>
    <t>4992462072</t>
  </si>
  <si>
    <t>84992557974</t>
  </si>
  <si>
    <t>4992463290</t>
  </si>
  <si>
    <t>84992557973</t>
  </si>
  <si>
    <t>4992557863</t>
  </si>
  <si>
    <t>84992463291</t>
  </si>
  <si>
    <t>246-32-70</t>
  </si>
  <si>
    <t>247-18-64</t>
  </si>
  <si>
    <t>84992468617</t>
  </si>
  <si>
    <t>499-245-58-29</t>
  </si>
  <si>
    <t>4992452086</t>
  </si>
  <si>
    <t>246-31-73</t>
  </si>
  <si>
    <t>246-31-74</t>
  </si>
  <si>
    <t>4992557931</t>
  </si>
  <si>
    <t>248-07-37</t>
  </si>
  <si>
    <t>4992557932</t>
  </si>
  <si>
    <t>84992557993</t>
  </si>
  <si>
    <t>4992461010</t>
  </si>
  <si>
    <t>84992557994</t>
  </si>
  <si>
    <t>246-30-50</t>
  </si>
  <si>
    <t>246-30-51</t>
  </si>
  <si>
    <t>4992463052</t>
  </si>
  <si>
    <t>4992462672</t>
  </si>
  <si>
    <t>246-26-54</t>
  </si>
  <si>
    <t>247-19-83</t>
  </si>
  <si>
    <t>247-19-84</t>
  </si>
  <si>
    <t>499 255-79-77</t>
  </si>
  <si>
    <t>84992557983</t>
  </si>
  <si>
    <t>4992463129</t>
  </si>
  <si>
    <t>4992557819</t>
  </si>
  <si>
    <t>84992463130</t>
  </si>
  <si>
    <t>246-31-30</t>
  </si>
  <si>
    <t>4992557975</t>
  </si>
  <si>
    <t>4992463151</t>
  </si>
  <si>
    <t>4992463152</t>
  </si>
  <si>
    <t>499-245-05-63</t>
  </si>
  <si>
    <t>499-247-19-76</t>
  </si>
  <si>
    <t>Пироговская М. ул., дом. 6/4 к.2</t>
  </si>
  <si>
    <t>245-04-28</t>
  </si>
  <si>
    <t>4992462793</t>
  </si>
  <si>
    <t>246-27-94</t>
  </si>
  <si>
    <t>4992461312</t>
  </si>
  <si>
    <t>246-10-17</t>
  </si>
  <si>
    <t>246-21-31</t>
  </si>
  <si>
    <t>245-09-35</t>
  </si>
  <si>
    <t>84956120041</t>
  </si>
  <si>
    <t>499-246-28-53</t>
  </si>
  <si>
    <t>246-28-54</t>
  </si>
  <si>
    <t>4992480537</t>
  </si>
  <si>
    <t>4992461708</t>
  </si>
  <si>
    <t>246-23-95</t>
  </si>
  <si>
    <t>246-29-12</t>
  </si>
  <si>
    <t>4992462538</t>
  </si>
  <si>
    <t>4992462463</t>
  </si>
  <si>
    <t>248-05-01</t>
  </si>
  <si>
    <t>84992462765</t>
  </si>
  <si>
    <t>4992462970</t>
  </si>
  <si>
    <t>499-246-24-33</t>
  </si>
  <si>
    <t>248-06-06</t>
  </si>
  <si>
    <t>4997664979</t>
  </si>
  <si>
    <t>248-77-67</t>
  </si>
  <si>
    <t>4992462012</t>
  </si>
  <si>
    <t>4992463755</t>
  </si>
  <si>
    <t>245-60-27</t>
  </si>
  <si>
    <t>246-23-51</t>
  </si>
  <si>
    <t>246-20-13</t>
  </si>
  <si>
    <t>247-18-08</t>
  </si>
  <si>
    <t>4992557809</t>
  </si>
  <si>
    <t>246-23-68</t>
  </si>
  <si>
    <t>246-24-79</t>
  </si>
  <si>
    <t>246-20-32</t>
  </si>
  <si>
    <t>4992462033</t>
  </si>
  <si>
    <t>499-246-23-98</t>
  </si>
  <si>
    <t>246-21-33</t>
  </si>
  <si>
    <t>4992459767</t>
  </si>
  <si>
    <t>248-44-24</t>
  </si>
  <si>
    <t>84992557811</t>
  </si>
  <si>
    <t>246-90-72</t>
  </si>
  <si>
    <t>Пироговская М. ул., дом. 8</t>
  </si>
  <si>
    <t>499-246-45-49</t>
  </si>
  <si>
    <t>Пироговская М. ул., дом. 8 (снесен)</t>
  </si>
  <si>
    <t>247-19-85</t>
  </si>
  <si>
    <t>247-19-10</t>
  </si>
  <si>
    <t>246-46-51</t>
  </si>
  <si>
    <t>246-32-73</t>
  </si>
  <si>
    <t>246-30-53</t>
  </si>
  <si>
    <t>495-246-29-98</t>
  </si>
  <si>
    <t>246-10-37</t>
  </si>
  <si>
    <t>246-70-45</t>
  </si>
  <si>
    <t>246-97-86</t>
  </si>
  <si>
    <t>246-24-71</t>
  </si>
  <si>
    <t>246-68-78</t>
  </si>
  <si>
    <t>246-93-70</t>
  </si>
  <si>
    <t>246-33-47</t>
  </si>
  <si>
    <t>246-43-00</t>
  </si>
  <si>
    <t>246-30-47</t>
  </si>
  <si>
    <t>245-01-45</t>
  </si>
  <si>
    <t>246-19-62</t>
  </si>
  <si>
    <t>246-30-70</t>
  </si>
  <si>
    <t>246-32-89</t>
  </si>
  <si>
    <t>246-33-93</t>
  </si>
  <si>
    <t>Пироговская М. ул., дом. 9/6</t>
  </si>
  <si>
    <t>248-01-30</t>
  </si>
  <si>
    <t>84992480587</t>
  </si>
  <si>
    <t>248-03-62</t>
  </si>
  <si>
    <t>499-248-06-31</t>
  </si>
  <si>
    <t>248-07-18</t>
  </si>
  <si>
    <t>4992480591</t>
  </si>
  <si>
    <t>248-05-54</t>
  </si>
  <si>
    <t>248-03-91</t>
  </si>
  <si>
    <t>4992480950</t>
  </si>
  <si>
    <t>499-248-05-36</t>
  </si>
  <si>
    <t>248-05-02</t>
  </si>
  <si>
    <t>4992484805</t>
  </si>
  <si>
    <t>499-248-26-60</t>
  </si>
  <si>
    <t>248-09-07</t>
  </si>
  <si>
    <t>Пироговская М. ул., дом. 11</t>
  </si>
  <si>
    <t>248-07-20</t>
  </si>
  <si>
    <t>4992480763</t>
  </si>
  <si>
    <t>4992480291</t>
  </si>
  <si>
    <t>4992480360</t>
  </si>
  <si>
    <t>248-08-09</t>
  </si>
  <si>
    <t>248-09-38</t>
  </si>
  <si>
    <t>4992480729</t>
  </si>
  <si>
    <t>248-05-50</t>
  </si>
  <si>
    <t>248-70-95</t>
  </si>
  <si>
    <t>248-05-61</t>
  </si>
  <si>
    <t>248-76-94</t>
  </si>
  <si>
    <t>248-07-82</t>
  </si>
  <si>
    <t>248-01-80</t>
  </si>
  <si>
    <t>248-01-90</t>
  </si>
  <si>
    <t>4992480538</t>
  </si>
  <si>
    <t>248-05-38</t>
  </si>
  <si>
    <t>16а</t>
  </si>
  <si>
    <t>4992484675</t>
  </si>
  <si>
    <t>248-09-91</t>
  </si>
  <si>
    <t>248-07-94</t>
  </si>
  <si>
    <t>248-02-85</t>
  </si>
  <si>
    <t>4992480820</t>
  </si>
  <si>
    <t>246-53-68</t>
  </si>
  <si>
    <t>+07(903)739-62-40</t>
  </si>
  <si>
    <t>4992480929</t>
  </si>
  <si>
    <t>248-06-72</t>
  </si>
  <si>
    <t>248-03-80</t>
  </si>
  <si>
    <t>-4992480795</t>
  </si>
  <si>
    <t>248-07-83</t>
  </si>
  <si>
    <t>4992480701</t>
  </si>
  <si>
    <t>-4992480919</t>
  </si>
  <si>
    <t>32а</t>
  </si>
  <si>
    <t>Пироговская М. ул., дом. 21</t>
  </si>
  <si>
    <t>246-78-53</t>
  </si>
  <si>
    <t>4992552095</t>
  </si>
  <si>
    <t>4992460744</t>
  </si>
  <si>
    <t>2557848</t>
  </si>
  <si>
    <t>246-75-12</t>
  </si>
  <si>
    <t>4992552116</t>
  </si>
  <si>
    <t>247-18-79</t>
  </si>
  <si>
    <t>4992466377</t>
  </si>
  <si>
    <t>246-00-08</t>
  </si>
  <si>
    <t>4992460742</t>
  </si>
  <si>
    <t>2460742</t>
  </si>
  <si>
    <t>4992557877</t>
  </si>
  <si>
    <t>4992552077</t>
  </si>
  <si>
    <t>245-15-05</t>
  </si>
  <si>
    <t>-84992466550</t>
  </si>
  <si>
    <t>4992460777</t>
  </si>
  <si>
    <t>2552215</t>
  </si>
  <si>
    <t>247-15-29</t>
  </si>
  <si>
    <t>4992460790</t>
  </si>
  <si>
    <t>246-07-53</t>
  </si>
  <si>
    <t>247-00-94</t>
  </si>
  <si>
    <t>245-15-64</t>
  </si>
  <si>
    <t>4992557898</t>
  </si>
  <si>
    <t>499-246-07-57</t>
  </si>
  <si>
    <t>84992460772</t>
  </si>
  <si>
    <t>4992451559</t>
  </si>
  <si>
    <t>4992460782</t>
  </si>
  <si>
    <t>247-19-06</t>
  </si>
  <si>
    <t>4992460755</t>
  </si>
  <si>
    <t>4992552158</t>
  </si>
  <si>
    <t>4992552145</t>
  </si>
  <si>
    <t>4992461483</t>
  </si>
  <si>
    <t>247-19-28</t>
  </si>
  <si>
    <t>4992460670</t>
  </si>
  <si>
    <t>246-06-51</t>
  </si>
  <si>
    <t>4992552163</t>
  </si>
  <si>
    <t>246-81-53</t>
  </si>
  <si>
    <t>84992552124</t>
  </si>
  <si>
    <t>4992552125</t>
  </si>
  <si>
    <t>4992552131</t>
  </si>
  <si>
    <t>4992468048</t>
  </si>
  <si>
    <t>246-80-22</t>
  </si>
  <si>
    <t>4992467972</t>
  </si>
  <si>
    <t>4992460684</t>
  </si>
  <si>
    <t>246-06-84</t>
  </si>
  <si>
    <t>-4957083014</t>
  </si>
  <si>
    <t>4992552134</t>
  </si>
  <si>
    <t>246-06-79</t>
  </si>
  <si>
    <t>4992552405</t>
  </si>
  <si>
    <t>246-81-69</t>
  </si>
  <si>
    <t>246-06-76</t>
  </si>
  <si>
    <t>247-01-41</t>
  </si>
  <si>
    <t>246-41-74</t>
  </si>
  <si>
    <t>499-246-79-74</t>
  </si>
  <si>
    <t>246-06-77</t>
  </si>
  <si>
    <t>246-06-78</t>
  </si>
  <si>
    <t>84992469964</t>
  </si>
  <si>
    <t>84992552176</t>
  </si>
  <si>
    <t>4992552184</t>
  </si>
  <si>
    <t>4992552189</t>
  </si>
  <si>
    <t>4992552191</t>
  </si>
  <si>
    <t>4997664058</t>
  </si>
  <si>
    <t>246-18-32</t>
  </si>
  <si>
    <t>84992452174</t>
  </si>
  <si>
    <t>4992461352</t>
  </si>
  <si>
    <t>245-31-23</t>
  </si>
  <si>
    <t>4992453692</t>
  </si>
  <si>
    <t>2557343</t>
  </si>
  <si>
    <t>4992462877</t>
  </si>
  <si>
    <t>4992462474</t>
  </si>
  <si>
    <t>4992552167</t>
  </si>
  <si>
    <t>246-41-06</t>
  </si>
  <si>
    <t>84992464106</t>
  </si>
  <si>
    <t>84992460594</t>
  </si>
  <si>
    <t>752-93-90</t>
  </si>
  <si>
    <t>4997664063</t>
  </si>
  <si>
    <t>499-246-07-54</t>
  </si>
  <si>
    <t>247-13-11</t>
  </si>
  <si>
    <t>4992466786</t>
  </si>
  <si>
    <t>-84997664018</t>
  </si>
  <si>
    <t>246-83-53</t>
  </si>
  <si>
    <t>4992460596</t>
  </si>
  <si>
    <t>84992552168</t>
  </si>
  <si>
    <t>4992460631</t>
  </si>
  <si>
    <t>4992460633</t>
  </si>
  <si>
    <t>246-04-86</t>
  </si>
  <si>
    <t>246-72-73</t>
  </si>
  <si>
    <t>246-93-89</t>
  </si>
  <si>
    <t>245-00-77</t>
  </si>
  <si>
    <t>84992552177</t>
  </si>
  <si>
    <t>246-78-21</t>
  </si>
  <si>
    <t>4992552185</t>
  </si>
  <si>
    <t>499-255-21-83</t>
  </si>
  <si>
    <t>84992557465</t>
  </si>
  <si>
    <t>4992461438</t>
  </si>
  <si>
    <t>84992461732</t>
  </si>
  <si>
    <t>246-79-36</t>
  </si>
  <si>
    <t>499-246-78-93</t>
  </si>
  <si>
    <t>84992467863</t>
  </si>
  <si>
    <t>4992467863</t>
  </si>
  <si>
    <t>84992451970</t>
  </si>
  <si>
    <t>84992460497</t>
  </si>
  <si>
    <t>4992460494</t>
  </si>
  <si>
    <t>246-04-94</t>
  </si>
  <si>
    <t>4992451340</t>
  </si>
  <si>
    <t>4992552196</t>
  </si>
  <si>
    <t>4992460554</t>
  </si>
  <si>
    <t>247-01-75</t>
  </si>
  <si>
    <t>4992552223</t>
  </si>
  <si>
    <t>84992467938</t>
  </si>
  <si>
    <t>4992460592</t>
  </si>
  <si>
    <t>4992552197</t>
  </si>
  <si>
    <t>499-246-04-90</t>
  </si>
  <si>
    <t>246-53-42</t>
  </si>
  <si>
    <t>4992467905</t>
  </si>
  <si>
    <t>247-04-84</t>
  </si>
  <si>
    <t>4992460473</t>
  </si>
  <si>
    <t>241-24-57</t>
  </si>
  <si>
    <t>4992460454</t>
  </si>
  <si>
    <t>84992552269</t>
  </si>
  <si>
    <t>247-02-69</t>
  </si>
  <si>
    <t>499 255-29-14</t>
  </si>
  <si>
    <t>246-78-61</t>
  </si>
  <si>
    <t>84992461924</t>
  </si>
  <si>
    <t>4992467641</t>
  </si>
  <si>
    <t>246-38-55</t>
  </si>
  <si>
    <t>4992552237</t>
  </si>
  <si>
    <t>84992552228</t>
  </si>
  <si>
    <t>247-02-14</t>
  </si>
  <si>
    <t>247-02-13</t>
  </si>
  <si>
    <t>245-62-61</t>
  </si>
  <si>
    <t>246-19-46</t>
  </si>
  <si>
    <t>4992552234</t>
  </si>
  <si>
    <t>246-71-77</t>
  </si>
  <si>
    <t>84992552226</t>
  </si>
  <si>
    <t>247-02-65</t>
  </si>
  <si>
    <t>4992460477</t>
  </si>
  <si>
    <t>4992552206</t>
  </si>
  <si>
    <t>4992467869</t>
  </si>
  <si>
    <t>2552170</t>
  </si>
  <si>
    <t>4992552225</t>
  </si>
  <si>
    <t>499-246-04-79</t>
  </si>
  <si>
    <t>Пироговская М. ул., дом. 23</t>
  </si>
  <si>
    <t>4992467125</t>
  </si>
  <si>
    <t>4992469724</t>
  </si>
  <si>
    <t>(499)255-75-56</t>
  </si>
  <si>
    <t>499-246-01-56</t>
  </si>
  <si>
    <t>247-55-15</t>
  </si>
  <si>
    <t>246-01-90</t>
  </si>
  <si>
    <t>246-02-14</t>
  </si>
  <si>
    <t>248-46-06</t>
  </si>
  <si>
    <t>4992460254</t>
  </si>
  <si>
    <t>499-246-01-94</t>
  </si>
  <si>
    <t>246-51-52</t>
  </si>
  <si>
    <t>246-25-95</t>
  </si>
  <si>
    <t>247-17-16</t>
  </si>
  <si>
    <t>246-02-74</t>
  </si>
  <si>
    <t>4992460276</t>
  </si>
  <si>
    <t>4992460279</t>
  </si>
  <si>
    <t>4992557718</t>
  </si>
  <si>
    <t>4992467308</t>
  </si>
  <si>
    <t>84997664287</t>
  </si>
  <si>
    <t>246-02-98</t>
  </si>
  <si>
    <t>246-11-69</t>
  </si>
  <si>
    <t>246-11-96</t>
  </si>
  <si>
    <t>4992557567</t>
  </si>
  <si>
    <t>246-02-99</t>
  </si>
  <si>
    <t>-4992557005</t>
  </si>
  <si>
    <t>4992462585</t>
  </si>
  <si>
    <t>4992462580</t>
  </si>
  <si>
    <t>4992557553</t>
  </si>
  <si>
    <t>4992557552</t>
  </si>
  <si>
    <t>246-44-14</t>
  </si>
  <si>
    <t>246-19-15</t>
  </si>
  <si>
    <t>499-246-89-78</t>
  </si>
  <si>
    <t>708-37-84</t>
  </si>
  <si>
    <t>+7(965)199-09-05</t>
  </si>
  <si>
    <t>4992467455</t>
  </si>
  <si>
    <t>-84992552984</t>
  </si>
  <si>
    <t>84992461288</t>
  </si>
  <si>
    <t>84992460334</t>
  </si>
  <si>
    <t>4992462114</t>
  </si>
  <si>
    <t>84992466590</t>
  </si>
  <si>
    <t>4992462120</t>
  </si>
  <si>
    <t>4992552987</t>
  </si>
  <si>
    <t>247-09-96</t>
  </si>
  <si>
    <t>84992550956</t>
  </si>
  <si>
    <t>245-32-80</t>
  </si>
  <si>
    <t>4992453643</t>
  </si>
  <si>
    <t>245-36-55</t>
  </si>
  <si>
    <t>4992453636</t>
  </si>
  <si>
    <t>4992467529</t>
  </si>
  <si>
    <t>84992460373</t>
  </si>
  <si>
    <t>4992453661</t>
  </si>
  <si>
    <t>246-92-60</t>
  </si>
  <si>
    <t>246-03-74</t>
  </si>
  <si>
    <t>4992557367</t>
  </si>
  <si>
    <t>4992453546</t>
  </si>
  <si>
    <t>4992467626</t>
  </si>
  <si>
    <t>246-17-54</t>
  </si>
  <si>
    <t>89096282232</t>
  </si>
  <si>
    <t>4992467554</t>
  </si>
  <si>
    <t>246-03-96</t>
  </si>
  <si>
    <t>245-07-76</t>
  </si>
  <si>
    <t>245-07-88</t>
  </si>
  <si>
    <t>4992461477</t>
  </si>
  <si>
    <t>246-76-53</t>
  </si>
  <si>
    <t>246-04-38</t>
  </si>
  <si>
    <t>397-58-46</t>
  </si>
  <si>
    <t>246-14-87</t>
  </si>
  <si>
    <t>246-04-52</t>
  </si>
  <si>
    <t>4992450734</t>
  </si>
  <si>
    <t>245-02-71</t>
  </si>
  <si>
    <t>84992450728</t>
  </si>
  <si>
    <t>Пироговская М. ул., дом. 25</t>
  </si>
  <si>
    <t>246-78-39</t>
  </si>
  <si>
    <t>-84992462469</t>
  </si>
  <si>
    <t>84992466364</t>
  </si>
  <si>
    <t>4992452218</t>
  </si>
  <si>
    <t>4992466395</t>
  </si>
  <si>
    <t>246-08-33</t>
  </si>
  <si>
    <t>84992466396</t>
  </si>
  <si>
    <t>4992466396</t>
  </si>
  <si>
    <t>4992455196</t>
  </si>
  <si>
    <t>4999434953</t>
  </si>
  <si>
    <t>-4992466399</t>
  </si>
  <si>
    <t>246-67-78</t>
  </si>
  <si>
    <t>4992466400</t>
  </si>
  <si>
    <t>246-40-44</t>
  </si>
  <si>
    <t>246-53-56</t>
  </si>
  <si>
    <t>4992466401</t>
  </si>
  <si>
    <t>84992557592</t>
  </si>
  <si>
    <t>245-79-09</t>
  </si>
  <si>
    <t>246-64-03</t>
  </si>
  <si>
    <t>246-64-04</t>
  </si>
  <si>
    <t>84992465386</t>
  </si>
  <si>
    <t>4992487027</t>
  </si>
  <si>
    <t>4992466418</t>
  </si>
  <si>
    <t>4992455465</t>
  </si>
  <si>
    <t>84992466419</t>
  </si>
  <si>
    <t>4992459188</t>
  </si>
  <si>
    <t>4992464475</t>
  </si>
  <si>
    <t>246-63-36</t>
  </si>
  <si>
    <t>246-63-96</t>
  </si>
  <si>
    <t>4992466336</t>
  </si>
  <si>
    <t>246-53-30</t>
  </si>
  <si>
    <t>246-63-39</t>
  </si>
  <si>
    <t>248-70-90</t>
  </si>
  <si>
    <t>4992468006</t>
  </si>
  <si>
    <t>246-63-42</t>
  </si>
  <si>
    <t>246-63-48</t>
  </si>
  <si>
    <t>499-246-65-18</t>
  </si>
  <si>
    <t>246-62-61</t>
  </si>
  <si>
    <t>4992466262</t>
  </si>
  <si>
    <t>4992426262</t>
  </si>
  <si>
    <t>4992466272</t>
  </si>
  <si>
    <t>245-35-96 499</t>
  </si>
  <si>
    <t>499-246-62-73</t>
  </si>
  <si>
    <t>246-62-71</t>
  </si>
  <si>
    <t>4992457850</t>
  </si>
  <si>
    <t>4992457851</t>
  </si>
  <si>
    <t>84992466290</t>
  </si>
  <si>
    <t>499-246-62-93</t>
  </si>
  <si>
    <t>499-246-63-14</t>
  </si>
  <si>
    <t>4992466317</t>
  </si>
  <si>
    <t>245-78-52</t>
  </si>
  <si>
    <t>499-246-63-04</t>
  </si>
  <si>
    <t>84992457853</t>
  </si>
  <si>
    <t>-4992455187</t>
  </si>
  <si>
    <t>84992466300</t>
  </si>
  <si>
    <t>245-78-54</t>
  </si>
  <si>
    <t>4992466325</t>
  </si>
  <si>
    <t>4992466329</t>
  </si>
  <si>
    <t>84992457904</t>
  </si>
  <si>
    <t>Пироговская М. ул., дом. 27 к.1</t>
  </si>
  <si>
    <t>84992459726</t>
  </si>
  <si>
    <t>248-15-85</t>
  </si>
  <si>
    <t>499-245-13-48</t>
  </si>
  <si>
    <t>4992452148</t>
  </si>
  <si>
    <t>245-21-48</t>
  </si>
  <si>
    <t>4992451403</t>
  </si>
  <si>
    <t>245-13-42</t>
  </si>
  <si>
    <t>246-87-10</t>
  </si>
  <si>
    <t>89268743153</t>
  </si>
  <si>
    <t>499-245-14-82</t>
  </si>
  <si>
    <t>245-23-66</t>
  </si>
  <si>
    <t>4992457031</t>
  </si>
  <si>
    <t>248-79-64</t>
  </si>
  <si>
    <t>84992462541</t>
  </si>
  <si>
    <t>245-56-93</t>
  </si>
  <si>
    <t>248-43-38</t>
  </si>
  <si>
    <t>247-14-63</t>
  </si>
  <si>
    <t>245-14-84</t>
  </si>
  <si>
    <t>84992485549</t>
  </si>
  <si>
    <t>84992468715</t>
  </si>
  <si>
    <t>-4992557155</t>
  </si>
  <si>
    <t>4992461497</t>
  </si>
  <si>
    <t>4992557154</t>
  </si>
  <si>
    <t>4992452295</t>
  </si>
  <si>
    <t>245-55-05</t>
  </si>
  <si>
    <t>4992557853</t>
  </si>
  <si>
    <t>245-92-30</t>
  </si>
  <si>
    <t>245-92-31</t>
  </si>
  <si>
    <t>84992452219</t>
  </si>
  <si>
    <t>4992459212</t>
  </si>
  <si>
    <t>4992557473</t>
  </si>
  <si>
    <t>84992453859</t>
  </si>
  <si>
    <t>4992468759</t>
  </si>
  <si>
    <t>499-246-96-28</t>
  </si>
  <si>
    <t>4992467191</t>
  </si>
  <si>
    <t>84992459126</t>
  </si>
  <si>
    <t>246-54-54</t>
  </si>
  <si>
    <t>-4992456584</t>
  </si>
  <si>
    <t>-4992450246</t>
  </si>
  <si>
    <t>499-245-05-25</t>
  </si>
  <si>
    <t>4992453678</t>
  </si>
  <si>
    <t>4992450774</t>
  </si>
  <si>
    <t>4992557607</t>
  </si>
  <si>
    <t>4992557609</t>
  </si>
  <si>
    <t>246-05-95</t>
  </si>
  <si>
    <t>245-92-11</t>
  </si>
  <si>
    <t>9225844</t>
  </si>
  <si>
    <t>84992469097</t>
  </si>
  <si>
    <t>4992557346</t>
  </si>
  <si>
    <t>245-22-25</t>
  </si>
  <si>
    <t>4992459167</t>
  </si>
  <si>
    <t>4992452215</t>
  </si>
  <si>
    <t>84992482385</t>
  </si>
  <si>
    <t>245-92-07</t>
  </si>
  <si>
    <t>4992459127</t>
  </si>
  <si>
    <t>4992553000</t>
  </si>
  <si>
    <t>-4992451454</t>
  </si>
  <si>
    <t>242-83-45</t>
  </si>
  <si>
    <t>247-15-89</t>
  </si>
  <si>
    <t>4992459144</t>
  </si>
  <si>
    <t>4992459206</t>
  </si>
  <si>
    <t>4992452308</t>
  </si>
  <si>
    <t>4992552053</t>
  </si>
  <si>
    <t>245-91-90</t>
  </si>
  <si>
    <t>245-74-44</t>
  </si>
  <si>
    <t>499-245-91-76</t>
  </si>
  <si>
    <t>4992557243</t>
  </si>
  <si>
    <t>4992459155</t>
  </si>
  <si>
    <t>84992557223</t>
  </si>
  <si>
    <t>84992459148</t>
  </si>
  <si>
    <t>499 255-08-93</t>
  </si>
  <si>
    <t>4992457557</t>
  </si>
  <si>
    <t>4992464646</t>
  </si>
  <si>
    <t>247-07-16</t>
  </si>
  <si>
    <t>246-02-47</t>
  </si>
  <si>
    <t>84992466576</t>
  </si>
  <si>
    <t>245-76-64</t>
  </si>
  <si>
    <t>245-94-99</t>
  </si>
  <si>
    <t>499-255-36-39</t>
  </si>
  <si>
    <t>89168772212</t>
  </si>
  <si>
    <t>84992459208</t>
  </si>
  <si>
    <t>84992459205</t>
  </si>
  <si>
    <t>(499)245-92-24</t>
  </si>
  <si>
    <t>4992483363</t>
  </si>
  <si>
    <t>4992452285</t>
  </si>
  <si>
    <t>245-23-96</t>
  </si>
  <si>
    <t>4992459145</t>
  </si>
  <si>
    <t>4992459222</t>
  </si>
  <si>
    <t>4992452256</t>
  </si>
  <si>
    <t>84992459154</t>
  </si>
  <si>
    <t>4992452220</t>
  </si>
  <si>
    <t>242-61-65</t>
  </si>
  <si>
    <t>Пироговская М. ул., дом. 27 к.2</t>
  </si>
  <si>
    <t>246-19-05</t>
  </si>
  <si>
    <t>246-28-73</t>
  </si>
  <si>
    <t>4992462872</t>
  </si>
  <si>
    <t>246-74-05</t>
  </si>
  <si>
    <t>4992463445</t>
  </si>
  <si>
    <t>4992463207</t>
  </si>
  <si>
    <t>246-32-06</t>
  </si>
  <si>
    <t>-4992467406</t>
  </si>
  <si>
    <t>247-10-26</t>
  </si>
  <si>
    <t>4992460258</t>
  </si>
  <si>
    <t>4992457701</t>
  </si>
  <si>
    <t>84992467423</t>
  </si>
  <si>
    <t>245-79-65</t>
  </si>
  <si>
    <t>4992462515</t>
  </si>
  <si>
    <t>246-73-96</t>
  </si>
  <si>
    <t>246-32-78</t>
  </si>
  <si>
    <t>246-61-53</t>
  </si>
  <si>
    <t>246-72-48</t>
  </si>
  <si>
    <t>-4992463207</t>
  </si>
  <si>
    <t>4992462001</t>
  </si>
  <si>
    <t>84992467261</t>
  </si>
  <si>
    <t>84953846510</t>
  </si>
  <si>
    <t>4992463164</t>
  </si>
  <si>
    <t>4992463150</t>
  </si>
  <si>
    <t>4992468850</t>
  </si>
  <si>
    <t>-4992557907</t>
  </si>
  <si>
    <t>247-14-18</t>
  </si>
  <si>
    <t>499 246-31-55</t>
  </si>
  <si>
    <t>246-71-86</t>
  </si>
  <si>
    <t>4992557419</t>
  </si>
  <si>
    <t>245-53-04</t>
  </si>
  <si>
    <t>246-25-25</t>
  </si>
  <si>
    <t>246-88-42</t>
  </si>
  <si>
    <t>246-28-26 499</t>
  </si>
  <si>
    <t>338-01-89</t>
  </si>
  <si>
    <t>499-246-79-75</t>
  </si>
  <si>
    <t>4992467364</t>
  </si>
  <si>
    <t>84992467365</t>
  </si>
  <si>
    <t>84992467374</t>
  </si>
  <si>
    <t>84992557832</t>
  </si>
  <si>
    <t>246-73-44</t>
  </si>
  <si>
    <t>499-245-53-16</t>
  </si>
  <si>
    <t>246-03-08</t>
  </si>
  <si>
    <t>246-49-69</t>
  </si>
  <si>
    <t>4992469660</t>
  </si>
  <si>
    <t>246-73-43</t>
  </si>
  <si>
    <t>84992460719</t>
  </si>
  <si>
    <t>246-21-02</t>
  </si>
  <si>
    <t>499-246-27-62</t>
  </si>
  <si>
    <t>246-25-60</t>
  </si>
  <si>
    <t>312-99-77</t>
  </si>
  <si>
    <t>4992462540</t>
  </si>
  <si>
    <t>246-73-98</t>
  </si>
  <si>
    <t>84992469972</t>
  </si>
  <si>
    <t>246-09-06</t>
  </si>
  <si>
    <t>84992463084</t>
  </si>
  <si>
    <t>4992464649</t>
  </si>
  <si>
    <t>4997664145</t>
  </si>
  <si>
    <t>4992454526</t>
  </si>
  <si>
    <t>245-53-19</t>
  </si>
  <si>
    <t>246-67-59</t>
  </si>
  <si>
    <t>246-75-37</t>
  </si>
  <si>
    <t>246-50-65</t>
  </si>
  <si>
    <t>4992462414</t>
  </si>
  <si>
    <t>245-75-48</t>
  </si>
  <si>
    <t>246-24-08</t>
  </si>
  <si>
    <t>708-38-69</t>
  </si>
  <si>
    <t>246-75-38</t>
  </si>
  <si>
    <t>4992468241</t>
  </si>
  <si>
    <t>246-24-43</t>
  </si>
  <si>
    <t>246-12-96</t>
  </si>
  <si>
    <t>499-246-74-07</t>
  </si>
  <si>
    <t>4992466889</t>
  </si>
  <si>
    <t>84992467147</t>
  </si>
  <si>
    <t>Плотников пер., дом. 6/8</t>
  </si>
  <si>
    <t>241-58-88</t>
  </si>
  <si>
    <t>4992414273</t>
  </si>
  <si>
    <t>241-49-89</t>
  </si>
  <si>
    <t>4992414276</t>
  </si>
  <si>
    <t>499 241-51-20</t>
  </si>
  <si>
    <t>4992411603</t>
  </si>
  <si>
    <t>84992419060</t>
  </si>
  <si>
    <t>-84992419060</t>
  </si>
  <si>
    <t>241-11-76</t>
  </si>
  <si>
    <t>241-18-42</t>
  </si>
  <si>
    <t>4992414275</t>
  </si>
  <si>
    <t>4992419040</t>
  </si>
  <si>
    <t>-4992419040</t>
  </si>
  <si>
    <t>84992410187</t>
  </si>
  <si>
    <t>499-241-05-90</t>
  </si>
  <si>
    <t>4992419996</t>
  </si>
  <si>
    <t>241-32-24</t>
  </si>
  <si>
    <t>241-25-04</t>
  </si>
  <si>
    <t>891629455214</t>
  </si>
  <si>
    <t>241-50-48</t>
  </si>
  <si>
    <t>4992461490</t>
  </si>
  <si>
    <t>89161615515</t>
  </si>
  <si>
    <t>Плотников пер., дом. 10</t>
  </si>
  <si>
    <t>4992417729</t>
  </si>
  <si>
    <t>4992417948</t>
  </si>
  <si>
    <t>4992416424</t>
  </si>
  <si>
    <t>241-48-78</t>
  </si>
  <si>
    <t>241-76-52</t>
  </si>
  <si>
    <t>241-75-36</t>
  </si>
  <si>
    <t>241-48-77</t>
  </si>
  <si>
    <t>241-76-81</t>
  </si>
  <si>
    <t>241-48-21</t>
  </si>
  <si>
    <t>241-82-57</t>
  </si>
  <si>
    <t>241-82-06</t>
  </si>
  <si>
    <t>4992410771</t>
  </si>
  <si>
    <t>241-11-42</t>
  </si>
  <si>
    <t>241-75-25</t>
  </si>
  <si>
    <t>241-75-10</t>
  </si>
  <si>
    <t>241-81-19</t>
  </si>
  <si>
    <t>84992527172</t>
  </si>
  <si>
    <t>241-69-35</t>
  </si>
  <si>
    <t>241-70-48</t>
  </si>
  <si>
    <t>241-66-92</t>
  </si>
  <si>
    <t>84992527851</t>
  </si>
  <si>
    <t>4992414249</t>
  </si>
  <si>
    <t>4992417837</t>
  </si>
  <si>
    <t>4992417427</t>
  </si>
  <si>
    <t>499-241-47-98</t>
  </si>
  <si>
    <t>241-82-71</t>
  </si>
  <si>
    <t>241-75-32</t>
  </si>
  <si>
    <t>499-133-40-95</t>
  </si>
  <si>
    <t>Плющиха ул., дом. 9</t>
  </si>
  <si>
    <t>248-59-28</t>
  </si>
  <si>
    <t>Плющиха ул., дом. 9 стр.4</t>
  </si>
  <si>
    <t>4992485320</t>
  </si>
  <si>
    <t>2485719</t>
  </si>
  <si>
    <t>248-51-19</t>
  </si>
  <si>
    <t>248-44-29</t>
  </si>
  <si>
    <t>248-57-40</t>
  </si>
  <si>
    <t>248-57-10</t>
  </si>
  <si>
    <t>248-57-13</t>
  </si>
  <si>
    <t>4992485949</t>
  </si>
  <si>
    <t>4992485138</t>
  </si>
  <si>
    <t>4992485139</t>
  </si>
  <si>
    <t>-4992485568</t>
  </si>
  <si>
    <t>248-57-09</t>
  </si>
  <si>
    <t>4992480913</t>
  </si>
  <si>
    <t>248-12-24</t>
  </si>
  <si>
    <t>248-51-28</t>
  </si>
  <si>
    <t>499-248-61-06</t>
  </si>
  <si>
    <t>4992485929</t>
  </si>
  <si>
    <t>-84992485135</t>
  </si>
  <si>
    <t>248-51-37</t>
  </si>
  <si>
    <t>2485061</t>
  </si>
  <si>
    <t>248-55-35</t>
  </si>
  <si>
    <t>4992485121</t>
  </si>
  <si>
    <t>248-57-80</t>
  </si>
  <si>
    <t>248-57-91</t>
  </si>
  <si>
    <t>499-248-59-06</t>
  </si>
  <si>
    <t>4992485294</t>
  </si>
  <si>
    <t>248-55-52</t>
  </si>
  <si>
    <t>248-57-24</t>
  </si>
  <si>
    <t>4992485910</t>
  </si>
  <si>
    <t>4992485009</t>
  </si>
  <si>
    <t>248-53-29</t>
  </si>
  <si>
    <t>248-54-80</t>
  </si>
  <si>
    <t>499-248-57-50</t>
  </si>
  <si>
    <t>4992485915</t>
  </si>
  <si>
    <t>4992485928</t>
  </si>
  <si>
    <t>4992466763</t>
  </si>
  <si>
    <t>248-51-30</t>
  </si>
  <si>
    <t>4992485745</t>
  </si>
  <si>
    <t>-4992487698</t>
  </si>
  <si>
    <t>248-51-17</t>
  </si>
  <si>
    <t>84992481594</t>
  </si>
  <si>
    <t>Плющиха ул., дом. 11</t>
  </si>
  <si>
    <t>14А</t>
  </si>
  <si>
    <t>4992483840</t>
  </si>
  <si>
    <t>248-59-87</t>
  </si>
  <si>
    <t>16А</t>
  </si>
  <si>
    <t>4992481018</t>
  </si>
  <si>
    <t>248-53-04</t>
  </si>
  <si>
    <t>248-54-20</t>
  </si>
  <si>
    <t>248-57-92</t>
  </si>
  <si>
    <t>248-12-79</t>
  </si>
  <si>
    <t>84992481284</t>
  </si>
  <si>
    <t>248-18-67</t>
  </si>
  <si>
    <t>248-54-78</t>
  </si>
  <si>
    <t>248-10-59</t>
  </si>
  <si>
    <t>248-12-61</t>
  </si>
  <si>
    <t>4992482458</t>
  </si>
  <si>
    <t>22А</t>
  </si>
  <si>
    <t>248-53-68</t>
  </si>
  <si>
    <t>248-12-86</t>
  </si>
  <si>
    <t>248-12-85</t>
  </si>
  <si>
    <t>248-12-89</t>
  </si>
  <si>
    <t>248-12-90</t>
  </si>
  <si>
    <t>248-12-45</t>
  </si>
  <si>
    <t>25А</t>
  </si>
  <si>
    <t>248-14-20</t>
  </si>
  <si>
    <t>Плющиха ул., дом. 13</t>
  </si>
  <si>
    <t>4992485785</t>
  </si>
  <si>
    <t>248-10-19</t>
  </si>
  <si>
    <t>4992485708</t>
  </si>
  <si>
    <t>248-57-08</t>
  </si>
  <si>
    <t>248-51-16</t>
  </si>
  <si>
    <t>248-14-32</t>
  </si>
  <si>
    <t>248-54-98</t>
  </si>
  <si>
    <t>499-248-12-76</t>
  </si>
  <si>
    <t>4992485336</t>
  </si>
  <si>
    <t>248-14-40</t>
  </si>
  <si>
    <t>4992481215</t>
  </si>
  <si>
    <t>248-12-20</t>
  </si>
  <si>
    <t>248-14-41</t>
  </si>
  <si>
    <t>248-46-69</t>
  </si>
  <si>
    <t>499 248-23-10</t>
  </si>
  <si>
    <t>-89263892561</t>
  </si>
  <si>
    <t>84992485702</t>
  </si>
  <si>
    <t>248-42-62</t>
  </si>
  <si>
    <t>8(499)248-55-19</t>
  </si>
  <si>
    <t>248-14-81</t>
  </si>
  <si>
    <t>4992481795</t>
  </si>
  <si>
    <t>248-19-83</t>
  </si>
  <si>
    <t>4992485204</t>
  </si>
  <si>
    <t>248-59-63</t>
  </si>
  <si>
    <t>248-50-68</t>
  </si>
  <si>
    <t>248-55-90</t>
  </si>
  <si>
    <t>84992481250</t>
  </si>
  <si>
    <t>248-12-98</t>
  </si>
  <si>
    <t>499-248-14-10</t>
  </si>
  <si>
    <t>248-53-80</t>
  </si>
  <si>
    <t>248-57-21</t>
  </si>
  <si>
    <t>4992483459</t>
  </si>
  <si>
    <t>84992481217</t>
  </si>
  <si>
    <t>248-51-05</t>
  </si>
  <si>
    <t>248-10-89</t>
  </si>
  <si>
    <t>248-14-52</t>
  </si>
  <si>
    <t>248-12-75</t>
  </si>
  <si>
    <t>4992469635</t>
  </si>
  <si>
    <t>84992481480</t>
  </si>
  <si>
    <t>84992481252</t>
  </si>
  <si>
    <t>248-12-52</t>
  </si>
  <si>
    <t>84992482405</t>
  </si>
  <si>
    <t>4992485067</t>
  </si>
  <si>
    <t>4992485502</t>
  </si>
  <si>
    <t>-4992485580</t>
  </si>
  <si>
    <t>84992485191</t>
  </si>
  <si>
    <t>248-14-82</t>
  </si>
  <si>
    <t>84992485516</t>
  </si>
  <si>
    <t>248-14-78</t>
  </si>
  <si>
    <t>4992481435</t>
  </si>
  <si>
    <t>248-10-87</t>
  </si>
  <si>
    <t>4992481269</t>
  </si>
  <si>
    <t>84992481254</t>
  </si>
  <si>
    <t>248-14-61</t>
  </si>
  <si>
    <t>499-248-55-62</t>
  </si>
  <si>
    <t>248-53-39</t>
  </si>
  <si>
    <t>4992485335</t>
  </si>
  <si>
    <t>-4992482227</t>
  </si>
  <si>
    <t>4992485998</t>
  </si>
  <si>
    <t>4992485615</t>
  </si>
  <si>
    <t>Плющиха ул., дом. 16 стр.1</t>
  </si>
  <si>
    <t>248-33-55</t>
  </si>
  <si>
    <t>9166153915</t>
  </si>
  <si>
    <t>248-36-80</t>
  </si>
  <si>
    <t>4992483680</t>
  </si>
  <si>
    <t>84992483680</t>
  </si>
  <si>
    <t>248-27-62</t>
  </si>
  <si>
    <t>4992482762</t>
  </si>
  <si>
    <t>-2482121</t>
  </si>
  <si>
    <t>4992485507</t>
  </si>
  <si>
    <t>4992485547</t>
  </si>
  <si>
    <t>Плющиха ул., дом. 16 стр.2</t>
  </si>
  <si>
    <t>499-248-53-12</t>
  </si>
  <si>
    <t>248-53-78</t>
  </si>
  <si>
    <t>499-248-49-32</t>
  </si>
  <si>
    <t>248-53-60</t>
  </si>
  <si>
    <t>248-10-42</t>
  </si>
  <si>
    <t>499-248-59-75</t>
  </si>
  <si>
    <t>499 248-70-65</t>
  </si>
  <si>
    <t>2485539</t>
  </si>
  <si>
    <t>Плющиха ул., дом. 18</t>
  </si>
  <si>
    <t>248-50-86</t>
  </si>
  <si>
    <t>4992486138</t>
  </si>
  <si>
    <t>84992483792</t>
  </si>
  <si>
    <t>4992485031</t>
  </si>
  <si>
    <t>4992485905</t>
  </si>
  <si>
    <t>248-50-30</t>
  </si>
  <si>
    <t>4992486319</t>
  </si>
  <si>
    <t>248-60-03</t>
  </si>
  <si>
    <t>248-51-78</t>
  </si>
  <si>
    <t>499-248-63-28</t>
  </si>
  <si>
    <t>4992482256</t>
  </si>
  <si>
    <t>-84992485352</t>
  </si>
  <si>
    <t>248-63-29</t>
  </si>
  <si>
    <t>248-63-35</t>
  </si>
  <si>
    <t>248-55-57</t>
  </si>
  <si>
    <t>84992485968</t>
  </si>
  <si>
    <t>248-04-41</t>
  </si>
  <si>
    <t>248-12-18</t>
  </si>
  <si>
    <t>499-248-63-68</t>
  </si>
  <si>
    <t>248-63-69</t>
  </si>
  <si>
    <t>248-53-37</t>
  </si>
  <si>
    <t>4992480613</t>
  </si>
  <si>
    <t>248-63-86</t>
  </si>
  <si>
    <t>4992465213</t>
  </si>
  <si>
    <t>4992485920</t>
  </si>
  <si>
    <t>84992481109</t>
  </si>
  <si>
    <t>248-58-32</t>
  </si>
  <si>
    <t>84957221961</t>
  </si>
  <si>
    <t>248-10-40</t>
  </si>
  <si>
    <t>4992486014</t>
  </si>
  <si>
    <t>248-63-47</t>
  </si>
  <si>
    <t>248-63-16</t>
  </si>
  <si>
    <t>248-63-39</t>
  </si>
  <si>
    <t>248-62-76</t>
  </si>
  <si>
    <t>248-12-37</t>
  </si>
  <si>
    <t>2486346</t>
  </si>
  <si>
    <t>4992485350</t>
  </si>
  <si>
    <t>248-59-54</t>
  </si>
  <si>
    <t>248-55-27</t>
  </si>
  <si>
    <t>248-61-87</t>
  </si>
  <si>
    <t>248-57-53</t>
  </si>
  <si>
    <t>248-51-87</t>
  </si>
  <si>
    <t>248-51-89</t>
  </si>
  <si>
    <t>248-58-00</t>
  </si>
  <si>
    <t>4992485168</t>
  </si>
  <si>
    <t>84992485238</t>
  </si>
  <si>
    <t>2485738</t>
  </si>
  <si>
    <t>248-71-49</t>
  </si>
  <si>
    <t>84992483274</t>
  </si>
  <si>
    <t>Плющиха ул., дом. 20/2</t>
  </si>
  <si>
    <t>4992482628</t>
  </si>
  <si>
    <t>2448974</t>
  </si>
  <si>
    <t>499-248-09-58</t>
  </si>
  <si>
    <t>248-22-85</t>
  </si>
  <si>
    <t>5/6</t>
  </si>
  <si>
    <t>4992480583</t>
  </si>
  <si>
    <t>2482358</t>
  </si>
  <si>
    <t>Плющиха ул., дом. 26/2</t>
  </si>
  <si>
    <t>4992481819</t>
  </si>
  <si>
    <t>499-248-58-20</t>
  </si>
  <si>
    <t>2Б</t>
  </si>
  <si>
    <t>(499)248-15-49</t>
  </si>
  <si>
    <t>4992558328</t>
  </si>
  <si>
    <t>247-42-10</t>
  </si>
  <si>
    <t>4992481609</t>
  </si>
  <si>
    <t>248-16-09</t>
  </si>
  <si>
    <t>4Б</t>
  </si>
  <si>
    <t>248.17.82</t>
  </si>
  <si>
    <t>244-72-08</t>
  </si>
  <si>
    <t>4992558320</t>
  </si>
  <si>
    <t>4992481187</t>
  </si>
  <si>
    <t>248-11-87</t>
  </si>
  <si>
    <t>248-58-85</t>
  </si>
  <si>
    <t>248-50-84</t>
  </si>
  <si>
    <t>248-61-67</t>
  </si>
  <si>
    <t>4992485884</t>
  </si>
  <si>
    <t>4992481620</t>
  </si>
  <si>
    <t>248-50-13</t>
  </si>
  <si>
    <t>4992486367</t>
  </si>
  <si>
    <t>248-56-76</t>
  </si>
  <si>
    <t>248-50-14</t>
  </si>
  <si>
    <t>499-248-35-29</t>
  </si>
  <si>
    <t>248-56-79</t>
  </si>
  <si>
    <t>84992481345</t>
  </si>
  <si>
    <t>248-13-45</t>
  </si>
  <si>
    <t>4992481532</t>
  </si>
  <si>
    <t>4992485449</t>
  </si>
  <si>
    <t>248-56-40</t>
  </si>
  <si>
    <t>499 248-57-34</t>
  </si>
  <si>
    <t>4992485883</t>
  </si>
  <si>
    <t>4992481754</t>
  </si>
  <si>
    <t>4992486146</t>
  </si>
  <si>
    <t>4992485681</t>
  </si>
  <si>
    <t>Плющиха ул., дом. 27</t>
  </si>
  <si>
    <t>248-62-35</t>
  </si>
  <si>
    <t>248-06-91</t>
  </si>
  <si>
    <t>4992484012</t>
  </si>
  <si>
    <t>248-16-23</t>
  </si>
  <si>
    <t>248-72-70</t>
  </si>
  <si>
    <t>4992484621</t>
  </si>
  <si>
    <t>248-00-26</t>
  </si>
  <si>
    <t>4992482558</t>
  </si>
  <si>
    <t>2482829</t>
  </si>
  <si>
    <t>4992487123</t>
  </si>
  <si>
    <t>499-248-27-70</t>
  </si>
  <si>
    <t>499 248-42-27</t>
  </si>
  <si>
    <t>4992483731</t>
  </si>
  <si>
    <t>84992485357</t>
  </si>
  <si>
    <t>4992482409</t>
  </si>
  <si>
    <t>248-21-89</t>
  </si>
  <si>
    <t>4992480422</t>
  </si>
  <si>
    <t>-4992487239</t>
  </si>
  <si>
    <t>248-20-30</t>
  </si>
  <si>
    <t>4992486402</t>
  </si>
  <si>
    <t>+7(499)248-52-43</t>
  </si>
  <si>
    <t>499 248-74-69</t>
  </si>
  <si>
    <t>2481493</t>
  </si>
  <si>
    <t>4992486225</t>
  </si>
  <si>
    <t>29-30</t>
  </si>
  <si>
    <t>4992481771</t>
  </si>
  <si>
    <t>4992485407</t>
  </si>
  <si>
    <t>4992484817</t>
  </si>
  <si>
    <t>248-19-76</t>
  </si>
  <si>
    <t>248-21-79</t>
  </si>
  <si>
    <t>84992481407</t>
  </si>
  <si>
    <t>248-14-07</t>
  </si>
  <si>
    <t>130-13-11</t>
  </si>
  <si>
    <t>2480351</t>
  </si>
  <si>
    <t>4992482306</t>
  </si>
  <si>
    <t>499-248-17-98</t>
  </si>
  <si>
    <t>4992482730</t>
  </si>
  <si>
    <t>248-24-70</t>
  </si>
  <si>
    <t>84957909195</t>
  </si>
  <si>
    <t>248-70-37</t>
  </si>
  <si>
    <t>245-04-91</t>
  </si>
  <si>
    <t>2482702</t>
  </si>
  <si>
    <t>4992482737</t>
  </si>
  <si>
    <t>-84992485707</t>
  </si>
  <si>
    <t>4992480395</t>
  </si>
  <si>
    <t>248-20-86</t>
  </si>
  <si>
    <t>4992481963</t>
  </si>
  <si>
    <t>84992484869</t>
  </si>
  <si>
    <t>248-79-09</t>
  </si>
  <si>
    <t>248-56-62</t>
  </si>
  <si>
    <t>248-09-04</t>
  </si>
  <si>
    <t>4992482983</t>
  </si>
  <si>
    <t>499-248-72-28</t>
  </si>
  <si>
    <t>4992482290</t>
  </si>
  <si>
    <t>499-248-01-04</t>
  </si>
  <si>
    <t>499-248-22-51</t>
  </si>
  <si>
    <t>4992485935</t>
  </si>
  <si>
    <t>4992484162</t>
  </si>
  <si>
    <t>2484111</t>
  </si>
  <si>
    <t>4992483942</t>
  </si>
  <si>
    <t>2484175</t>
  </si>
  <si>
    <t>248-58-72</t>
  </si>
  <si>
    <t>84992487549</t>
  </si>
  <si>
    <t>4992484216</t>
  </si>
  <si>
    <t>84992482658</t>
  </si>
  <si>
    <t>248-06-82</t>
  </si>
  <si>
    <t>248-26-64</t>
  </si>
  <si>
    <t>4992484426</t>
  </si>
  <si>
    <t>84992484327</t>
  </si>
  <si>
    <t>2484325</t>
  </si>
  <si>
    <t>248-28-63</t>
  </si>
  <si>
    <t>4992482640</t>
  </si>
  <si>
    <t>4992482421</t>
  </si>
  <si>
    <t>4992482595</t>
  </si>
  <si>
    <t>-4992482191</t>
  </si>
  <si>
    <t>248-21-52</t>
  </si>
  <si>
    <t>4992485343</t>
  </si>
  <si>
    <t>84992482659</t>
  </si>
  <si>
    <t>248-26-02</t>
  </si>
  <si>
    <t>248-26-42</t>
  </si>
  <si>
    <t>248-25-60</t>
  </si>
  <si>
    <t>84992488013</t>
  </si>
  <si>
    <t>499-248-62-85</t>
  </si>
  <si>
    <t>248-26-94</t>
  </si>
  <si>
    <t>84992482596</t>
  </si>
  <si>
    <t>4992480078</t>
  </si>
  <si>
    <t>248-00-93</t>
  </si>
  <si>
    <t>499-248-27-67</t>
  </si>
  <si>
    <t>-4992482169</t>
  </si>
  <si>
    <t>248-40-09</t>
  </si>
  <si>
    <t>4992482439</t>
  </si>
  <si>
    <t>248-23-17</t>
  </si>
  <si>
    <t>248-77-41</t>
  </si>
  <si>
    <t>248-24-36</t>
  </si>
  <si>
    <t>248-25-94</t>
  </si>
  <si>
    <t>248-21-65</t>
  </si>
  <si>
    <t>4992481474</t>
  </si>
  <si>
    <t>248-21-59</t>
  </si>
  <si>
    <t>248-28-94</t>
  </si>
  <si>
    <t>248-26-89</t>
  </si>
  <si>
    <t>499-248-42-04</t>
  </si>
  <si>
    <t>4992482148</t>
  </si>
  <si>
    <t>248-21-16</t>
  </si>
  <si>
    <t>4992482820</t>
  </si>
  <si>
    <t>4992480097</t>
  </si>
  <si>
    <t>84992482197</t>
  </si>
  <si>
    <t>499-248-20-52</t>
  </si>
  <si>
    <t>4992481449</t>
  </si>
  <si>
    <t>248-14-49</t>
  </si>
  <si>
    <t>248-57-87</t>
  </si>
  <si>
    <t>248-28-35</t>
  </si>
  <si>
    <t>248-28-78</t>
  </si>
  <si>
    <t>248-43-37</t>
  </si>
  <si>
    <t>4992482569</t>
  </si>
  <si>
    <t>4992482546</t>
  </si>
  <si>
    <t>248-24-92</t>
  </si>
  <si>
    <t>248-24-91</t>
  </si>
  <si>
    <t>4992482506</t>
  </si>
  <si>
    <t>248-45-40</t>
  </si>
  <si>
    <t>248-25-16</t>
  </si>
  <si>
    <t>248-26-18</t>
  </si>
  <si>
    <t>248-05-94</t>
  </si>
  <si>
    <t>248-42-15</t>
  </si>
  <si>
    <t>4992486985</t>
  </si>
  <si>
    <t>248-38-15</t>
  </si>
  <si>
    <t>-4992482667</t>
  </si>
  <si>
    <t>248-24-59</t>
  </si>
  <si>
    <t>4992484319</t>
  </si>
  <si>
    <t>248-24-80</t>
  </si>
  <si>
    <t>Плющиха ул., дом. 30</t>
  </si>
  <si>
    <t>248-30-87</t>
  </si>
  <si>
    <t>186-94-64</t>
  </si>
  <si>
    <t>248-18-35</t>
  </si>
  <si>
    <t>248-11-58</t>
  </si>
  <si>
    <t>248-16-07</t>
  </si>
  <si>
    <t>4992481463</t>
  </si>
  <si>
    <t>4992480112</t>
  </si>
  <si>
    <t>4992485003</t>
  </si>
  <si>
    <t>248-11-20</t>
  </si>
  <si>
    <t>Плющиха ул., дом. 31</t>
  </si>
  <si>
    <t>248-58-46</t>
  </si>
  <si>
    <t>4992484940</t>
  </si>
  <si>
    <t>4992481849</t>
  </si>
  <si>
    <t>248-15-15</t>
  </si>
  <si>
    <t>499-248-80-17</t>
  </si>
  <si>
    <t>248-16-17</t>
  </si>
  <si>
    <t>2485626</t>
  </si>
  <si>
    <t>248-56-23</t>
  </si>
  <si>
    <t>248-56-28</t>
  </si>
  <si>
    <t>248-56-85</t>
  </si>
  <si>
    <t>4992487581</t>
  </si>
  <si>
    <t>499-248-50-94</t>
  </si>
  <si>
    <t>Плющиха ул., дом. 33</t>
  </si>
  <si>
    <t>248-52-10</t>
  </si>
  <si>
    <t>4992485308</t>
  </si>
  <si>
    <t>4992482710</t>
  </si>
  <si>
    <t>84992485201</t>
  </si>
  <si>
    <t>2485201</t>
  </si>
  <si>
    <t>248-55-03</t>
  </si>
  <si>
    <t>248-10-98</t>
  </si>
  <si>
    <t>248-50-96</t>
  </si>
  <si>
    <t>248-55-91</t>
  </si>
  <si>
    <t>248-56-19</t>
  </si>
  <si>
    <t>248-54-29</t>
  </si>
  <si>
    <t>248-63-97</t>
  </si>
  <si>
    <t>-4992485930</t>
  </si>
  <si>
    <t>248-26-23</t>
  </si>
  <si>
    <t>4992484517</t>
  </si>
  <si>
    <t>4992485570</t>
  </si>
  <si>
    <t>4764712</t>
  </si>
  <si>
    <t>248-52-17</t>
  </si>
  <si>
    <t>4992481206</t>
  </si>
  <si>
    <t>248-51-47</t>
  </si>
  <si>
    <t>-4992485158</t>
  </si>
  <si>
    <t>248-59-31</t>
  </si>
  <si>
    <t>4992485458</t>
  </si>
  <si>
    <t>248-63-98</t>
  </si>
  <si>
    <t>248-54-97</t>
  </si>
  <si>
    <t>89036218173</t>
  </si>
  <si>
    <t>248-54-59</t>
  </si>
  <si>
    <t>248-52-09</t>
  </si>
  <si>
    <t>248-11-97</t>
  </si>
  <si>
    <t>84992485796</t>
  </si>
  <si>
    <t>84992485231</t>
  </si>
  <si>
    <t>4992483521</t>
  </si>
  <si>
    <t>248-52-30</t>
  </si>
  <si>
    <t>248-52-52</t>
  </si>
  <si>
    <t>499-248-54-90</t>
  </si>
  <si>
    <t>84997661536</t>
  </si>
  <si>
    <t>248-63-79</t>
  </si>
  <si>
    <t>4992485643</t>
  </si>
  <si>
    <t>248-50-91</t>
  </si>
  <si>
    <t>4992552897</t>
  </si>
  <si>
    <t>247-40-26</t>
  </si>
  <si>
    <t>756-39-72</t>
  </si>
  <si>
    <t>4992485439</t>
  </si>
  <si>
    <t>499-255-85-00</t>
  </si>
  <si>
    <t>248-55-48</t>
  </si>
  <si>
    <t>248-10-56</t>
  </si>
  <si>
    <t>4992485901</t>
  </si>
  <si>
    <t>4992558100</t>
  </si>
  <si>
    <t>-4992457597</t>
  </si>
  <si>
    <t>248-59-90</t>
  </si>
  <si>
    <t>4992481070</t>
  </si>
  <si>
    <t>84992488835</t>
  </si>
  <si>
    <t>235-62-30</t>
  </si>
  <si>
    <t>248-52-49</t>
  </si>
  <si>
    <t>849924861007</t>
  </si>
  <si>
    <t>248-55-69</t>
  </si>
  <si>
    <t>4992485250</t>
  </si>
  <si>
    <t>4992485438</t>
  </si>
  <si>
    <t>4992486741</t>
  </si>
  <si>
    <t>247-40-76</t>
  </si>
  <si>
    <t>4992485951</t>
  </si>
  <si>
    <t>248-50-08</t>
  </si>
  <si>
    <t>248-57-78</t>
  </si>
  <si>
    <t>248-54-67</t>
  </si>
  <si>
    <t>4992485269</t>
  </si>
  <si>
    <t>4992485150</t>
  </si>
  <si>
    <t>4992485268</t>
  </si>
  <si>
    <t>-4992485218</t>
  </si>
  <si>
    <t>4992485293</t>
  </si>
  <si>
    <t>248-52-70</t>
  </si>
  <si>
    <t>248-50-75</t>
  </si>
  <si>
    <t>248-52-27</t>
  </si>
  <si>
    <t>4992485278</t>
  </si>
  <si>
    <t>4992485050</t>
  </si>
  <si>
    <t>4992485219</t>
  </si>
  <si>
    <t>248-54-40</t>
  </si>
  <si>
    <t>4992485028</t>
  </si>
  <si>
    <t>248-54-70</t>
  </si>
  <si>
    <t>248-59-36</t>
  </si>
  <si>
    <t>4992485314</t>
  </si>
  <si>
    <t>248-50-71</t>
  </si>
  <si>
    <t>4992485489</t>
  </si>
  <si>
    <t>247-41-76</t>
  </si>
  <si>
    <t>-4992485992</t>
  </si>
  <si>
    <t>248-52-90</t>
  </si>
  <si>
    <t>4992485120</t>
  </si>
  <si>
    <t>248-54-02</t>
  </si>
  <si>
    <t>4992483298</t>
  </si>
  <si>
    <t>4992485332</t>
  </si>
  <si>
    <t>248-57-07</t>
  </si>
  <si>
    <t>4992485530</t>
  </si>
  <si>
    <t>4992485404</t>
  </si>
  <si>
    <t>-4992485405</t>
  </si>
  <si>
    <t>84992485303</t>
  </si>
  <si>
    <t>4992481246</t>
  </si>
  <si>
    <t>4992486356</t>
  </si>
  <si>
    <t>499-248-41-60</t>
  </si>
  <si>
    <t>4992558657</t>
  </si>
  <si>
    <t>248-59-24</t>
  </si>
  <si>
    <t>248-57-58</t>
  </si>
  <si>
    <t>499-248-58-64</t>
  </si>
  <si>
    <t>4992558239</t>
  </si>
  <si>
    <t>84992482488</t>
  </si>
  <si>
    <t>248-54-15</t>
  </si>
  <si>
    <t>Плющиха ул., дом. 43-47</t>
  </si>
  <si>
    <t>4992486139</t>
  </si>
  <si>
    <t>84992484797</t>
  </si>
  <si>
    <t>4992484646</t>
  </si>
  <si>
    <t>2527921</t>
  </si>
  <si>
    <t>84992413611</t>
  </si>
  <si>
    <t>248-47-86</t>
  </si>
  <si>
    <t>4992484157</t>
  </si>
  <si>
    <t>2527080</t>
  </si>
  <si>
    <t>4992484812</t>
  </si>
  <si>
    <t>4992484564</t>
  </si>
  <si>
    <t>248-47-96</t>
  </si>
  <si>
    <t>4992484141</t>
  </si>
  <si>
    <t>248-47-47</t>
  </si>
  <si>
    <t>248-43-90</t>
  </si>
  <si>
    <t>499-252-79-18</t>
  </si>
  <si>
    <t>248-45-06</t>
  </si>
  <si>
    <t>4992484168</t>
  </si>
  <si>
    <t>244-04-61</t>
  </si>
  <si>
    <t>248-45-74</t>
  </si>
  <si>
    <t>4992484729</t>
  </si>
  <si>
    <t>4992484767</t>
  </si>
  <si>
    <t>2484597</t>
  </si>
  <si>
    <t>248-52-56</t>
  </si>
  <si>
    <t>248-44-18</t>
  </si>
  <si>
    <t>2528400</t>
  </si>
  <si>
    <t>248-41-82 499</t>
  </si>
  <si>
    <t>84992450244</t>
  </si>
  <si>
    <t>4992528432</t>
  </si>
  <si>
    <t>499-248-47-58</t>
  </si>
  <si>
    <t>244-73-70</t>
  </si>
  <si>
    <t>2487873</t>
  </si>
  <si>
    <t>248-47-37</t>
  </si>
  <si>
    <t>248.48.37</t>
  </si>
  <si>
    <t>499-248-43-76</t>
  </si>
  <si>
    <t>4992484926</t>
  </si>
  <si>
    <t>4992482610</t>
  </si>
  <si>
    <t>248-41-90</t>
  </si>
  <si>
    <t>248-56-32</t>
  </si>
  <si>
    <t>4992414749</t>
  </si>
  <si>
    <t>84992484798</t>
  </si>
  <si>
    <t>499 248-43-68</t>
  </si>
  <si>
    <t>248-44-39</t>
  </si>
  <si>
    <t>248-46-26</t>
  </si>
  <si>
    <t>4992484601</t>
  </si>
  <si>
    <t>248-48-43</t>
  </si>
  <si>
    <t>248-47-04</t>
  </si>
  <si>
    <t>248-47-05</t>
  </si>
  <si>
    <t>84997951392</t>
  </si>
  <si>
    <t>4992484659</t>
  </si>
  <si>
    <t>4992528126</t>
  </si>
  <si>
    <t>248-49-15</t>
  </si>
  <si>
    <t>244-76-91</t>
  </si>
  <si>
    <t>4992527362</t>
  </si>
  <si>
    <t>2527856</t>
  </si>
  <si>
    <t>244-78-56</t>
  </si>
  <si>
    <t>84992482630</t>
  </si>
  <si>
    <t>248-47-06</t>
  </si>
  <si>
    <t>4992484706</t>
  </si>
  <si>
    <t>248-49-04</t>
  </si>
  <si>
    <t>4992484906</t>
  </si>
  <si>
    <t>244-04-45</t>
  </si>
  <si>
    <t>2484178</t>
  </si>
  <si>
    <t>773-10-54</t>
  </si>
  <si>
    <t>2528258</t>
  </si>
  <si>
    <t>2482620</t>
  </si>
  <si>
    <t>4992485852</t>
  </si>
  <si>
    <t>248-04-59</t>
  </si>
  <si>
    <t>-4992484925</t>
  </si>
  <si>
    <t>248-58-47</t>
  </si>
  <si>
    <t>4992482982</t>
  </si>
  <si>
    <t>4992528014</t>
  </si>
  <si>
    <t>4992528643</t>
  </si>
  <si>
    <t>4992484914</t>
  </si>
  <si>
    <t>4992484807</t>
  </si>
  <si>
    <t>4992482160</t>
  </si>
  <si>
    <t>248-21-60</t>
  </si>
  <si>
    <t>248-45-59</t>
  </si>
  <si>
    <t>248-48-72</t>
  </si>
  <si>
    <t>-2484647</t>
  </si>
  <si>
    <t>248-43-91</t>
  </si>
  <si>
    <t>244-02-06</t>
  </si>
  <si>
    <t>4992528654</t>
  </si>
  <si>
    <t>(499)248-06-92</t>
  </si>
  <si>
    <t>247-77-44</t>
  </si>
  <si>
    <t>248-47-19</t>
  </si>
  <si>
    <t>248-21-40</t>
  </si>
  <si>
    <t>2482932</t>
  </si>
  <si>
    <t>2528567</t>
  </si>
  <si>
    <t>4992528622</t>
  </si>
  <si>
    <t>248-47-59</t>
  </si>
  <si>
    <t>Плющиха ул., дом. 44/2</t>
  </si>
  <si>
    <t>4992558498</t>
  </si>
  <si>
    <t>4992558096</t>
  </si>
  <si>
    <t>-4992558056</t>
  </si>
  <si>
    <t>4992558190</t>
  </si>
  <si>
    <t>247-46-58</t>
  </si>
  <si>
    <t>247-44-94</t>
  </si>
  <si>
    <t>499-255-86-58</t>
  </si>
  <si>
    <t>247-42-38</t>
  </si>
  <si>
    <t>-4992558197</t>
  </si>
  <si>
    <t>247-47-71</t>
  </si>
  <si>
    <t>84992558603</t>
  </si>
  <si>
    <t>4992558807</t>
  </si>
  <si>
    <t>4992558907</t>
  </si>
  <si>
    <t>247-44-31</t>
  </si>
  <si>
    <t>247-45-35</t>
  </si>
  <si>
    <t>84992558333</t>
  </si>
  <si>
    <t>499-255-87-68</t>
  </si>
  <si>
    <t>-4992558329</t>
  </si>
  <si>
    <t>247-47-06</t>
  </si>
  <si>
    <t>4992558425</t>
  </si>
  <si>
    <t>84992558526</t>
  </si>
  <si>
    <t>499 255-80-07</t>
  </si>
  <si>
    <t>2558007</t>
  </si>
  <si>
    <t>84992558816</t>
  </si>
  <si>
    <t>4992568666</t>
  </si>
  <si>
    <t>247-47-49</t>
  </si>
  <si>
    <t>247-47-35</t>
  </si>
  <si>
    <t>247-40-87</t>
  </si>
  <si>
    <t>84992450019</t>
  </si>
  <si>
    <t>4992558681</t>
  </si>
  <si>
    <t>247-44-72</t>
  </si>
  <si>
    <t>4992558817</t>
  </si>
  <si>
    <t>499-255-82-90</t>
  </si>
  <si>
    <t>247-44-53</t>
  </si>
  <si>
    <t>9091671071</t>
  </si>
  <si>
    <t>247-48-56</t>
  </si>
  <si>
    <t>247-40-23</t>
  </si>
  <si>
    <t>9037621090</t>
  </si>
  <si>
    <t>9854278856</t>
  </si>
  <si>
    <t>Плющиха ул., дом. 53/25</t>
  </si>
  <si>
    <t>248 04-74</t>
  </si>
  <si>
    <t>4992480436</t>
  </si>
  <si>
    <t>8499-248-04-36</t>
  </si>
  <si>
    <t>5,6</t>
  </si>
  <si>
    <t>4992480381</t>
  </si>
  <si>
    <t>248-37-28</t>
  </si>
  <si>
    <t>248-29-57</t>
  </si>
  <si>
    <t>248-70-89</t>
  </si>
  <si>
    <t>4992486555</t>
  </si>
  <si>
    <t>248-31-91</t>
  </si>
  <si>
    <t>248-65-72</t>
  </si>
  <si>
    <t>4992481248</t>
  </si>
  <si>
    <t>248-48-70</t>
  </si>
  <si>
    <t>248-07-35</t>
  </si>
  <si>
    <t>248-34-04</t>
  </si>
  <si>
    <t>2483404</t>
  </si>
  <si>
    <t>248-09-68</t>
  </si>
  <si>
    <t>248-55-92</t>
  </si>
  <si>
    <t>4992486743</t>
  </si>
  <si>
    <t>441-96-00</t>
  </si>
  <si>
    <t>4992480296</t>
  </si>
  <si>
    <t>4992483455</t>
  </si>
  <si>
    <t>248-12-26</t>
  </si>
  <si>
    <t>248-90-26</t>
  </si>
  <si>
    <t>2453536</t>
  </si>
  <si>
    <t>248-33-44</t>
  </si>
  <si>
    <t>248-69-36</t>
  </si>
  <si>
    <t>248-63-92</t>
  </si>
  <si>
    <t>34-35</t>
  </si>
  <si>
    <t>499-248-28-91</t>
  </si>
  <si>
    <t>248-71-19</t>
  </si>
  <si>
    <t>84992313800</t>
  </si>
  <si>
    <t>4992481329</t>
  </si>
  <si>
    <t>248-29-72</t>
  </si>
  <si>
    <t>40-41</t>
  </si>
  <si>
    <t>4992487395</t>
  </si>
  <si>
    <t>248-75-97</t>
  </si>
  <si>
    <t>248-68-18</t>
  </si>
  <si>
    <t>248-10-67</t>
  </si>
  <si>
    <t>175-55-05</t>
  </si>
  <si>
    <t>46- 47</t>
  </si>
  <si>
    <t>248-18-54</t>
  </si>
  <si>
    <t>248-67-65</t>
  </si>
  <si>
    <t>248-41-81</t>
  </si>
  <si>
    <t>50-51</t>
  </si>
  <si>
    <t>Плющиха ул., дом. 55 стр.1</t>
  </si>
  <si>
    <t>общ.пом.№2</t>
  </si>
  <si>
    <t>общ.пом.№3</t>
  </si>
  <si>
    <t>общ.</t>
  </si>
  <si>
    <t>84992484960</t>
  </si>
  <si>
    <t>-896405390162</t>
  </si>
  <si>
    <t>4992485743</t>
  </si>
  <si>
    <t>+8(916)000-00-0</t>
  </si>
  <si>
    <t>4992485871</t>
  </si>
  <si>
    <t>Плющиха ул., дом. 58</t>
  </si>
  <si>
    <t>4992485361</t>
  </si>
  <si>
    <t>367-29-81</t>
  </si>
  <si>
    <t>246-57-85</t>
  </si>
  <si>
    <t>4992483901</t>
  </si>
  <si>
    <t>248-39-17</t>
  </si>
  <si>
    <t>4992481864</t>
  </si>
  <si>
    <t>4992483968</t>
  </si>
  <si>
    <t>4992485372</t>
  </si>
  <si>
    <t>499-248-38-10</t>
  </si>
  <si>
    <t>4992483928</t>
  </si>
  <si>
    <t>4992483841</t>
  </si>
  <si>
    <t>248-37-30</t>
  </si>
  <si>
    <t>84992482806</t>
  </si>
  <si>
    <t>4992482806</t>
  </si>
  <si>
    <t>926-949-00-77</t>
  </si>
  <si>
    <t>248-37-15</t>
  </si>
  <si>
    <t>248-02-15</t>
  </si>
  <si>
    <t>-89153059121</t>
  </si>
  <si>
    <t>248-02-84</t>
  </si>
  <si>
    <t>758-65-40</t>
  </si>
  <si>
    <t>84957981010</t>
  </si>
  <si>
    <t>248-55-84</t>
  </si>
  <si>
    <t>4992483838</t>
  </si>
  <si>
    <t>499-248-37-48</t>
  </si>
  <si>
    <t>2483709</t>
  </si>
  <si>
    <t>(499)248-38-63</t>
  </si>
  <si>
    <t>+8(499)248-78-70</t>
  </si>
  <si>
    <t>2483846</t>
  </si>
  <si>
    <t>248-39-90</t>
  </si>
  <si>
    <t>248-39-18</t>
  </si>
  <si>
    <t>-4992485282</t>
  </si>
  <si>
    <t>4992485282</t>
  </si>
  <si>
    <t>248-00-56</t>
  </si>
  <si>
    <t>-4992483735</t>
  </si>
  <si>
    <t>4992483978</t>
  </si>
  <si>
    <t>84992483670</t>
  </si>
  <si>
    <t>248-00-73</t>
  </si>
  <si>
    <t>248-37-47</t>
  </si>
  <si>
    <t>4992483780</t>
  </si>
  <si>
    <t>248-39-16</t>
  </si>
  <si>
    <t>84992456470</t>
  </si>
  <si>
    <t>248-08-28</t>
  </si>
  <si>
    <t>84992483152</t>
  </si>
  <si>
    <t>4992483692</t>
  </si>
  <si>
    <t>248-05-58</t>
  </si>
  <si>
    <t>+8(499)248-00-75</t>
  </si>
  <si>
    <t>248-54-03</t>
  </si>
  <si>
    <t>248-37-97</t>
  </si>
  <si>
    <t>4992480230</t>
  </si>
  <si>
    <t>248-00-27</t>
  </si>
  <si>
    <t>248-41-27</t>
  </si>
  <si>
    <t>4992483943</t>
  </si>
  <si>
    <t>248-39-38</t>
  </si>
  <si>
    <t>Погодинская ул., дом. 14</t>
  </si>
  <si>
    <t>246-98-51</t>
  </si>
  <si>
    <t>84992450985</t>
  </si>
  <si>
    <t>246-52-37</t>
  </si>
  <si>
    <t>89161437509</t>
  </si>
  <si>
    <t>246-53-07</t>
  </si>
  <si>
    <t>4992467763</t>
  </si>
  <si>
    <t>246-78-67</t>
  </si>
  <si>
    <t>4992467916</t>
  </si>
  <si>
    <t>84992486047</t>
  </si>
  <si>
    <t>84992465747</t>
  </si>
  <si>
    <t>247-07-06</t>
  </si>
  <si>
    <t>246-81-58</t>
  </si>
  <si>
    <t>245-10-31</t>
  </si>
  <si>
    <t>4992450865</t>
  </si>
  <si>
    <t>246-57-62</t>
  </si>
  <si>
    <t>248-05-18</t>
  </si>
  <si>
    <t>4992484986</t>
  </si>
  <si>
    <t>84992469859</t>
  </si>
  <si>
    <t>246-71-56</t>
  </si>
  <si>
    <t>4992452702</t>
  </si>
  <si>
    <t>84992465783</t>
  </si>
  <si>
    <t>4992451694</t>
  </si>
  <si>
    <t>245-35-21</t>
  </si>
  <si>
    <t>247-15-57</t>
  </si>
  <si>
    <t>245-07-70</t>
  </si>
  <si>
    <t>4992452040</t>
  </si>
  <si>
    <t>-4992486083</t>
  </si>
  <si>
    <t>-4992552623</t>
  </si>
  <si>
    <t>246-58-28</t>
  </si>
  <si>
    <t>901-03-72</t>
  </si>
  <si>
    <t>246-74-59</t>
  </si>
  <si>
    <t>246-14-16</t>
  </si>
  <si>
    <t>499 246-59-81</t>
  </si>
  <si>
    <t>4992466606</t>
  </si>
  <si>
    <t>84992453867</t>
  </si>
  <si>
    <t>248-74-92</t>
  </si>
  <si>
    <t>246-86-64</t>
  </si>
  <si>
    <t>4992466458</t>
  </si>
  <si>
    <t>246-63-27</t>
  </si>
  <si>
    <t>245-67-47</t>
  </si>
  <si>
    <t>84992452936</t>
  </si>
  <si>
    <t>84992468615</t>
  </si>
  <si>
    <t>4992466618</t>
  </si>
  <si>
    <t>246-67-08</t>
  </si>
  <si>
    <t>246-32-12</t>
  </si>
  <si>
    <t>84992557198</t>
  </si>
  <si>
    <t>4992466340</t>
  </si>
  <si>
    <t>4992466898</t>
  </si>
  <si>
    <t>84992452388</t>
  </si>
  <si>
    <t>4992466207</t>
  </si>
  <si>
    <t>84992466375</t>
  </si>
  <si>
    <t>84992466434</t>
  </si>
  <si>
    <t>4992453956</t>
  </si>
  <si>
    <t>4992468239</t>
  </si>
  <si>
    <t>246-83-48</t>
  </si>
  <si>
    <t>245-21-61</t>
  </si>
  <si>
    <t>246-66-69</t>
  </si>
  <si>
    <t>4992466221</t>
  </si>
  <si>
    <t>4992557650</t>
  </si>
  <si>
    <t>4992468599</t>
  </si>
  <si>
    <t>4992451983</t>
  </si>
  <si>
    <t>4992452874</t>
  </si>
  <si>
    <t>4992450907</t>
  </si>
  <si>
    <t>84992468138</t>
  </si>
  <si>
    <t>4992465794</t>
  </si>
  <si>
    <t>4992468579</t>
  </si>
  <si>
    <t>246-14-22</t>
  </si>
  <si>
    <t>245-10-08</t>
  </si>
  <si>
    <t>4992450743</t>
  </si>
  <si>
    <t>Погодинская ул., дом. 14/16</t>
  </si>
  <si>
    <t>246-32-79</t>
  </si>
  <si>
    <t>245-51-55</t>
  </si>
  <si>
    <t>245-07-86</t>
  </si>
  <si>
    <t>84992557873</t>
  </si>
  <si>
    <t>84992468679</t>
  </si>
  <si>
    <t>245-06-86</t>
  </si>
  <si>
    <t>246-42-38</t>
  </si>
  <si>
    <t>245-05-91</t>
  </si>
  <si>
    <t>4992450429</t>
  </si>
  <si>
    <t>246-37-49</t>
  </si>
  <si>
    <t>4992552776</t>
  </si>
  <si>
    <t>84992557294</t>
  </si>
  <si>
    <t>247-08-57</t>
  </si>
  <si>
    <t>2557415</t>
  </si>
  <si>
    <t>4992557415</t>
  </si>
  <si>
    <t>84992470736</t>
  </si>
  <si>
    <t>245-36-13</t>
  </si>
  <si>
    <t>4992557274</t>
  </si>
  <si>
    <t>499-255-28-58</t>
  </si>
  <si>
    <t>499-255-72-75</t>
  </si>
  <si>
    <t>499-246-30-22</t>
  </si>
  <si>
    <t>499-245-03-29</t>
  </si>
  <si>
    <t>-4992557445</t>
  </si>
  <si>
    <t>+7(905)630-01-25</t>
  </si>
  <si>
    <t>4992552724</t>
  </si>
  <si>
    <t>4992552737</t>
  </si>
  <si>
    <t>4992552874</t>
  </si>
  <si>
    <t>499-255-28-74</t>
  </si>
  <si>
    <t>4992557917</t>
  </si>
  <si>
    <t>4992557865</t>
  </si>
  <si>
    <t>4992557867</t>
  </si>
  <si>
    <t>245-09-69</t>
  </si>
  <si>
    <t>4992451224</t>
  </si>
  <si>
    <t>499 246-06-02</t>
  </si>
  <si>
    <t>4992451082</t>
  </si>
  <si>
    <t>4992557134</t>
  </si>
  <si>
    <t>245-09-86</t>
  </si>
  <si>
    <t>84992451483</t>
  </si>
  <si>
    <t>84992468528</t>
  </si>
  <si>
    <t>4992551911</t>
  </si>
  <si>
    <t>-84992552133</t>
  </si>
  <si>
    <t>-4992552923</t>
  </si>
  <si>
    <t>4992468189</t>
  </si>
  <si>
    <t>84992557385</t>
  </si>
  <si>
    <t>4992552274</t>
  </si>
  <si>
    <t>84992451451</t>
  </si>
  <si>
    <t>499-255-73-89</t>
  </si>
  <si>
    <t>245-11-86</t>
  </si>
  <si>
    <t>245-11-65</t>
  </si>
  <si>
    <t>84992456277</t>
  </si>
  <si>
    <t>4992557283</t>
  </si>
  <si>
    <t>245-11-29</t>
  </si>
  <si>
    <t>246-42-34</t>
  </si>
  <si>
    <t>4992552526</t>
  </si>
  <si>
    <t>4992557510</t>
  </si>
  <si>
    <t>499-708-31-14</t>
  </si>
  <si>
    <t>84992552760</t>
  </si>
  <si>
    <t>246-57-72</t>
  </si>
  <si>
    <t>4992451723</t>
  </si>
  <si>
    <t>4992557847</t>
  </si>
  <si>
    <t>4992451571</t>
  </si>
  <si>
    <t>245-15-21</t>
  </si>
  <si>
    <t>246-52-54</t>
  </si>
  <si>
    <t>84992468068</t>
  </si>
  <si>
    <t>4992552281</t>
  </si>
  <si>
    <t>89032205468</t>
  </si>
  <si>
    <t>4992466936</t>
  </si>
  <si>
    <t>84992465540</t>
  </si>
  <si>
    <t>246-60-23</t>
  </si>
  <si>
    <t>247-01-00</t>
  </si>
  <si>
    <t>Погодинская ул., дом. 16</t>
  </si>
  <si>
    <t>246-08-83</t>
  </si>
  <si>
    <t>4992468702</t>
  </si>
  <si>
    <t>84992465691</t>
  </si>
  <si>
    <t>246-93-08</t>
  </si>
  <si>
    <t>246-13-94</t>
  </si>
  <si>
    <t>246-08-63</t>
  </si>
  <si>
    <t>4992467434</t>
  </si>
  <si>
    <t>4992469073</t>
  </si>
  <si>
    <t>499-245-10-42</t>
  </si>
  <si>
    <t>245-13-54</t>
  </si>
  <si>
    <t>499-245-62-85</t>
  </si>
  <si>
    <t>499-245-47-68</t>
  </si>
  <si>
    <t>246-74-29</t>
  </si>
  <si>
    <t>246-79-85</t>
  </si>
  <si>
    <t>246-13-88</t>
  </si>
  <si>
    <t>4992454878</t>
  </si>
  <si>
    <t>4992467028</t>
  </si>
  <si>
    <t>84992453187</t>
  </si>
  <si>
    <t>4992460625</t>
  </si>
  <si>
    <t>246-46-23</t>
  </si>
  <si>
    <t>246-39-86</t>
  </si>
  <si>
    <t>499-246-78-36</t>
  </si>
  <si>
    <t>4992460459</t>
  </si>
  <si>
    <t>246-75-33</t>
  </si>
  <si>
    <t>499-246-04-13</t>
  </si>
  <si>
    <t>23а</t>
  </si>
  <si>
    <t>4992465569</t>
  </si>
  <si>
    <t>246-85-18</t>
  </si>
  <si>
    <t>24а</t>
  </si>
  <si>
    <t>499-246-46-55</t>
  </si>
  <si>
    <t>248-43-24</t>
  </si>
  <si>
    <t>4992460409</t>
  </si>
  <si>
    <t>Погодинская ул., дом. 20 к.5</t>
  </si>
  <si>
    <t>4992453685</t>
  </si>
  <si>
    <t>245-28-06</t>
  </si>
  <si>
    <t>4992452481</t>
  </si>
  <si>
    <t>246-86-95</t>
  </si>
  <si>
    <t>246-53-29</t>
  </si>
  <si>
    <t>245-06-04</t>
  </si>
  <si>
    <t>499-246-48-16</t>
  </si>
  <si>
    <t>4992464815</t>
  </si>
  <si>
    <t>4992462435</t>
  </si>
  <si>
    <t>7082535</t>
  </si>
  <si>
    <t>246-12-38</t>
  </si>
  <si>
    <t>84992452189</t>
  </si>
  <si>
    <t>246-21-75</t>
  </si>
  <si>
    <t>246-35-06</t>
  </si>
  <si>
    <t>245-11-34</t>
  </si>
  <si>
    <t>-4992450731</t>
  </si>
  <si>
    <t>4992463847</t>
  </si>
  <si>
    <t>4992461449</t>
  </si>
  <si>
    <t>499-246-14-49</t>
  </si>
  <si>
    <t>499-246-08-18</t>
  </si>
  <si>
    <t>84992467770</t>
  </si>
  <si>
    <t>499-246-92-40</t>
  </si>
  <si>
    <t>4992463255</t>
  </si>
  <si>
    <t>499-246-56-69</t>
  </si>
  <si>
    <t>246-57-55</t>
  </si>
  <si>
    <t>245-35-85</t>
  </si>
  <si>
    <t>246-20-38</t>
  </si>
  <si>
    <t>4992466465</t>
  </si>
  <si>
    <t>246-76-79</t>
  </si>
  <si>
    <t>246-42-32</t>
  </si>
  <si>
    <t>499-245-63-99</t>
  </si>
  <si>
    <t>246-51-69</t>
  </si>
  <si>
    <t>-4992465169</t>
  </si>
  <si>
    <t>4992452480</t>
  </si>
  <si>
    <t>245-27-23</t>
  </si>
  <si>
    <t>4992463677</t>
  </si>
  <si>
    <t>-4992463677</t>
  </si>
  <si>
    <t>-89651209200</t>
  </si>
  <si>
    <t>84992463510</t>
  </si>
  <si>
    <t>246-35-10</t>
  </si>
  <si>
    <t>499-246-35-10</t>
  </si>
  <si>
    <t>4992465609</t>
  </si>
  <si>
    <t>246-28-83</t>
  </si>
  <si>
    <t>499-245-12-54</t>
  </si>
  <si>
    <t>499-246-14-46</t>
  </si>
  <si>
    <t>499-246-33-95</t>
  </si>
  <si>
    <t>4992451197</t>
  </si>
  <si>
    <t>245-32-67</t>
  </si>
  <si>
    <t>246-36-07</t>
  </si>
  <si>
    <t>499-246-36-07</t>
  </si>
  <si>
    <t>246-59-10</t>
  </si>
  <si>
    <t>4992460203</t>
  </si>
  <si>
    <t>245-08-98</t>
  </si>
  <si>
    <t>4992453489</t>
  </si>
  <si>
    <t>246-33-16</t>
  </si>
  <si>
    <t>84992463217</t>
  </si>
  <si>
    <t>246-32-17</t>
  </si>
  <si>
    <t>245-32-89</t>
  </si>
  <si>
    <t>246-43-39</t>
  </si>
  <si>
    <t>246-42-57</t>
  </si>
  <si>
    <t>499-246-42-57</t>
  </si>
  <si>
    <t>84957083639</t>
  </si>
  <si>
    <t>246-34-51</t>
  </si>
  <si>
    <t>499-246-81-85</t>
  </si>
  <si>
    <t>4992557860</t>
  </si>
  <si>
    <t>246-14-21</t>
  </si>
  <si>
    <t>4992461412</t>
  </si>
  <si>
    <t>246-29-83</t>
  </si>
  <si>
    <t>245-73-92</t>
  </si>
  <si>
    <t>Пожарский пер., дом. 8</t>
  </si>
  <si>
    <t>4956950227</t>
  </si>
  <si>
    <t>4956950116</t>
  </si>
  <si>
    <t>202-00-26</t>
  </si>
  <si>
    <t>695-01-13</t>
  </si>
  <si>
    <t>4956950193</t>
  </si>
  <si>
    <t>202-09-44</t>
  </si>
  <si>
    <t>290-58-36</t>
  </si>
  <si>
    <t>6950185</t>
  </si>
  <si>
    <t>4956950029</t>
  </si>
  <si>
    <t>6950057</t>
  </si>
  <si>
    <t>84956950267</t>
  </si>
  <si>
    <t>695-02-01</t>
  </si>
  <si>
    <t>504-08-00</t>
  </si>
  <si>
    <t>729-16.-5</t>
  </si>
  <si>
    <t>695-01-21</t>
  </si>
  <si>
    <t>4956950234</t>
  </si>
  <si>
    <t>26А</t>
  </si>
  <si>
    <t>695-00-08</t>
  </si>
  <si>
    <t>695-01-30</t>
  </si>
  <si>
    <t>6950258</t>
  </si>
  <si>
    <t>Пожарский пер., дом. 10</t>
  </si>
  <si>
    <t>4956950093</t>
  </si>
  <si>
    <t>4956950226</t>
  </si>
  <si>
    <t>4956950046</t>
  </si>
  <si>
    <t>202-03-51</t>
  </si>
  <si>
    <t>6950126</t>
  </si>
  <si>
    <t>4956950117</t>
  </si>
  <si>
    <t>4956950162</t>
  </si>
  <si>
    <t>6950143</t>
  </si>
  <si>
    <t>4956950595</t>
  </si>
  <si>
    <t>4956950241</t>
  </si>
  <si>
    <t>+8(8495)695-01-53</t>
  </si>
  <si>
    <t>4956950129</t>
  </si>
  <si>
    <t>Померанцев пер., дом. 3</t>
  </si>
  <si>
    <t>+8(499)245-78-43</t>
  </si>
  <si>
    <t>246-64-63</t>
  </si>
  <si>
    <t>246-17-50</t>
  </si>
  <si>
    <t>84992469743</t>
  </si>
  <si>
    <t>4992467187</t>
  </si>
  <si>
    <t>89153685915</t>
  </si>
  <si>
    <t>84992456308</t>
  </si>
  <si>
    <t>84992469946</t>
  </si>
  <si>
    <t>499-245-26-06</t>
  </si>
  <si>
    <t>4992466219</t>
  </si>
  <si>
    <t>84992461074</t>
  </si>
  <si>
    <t>4992457148</t>
  </si>
  <si>
    <t>499-246-46-53</t>
  </si>
  <si>
    <t>245-21-88</t>
  </si>
  <si>
    <t>246-60-20</t>
  </si>
  <si>
    <t>4992467746</t>
  </si>
  <si>
    <t>245-10-73</t>
  </si>
  <si>
    <t>246-86-20</t>
  </si>
  <si>
    <t>245-04-04</t>
  </si>
  <si>
    <t>-84992469024</t>
  </si>
  <si>
    <t>499-255-75-35</t>
  </si>
  <si>
    <t>84992463674</t>
  </si>
  <si>
    <t>246-28-96</t>
  </si>
  <si>
    <t>246-50-47</t>
  </si>
  <si>
    <t>246-32-09</t>
  </si>
  <si>
    <t>Померанцев пер., дом. 7</t>
  </si>
  <si>
    <t>499-246-68-73</t>
  </si>
  <si>
    <t>4992469004</t>
  </si>
  <si>
    <t>246-84-71</t>
  </si>
  <si>
    <t>499-246-60-14</t>
  </si>
  <si>
    <t>4992461593</t>
  </si>
  <si>
    <t>4992461154</t>
  </si>
  <si>
    <t>241-38-89</t>
  </si>
  <si>
    <t>246-93-74</t>
  </si>
  <si>
    <t>4992416113</t>
  </si>
  <si>
    <t>4992461395</t>
  </si>
  <si>
    <t>4997664068</t>
  </si>
  <si>
    <t>7664154</t>
  </si>
  <si>
    <t>246-45-07</t>
  </si>
  <si>
    <t>4997664020</t>
  </si>
  <si>
    <t>84997664091</t>
  </si>
  <si>
    <t>84992461842</t>
  </si>
  <si>
    <t>246-66-73</t>
  </si>
  <si>
    <t>84992461246</t>
  </si>
  <si>
    <t>84997664116</t>
  </si>
  <si>
    <t>241-64-36</t>
  </si>
  <si>
    <t>246-09-83</t>
  </si>
  <si>
    <t>241-70-65</t>
  </si>
  <si>
    <t>84992453039</t>
  </si>
  <si>
    <t>4997664090</t>
  </si>
  <si>
    <t>Померанцев пер., дом. 9</t>
  </si>
  <si>
    <t>246-12-37</t>
  </si>
  <si>
    <t>4997664032</t>
  </si>
  <si>
    <t>499-766-40-79</t>
  </si>
  <si>
    <t>4997664096</t>
  </si>
  <si>
    <t>4997664097</t>
  </si>
  <si>
    <t>246-37-73</t>
  </si>
  <si>
    <t>246-00-28</t>
  </si>
  <si>
    <t>246-12-11</t>
  </si>
  <si>
    <t>-4992414704</t>
  </si>
  <si>
    <t>245-06-85</t>
  </si>
  <si>
    <t>4997664078</t>
  </si>
  <si>
    <t>4992466591</t>
  </si>
  <si>
    <t>499-245-70-87</t>
  </si>
  <si>
    <t>84992466910</t>
  </si>
  <si>
    <t>4992414331</t>
  </si>
  <si>
    <t>4992450618</t>
  </si>
  <si>
    <t>Померанцев пер., дом. 10/12</t>
  </si>
  <si>
    <t>-84956371647</t>
  </si>
  <si>
    <t>4956371886</t>
  </si>
  <si>
    <t>6371764</t>
  </si>
  <si>
    <t>637-15-32</t>
  </si>
  <si>
    <t>4956371730</t>
  </si>
  <si>
    <t>6978984</t>
  </si>
  <si>
    <t>54956371869</t>
  </si>
  <si>
    <t>499-637-15-93</t>
  </si>
  <si>
    <t>6371793</t>
  </si>
  <si>
    <t>203-97-38</t>
  </si>
  <si>
    <t>4956371891</t>
  </si>
  <si>
    <t>203-97-10</t>
  </si>
  <si>
    <t>4992039418</t>
  </si>
  <si>
    <t>203-87-06</t>
  </si>
  <si>
    <t>4956371783</t>
  </si>
  <si>
    <t>4956371867</t>
  </si>
  <si>
    <t>4956371823</t>
  </si>
  <si>
    <t>637-18-71</t>
  </si>
  <si>
    <t>4956371416</t>
  </si>
  <si>
    <t>203-99-87</t>
  </si>
  <si>
    <t>203-96-06</t>
  </si>
  <si>
    <t>637-18-36</t>
  </si>
  <si>
    <t>8499-317-55-82</t>
  </si>
  <si>
    <t>4956371803</t>
  </si>
  <si>
    <t>495 637-44-40</t>
  </si>
  <si>
    <t>4956371752</t>
  </si>
  <si>
    <t>203-96-05</t>
  </si>
  <si>
    <t>-4956371880</t>
  </si>
  <si>
    <t>4956371839</t>
  </si>
  <si>
    <t>-4956951211</t>
  </si>
  <si>
    <t>4956371894</t>
  </si>
  <si>
    <t>4952039888</t>
  </si>
  <si>
    <t>4956571652</t>
  </si>
  <si>
    <t>4956371807</t>
  </si>
  <si>
    <t>4956371879</t>
  </si>
  <si>
    <t>324-56-76</t>
  </si>
  <si>
    <t>43,45</t>
  </si>
  <si>
    <t>499-203-94-26</t>
  </si>
  <si>
    <t>203-37-88</t>
  </si>
  <si>
    <t>84956371876</t>
  </si>
  <si>
    <t>84956371834</t>
  </si>
  <si>
    <t>203-89-48</t>
  </si>
  <si>
    <t>637-18-74</t>
  </si>
  <si>
    <t>637-16-34/</t>
  </si>
  <si>
    <t>4956371523</t>
  </si>
  <si>
    <t>203-94-88</t>
  </si>
  <si>
    <t>84956371679</t>
  </si>
  <si>
    <t>4956371510</t>
  </si>
  <si>
    <t>4956371802</t>
  </si>
  <si>
    <t>Пречистенка ул., дом. 8/3 стр.2</t>
  </si>
  <si>
    <t>6375027</t>
  </si>
  <si>
    <t>4956106268</t>
  </si>
  <si>
    <t>6377567</t>
  </si>
  <si>
    <t>4956377619</t>
  </si>
  <si>
    <t>4956375027</t>
  </si>
  <si>
    <t>6377946</t>
  </si>
  <si>
    <t>Пречистенка ул., дом. 24/1</t>
  </si>
  <si>
    <t>6374997</t>
  </si>
  <si>
    <t>4956375709</t>
  </si>
  <si>
    <t>201-48-38</t>
  </si>
  <si>
    <t>-4956375721</t>
  </si>
  <si>
    <t>4956375732</t>
  </si>
  <si>
    <t>4956374734</t>
  </si>
  <si>
    <t>7638668</t>
  </si>
  <si>
    <t>637-73-11</t>
  </si>
  <si>
    <t>4956374812</t>
  </si>
  <si>
    <t>637-48-12</t>
  </si>
  <si>
    <t>637-74-11</t>
  </si>
  <si>
    <t>Пречистенка ул., дом. 27</t>
  </si>
  <si>
    <t>84956374916</t>
  </si>
  <si>
    <t>6374916</t>
  </si>
  <si>
    <t>637-54-49</t>
  </si>
  <si>
    <t>Пречистенка ул., дом. 28</t>
  </si>
  <si>
    <t>201-32-54</t>
  </si>
  <si>
    <t>84956374430</t>
  </si>
  <si>
    <t>201-47-96</t>
  </si>
  <si>
    <t>4956374480</t>
  </si>
  <si>
    <t>201-37-78</t>
  </si>
  <si>
    <t>4956373425</t>
  </si>
  <si>
    <t>637-44-65</t>
  </si>
  <si>
    <t>10а</t>
  </si>
  <si>
    <t>89265920805</t>
  </si>
  <si>
    <t>10б</t>
  </si>
  <si>
    <t>201-31-92</t>
  </si>
  <si>
    <t>201-44-29</t>
  </si>
  <si>
    <t>4956375607</t>
  </si>
  <si>
    <t>101-49-01</t>
  </si>
  <si>
    <t>4956373185</t>
  </si>
  <si>
    <t>637-39-48</t>
  </si>
  <si>
    <t>84956374094</t>
  </si>
  <si>
    <t>4956372196</t>
  </si>
  <si>
    <t>6373245</t>
  </si>
  <si>
    <t>Пречистенка ул., дом. 29</t>
  </si>
  <si>
    <t>637-15-61</t>
  </si>
  <si>
    <t>-4956371507</t>
  </si>
  <si>
    <t>-4956377030</t>
  </si>
  <si>
    <t>84956371620</t>
  </si>
  <si>
    <t>499-637-45-17</t>
  </si>
  <si>
    <t>6371893</t>
  </si>
  <si>
    <t>499-637-18-26</t>
  </si>
  <si>
    <t>49506374596</t>
  </si>
  <si>
    <t>290-54-01</t>
  </si>
  <si>
    <t>84956371883</t>
  </si>
  <si>
    <t>290-01-58</t>
  </si>
  <si>
    <t>291-95-86</t>
  </si>
  <si>
    <t>499-637-44-83</t>
  </si>
  <si>
    <t>6371651</t>
  </si>
  <si>
    <t>Пречистенка ул., дом. 33/19 к.2</t>
  </si>
  <si>
    <t>203-74-01</t>
  </si>
  <si>
    <t>203-71-12</t>
  </si>
  <si>
    <t>203-77-77</t>
  </si>
  <si>
    <t>8-903-522</t>
  </si>
  <si>
    <t>Пречистенка ул., дом. 34/18</t>
  </si>
  <si>
    <t>4992467254</t>
  </si>
  <si>
    <t>4992463597</t>
  </si>
  <si>
    <t>84992467401</t>
  </si>
  <si>
    <t>246-83-18</t>
  </si>
  <si>
    <t>246-40-77</t>
  </si>
  <si>
    <t>4992451392</t>
  </si>
  <si>
    <t>784-31-35 моб.</t>
  </si>
  <si>
    <t>246-75-82</t>
  </si>
  <si>
    <t>4992460176</t>
  </si>
  <si>
    <t>4992466210</t>
  </si>
  <si>
    <t>84992466210</t>
  </si>
  <si>
    <t>246-72-63</t>
  </si>
  <si>
    <t>4992461775</t>
  </si>
  <si>
    <t>246-36-38</t>
  </si>
  <si>
    <t>245-29-63</t>
  </si>
  <si>
    <t>4992467403</t>
  </si>
  <si>
    <t>247-06-18</t>
  </si>
  <si>
    <t>4992451809</t>
  </si>
  <si>
    <t>4992468517</t>
  </si>
  <si>
    <t>246-11-91</t>
  </si>
  <si>
    <t>4992461234</t>
  </si>
  <si>
    <t>4992467383</t>
  </si>
  <si>
    <t>4992467228</t>
  </si>
  <si>
    <t>4992466698</t>
  </si>
  <si>
    <t>246-53-78</t>
  </si>
  <si>
    <t>4992468560</t>
  </si>
  <si>
    <t>499 246-93-11</t>
  </si>
  <si>
    <t>246-63-33</t>
  </si>
  <si>
    <t>84992456446</t>
  </si>
  <si>
    <t>84998456030</t>
  </si>
  <si>
    <t>499-246-40-89</t>
  </si>
  <si>
    <t>246-81-06</t>
  </si>
  <si>
    <t>246-86-07</t>
  </si>
  <si>
    <t>246-42-15</t>
  </si>
  <si>
    <t>4992465259</t>
  </si>
  <si>
    <t>4992466722</t>
  </si>
  <si>
    <t>246-67-22</t>
  </si>
  <si>
    <t>41А</t>
  </si>
  <si>
    <t>4992451313</t>
  </si>
  <si>
    <t>Пречистенская наб., дом. 45/1 стр.3</t>
  </si>
  <si>
    <t>203-18-08</t>
  </si>
  <si>
    <t>203-74-42</t>
  </si>
  <si>
    <t>203-58-20</t>
  </si>
  <si>
    <t>4997660447</t>
  </si>
  <si>
    <t>201-53-32</t>
  </si>
  <si>
    <t>4956975818</t>
  </si>
  <si>
    <t>6975880</t>
  </si>
  <si>
    <t>6982514</t>
  </si>
  <si>
    <t>4997660441</t>
  </si>
  <si>
    <t>6976149</t>
  </si>
  <si>
    <t>Пречистенский пер., дом. 12</t>
  </si>
  <si>
    <t>201-57-65</t>
  </si>
  <si>
    <t>6377143</t>
  </si>
  <si>
    <t>4956377939</t>
  </si>
  <si>
    <t>4982205198</t>
  </si>
  <si>
    <t>4956377854</t>
  </si>
  <si>
    <t>201-23-88</t>
  </si>
  <si>
    <t>Пречистенский пер., дом. 14 стр.2</t>
  </si>
  <si>
    <t>6375482</t>
  </si>
  <si>
    <t>84956377680</t>
  </si>
  <si>
    <t>84956377641</t>
  </si>
  <si>
    <t>262-10-91</t>
  </si>
  <si>
    <t>6377251</t>
  </si>
  <si>
    <t>968-86-98</t>
  </si>
  <si>
    <t>4996113784</t>
  </si>
  <si>
    <t>4956377630</t>
  </si>
  <si>
    <t>4957870456</t>
  </si>
  <si>
    <t>Россолимо ул., дом. 6/25</t>
  </si>
  <si>
    <t>245-37-84</t>
  </si>
  <si>
    <t>245-09-38</t>
  </si>
  <si>
    <t>4992452062</t>
  </si>
  <si>
    <t>4992460112</t>
  </si>
  <si>
    <t>247-17-51</t>
  </si>
  <si>
    <t>4992557462</t>
  </si>
  <si>
    <t>246-07-30</t>
  </si>
  <si>
    <t>246-63-02</t>
  </si>
  <si>
    <t>84992557585</t>
  </si>
  <si>
    <t>246-77-02</t>
  </si>
  <si>
    <t>246-03-56</t>
  </si>
  <si>
    <t>4992467665</t>
  </si>
  <si>
    <t>84992552970</t>
  </si>
  <si>
    <t>84992465473</t>
  </si>
  <si>
    <t>4992450260</t>
  </si>
  <si>
    <t>84992463526</t>
  </si>
  <si>
    <t>4992460357</t>
  </si>
  <si>
    <t>4992462219</t>
  </si>
  <si>
    <t>84992467328</t>
  </si>
  <si>
    <t>84992460365</t>
  </si>
  <si>
    <t>246-68-74</t>
  </si>
  <si>
    <t>84992467484</t>
  </si>
  <si>
    <t>246-01-36</t>
  </si>
  <si>
    <t>84992552945</t>
  </si>
  <si>
    <t>246-03-82</t>
  </si>
  <si>
    <t>4992552909</t>
  </si>
  <si>
    <t>4992467913</t>
  </si>
  <si>
    <t>4992460209</t>
  </si>
  <si>
    <t>247-16-48</t>
  </si>
  <si>
    <t>245-36-04</t>
  </si>
  <si>
    <t>247-16-49</t>
  </si>
  <si>
    <t>4992552836</t>
  </si>
  <si>
    <t>246-63-57</t>
  </si>
  <si>
    <t>84992451702</t>
  </si>
  <si>
    <t>84992450481</t>
  </si>
  <si>
    <t>499-246-37-54</t>
  </si>
  <si>
    <t>4992452045</t>
  </si>
  <si>
    <t>246-01-54</t>
  </si>
  <si>
    <t>247-15-02</t>
  </si>
  <si>
    <t>4992452947</t>
  </si>
  <si>
    <t>4992450630</t>
  </si>
  <si>
    <t>4992557646</t>
  </si>
  <si>
    <t>246-01-82</t>
  </si>
  <si>
    <t>246-02-72</t>
  </si>
  <si>
    <t>246-04-95</t>
  </si>
  <si>
    <t>246-81-64</t>
  </si>
  <si>
    <t>4992468194</t>
  </si>
  <si>
    <t>4992453846</t>
  </si>
  <si>
    <t>4992467647</t>
  </si>
  <si>
    <t>246-66-67</t>
  </si>
  <si>
    <t>84992467939</t>
  </si>
  <si>
    <t>4992468230</t>
  </si>
  <si>
    <t>84992422857</t>
  </si>
  <si>
    <t>246-05-98</t>
  </si>
  <si>
    <t>247-13-27</t>
  </si>
  <si>
    <t>247-13-28</t>
  </si>
  <si>
    <t>84992462829</t>
  </si>
  <si>
    <t>246-03-04</t>
  </si>
  <si>
    <t>4992467164</t>
  </si>
  <si>
    <t>246-82-45</t>
  </si>
  <si>
    <t>246-85-06</t>
  </si>
  <si>
    <t>84992460307</t>
  </si>
  <si>
    <t>84992464578</t>
  </si>
  <si>
    <t>4992452155</t>
  </si>
  <si>
    <t>4992464920</t>
  </si>
  <si>
    <t>4992466483</t>
  </si>
  <si>
    <t>Ростовский 4-й пер., дом. 2/1 стр.1</t>
  </si>
  <si>
    <t>248-59-89</t>
  </si>
  <si>
    <t>248-55-20</t>
  </si>
  <si>
    <t>248-12-53</t>
  </si>
  <si>
    <t>248-55-15</t>
  </si>
  <si>
    <t>248-55-29</t>
  </si>
  <si>
    <t>84992485176</t>
  </si>
  <si>
    <t>248-51-07</t>
  </si>
  <si>
    <t>248-12-95</t>
  </si>
  <si>
    <t>499-248-12-97</t>
  </si>
  <si>
    <t>4992481034</t>
  </si>
  <si>
    <t>248-55-10</t>
  </si>
  <si>
    <t>248-57-79</t>
  </si>
  <si>
    <t>4992481267</t>
  </si>
  <si>
    <t>4992485701</t>
  </si>
  <si>
    <t>Ростовский 4-й пер., дом. 2/1 стр.2</t>
  </si>
  <si>
    <t>4992481713</t>
  </si>
  <si>
    <t>248-58-90</t>
  </si>
  <si>
    <t>248-12-47</t>
  </si>
  <si>
    <t>248-10-21</t>
  </si>
  <si>
    <t>4992481291</t>
  </si>
  <si>
    <t>248-22-10</t>
  </si>
  <si>
    <t>248-53-69</t>
  </si>
  <si>
    <t>248-53-28</t>
  </si>
  <si>
    <t>248-53-70</t>
  </si>
  <si>
    <t>248-56-69</t>
  </si>
  <si>
    <t>248-55-89</t>
  </si>
  <si>
    <t>4992484306</t>
  </si>
  <si>
    <t>248-53-79</t>
  </si>
  <si>
    <t>84992452264</t>
  </si>
  <si>
    <t>4992485991</t>
  </si>
  <si>
    <t>499-248-59-91</t>
  </si>
  <si>
    <t>2485991</t>
  </si>
  <si>
    <t>248-12-60</t>
  </si>
  <si>
    <t>Ростовский 6-й пер., дом. 4А</t>
  </si>
  <si>
    <t>Ростовский 6-й пер., дом. 6</t>
  </si>
  <si>
    <t>248-50-95</t>
  </si>
  <si>
    <t>248-28-24</t>
  </si>
  <si>
    <t>Ростовский 7-й пер., дом. 18</t>
  </si>
  <si>
    <t>248-51-12</t>
  </si>
  <si>
    <t>248-61-47</t>
  </si>
  <si>
    <t>248-18-46</t>
  </si>
  <si>
    <t>4992485659</t>
  </si>
  <si>
    <t>84992481398</t>
  </si>
  <si>
    <t>248-56-98</t>
  </si>
  <si>
    <t>248-15-45</t>
  </si>
  <si>
    <t>4992481103</t>
  </si>
  <si>
    <t>248-11-69</t>
  </si>
  <si>
    <t>248-18-85</t>
  </si>
  <si>
    <t>248-58-19</t>
  </si>
  <si>
    <t>Саввинская наб., дом. 3</t>
  </si>
  <si>
    <t>84992483801</t>
  </si>
  <si>
    <t>4992483462</t>
  </si>
  <si>
    <t>84992487502</t>
  </si>
  <si>
    <t>4992487514</t>
  </si>
  <si>
    <t>248-35-89</t>
  </si>
  <si>
    <t>4992487725</t>
  </si>
  <si>
    <t>4992483081</t>
  </si>
  <si>
    <t>4992486142</t>
  </si>
  <si>
    <t>84992483212</t>
  </si>
  <si>
    <t>84992483490</t>
  </si>
  <si>
    <t>84992483685</t>
  </si>
  <si>
    <t>-84992483558</t>
  </si>
  <si>
    <t>84992483558</t>
  </si>
  <si>
    <t>248-34-89</t>
  </si>
  <si>
    <t>84992483619</t>
  </si>
  <si>
    <t>84992483460</t>
  </si>
  <si>
    <t>84992487923</t>
  </si>
  <si>
    <t>84992483231</t>
  </si>
  <si>
    <t>-4992483568</t>
  </si>
  <si>
    <t>84992483698</t>
  </si>
  <si>
    <t>(499)248-35-51</t>
  </si>
  <si>
    <t>(499)248-32-71</t>
  </si>
  <si>
    <t>84992483062</t>
  </si>
  <si>
    <t>23-24</t>
  </si>
  <si>
    <t>4992487982</t>
  </si>
  <si>
    <t>4992483618</t>
  </si>
  <si>
    <t>4992483049</t>
  </si>
  <si>
    <t>4992483048</t>
  </si>
  <si>
    <t>84992481848</t>
  </si>
  <si>
    <t>84992483497</t>
  </si>
  <si>
    <t>84992488820</t>
  </si>
  <si>
    <t>499-248-77-90</t>
  </si>
  <si>
    <t>84992483697</t>
  </si>
  <si>
    <t>84992483689</t>
  </si>
  <si>
    <t>4992483471</t>
  </si>
  <si>
    <t>-84992487273</t>
  </si>
  <si>
    <t>84992483549</t>
  </si>
  <si>
    <t>4992483679</t>
  </si>
  <si>
    <t>499-248-38-69</t>
  </si>
  <si>
    <t>84992487903</t>
  </si>
  <si>
    <t>84992483660</t>
  </si>
  <si>
    <t>248-36-59</t>
  </si>
  <si>
    <t>84992483829</t>
  </si>
  <si>
    <t>4992483658</t>
  </si>
  <si>
    <t>84992483609</t>
  </si>
  <si>
    <t>4992483050</t>
  </si>
  <si>
    <t>84992487737</t>
  </si>
  <si>
    <t>84992481978</t>
  </si>
  <si>
    <t>84992483859</t>
  </si>
  <si>
    <t>84992483649</t>
  </si>
  <si>
    <t>4992483648</t>
  </si>
  <si>
    <t>84992483530</t>
  </si>
  <si>
    <t>4992483506</t>
  </si>
  <si>
    <t>4992483098</t>
  </si>
  <si>
    <t>499-248-35-03</t>
  </si>
  <si>
    <t>84992483630</t>
  </si>
  <si>
    <t>84992483650</t>
  </si>
  <si>
    <t>84992483879</t>
  </si>
  <si>
    <t>84992482834</t>
  </si>
  <si>
    <t>4992481659</t>
  </si>
  <si>
    <t>499 248-46-48</t>
  </si>
  <si>
    <t>84992487598</t>
  </si>
  <si>
    <t>84992483620</t>
  </si>
  <si>
    <t>84992483585</t>
  </si>
  <si>
    <t>4992483413</t>
  </si>
  <si>
    <t>84992483230</t>
  </si>
  <si>
    <t>499-248-32-70</t>
  </si>
  <si>
    <t>499-248-75-16</t>
  </si>
  <si>
    <t>84992483636</t>
  </si>
  <si>
    <t>84992483031</t>
  </si>
  <si>
    <t>4992483250</t>
  </si>
  <si>
    <t>84992483819</t>
  </si>
  <si>
    <t>84992483849</t>
  </si>
  <si>
    <t>4992483809</t>
  </si>
  <si>
    <t>84992481207</t>
  </si>
  <si>
    <t>84992483002</t>
  </si>
  <si>
    <t>84992484494</t>
  </si>
  <si>
    <t>89163338129</t>
  </si>
  <si>
    <t>4992483432</t>
  </si>
  <si>
    <t>84992483626</t>
  </si>
  <si>
    <t>-84992483080</t>
  </si>
  <si>
    <t>84992483029</t>
  </si>
  <si>
    <t>-84992482222</t>
  </si>
  <si>
    <t>84992483667</t>
  </si>
  <si>
    <t>4992481975</t>
  </si>
  <si>
    <t>4992483639</t>
  </si>
  <si>
    <t>84992483871</t>
  </si>
  <si>
    <t>-84992483061</t>
  </si>
  <si>
    <t>4992483629</t>
  </si>
  <si>
    <t>84992483010</t>
  </si>
  <si>
    <t>84992483687</t>
  </si>
  <si>
    <t>4992483614</t>
  </si>
  <si>
    <t>84992482756</t>
  </si>
  <si>
    <t>92а</t>
  </si>
  <si>
    <t>84992481746</t>
  </si>
  <si>
    <t>84992483402</t>
  </si>
  <si>
    <t>-4992487549</t>
  </si>
  <si>
    <t>2450233</t>
  </si>
  <si>
    <t>84992484948</t>
  </si>
  <si>
    <t>84992487528</t>
  </si>
  <si>
    <t>4992487526</t>
  </si>
  <si>
    <t>4992483283</t>
  </si>
  <si>
    <t>84992487174</t>
  </si>
  <si>
    <t>4992483473</t>
  </si>
  <si>
    <t>4992480800</t>
  </si>
  <si>
    <t>4992487974</t>
  </si>
  <si>
    <t>84992483514</t>
  </si>
  <si>
    <t>4992483442</t>
  </si>
  <si>
    <t>499-245-02-34</t>
  </si>
  <si>
    <t>-84992483421</t>
  </si>
  <si>
    <t>4992487550</t>
  </si>
  <si>
    <t>84992487563</t>
  </si>
  <si>
    <t>4992483410</t>
  </si>
  <si>
    <t>499 248-35-71</t>
  </si>
  <si>
    <t>84992483401</t>
  </si>
  <si>
    <t>84992483204</t>
  </si>
  <si>
    <t>4992483911</t>
  </si>
  <si>
    <t>-84992483450</t>
  </si>
  <si>
    <t>84992487915</t>
  </si>
  <si>
    <t>119,120</t>
  </si>
  <si>
    <t>84992483201</t>
  </si>
  <si>
    <t>84992450187</t>
  </si>
  <si>
    <t>84992483881</t>
  </si>
  <si>
    <t>84992483420</t>
  </si>
  <si>
    <t>84992481175</t>
  </si>
  <si>
    <t>4992483260</t>
  </si>
  <si>
    <t>84992483520</t>
  </si>
  <si>
    <t>4992483249</t>
  </si>
  <si>
    <t>(499)248-77-42</t>
  </si>
  <si>
    <t>4992487750</t>
  </si>
  <si>
    <t>84992485183</t>
  </si>
  <si>
    <t>84992483221</t>
  </si>
  <si>
    <t>84992487762</t>
  </si>
  <si>
    <t>499-248-30-52</t>
  </si>
  <si>
    <t>4997220207</t>
  </si>
  <si>
    <t>248-77-81</t>
  </si>
  <si>
    <t>248-35-62</t>
  </si>
  <si>
    <t>4992483071</t>
  </si>
  <si>
    <t>248-36-40</t>
  </si>
  <si>
    <t>4992483032</t>
  </si>
  <si>
    <t>248-35-76</t>
  </si>
  <si>
    <t>84992483525</t>
  </si>
  <si>
    <t>84992483070</t>
  </si>
  <si>
    <t>84992483641</t>
  </si>
  <si>
    <t>4992450114</t>
  </si>
  <si>
    <t>248-34-41</t>
  </si>
  <si>
    <t>495-245-02-38</t>
  </si>
  <si>
    <t>84992483598</t>
  </si>
  <si>
    <t>84992487575</t>
  </si>
  <si>
    <t>84992450245</t>
  </si>
  <si>
    <t>4992487586</t>
  </si>
  <si>
    <t>4992487719</t>
  </si>
  <si>
    <t>-84992487724</t>
  </si>
  <si>
    <t>4992483430</t>
  </si>
  <si>
    <t>4992483546</t>
  </si>
  <si>
    <t>89269197332</t>
  </si>
  <si>
    <t>499-248-32-51</t>
  </si>
  <si>
    <t>84992483505</t>
  </si>
  <si>
    <t>84992483671</t>
  </si>
  <si>
    <t>248-35-57</t>
  </si>
  <si>
    <t>84992483653</t>
  </si>
  <si>
    <t>(499)248-75-48</t>
  </si>
  <si>
    <t>84992483820</t>
  </si>
  <si>
    <t>84992487532</t>
  </si>
  <si>
    <t>499 248 23 92</t>
  </si>
  <si>
    <t>84992484259</t>
  </si>
  <si>
    <t>499-248-35-34</t>
  </si>
  <si>
    <t>84992451874</t>
  </si>
  <si>
    <t>4992483542</t>
  </si>
  <si>
    <t>4992483587</t>
  </si>
  <si>
    <t>-84992483569</t>
  </si>
  <si>
    <t>-84992483531</t>
  </si>
  <si>
    <t>-84992483582</t>
  </si>
  <si>
    <t>245-02-49</t>
  </si>
  <si>
    <t>84992487540</t>
  </si>
  <si>
    <t>84992487538</t>
  </si>
  <si>
    <t>499 248-38-32</t>
  </si>
  <si>
    <t>84992481102</t>
  </si>
  <si>
    <t>84992480257</t>
  </si>
  <si>
    <t>84992483594</t>
  </si>
  <si>
    <t>84992484593</t>
  </si>
  <si>
    <t>4992483880</t>
  </si>
  <si>
    <t>4992481383</t>
  </si>
  <si>
    <t>4992483168</t>
  </si>
  <si>
    <t>Саввинская наб., дом. 5</t>
  </si>
  <si>
    <t>84992486354</t>
  </si>
  <si>
    <t>246-43-75</t>
  </si>
  <si>
    <t>2487621</t>
  </si>
  <si>
    <t>4992482293</t>
  </si>
  <si>
    <t>84992484524</t>
  </si>
  <si>
    <t>-4992486326</t>
  </si>
  <si>
    <t>4992483541</t>
  </si>
  <si>
    <t>2486781</t>
  </si>
  <si>
    <t>499-248-62-97</t>
  </si>
  <si>
    <t>4992486885</t>
  </si>
  <si>
    <t>84992483371</t>
  </si>
  <si>
    <t>84992487062</t>
  </si>
  <si>
    <t>352-73-50</t>
  </si>
  <si>
    <t>248-65-18</t>
  </si>
  <si>
    <t>2481350</t>
  </si>
  <si>
    <t>248-35-32</t>
  </si>
  <si>
    <t>248-21-10</t>
  </si>
  <si>
    <t>4992486085</t>
  </si>
  <si>
    <t>Саввинская наб., дом. 19 стр.1А</t>
  </si>
  <si>
    <t>4992464298</t>
  </si>
  <si>
    <t>55А</t>
  </si>
  <si>
    <t>4992481186</t>
  </si>
  <si>
    <t>248-11-86</t>
  </si>
  <si>
    <t>4992464199</t>
  </si>
  <si>
    <t>4992484969</t>
  </si>
  <si>
    <t>4992467159</t>
  </si>
  <si>
    <t>4992484049</t>
  </si>
  <si>
    <t>246-47-17</t>
  </si>
  <si>
    <t>246-61-28</t>
  </si>
  <si>
    <t>89035616105</t>
  </si>
  <si>
    <t>248-38-27</t>
  </si>
  <si>
    <t>4992463993</t>
  </si>
  <si>
    <t>84992463993</t>
  </si>
  <si>
    <t>246-29-32</t>
  </si>
  <si>
    <t>84992464417</t>
  </si>
  <si>
    <t>248-40-79</t>
  </si>
  <si>
    <t>248-13-41</t>
  </si>
  <si>
    <t>247-04-87</t>
  </si>
  <si>
    <t>2465975</t>
  </si>
  <si>
    <t>499 248-40-06</t>
  </si>
  <si>
    <t>84992462355</t>
  </si>
  <si>
    <t>248-15-52</t>
  </si>
  <si>
    <t>499-246-46-97</t>
  </si>
  <si>
    <t>246-18-93</t>
  </si>
  <si>
    <t>246-18-39</t>
  </si>
  <si>
    <t>248-19-96</t>
  </si>
  <si>
    <t>246-18-36</t>
  </si>
  <si>
    <t>499 246 57 18</t>
  </si>
  <si>
    <t>246-22-40</t>
  </si>
  <si>
    <t>2465853</t>
  </si>
  <si>
    <t>248-49-54</t>
  </si>
  <si>
    <t>4992484954</t>
  </si>
  <si>
    <t>2460907</t>
  </si>
  <si>
    <t>246-36-96</t>
  </si>
  <si>
    <t>2484249</t>
  </si>
  <si>
    <t>248-49-36</t>
  </si>
  <si>
    <t>248-40-39</t>
  </si>
  <si>
    <t>2484039</t>
  </si>
  <si>
    <t>248-17-40</t>
  </si>
  <si>
    <t>246-18-57</t>
  </si>
  <si>
    <t>246-37-96</t>
  </si>
  <si>
    <t>248-42-10</t>
  </si>
  <si>
    <t>499-248-13-95</t>
  </si>
  <si>
    <t>4492352</t>
  </si>
  <si>
    <t>84992484350</t>
  </si>
  <si>
    <t>84992463253</t>
  </si>
  <si>
    <t>248-40-02</t>
  </si>
  <si>
    <t>4992552068</t>
  </si>
  <si>
    <t>246-59-46</t>
  </si>
  <si>
    <t>2499464133</t>
  </si>
  <si>
    <t>248-49-94</t>
  </si>
  <si>
    <t>248-40-93</t>
  </si>
  <si>
    <t>84992557270</t>
  </si>
  <si>
    <t>499 255-76-43</t>
  </si>
  <si>
    <t>248-49-78</t>
  </si>
  <si>
    <t>84992484989</t>
  </si>
  <si>
    <t>Саввинская наб., дом. 19 стр.1Б</t>
  </si>
  <si>
    <t>248-39-65</t>
  </si>
  <si>
    <t>248-34-26</t>
  </si>
  <si>
    <t>499-248-49-64</t>
  </si>
  <si>
    <t>499-245-13-34</t>
  </si>
  <si>
    <t>248-42-60</t>
  </si>
  <si>
    <t>4992484291</t>
  </si>
  <si>
    <t>4992480182</t>
  </si>
  <si>
    <t>248-42-80</t>
  </si>
  <si>
    <t>246-39-05</t>
  </si>
  <si>
    <t>248-49-24</t>
  </si>
  <si>
    <t>4992552468</t>
  </si>
  <si>
    <t>84992552254</t>
  </si>
  <si>
    <t>84992453446</t>
  </si>
  <si>
    <t>248-42-92</t>
  </si>
  <si>
    <t>4992488271</t>
  </si>
  <si>
    <t>248-49-98</t>
  </si>
  <si>
    <t>84992450523</t>
  </si>
  <si>
    <t>84992452253</t>
  </si>
  <si>
    <t>4992484239</t>
  </si>
  <si>
    <t>246-34-03</t>
  </si>
  <si>
    <t>4997664185</t>
  </si>
  <si>
    <t>4992484282</t>
  </si>
  <si>
    <t>4992484201</t>
  </si>
  <si>
    <t>248-42-01</t>
  </si>
  <si>
    <t>4992481563</t>
  </si>
  <si>
    <t>84992451904</t>
  </si>
  <si>
    <t>245-16-04</t>
  </si>
  <si>
    <t>248-40-91</t>
  </si>
  <si>
    <t>4992484603</t>
  </si>
  <si>
    <t>4992484069</t>
  </si>
  <si>
    <t>4992452514</t>
  </si>
  <si>
    <t>248-42-79</t>
  </si>
  <si>
    <t>499-246-36-09</t>
  </si>
  <si>
    <t>248-42-41</t>
  </si>
  <si>
    <t>84992484963</t>
  </si>
  <si>
    <t>248-23-93</t>
  </si>
  <si>
    <t>4992485532</t>
  </si>
  <si>
    <t>245-31-06</t>
  </si>
  <si>
    <t>4992484221</t>
  </si>
  <si>
    <t>248-42-61</t>
  </si>
  <si>
    <t>84992484261</t>
  </si>
  <si>
    <t>248-48-51 499</t>
  </si>
  <si>
    <t>246-38-78</t>
  </si>
  <si>
    <t>84992484269</t>
  </si>
  <si>
    <t>4992451706</t>
  </si>
  <si>
    <t>248-49-79</t>
  </si>
  <si>
    <t>84992452865</t>
  </si>
  <si>
    <t>247-05-48</t>
  </si>
  <si>
    <t>499-248-38-72</t>
  </si>
  <si>
    <t>247-06-48</t>
  </si>
  <si>
    <t>247-05-97</t>
  </si>
  <si>
    <t>84992453406</t>
  </si>
  <si>
    <t>Саввинский Б. пер., дом. 1</t>
  </si>
  <si>
    <t>246-90-84</t>
  </si>
  <si>
    <t>4992461572</t>
  </si>
  <si>
    <t>4992461767</t>
  </si>
  <si>
    <t>4992481157</t>
  </si>
  <si>
    <t>4992452389</t>
  </si>
  <si>
    <t>245-34-53</t>
  </si>
  <si>
    <t>245-63-10</t>
  </si>
  <si>
    <t>84992482733</t>
  </si>
  <si>
    <t>84992480113</t>
  </si>
  <si>
    <t>-4992461896</t>
  </si>
  <si>
    <t>245-12-19</t>
  </si>
  <si>
    <t>248-27-34</t>
  </si>
  <si>
    <t>248-46-67</t>
  </si>
  <si>
    <t>4992483812</t>
  </si>
  <si>
    <t>4992485106</t>
  </si>
  <si>
    <t>4992460515</t>
  </si>
  <si>
    <t>246-74-98</t>
  </si>
  <si>
    <t>84992483368</t>
  </si>
  <si>
    <t>248-41-17</t>
  </si>
  <si>
    <t>248-10-63</t>
  </si>
  <si>
    <t>248-10-81</t>
  </si>
  <si>
    <t>248-10-26</t>
  </si>
  <si>
    <t>248-01-95</t>
  </si>
  <si>
    <t>-4992484231</t>
  </si>
  <si>
    <t>84992461361</t>
  </si>
  <si>
    <t>499-245-07-02</t>
  </si>
  <si>
    <t>246-63-76</t>
  </si>
  <si>
    <t>248-61-28</t>
  </si>
  <si>
    <t>84992557055</t>
  </si>
  <si>
    <t>4992485501</t>
  </si>
  <si>
    <t>248-01-00</t>
  </si>
  <si>
    <t>84992480976</t>
  </si>
  <si>
    <t>4992485464</t>
  </si>
  <si>
    <t>2485464</t>
  </si>
  <si>
    <t>4992482992</t>
  </si>
  <si>
    <t>-2462251</t>
  </si>
  <si>
    <t>248-06-48</t>
  </si>
  <si>
    <t>246-16-10</t>
  </si>
  <si>
    <t>245-39-85</t>
  </si>
  <si>
    <t>248-58-91</t>
  </si>
  <si>
    <t>2484245</t>
  </si>
  <si>
    <t>4992484370</t>
  </si>
  <si>
    <t>499-248-14-09</t>
  </si>
  <si>
    <t>248-09-55</t>
  </si>
  <si>
    <t>248-05-19</t>
  </si>
  <si>
    <t>246-67-72</t>
  </si>
  <si>
    <t>248-32-95</t>
  </si>
  <si>
    <t>4992483739</t>
  </si>
  <si>
    <t>248-12-09</t>
  </si>
  <si>
    <t>246-14-70</t>
  </si>
  <si>
    <t>-4992450700</t>
  </si>
  <si>
    <t>248-01-66</t>
  </si>
  <si>
    <t>499-248-06-34</t>
  </si>
  <si>
    <t>246-16-62</t>
  </si>
  <si>
    <t>84992450800</t>
  </si>
  <si>
    <t>248-01-94</t>
  </si>
  <si>
    <t>4992480510</t>
  </si>
  <si>
    <t>248-03-44</t>
  </si>
  <si>
    <t>246-11-73</t>
  </si>
  <si>
    <t>2480433</t>
  </si>
  <si>
    <t>4992552239</t>
  </si>
  <si>
    <t>248-18-69</t>
  </si>
  <si>
    <t>4992480243</t>
  </si>
  <si>
    <t>4992483842</t>
  </si>
  <si>
    <t>-4992484362</t>
  </si>
  <si>
    <t>4992466625</t>
  </si>
  <si>
    <t>245-37-80</t>
  </si>
  <si>
    <t>4992480157</t>
  </si>
  <si>
    <t>4992461762</t>
  </si>
  <si>
    <t>248-45-57</t>
  </si>
  <si>
    <t>4992557507</t>
  </si>
  <si>
    <t>4992450570</t>
  </si>
  <si>
    <t>4992463433</t>
  </si>
  <si>
    <t>84992453752</t>
  </si>
  <si>
    <t>4992482969</t>
  </si>
  <si>
    <t>4992463545</t>
  </si>
  <si>
    <t>246-23-62</t>
  </si>
  <si>
    <t>246-89-90</t>
  </si>
  <si>
    <t>4992483769</t>
  </si>
  <si>
    <t>245-32-52</t>
  </si>
  <si>
    <t>248-54-60</t>
  </si>
  <si>
    <t>499 248-38-26</t>
  </si>
  <si>
    <t>84992481450</t>
  </si>
  <si>
    <t>248-61-00</t>
  </si>
  <si>
    <t>246-12-32</t>
  </si>
  <si>
    <t>4992463428</t>
  </si>
  <si>
    <t>4992485059</t>
  </si>
  <si>
    <t>499 248-27-44</t>
  </si>
  <si>
    <t>248-18-07</t>
  </si>
  <si>
    <t>4992484687</t>
  </si>
  <si>
    <t>Саввинский Б. пер., дом. 2 к.1</t>
  </si>
  <si>
    <t>2484481</t>
  </si>
  <si>
    <t>4992482003</t>
  </si>
  <si>
    <t>4992482004</t>
  </si>
  <si>
    <t>84992484198</t>
  </si>
  <si>
    <t>4992482023</t>
  </si>
  <si>
    <t>84953582076</t>
  </si>
  <si>
    <t>84992482035</t>
  </si>
  <si>
    <t>84992484975</t>
  </si>
  <si>
    <t>-4992482036</t>
  </si>
  <si>
    <t>-4992482040</t>
  </si>
  <si>
    <t>4992482041</t>
  </si>
  <si>
    <t>4992482057</t>
  </si>
  <si>
    <t>4992484698</t>
  </si>
  <si>
    <t>4992482224</t>
  </si>
  <si>
    <t>2484853</t>
  </si>
  <si>
    <t>2482064</t>
  </si>
  <si>
    <t>4992482068</t>
  </si>
  <si>
    <t>2482254</t>
  </si>
  <si>
    <t>2482079</t>
  </si>
  <si>
    <t>4992484689</t>
  </si>
  <si>
    <t>4992482080</t>
  </si>
  <si>
    <t>2469558</t>
  </si>
  <si>
    <t>2450648</t>
  </si>
  <si>
    <t>2482098</t>
  </si>
  <si>
    <t>2484735</t>
  </si>
  <si>
    <t>84992484649</t>
  </si>
  <si>
    <t>2482209</t>
  </si>
  <si>
    <t>4992452820</t>
  </si>
  <si>
    <t>4992450451</t>
  </si>
  <si>
    <t>89164363921</t>
  </si>
  <si>
    <t>2482226</t>
  </si>
  <si>
    <t>4992484720</t>
  </si>
  <si>
    <t>2453787</t>
  </si>
  <si>
    <t>4992482237</t>
  </si>
  <si>
    <t>2482240</t>
  </si>
  <si>
    <t>4992482257</t>
  </si>
  <si>
    <t>2484780</t>
  </si>
  <si>
    <t>2482269</t>
  </si>
  <si>
    <t>2482275</t>
  </si>
  <si>
    <t>2482286</t>
  </si>
  <si>
    <t>2484818</t>
  </si>
  <si>
    <t>4992484791</t>
  </si>
  <si>
    <t>4992482297</t>
  </si>
  <si>
    <t>2482408</t>
  </si>
  <si>
    <t>4992482417</t>
  </si>
  <si>
    <t>4992482434</t>
  </si>
  <si>
    <t>4992482443</t>
  </si>
  <si>
    <t>4992482451</t>
  </si>
  <si>
    <t>4992482460</t>
  </si>
  <si>
    <t>4992482478</t>
  </si>
  <si>
    <t>84992482489</t>
  </si>
  <si>
    <t>Саввинский Б. пер., дом. 2 стр.7</t>
  </si>
  <si>
    <t>84992480814</t>
  </si>
  <si>
    <t>6254318</t>
  </si>
  <si>
    <t>89168105224</t>
  </si>
  <si>
    <t>Саввинский Б. пер., дом. 3</t>
  </si>
  <si>
    <t>-4992557798</t>
  </si>
  <si>
    <t>246-35-19</t>
  </si>
  <si>
    <t>4992455190</t>
  </si>
  <si>
    <t>2456921</t>
  </si>
  <si>
    <t>4992468627</t>
  </si>
  <si>
    <t>84992468504</t>
  </si>
  <si>
    <t>-4997660712</t>
  </si>
  <si>
    <t>4957083598</t>
  </si>
  <si>
    <t>4992553465</t>
  </si>
  <si>
    <t>4992457468</t>
  </si>
  <si>
    <t>2467960</t>
  </si>
  <si>
    <t>4992462384</t>
  </si>
  <si>
    <t>4992467834</t>
  </si>
  <si>
    <t>4992464358</t>
  </si>
  <si>
    <t>4992455874</t>
  </si>
  <si>
    <t>7083226</t>
  </si>
  <si>
    <t>84992467769</t>
  </si>
  <si>
    <t>4957808122</t>
  </si>
  <si>
    <t>84992454983</t>
  </si>
  <si>
    <t>84992552904</t>
  </si>
  <si>
    <t>84957083816</t>
  </si>
  <si>
    <t>84992454016</t>
  </si>
  <si>
    <t>499 246-15-75</t>
  </si>
  <si>
    <t>4992461575</t>
  </si>
  <si>
    <t>84992462406</t>
  </si>
  <si>
    <t>4992552886</t>
  </si>
  <si>
    <t>708-34-38</t>
  </si>
  <si>
    <t>246-43-15</t>
  </si>
  <si>
    <t>590-89-78</t>
  </si>
  <si>
    <t>4992465156</t>
  </si>
  <si>
    <t>245-67-59</t>
  </si>
  <si>
    <t>4992468352</t>
  </si>
  <si>
    <t>4992453816</t>
  </si>
  <si>
    <t>84992457574</t>
  </si>
  <si>
    <t>245.04.98</t>
  </si>
  <si>
    <t>499 975-51-94</t>
  </si>
  <si>
    <t>84992454204</t>
  </si>
  <si>
    <t>-4992460460</t>
  </si>
  <si>
    <t>499-245-11-67</t>
  </si>
  <si>
    <t>84997664671</t>
  </si>
  <si>
    <t>84992553577</t>
  </si>
  <si>
    <t>971-69-51</t>
  </si>
  <si>
    <t>-4992460746</t>
  </si>
  <si>
    <t>4992453018</t>
  </si>
  <si>
    <t>4999406103</t>
  </si>
  <si>
    <t>2460363</t>
  </si>
  <si>
    <t>84992465373</t>
  </si>
  <si>
    <t>4992455548</t>
  </si>
  <si>
    <t>495-246-50-82</t>
  </si>
  <si>
    <t>4992454074</t>
  </si>
  <si>
    <t>4992460896</t>
  </si>
  <si>
    <t>4992459623</t>
  </si>
  <si>
    <t>246-79-49</t>
  </si>
  <si>
    <t>84992469063</t>
  </si>
  <si>
    <t>4992460031</t>
  </si>
  <si>
    <t>246-80-91</t>
  </si>
  <si>
    <t>4992483949</t>
  </si>
  <si>
    <t>2074712</t>
  </si>
  <si>
    <t>4992450492</t>
  </si>
  <si>
    <t>7766706</t>
  </si>
  <si>
    <t>499-766-46-17</t>
  </si>
  <si>
    <t>+7(985)784-97-54</t>
  </si>
  <si>
    <t>4992462780</t>
  </si>
  <si>
    <t>2460683</t>
  </si>
  <si>
    <t>Саввинский Б. пер., дом. 10 стр.1</t>
  </si>
  <si>
    <t>4992485509</t>
  </si>
  <si>
    <t>84992487335</t>
  </si>
  <si>
    <t>248-27-01</t>
  </si>
  <si>
    <t>4992484486</t>
  </si>
  <si>
    <t>4992484531</t>
  </si>
  <si>
    <t>4992484525</t>
  </si>
  <si>
    <t>248-19-98</t>
  </si>
  <si>
    <t>4992484542</t>
  </si>
  <si>
    <t>248-49-87</t>
  </si>
  <si>
    <t>4992484943</t>
  </si>
  <si>
    <t>499-248-40-19</t>
  </si>
  <si>
    <t>4992484056</t>
  </si>
  <si>
    <t>84992557862</t>
  </si>
  <si>
    <t>499-248-40-37</t>
  </si>
  <si>
    <t>4992484550</t>
  </si>
  <si>
    <t>248-45-50</t>
  </si>
  <si>
    <t>84992484484</t>
  </si>
  <si>
    <t>248-45-53</t>
  </si>
  <si>
    <t>4992484089</t>
  </si>
  <si>
    <t>248-40-58</t>
  </si>
  <si>
    <t>84992484064</t>
  </si>
  <si>
    <t>4992484950</t>
  </si>
  <si>
    <t>248-45-60</t>
  </si>
  <si>
    <t>248-45-71</t>
  </si>
  <si>
    <t>4992484573</t>
  </si>
  <si>
    <t>4992450960</t>
  </si>
  <si>
    <t>248-40-68</t>
  </si>
  <si>
    <t>248-45-82</t>
  </si>
  <si>
    <t>4992483465</t>
  </si>
  <si>
    <t>4992453213</t>
  </si>
  <si>
    <t>499-248-47-01</t>
  </si>
  <si>
    <t>4992484723</t>
  </si>
  <si>
    <t>248-40-78</t>
  </si>
  <si>
    <t>84992485335</t>
  </si>
  <si>
    <t>-84992484887</t>
  </si>
  <si>
    <t>-4992484912</t>
  </si>
  <si>
    <t>248-40-98</t>
  </si>
  <si>
    <t>4992461000</t>
  </si>
  <si>
    <t>-4992465985</t>
  </si>
  <si>
    <t>248-41-02</t>
  </si>
  <si>
    <t>248-41-20</t>
  </si>
  <si>
    <t>84992484997</t>
  </si>
  <si>
    <t>248-41-23</t>
  </si>
  <si>
    <t>4992484985</t>
  </si>
  <si>
    <t>4992484731</t>
  </si>
  <si>
    <t>84992484562</t>
  </si>
  <si>
    <t>248-41-45</t>
  </si>
  <si>
    <t>246-35-28</t>
  </si>
  <si>
    <t>4992484459</t>
  </si>
  <si>
    <t>4992464497</t>
  </si>
  <si>
    <t>4992484742</t>
  </si>
  <si>
    <t>4992484745</t>
  </si>
  <si>
    <t>248-47-65</t>
  </si>
  <si>
    <t>499-248-49-41</t>
  </si>
  <si>
    <t>248-41-61</t>
  </si>
  <si>
    <t>4992484170</t>
  </si>
  <si>
    <t>248-41-86</t>
  </si>
  <si>
    <t>248-47-50</t>
  </si>
  <si>
    <t>248-47-54</t>
  </si>
  <si>
    <t>4992484760</t>
  </si>
  <si>
    <t>499-255-72-06</t>
  </si>
  <si>
    <t>4992484197</t>
  </si>
  <si>
    <t>4992484234</t>
  </si>
  <si>
    <t>248-42-48</t>
  </si>
  <si>
    <t>248-42-40</t>
  </si>
  <si>
    <t>4992484763</t>
  </si>
  <si>
    <t>4992462145</t>
  </si>
  <si>
    <t>4992484252</t>
  </si>
  <si>
    <t>4992484258</t>
  </si>
  <si>
    <t>-4992480601</t>
  </si>
  <si>
    <t>4992484267</t>
  </si>
  <si>
    <t>4992484774</t>
  </si>
  <si>
    <t>4992484972</t>
  </si>
  <si>
    <t>499-248-47-72</t>
  </si>
  <si>
    <t>4992484274</t>
  </si>
  <si>
    <t>4992484275</t>
  </si>
  <si>
    <t>84992484284</t>
  </si>
  <si>
    <t>248-42-93</t>
  </si>
  <si>
    <t>4992484775</t>
  </si>
  <si>
    <t>248-46-04</t>
  </si>
  <si>
    <t>248-46-15</t>
  </si>
  <si>
    <t>84953755922</t>
  </si>
  <si>
    <t>-4992484440</t>
  </si>
  <si>
    <t>248-44-31</t>
  </si>
  <si>
    <t>4992469575</t>
  </si>
  <si>
    <t>4992484628</t>
  </si>
  <si>
    <t>248-46-31</t>
  </si>
  <si>
    <t>84992486126</t>
  </si>
  <si>
    <t>84992484446</t>
  </si>
  <si>
    <t>248-49-93</t>
  </si>
  <si>
    <t>4992484457</t>
  </si>
  <si>
    <t>-4992484131</t>
  </si>
  <si>
    <t>4992484656</t>
  </si>
  <si>
    <t>4992482975</t>
  </si>
  <si>
    <t>4992484692</t>
  </si>
  <si>
    <t>4992484474</t>
  </si>
  <si>
    <t>4992485309</t>
  </si>
  <si>
    <t>4992484476</t>
  </si>
  <si>
    <t>248-88-39</t>
  </si>
  <si>
    <t>Саввинский Б. пер., дом. 16</t>
  </si>
  <si>
    <t>4992484321</t>
  </si>
  <si>
    <t>246-82-84</t>
  </si>
  <si>
    <t>246-81-84</t>
  </si>
  <si>
    <t>-84992468606</t>
  </si>
  <si>
    <t>247-02-56</t>
  </si>
  <si>
    <t>4992552877</t>
  </si>
  <si>
    <t>4992466277</t>
  </si>
  <si>
    <t>84992552253</t>
  </si>
  <si>
    <t>4992468404</t>
  </si>
  <si>
    <t>245-33-10</t>
  </si>
  <si>
    <t>4992552245</t>
  </si>
  <si>
    <t>-4992463041</t>
  </si>
  <si>
    <t>499-255-21-57</t>
  </si>
  <si>
    <t>4992467232</t>
  </si>
  <si>
    <t>246-49-79</t>
  </si>
  <si>
    <t>499-247-01-30</t>
  </si>
  <si>
    <t>4992552127</t>
  </si>
  <si>
    <t>+7(965)377-40-09</t>
  </si>
  <si>
    <t>4992552750</t>
  </si>
  <si>
    <t>246-03-48</t>
  </si>
  <si>
    <t>4992463981</t>
  </si>
  <si>
    <t>(499)246-03-16</t>
  </si>
  <si>
    <t>4992552114</t>
  </si>
  <si>
    <t>247-01-13</t>
  </si>
  <si>
    <t>247-04-11</t>
  </si>
  <si>
    <t>247-02-44</t>
  </si>
  <si>
    <t>4992552112</t>
  </si>
  <si>
    <t>4992552104</t>
  </si>
  <si>
    <t>246-23-04</t>
  </si>
  <si>
    <t>7124552</t>
  </si>
  <si>
    <t>4992552087</t>
  </si>
  <si>
    <t>4992552084</t>
  </si>
  <si>
    <t>84992552074</t>
  </si>
  <si>
    <t>4992465615</t>
  </si>
  <si>
    <t>246-82-87</t>
  </si>
  <si>
    <t>4992552314</t>
  </si>
  <si>
    <t>247-00-75</t>
  </si>
  <si>
    <t>Саввинский Б. пер., дом. 19</t>
  </si>
  <si>
    <t>246-40-28</t>
  </si>
  <si>
    <t>4992464150</t>
  </si>
  <si>
    <t>4992464156</t>
  </si>
  <si>
    <t>4992460535</t>
  </si>
  <si>
    <t>84992460198</t>
  </si>
  <si>
    <t>246-01-97</t>
  </si>
  <si>
    <t>246-03-52</t>
  </si>
  <si>
    <t>248-60-38</t>
  </si>
  <si>
    <t>4992486227</t>
  </si>
  <si>
    <t>246-14-15</t>
  </si>
  <si>
    <t>248-62-09</t>
  </si>
  <si>
    <t>245-35-98</t>
  </si>
  <si>
    <t>246-08-27</t>
  </si>
  <si>
    <t>4992486090</t>
  </si>
  <si>
    <t>246-14-01</t>
  </si>
  <si>
    <t>246-61-01</t>
  </si>
  <si>
    <t>246-08-25</t>
  </si>
  <si>
    <t>4992460795</t>
  </si>
  <si>
    <t>-4992486264</t>
  </si>
  <si>
    <t>4997664152</t>
  </si>
  <si>
    <t>248-62-91</t>
  </si>
  <si>
    <t>248-62-17</t>
  </si>
  <si>
    <t>247-42-22</t>
  </si>
  <si>
    <t>84992460794</t>
  </si>
  <si>
    <t>4992453339</t>
  </si>
  <si>
    <t>246-83-15</t>
  </si>
  <si>
    <t>245-33-38</t>
  </si>
  <si>
    <t>246-41-75</t>
  </si>
  <si>
    <t>246-45-83</t>
  </si>
  <si>
    <t>246-08-47</t>
  </si>
  <si>
    <t>4992468349</t>
  </si>
  <si>
    <t>84992486074</t>
  </si>
  <si>
    <t>84992460493</t>
  </si>
  <si>
    <t>246-45-85</t>
  </si>
  <si>
    <t>246-41-78</t>
  </si>
  <si>
    <t>246-08-46</t>
  </si>
  <si>
    <t>246-40-86</t>
  </si>
  <si>
    <t>4992464202</t>
  </si>
  <si>
    <t>84992484987</t>
  </si>
  <si>
    <t>84992460492</t>
  </si>
  <si>
    <t>499-248-60-65</t>
  </si>
  <si>
    <t>246-73-39</t>
  </si>
  <si>
    <t>4992468274</t>
  </si>
  <si>
    <t>246-08-74</t>
  </si>
  <si>
    <t>4992461779</t>
  </si>
  <si>
    <t>4992460873</t>
  </si>
  <si>
    <t>246-42-03</t>
  </si>
  <si>
    <t>4992460894</t>
  </si>
  <si>
    <t>4992460887</t>
  </si>
  <si>
    <t>248-60-18</t>
  </si>
  <si>
    <t>248-62-89</t>
  </si>
  <si>
    <t>246-08-86</t>
  </si>
  <si>
    <t>246-08-93</t>
  </si>
  <si>
    <t>4992464065</t>
  </si>
  <si>
    <t>246-11-84</t>
  </si>
  <si>
    <t>4992451121</t>
  </si>
  <si>
    <t>246-40.86</t>
  </si>
  <si>
    <t>248-60-07</t>
  </si>
  <si>
    <t>4992461777</t>
  </si>
  <si>
    <t>246-20-11</t>
  </si>
  <si>
    <t>Саввинский М. пер., дом. 5</t>
  </si>
  <si>
    <t>8-499-246-08-55</t>
  </si>
  <si>
    <t>4992465443</t>
  </si>
  <si>
    <t>248-71-18</t>
  </si>
  <si>
    <t>4992465327</t>
  </si>
  <si>
    <t>499-246-53-28</t>
  </si>
  <si>
    <t>4992465220</t>
  </si>
  <si>
    <t>246-54-47</t>
  </si>
  <si>
    <t>248-71-06</t>
  </si>
  <si>
    <t>-4992465902</t>
  </si>
  <si>
    <t>4992465902</t>
  </si>
  <si>
    <t>(499)246-52-21</t>
  </si>
  <si>
    <t>84992462847</t>
  </si>
  <si>
    <t>84992457537</t>
  </si>
  <si>
    <t>4992467534</t>
  </si>
  <si>
    <t>84992465904</t>
  </si>
  <si>
    <t>246-29-53</t>
  </si>
  <si>
    <t>84959341012</t>
  </si>
  <si>
    <t>-4992487326</t>
  </si>
  <si>
    <t>246-52-64</t>
  </si>
  <si>
    <t>4992487196</t>
  </si>
  <si>
    <t>248-61-05</t>
  </si>
  <si>
    <t>246-58-46</t>
  </si>
  <si>
    <t>248-61-10</t>
  </si>
  <si>
    <t>248-71-89</t>
  </si>
  <si>
    <t>248-71-78</t>
  </si>
  <si>
    <t>-4992487167</t>
  </si>
  <si>
    <t>246-42-70</t>
  </si>
  <si>
    <t>246-58-48</t>
  </si>
  <si>
    <t>248-61-23</t>
  </si>
  <si>
    <t>246-52-27</t>
  </si>
  <si>
    <t>248-71-32</t>
  </si>
  <si>
    <t>499-248-73-17</t>
  </si>
  <si>
    <t>246-54-22</t>
  </si>
  <si>
    <t>499-766-46-78</t>
  </si>
  <si>
    <t>4997664361</t>
  </si>
  <si>
    <t>4997664739</t>
  </si>
  <si>
    <t>499-246-52-26</t>
  </si>
  <si>
    <t>4997664903</t>
  </si>
  <si>
    <t>246-54-23</t>
  </si>
  <si>
    <t>4992465262</t>
  </si>
  <si>
    <t>246-08-59</t>
  </si>
  <si>
    <t>246-60-13</t>
  </si>
  <si>
    <t>4992486131</t>
  </si>
  <si>
    <t>246-32-44</t>
  </si>
  <si>
    <t>4997664978</t>
  </si>
  <si>
    <t>246-52-77</t>
  </si>
  <si>
    <t>246-02-73</t>
  </si>
  <si>
    <t>245-12-89</t>
  </si>
  <si>
    <t>84992466017</t>
  </si>
  <si>
    <t>246-60-21</t>
  </si>
  <si>
    <t>4992466022</t>
  </si>
  <si>
    <t>84992460239</t>
  </si>
  <si>
    <t>246-52-74</t>
  </si>
  <si>
    <t>-4992486182</t>
  </si>
  <si>
    <t>4992480918</t>
  </si>
  <si>
    <t>4992486195</t>
  </si>
  <si>
    <t>4992466569</t>
  </si>
  <si>
    <t>84992486190</t>
  </si>
  <si>
    <t>-4997664362</t>
  </si>
  <si>
    <t>4992460235</t>
  </si>
  <si>
    <t>246-71-39</t>
  </si>
  <si>
    <t>84992487007</t>
  </si>
  <si>
    <t>246-71-95</t>
  </si>
  <si>
    <t>499-248-61-71</t>
  </si>
  <si>
    <t>84992466087</t>
  </si>
  <si>
    <t>246-57-40</t>
  </si>
  <si>
    <t>4992487015</t>
  </si>
  <si>
    <t>499-246-57-41</t>
  </si>
  <si>
    <t>84952465340</t>
  </si>
  <si>
    <t>246-60-93</t>
  </si>
  <si>
    <t>248-61-60</t>
  </si>
  <si>
    <t>4992467181</t>
  </si>
  <si>
    <t>4992467180</t>
  </si>
  <si>
    <t>4992464764</t>
  </si>
  <si>
    <t>84992465346</t>
  </si>
  <si>
    <t>84992461398</t>
  </si>
  <si>
    <t>84992467190</t>
  </si>
  <si>
    <t>4992461802</t>
  </si>
  <si>
    <t>4992466098</t>
  </si>
  <si>
    <t>9852603402</t>
  </si>
  <si>
    <t>4992463643</t>
  </si>
  <si>
    <t>4992557681</t>
  </si>
  <si>
    <t>4992465289</t>
  </si>
  <si>
    <t>Серпов пер., дом. 3/5</t>
  </si>
  <si>
    <t>246-32-93</t>
  </si>
  <si>
    <t>4992450239</t>
  </si>
  <si>
    <t>246.21.44</t>
  </si>
  <si>
    <t>-4992484528</t>
  </si>
  <si>
    <t>246-86-09</t>
  </si>
  <si>
    <t>245-02-44</t>
  </si>
  <si>
    <t>949-39-29</t>
  </si>
  <si>
    <t>4992468113</t>
  </si>
  <si>
    <t>245-34-18</t>
  </si>
  <si>
    <t>84992552977</t>
  </si>
  <si>
    <t>245-02-02</t>
  </si>
  <si>
    <t>4992450975</t>
  </si>
  <si>
    <t>84992467709</t>
  </si>
  <si>
    <t>247-09-76</t>
  </si>
  <si>
    <t>247-04-91</t>
  </si>
  <si>
    <t>84992470491</t>
  </si>
  <si>
    <t>4992552492</t>
  </si>
  <si>
    <t>245-02-14</t>
  </si>
  <si>
    <t>4992450214</t>
  </si>
  <si>
    <t>4992450206</t>
  </si>
  <si>
    <t>245-09-76</t>
  </si>
  <si>
    <t>84992461403</t>
  </si>
  <si>
    <t>246-14-03</t>
  </si>
  <si>
    <t>246-24-13</t>
  </si>
  <si>
    <t>84992450219</t>
  </si>
  <si>
    <t>4992450256</t>
  </si>
  <si>
    <t>245-02-20</t>
  </si>
  <si>
    <t>4992450240</t>
  </si>
  <si>
    <t>84992450363</t>
  </si>
  <si>
    <t>84992416446</t>
  </si>
  <si>
    <t>4992483247</t>
  </si>
  <si>
    <t>245-02-42</t>
  </si>
  <si>
    <t>84992450216</t>
  </si>
  <si>
    <t>4992482951</t>
  </si>
  <si>
    <t>4992450294</t>
  </si>
  <si>
    <t>248-49-49</t>
  </si>
  <si>
    <t>247-01-53</t>
  </si>
  <si>
    <t>248-47-69</t>
  </si>
  <si>
    <t>4992450235</t>
  </si>
  <si>
    <t>4992450243</t>
  </si>
  <si>
    <t>4992450335</t>
  </si>
  <si>
    <t>84992453992</t>
  </si>
  <si>
    <t>4992552246</t>
  </si>
  <si>
    <t>245-03-27</t>
  </si>
  <si>
    <t>245-02-41</t>
  </si>
  <si>
    <t>246-90-00</t>
  </si>
  <si>
    <t>84992450350</t>
  </si>
  <si>
    <t>248-50-62</t>
  </si>
  <si>
    <t>4992552418</t>
  </si>
  <si>
    <t>84992462466</t>
  </si>
  <si>
    <t>Сеченовский пер., дом. 2</t>
  </si>
  <si>
    <t>Сеченовский пер., дом. 7</t>
  </si>
  <si>
    <t>6972633</t>
  </si>
  <si>
    <t>84997669629</t>
  </si>
  <si>
    <t>499-766-96-50</t>
  </si>
  <si>
    <t>84997667868</t>
  </si>
  <si>
    <t>84997669036</t>
  </si>
  <si>
    <t>8499-766-92-35</t>
  </si>
  <si>
    <t>84997669730</t>
  </si>
  <si>
    <t>4997669730</t>
  </si>
  <si>
    <t>4956912566</t>
  </si>
  <si>
    <t>499-766-91-05</t>
  </si>
  <si>
    <t>Сеченовский пер., дом. 8 стр.3</t>
  </si>
  <si>
    <t>6377432</t>
  </si>
  <si>
    <t>-4956374417</t>
  </si>
  <si>
    <t>84996377207</t>
  </si>
  <si>
    <t>6377207</t>
  </si>
  <si>
    <t>6377524</t>
  </si>
  <si>
    <t>+7(495)637-71-36</t>
  </si>
  <si>
    <t>+7(495)637-25-46</t>
  </si>
  <si>
    <t>4956377318</t>
  </si>
  <si>
    <t>4956377494</t>
  </si>
  <si>
    <t>Сивцев Вражек пер., дом. 29/16</t>
  </si>
  <si>
    <t>241-98-56</t>
  </si>
  <si>
    <t>499-241-19-21</t>
  </si>
  <si>
    <t>4992413439</t>
  </si>
  <si>
    <t>4992415603</t>
  </si>
  <si>
    <t>241-39-35</t>
  </si>
  <si>
    <t>84992527157</t>
  </si>
  <si>
    <t>241-36-37</t>
  </si>
  <si>
    <t>241-26-55</t>
  </si>
  <si>
    <t>241-65-49</t>
  </si>
  <si>
    <t>241-25-96</t>
  </si>
  <si>
    <t>241-36-13</t>
  </si>
  <si>
    <t>241-35-38</t>
  </si>
  <si>
    <t>4992413553</t>
  </si>
  <si>
    <t>4992413319</t>
  </si>
  <si>
    <t>Смоленская ул., дом. 3</t>
  </si>
  <si>
    <t>499-244-05-23</t>
  </si>
  <si>
    <t>84992528703</t>
  </si>
  <si>
    <t>4992528569</t>
  </si>
  <si>
    <t>-84992528334</t>
  </si>
  <si>
    <t>244-06-03</t>
  </si>
  <si>
    <t>84992412654</t>
  </si>
  <si>
    <t>241-37-48</t>
  </si>
  <si>
    <t>89154853420</t>
  </si>
  <si>
    <t>244-77-80</t>
  </si>
  <si>
    <t>4992482924</t>
  </si>
  <si>
    <t>248-33-45</t>
  </si>
  <si>
    <t>2528702</t>
  </si>
  <si>
    <t>4992528602</t>
  </si>
  <si>
    <t>244-49-38</t>
  </si>
  <si>
    <t>4992413731</t>
  </si>
  <si>
    <t>244-04-39</t>
  </si>
  <si>
    <t>2528700</t>
  </si>
  <si>
    <t>2528600</t>
  </si>
  <si>
    <t>244-21-74</t>
  </si>
  <si>
    <t>84992528704</t>
  </si>
  <si>
    <t>2528055</t>
  </si>
  <si>
    <t>84992528604</t>
  </si>
  <si>
    <t>4992528895</t>
  </si>
  <si>
    <t>244-05-77</t>
  </si>
  <si>
    <t>241-30-43</t>
  </si>
  <si>
    <t>4992483392</t>
  </si>
  <si>
    <t>4992528612</t>
  </si>
  <si>
    <t>244-05-85</t>
  </si>
  <si>
    <t>4992527783</t>
  </si>
  <si>
    <t>4992527785</t>
  </si>
  <si>
    <t>84992527184</t>
  </si>
  <si>
    <t>84992527192</t>
  </si>
  <si>
    <t>4992527779</t>
  </si>
  <si>
    <t>4992528560</t>
  </si>
  <si>
    <t>4992528751</t>
  </si>
  <si>
    <t>4992418418</t>
  </si>
  <si>
    <t>244-06-01</t>
  </si>
  <si>
    <t>84992527018</t>
  </si>
  <si>
    <t>4992528108</t>
  </si>
  <si>
    <t>244-07-73</t>
  </si>
  <si>
    <t>2528587</t>
  </si>
  <si>
    <t>84992528611</t>
  </si>
  <si>
    <t>84992528098</t>
  </si>
  <si>
    <t>244-00-16</t>
  </si>
  <si>
    <t>244-07-11</t>
  </si>
  <si>
    <t>244-06-10</t>
  </si>
  <si>
    <t>4992528040</t>
  </si>
  <si>
    <t>2527891</t>
  </si>
  <si>
    <t>2528358</t>
  </si>
  <si>
    <t>84992528365</t>
  </si>
  <si>
    <t>4992527710</t>
  </si>
  <si>
    <t>244-24-12</t>
  </si>
  <si>
    <t>4992528594</t>
  </si>
  <si>
    <t>244-07-08</t>
  </si>
  <si>
    <t>244-39-24</t>
  </si>
  <si>
    <t>244-24-18</t>
  </si>
  <si>
    <t>2528761</t>
  </si>
  <si>
    <t>244-48-11</t>
  </si>
  <si>
    <t>4992527120</t>
  </si>
  <si>
    <t>4992428707</t>
  </si>
  <si>
    <t>4992528607</t>
  </si>
  <si>
    <t>84992527130</t>
  </si>
  <si>
    <t>84992527776</t>
  </si>
  <si>
    <t>244-06-06</t>
  </si>
  <si>
    <t>244-07-06</t>
  </si>
  <si>
    <t>84992528575</t>
  </si>
  <si>
    <t>72,50</t>
  </si>
  <si>
    <t>244-06-05</t>
  </si>
  <si>
    <t>4992528705</t>
  </si>
  <si>
    <t>2527165</t>
  </si>
  <si>
    <t>244-71-65</t>
  </si>
  <si>
    <t>Смоленская ул., дом. 7</t>
  </si>
  <si>
    <t>499-244-08-94</t>
  </si>
  <si>
    <t>241-67-55</t>
  </si>
  <si>
    <t>4992528987</t>
  </si>
  <si>
    <t>84992527887</t>
  </si>
  <si>
    <t>84992480442</t>
  </si>
  <si>
    <t>244-09-88</t>
  </si>
  <si>
    <t>244-08-92</t>
  </si>
  <si>
    <t>241-76-87</t>
  </si>
  <si>
    <t>84992527405</t>
  </si>
  <si>
    <t>244-75-05</t>
  </si>
  <si>
    <t>84992480328</t>
  </si>
  <si>
    <t>84992480312</t>
  </si>
  <si>
    <t>2480312</t>
  </si>
  <si>
    <t>4992527545</t>
  </si>
  <si>
    <t>4992527445</t>
  </si>
  <si>
    <t>499-248-03-43</t>
  </si>
  <si>
    <t>4992480352</t>
  </si>
  <si>
    <t>4992419912</t>
  </si>
  <si>
    <t>499-252-74-46</t>
  </si>
  <si>
    <t>765-64-19</t>
  </si>
  <si>
    <t>4992480372</t>
  </si>
  <si>
    <t>495 244-74-44</t>
  </si>
  <si>
    <t>244-75-44</t>
  </si>
  <si>
    <t>248-35-92</t>
  </si>
  <si>
    <t>241-24-07</t>
  </si>
  <si>
    <t>4992527510</t>
  </si>
  <si>
    <t>4992527498</t>
  </si>
  <si>
    <t>244-75-98</t>
  </si>
  <si>
    <t>248-03-32</t>
  </si>
  <si>
    <t>248-03-23</t>
  </si>
  <si>
    <t>4992527595</t>
  </si>
  <si>
    <t>2527595</t>
  </si>
  <si>
    <t>4992412194</t>
  </si>
  <si>
    <t>241-85-74</t>
  </si>
  <si>
    <t>4992417663</t>
  </si>
  <si>
    <t>205-99-37 дочь</t>
  </si>
  <si>
    <t>244-72-02</t>
  </si>
  <si>
    <t>4992528913</t>
  </si>
  <si>
    <t>4992528872</t>
  </si>
  <si>
    <t>244-09-72</t>
  </si>
  <si>
    <t>244-08-51</t>
  </si>
  <si>
    <t>2528951</t>
  </si>
  <si>
    <t>244-75-88</t>
  </si>
  <si>
    <t>4992480213</t>
  </si>
  <si>
    <t>244-09-49</t>
  </si>
  <si>
    <t>2528973</t>
  </si>
  <si>
    <t>244-08-73</t>
  </si>
  <si>
    <t>2440926</t>
  </si>
  <si>
    <t>499-252-88-26</t>
  </si>
  <si>
    <t>4992528886</t>
  </si>
  <si>
    <t>244-09-86</t>
  </si>
  <si>
    <t>84992528857</t>
  </si>
  <si>
    <t>4992528957</t>
  </si>
  <si>
    <t>244-09-85</t>
  </si>
  <si>
    <t>244-08-85</t>
  </si>
  <si>
    <t>84992418828</t>
  </si>
  <si>
    <t>+7(499)241-88-28</t>
  </si>
  <si>
    <t>4992485648</t>
  </si>
  <si>
    <t>4992527565</t>
  </si>
  <si>
    <t>244-74-65</t>
  </si>
  <si>
    <t>4992528293</t>
  </si>
  <si>
    <t>244-03-93</t>
  </si>
  <si>
    <t>248-03-16</t>
  </si>
  <si>
    <t>84992480303</t>
  </si>
  <si>
    <t>2528725</t>
  </si>
  <si>
    <t>244-06-25</t>
  </si>
  <si>
    <t>4992485323</t>
  </si>
  <si>
    <t>499-248-37-29</t>
  </si>
  <si>
    <t>244-09-10</t>
  </si>
  <si>
    <t>4992528810</t>
  </si>
  <si>
    <t>4992527573</t>
  </si>
  <si>
    <t>248-35-74</t>
  </si>
  <si>
    <t>499-241-30-00</t>
  </si>
  <si>
    <t>4992527585</t>
  </si>
  <si>
    <t>244-75-85</t>
  </si>
  <si>
    <t>4992527236</t>
  </si>
  <si>
    <t>4992413908</t>
  </si>
  <si>
    <t>2527569</t>
  </si>
  <si>
    <t>4992527469</t>
  </si>
  <si>
    <t>84992528693</t>
  </si>
  <si>
    <t>4992528793</t>
  </si>
  <si>
    <t>244-08-06</t>
  </si>
  <si>
    <t>244-03-02</t>
  </si>
  <si>
    <t>499-252-88-25</t>
  </si>
  <si>
    <t>248-02-45</t>
  </si>
  <si>
    <t>84992417664</t>
  </si>
  <si>
    <t>248-02-08</t>
  </si>
  <si>
    <t>84992480064</t>
  </si>
  <si>
    <t>241-32-67</t>
  </si>
  <si>
    <t>241-23-58</t>
  </si>
  <si>
    <t>4992413190</t>
  </si>
  <si>
    <t>4992480207</t>
  </si>
  <si>
    <t>-4992480237</t>
  </si>
  <si>
    <t>4992414669</t>
  </si>
  <si>
    <t>241-28-95</t>
  </si>
  <si>
    <t>248-02-56</t>
  </si>
  <si>
    <t>241-82-69</t>
  </si>
  <si>
    <t>248-02-25</t>
  </si>
  <si>
    <t>84992484635</t>
  </si>
  <si>
    <t>241-38-71</t>
  </si>
  <si>
    <t>248-02-20</t>
  </si>
  <si>
    <t>241-32-32</t>
  </si>
  <si>
    <t>4992413848</t>
  </si>
  <si>
    <t>4992480253</t>
  </si>
  <si>
    <t>248-02-18</t>
  </si>
  <si>
    <t>84992416416</t>
  </si>
  <si>
    <t>4992413767</t>
  </si>
  <si>
    <t>248-02-48</t>
  </si>
  <si>
    <t>248-02-16</t>
  </si>
  <si>
    <t>248-02-09</t>
  </si>
  <si>
    <t>248-23-15</t>
  </si>
  <si>
    <t>248-02-34</t>
  </si>
  <si>
    <t>2481988</t>
  </si>
  <si>
    <t>4992411828</t>
  </si>
  <si>
    <t>4992480407</t>
  </si>
  <si>
    <t>248-02-72</t>
  </si>
  <si>
    <t>84992480269</t>
  </si>
  <si>
    <t>4992414039</t>
  </si>
  <si>
    <t>4992417457</t>
  </si>
  <si>
    <t>2481312</t>
  </si>
  <si>
    <t>84992480267</t>
  </si>
  <si>
    <t>248-74-79</t>
  </si>
  <si>
    <t>244-75-96</t>
  </si>
  <si>
    <t>84952553314</t>
  </si>
  <si>
    <t>499-241-93-83</t>
  </si>
  <si>
    <t>4992415006</t>
  </si>
  <si>
    <t>4992414938</t>
  </si>
  <si>
    <t>4992419272</t>
  </si>
  <si>
    <t>241-68-16</t>
  </si>
  <si>
    <t>4992415707</t>
  </si>
  <si>
    <t>241-74-25</t>
  </si>
  <si>
    <t>248-02-90</t>
  </si>
  <si>
    <t>4992482448</t>
  </si>
  <si>
    <t>499-241-53-51</t>
  </si>
  <si>
    <t>4992528462</t>
  </si>
  <si>
    <t>4992482255</t>
  </si>
  <si>
    <t>4992485169</t>
  </si>
  <si>
    <t>4992480412</t>
  </si>
  <si>
    <t>248-04-08</t>
  </si>
  <si>
    <t>499-248-03-06</t>
  </si>
  <si>
    <t>84992480275</t>
  </si>
  <si>
    <t>241-69-68</t>
  </si>
  <si>
    <t>248-01-26</t>
  </si>
  <si>
    <t>4992415815</t>
  </si>
  <si>
    <t>241-95-86</t>
  </si>
  <si>
    <t>248-28-92</t>
  </si>
  <si>
    <t>248-01-27</t>
  </si>
  <si>
    <t>4992480135</t>
  </si>
  <si>
    <t>241-85-18</t>
  </si>
  <si>
    <t>241-79-16</t>
  </si>
  <si>
    <t>4992418293</t>
  </si>
  <si>
    <t>248-01-18</t>
  </si>
  <si>
    <t>4992414063</t>
  </si>
  <si>
    <t>248-01-43</t>
  </si>
  <si>
    <t>248-01-17</t>
  </si>
  <si>
    <t>84992480024</t>
  </si>
  <si>
    <t>248-04-49</t>
  </si>
  <si>
    <t>244-06-24</t>
  </si>
  <si>
    <t>244-07-24</t>
  </si>
  <si>
    <t>84992417240</t>
  </si>
  <si>
    <t>4992480427</t>
  </si>
  <si>
    <t>248-01-08</t>
  </si>
  <si>
    <t>241-45-15</t>
  </si>
  <si>
    <t>4992480428</t>
  </si>
  <si>
    <t>248-04-32</t>
  </si>
  <si>
    <t>4992480109</t>
  </si>
  <si>
    <t>4992480456</t>
  </si>
  <si>
    <t>248-04-39</t>
  </si>
  <si>
    <t>84992480447</t>
  </si>
  <si>
    <t>241-82-41</t>
  </si>
  <si>
    <t>248-27-89</t>
  </si>
  <si>
    <t>248-04-68</t>
  </si>
  <si>
    <t>4992480471</t>
  </si>
  <si>
    <t>248-03-04</t>
  </si>
  <si>
    <t>4992480475</t>
  </si>
  <si>
    <t>248-58-18</t>
  </si>
  <si>
    <t>499-241-41-43</t>
  </si>
  <si>
    <t>248-01-54</t>
  </si>
  <si>
    <t>241-73-73</t>
  </si>
  <si>
    <t>4992480142</t>
  </si>
  <si>
    <t>499248-04-86</t>
  </si>
  <si>
    <t>4992412355</t>
  </si>
  <si>
    <t>4992410699</t>
  </si>
  <si>
    <t>4992480134</t>
  </si>
  <si>
    <t>84992410046</t>
  </si>
  <si>
    <t>248-14-48</t>
  </si>
  <si>
    <t>248-77-29</t>
  </si>
  <si>
    <t>84992419494</t>
  </si>
  <si>
    <t>4992527854</t>
  </si>
  <si>
    <t>84992480490</t>
  </si>
  <si>
    <t>248-04-94</t>
  </si>
  <si>
    <t>4992528308</t>
  </si>
  <si>
    <t>84992480637</t>
  </si>
  <si>
    <t>248-06-04</t>
  </si>
  <si>
    <t>248-06-15</t>
  </si>
  <si>
    <t>241-37-77</t>
  </si>
  <si>
    <t>241-07-91</t>
  </si>
  <si>
    <t>241-66-30</t>
  </si>
  <si>
    <t>2416630</t>
  </si>
  <si>
    <t>241-18-98</t>
  </si>
  <si>
    <t>4992417583</t>
  </si>
  <si>
    <t>241-49-18</t>
  </si>
  <si>
    <t>4992414935</t>
  </si>
  <si>
    <t>2414935</t>
  </si>
  <si>
    <t>241-49-28</t>
  </si>
  <si>
    <t>84992412104</t>
  </si>
  <si>
    <t>4992417272</t>
  </si>
  <si>
    <t>241-58-68</t>
  </si>
  <si>
    <t>241-97-68</t>
  </si>
  <si>
    <t>4992418294</t>
  </si>
  <si>
    <t>2528339</t>
  </si>
  <si>
    <t>241-64-67</t>
  </si>
  <si>
    <t>241-09-98</t>
  </si>
  <si>
    <t>4992411826</t>
  </si>
  <si>
    <t>241-38-85</t>
  </si>
  <si>
    <t>241-46-38</t>
  </si>
  <si>
    <t>241-76-61</t>
  </si>
  <si>
    <t>Смоленская-Сенная пл., дом. 23/25</t>
  </si>
  <si>
    <t>244-70-24</t>
  </si>
  <si>
    <t>84992527693</t>
  </si>
  <si>
    <t>4992527032</t>
  </si>
  <si>
    <t>4992527054</t>
  </si>
  <si>
    <t>244-44-52</t>
  </si>
  <si>
    <t>84992527764</t>
  </si>
  <si>
    <t>244-78-80</t>
  </si>
  <si>
    <t>-2528354</t>
  </si>
  <si>
    <t>-4992527038</t>
  </si>
  <si>
    <t>244-74-49</t>
  </si>
  <si>
    <t>244-77-26</t>
  </si>
  <si>
    <t>499-252-73-76</t>
  </si>
  <si>
    <t>244-72-61</t>
  </si>
  <si>
    <t>62А</t>
  </si>
  <si>
    <t>4992410577</t>
  </si>
  <si>
    <t>244-78-83</t>
  </si>
  <si>
    <t>244-74-61</t>
  </si>
  <si>
    <t>4992527502</t>
  </si>
  <si>
    <t>4992527090</t>
  </si>
  <si>
    <t>244-06-60</t>
  </si>
  <si>
    <t>244-78-81</t>
  </si>
  <si>
    <t>244-03-38</t>
  </si>
  <si>
    <t>4992527029</t>
  </si>
  <si>
    <t>4992528079</t>
  </si>
  <si>
    <t>4992527582</t>
  </si>
  <si>
    <t>244-00-18</t>
  </si>
  <si>
    <t>244-09-84</t>
  </si>
  <si>
    <t>495-241-46-20</t>
  </si>
  <si>
    <t>84992527852</t>
  </si>
  <si>
    <t>244-25-61</t>
  </si>
  <si>
    <t>4992527728</t>
  </si>
  <si>
    <t>-4992527395</t>
  </si>
  <si>
    <t>499-244-74-62</t>
  </si>
  <si>
    <t>244-76-86</t>
  </si>
  <si>
    <t>4992527878</t>
  </si>
  <si>
    <t>4992427071</t>
  </si>
  <si>
    <t>83А</t>
  </si>
  <si>
    <t>244-09-27</t>
  </si>
  <si>
    <t>84992418587</t>
  </si>
  <si>
    <t>4992527021</t>
  </si>
  <si>
    <t>244-70-42</t>
  </si>
  <si>
    <t>4992527774</t>
  </si>
  <si>
    <t>2527116</t>
  </si>
  <si>
    <t>4992527572</t>
  </si>
  <si>
    <t>4992527013</t>
  </si>
  <si>
    <t>244-70-13</t>
  </si>
  <si>
    <t>4992528268</t>
  </si>
  <si>
    <t>4992527594</t>
  </si>
  <si>
    <t>4992527454</t>
  </si>
  <si>
    <t>4992527724</t>
  </si>
  <si>
    <t>244-75-23</t>
  </si>
  <si>
    <t>4992527865</t>
  </si>
  <si>
    <t>4992527494</t>
  </si>
  <si>
    <t>4997951474</t>
  </si>
  <si>
    <t>499-795-14-74</t>
  </si>
  <si>
    <t>244-74-92</t>
  </si>
  <si>
    <t>2527855</t>
  </si>
  <si>
    <t>84992527061</t>
  </si>
  <si>
    <t>244-77-30</t>
  </si>
  <si>
    <t>2527524</t>
  </si>
  <si>
    <t>84992527524</t>
  </si>
  <si>
    <t>2527731</t>
  </si>
  <si>
    <t>244-61-31</t>
  </si>
  <si>
    <t>244-00-65</t>
  </si>
  <si>
    <t>4992528020</t>
  </si>
  <si>
    <t>84992527684</t>
  </si>
  <si>
    <t>4992527723</t>
  </si>
  <si>
    <t>6038088</t>
  </si>
  <si>
    <t>244-00-10</t>
  </si>
  <si>
    <t>244-74-47</t>
  </si>
  <si>
    <t>244-75-28</t>
  </si>
  <si>
    <t>4992528076</t>
  </si>
  <si>
    <t>-4992528123</t>
  </si>
  <si>
    <t>244-09-46</t>
  </si>
  <si>
    <t>4992527732</t>
  </si>
  <si>
    <t>4992527549</t>
  </si>
  <si>
    <t>244-70-27</t>
  </si>
  <si>
    <t>244-75-62</t>
  </si>
  <si>
    <t>84992527801</t>
  </si>
  <si>
    <t>2528944</t>
  </si>
  <si>
    <t>4992528397</t>
  </si>
  <si>
    <t>4992527401</t>
  </si>
  <si>
    <t>2528043</t>
  </si>
  <si>
    <t>499-241-90-30</t>
  </si>
  <si>
    <t>244-71-08</t>
  </si>
  <si>
    <t>4992528394</t>
  </si>
  <si>
    <t>4992416489</t>
  </si>
  <si>
    <t>4992527035</t>
  </si>
  <si>
    <t>244-77-51</t>
  </si>
  <si>
    <t>244-04-93</t>
  </si>
  <si>
    <t>84992527023</t>
  </si>
  <si>
    <t>2527425</t>
  </si>
  <si>
    <t>2527432</t>
  </si>
  <si>
    <t>499-252-74-32</t>
  </si>
  <si>
    <t>244-00-96</t>
  </si>
  <si>
    <t>2528557</t>
  </si>
  <si>
    <t>244-74-91</t>
  </si>
  <si>
    <t>4992527487</t>
  </si>
  <si>
    <t>244-70-47</t>
  </si>
  <si>
    <t>4992528489</t>
  </si>
  <si>
    <t>244-75-95</t>
  </si>
  <si>
    <t>4992527036</t>
  </si>
  <si>
    <t>4992527037</t>
  </si>
  <si>
    <t>244-75-60</t>
  </si>
  <si>
    <t>84992528332</t>
  </si>
  <si>
    <t>4992527033</t>
  </si>
  <si>
    <t>4992528013</t>
  </si>
  <si>
    <t>244-00-95</t>
  </si>
  <si>
    <t>244-98-64</t>
  </si>
  <si>
    <t>4992527864</t>
  </si>
  <si>
    <t>4992527725</t>
  </si>
  <si>
    <t>2417452</t>
  </si>
  <si>
    <t>244-75-87</t>
  </si>
  <si>
    <t>499-252-77-17</t>
  </si>
  <si>
    <t>4992527857</t>
  </si>
  <si>
    <t>4992416480</t>
  </si>
  <si>
    <t>244-75-64</t>
  </si>
  <si>
    <t>244-78-62</t>
  </si>
  <si>
    <t>2528064</t>
  </si>
  <si>
    <t>2527592</t>
  </si>
  <si>
    <t>244-77-56</t>
  </si>
  <si>
    <t>2527757</t>
  </si>
  <si>
    <t>84992527457</t>
  </si>
  <si>
    <t>5052495</t>
  </si>
  <si>
    <t>244-70-25</t>
  </si>
  <si>
    <t>84992527580</t>
  </si>
  <si>
    <t>2527877</t>
  </si>
  <si>
    <t>244-76-94</t>
  </si>
  <si>
    <t>244-75-48</t>
  </si>
  <si>
    <t>2527688</t>
  </si>
  <si>
    <t>244-02-38</t>
  </si>
  <si>
    <t>Смоленская-Сенная пл., дом. 27 стр.1</t>
  </si>
  <si>
    <t>84992414721</t>
  </si>
  <si>
    <t>241-82-59</t>
  </si>
  <si>
    <t>499-241-49-73</t>
  </si>
  <si>
    <t>241-76-82</t>
  </si>
  <si>
    <t>4992483704</t>
  </si>
  <si>
    <t>499-241-22-05</t>
  </si>
  <si>
    <t>241-71-39</t>
  </si>
  <si>
    <t>4992481227</t>
  </si>
  <si>
    <t>9178805</t>
  </si>
  <si>
    <t>4992483710</t>
  </si>
  <si>
    <t>4992483720</t>
  </si>
  <si>
    <t>4992528426</t>
  </si>
  <si>
    <t>4992413917</t>
  </si>
  <si>
    <t>4992528154</t>
  </si>
  <si>
    <t>2528188</t>
  </si>
  <si>
    <t>244-03-25</t>
  </si>
  <si>
    <t>244-00-72</t>
  </si>
  <si>
    <t>-4992528690</t>
  </si>
  <si>
    <t>4992528104</t>
  </si>
  <si>
    <t>84992527464</t>
  </si>
  <si>
    <t>4992412015</t>
  </si>
  <si>
    <t>244-04-03</t>
  </si>
  <si>
    <t>4992528403</t>
  </si>
  <si>
    <t>244-45-84</t>
  </si>
  <si>
    <t>4992527384</t>
  </si>
  <si>
    <t>8499-244-71-09</t>
  </si>
  <si>
    <t>4992527440</t>
  </si>
  <si>
    <t>4992528267</t>
  </si>
  <si>
    <t>4992596510</t>
  </si>
  <si>
    <t>244-04-65</t>
  </si>
  <si>
    <t>4992528863</t>
  </si>
  <si>
    <t>244-74-27</t>
  </si>
  <si>
    <t>244-06-35</t>
  </si>
  <si>
    <t>244-74-82</t>
  </si>
  <si>
    <t>499-252-77-62</t>
  </si>
  <si>
    <t>-84992527761</t>
  </si>
  <si>
    <t>252-73-92</t>
  </si>
  <si>
    <t>244-70-51</t>
  </si>
  <si>
    <t>244-01-51</t>
  </si>
  <si>
    <t>4992528460</t>
  </si>
  <si>
    <t>4992528452</t>
  </si>
  <si>
    <t>4992528139</t>
  </si>
  <si>
    <t>Смоленская-Сенная пл., дом. 27 стр.1А</t>
  </si>
  <si>
    <t>84992414563</t>
  </si>
  <si>
    <t>244-07-13</t>
  </si>
  <si>
    <t>4992528614</t>
  </si>
  <si>
    <t>4992528714</t>
  </si>
  <si>
    <t>244-06-15</t>
  </si>
  <si>
    <t>4992528715</t>
  </si>
  <si>
    <t>244-72-85</t>
  </si>
  <si>
    <t>244-07-53</t>
  </si>
  <si>
    <t>4992527847</t>
  </si>
  <si>
    <t>495-244-06-17</t>
  </si>
  <si>
    <t>499-252-87-17</t>
  </si>
  <si>
    <t>4992528618</t>
  </si>
  <si>
    <t>241-59-04</t>
  </si>
  <si>
    <t>4992528718</t>
  </si>
  <si>
    <t>244-05-19</t>
  </si>
  <si>
    <t>244-47-28</t>
  </si>
  <si>
    <t>84992528738</t>
  </si>
  <si>
    <t>241-65-05</t>
  </si>
  <si>
    <t>-4992412813</t>
  </si>
  <si>
    <t>4992528719</t>
  </si>
  <si>
    <t>4992527820</t>
  </si>
  <si>
    <t>4992527821</t>
  </si>
  <si>
    <t>2528121</t>
  </si>
  <si>
    <t>2527244</t>
  </si>
  <si>
    <t>Смоленская-Сенная пл., дом. 27 стр.7</t>
  </si>
  <si>
    <t>4992480586</t>
  </si>
  <si>
    <t>241-67-49</t>
  </si>
  <si>
    <t>241-82-77</t>
  </si>
  <si>
    <t>241-48-02</t>
  </si>
  <si>
    <t>84992483926</t>
  </si>
  <si>
    <t>2413361</t>
  </si>
  <si>
    <t>499-241-48-68</t>
  </si>
  <si>
    <t>241-46-72</t>
  </si>
  <si>
    <t>4992483347</t>
  </si>
  <si>
    <t>4992483284</t>
  </si>
  <si>
    <t>84992483727</t>
  </si>
  <si>
    <t>-89280277168</t>
  </si>
  <si>
    <t>4992483351</t>
  </si>
  <si>
    <t>241-38-51</t>
  </si>
  <si>
    <t>241-78-32</t>
  </si>
  <si>
    <t>4992483607</t>
  </si>
  <si>
    <t>241-57-62</t>
  </si>
  <si>
    <t>241-65-60</t>
  </si>
  <si>
    <t>Смоленский бульв., дом. 3-5 стр.1А</t>
  </si>
  <si>
    <t>84992466879</t>
  </si>
  <si>
    <t>246-71-49</t>
  </si>
  <si>
    <t>499-246-11-49</t>
  </si>
  <si>
    <t>499-246-26-52</t>
  </si>
  <si>
    <t>246-72-57</t>
  </si>
  <si>
    <t>246-68-44</t>
  </si>
  <si>
    <t>4992452881</t>
  </si>
  <si>
    <t>246-87-37</t>
  </si>
  <si>
    <t>4992460249</t>
  </si>
  <si>
    <t>4992462138</t>
  </si>
  <si>
    <t>4992468995</t>
  </si>
  <si>
    <t>4992464859</t>
  </si>
  <si>
    <t>246-09-92</t>
  </si>
  <si>
    <t>246-79-76</t>
  </si>
  <si>
    <t>246-37-89</t>
  </si>
  <si>
    <t>2527719</t>
  </si>
  <si>
    <t>246-18-09</t>
  </si>
  <si>
    <t>246-05-77</t>
  </si>
  <si>
    <t>499-246-87-28</t>
  </si>
  <si>
    <t>247-19-61</t>
  </si>
  <si>
    <t>247-18-81</t>
  </si>
  <si>
    <t>246-87-90</t>
  </si>
  <si>
    <t>246-78-72</t>
  </si>
  <si>
    <t>245-05-10</t>
  </si>
  <si>
    <t>4992464912</t>
  </si>
  <si>
    <t>246-89-16</t>
  </si>
  <si>
    <t>246-26-18</t>
  </si>
  <si>
    <t>246-20-18</t>
  </si>
  <si>
    <t>Смоленский бульв., дом. 3-5 стр.1Б</t>
  </si>
  <si>
    <t>246-35-83</t>
  </si>
  <si>
    <t>248-58-56</t>
  </si>
  <si>
    <t>246-49-37</t>
  </si>
  <si>
    <t>84992557584</t>
  </si>
  <si>
    <t>246-60-18</t>
  </si>
  <si>
    <t>610-22-88</t>
  </si>
  <si>
    <t>4992467137</t>
  </si>
  <si>
    <t>246-36-33</t>
  </si>
  <si>
    <t>246-64-05</t>
  </si>
  <si>
    <t>4992557250</t>
  </si>
  <si>
    <t>4992466443</t>
  </si>
  <si>
    <t>245-19-32</t>
  </si>
  <si>
    <t>4992464286</t>
  </si>
  <si>
    <t>4992463730</t>
  </si>
  <si>
    <t>246-52-57</t>
  </si>
  <si>
    <t>246-88-98</t>
  </si>
  <si>
    <t>4992468812</t>
  </si>
  <si>
    <t>246-83-55</t>
  </si>
  <si>
    <t>4992462199</t>
  </si>
  <si>
    <t>499-246-66-53</t>
  </si>
  <si>
    <t>246-29-99</t>
  </si>
  <si>
    <t>84992467309</t>
  </si>
  <si>
    <t>245-31-14</t>
  </si>
  <si>
    <t>499-245-22-83</t>
  </si>
  <si>
    <t>Смоленский бульв., дом. 6-8</t>
  </si>
  <si>
    <t>84992468869</t>
  </si>
  <si>
    <t>246-04-24</t>
  </si>
  <si>
    <t>4992469577</t>
  </si>
  <si>
    <t>4992469570</t>
  </si>
  <si>
    <t>245-03-80</t>
  </si>
  <si>
    <t>84992467593</t>
  </si>
  <si>
    <t>84992468090</t>
  </si>
  <si>
    <t>-4992469514</t>
  </si>
  <si>
    <t>246-86-34</t>
  </si>
  <si>
    <t>499466578</t>
  </si>
  <si>
    <t>246-07-15</t>
  </si>
  <si>
    <t>4992553520</t>
  </si>
  <si>
    <t>246-42-08</t>
  </si>
  <si>
    <t>4992461935</t>
  </si>
  <si>
    <t>246-26-13</t>
  </si>
  <si>
    <t>246-57-70</t>
  </si>
  <si>
    <t>246-66-63</t>
  </si>
  <si>
    <t>247-11-93</t>
  </si>
  <si>
    <t>4992464263</t>
  </si>
  <si>
    <t>246-96-07</t>
  </si>
  <si>
    <t>2451234</t>
  </si>
  <si>
    <t>4992465193</t>
  </si>
  <si>
    <t>-4992464267</t>
  </si>
  <si>
    <t>84992450381</t>
  </si>
  <si>
    <t>246-95-48</t>
  </si>
  <si>
    <t>84992464288</t>
  </si>
  <si>
    <t>4992466959</t>
  </si>
  <si>
    <t>4992464380</t>
  </si>
  <si>
    <t>4992469295</t>
  </si>
  <si>
    <t>-4992487956</t>
  </si>
  <si>
    <t>216-46-86</t>
  </si>
  <si>
    <t>245-03-08</t>
  </si>
  <si>
    <t>4992557400</t>
  </si>
  <si>
    <t>246-70-90</t>
  </si>
  <si>
    <t>4992452717</t>
  </si>
  <si>
    <t>246-43-81</t>
  </si>
  <si>
    <t>84992469586</t>
  </si>
  <si>
    <t>4992464802</t>
  </si>
  <si>
    <t>84992462887</t>
  </si>
  <si>
    <t>246-66-17</t>
  </si>
  <si>
    <t>84992487712</t>
  </si>
  <si>
    <t>246-18-19</t>
  </si>
  <si>
    <t>246-39-34</t>
  </si>
  <si>
    <t>246-73-38</t>
  </si>
  <si>
    <t>4992486389</t>
  </si>
  <si>
    <t>246-07-20</t>
  </si>
  <si>
    <t>246-24-88</t>
  </si>
  <si>
    <t>246-56-54</t>
  </si>
  <si>
    <t>4992461377</t>
  </si>
  <si>
    <t>247-06-39</t>
  </si>
  <si>
    <t>246-99-07</t>
  </si>
  <si>
    <t>246-03-12</t>
  </si>
  <si>
    <t>246-29-87</t>
  </si>
  <si>
    <t>4992451973</t>
  </si>
  <si>
    <t>4992487786</t>
  </si>
  <si>
    <t>4992464326</t>
  </si>
  <si>
    <t>4992464782</t>
  </si>
  <si>
    <t>4992460332</t>
  </si>
  <si>
    <t>84992452019</t>
  </si>
  <si>
    <t>84992463998</t>
  </si>
  <si>
    <t>248-77-79</t>
  </si>
  <si>
    <t>499 246-05-29</t>
  </si>
  <si>
    <t>246-74-28</t>
  </si>
  <si>
    <t>245-34-83</t>
  </si>
  <si>
    <t>4992463790</t>
  </si>
  <si>
    <t>499 248-55-63</t>
  </si>
  <si>
    <t>-4992466984</t>
  </si>
  <si>
    <t>4992468403</t>
  </si>
  <si>
    <t>246-94-73</t>
  </si>
  <si>
    <t>246-56-24</t>
  </si>
  <si>
    <t>246-51-75</t>
  </si>
  <si>
    <t>248-77-13</t>
  </si>
  <si>
    <t>4992465322</t>
  </si>
  <si>
    <t>246-77-36</t>
  </si>
  <si>
    <t>246-69-28 499</t>
  </si>
  <si>
    <t>84992464231</t>
  </si>
  <si>
    <t>246-92-75</t>
  </si>
  <si>
    <t>246-05-30</t>
  </si>
  <si>
    <t>4992467618</t>
  </si>
  <si>
    <t>4992463799</t>
  </si>
  <si>
    <t>4992468228</t>
  </si>
  <si>
    <t>4992465680</t>
  </si>
  <si>
    <t>247-06-78</t>
  </si>
  <si>
    <t>246-14-91</t>
  </si>
  <si>
    <t>4992468351</t>
  </si>
  <si>
    <t>84997664156</t>
  </si>
  <si>
    <t>246-30-98</t>
  </si>
  <si>
    <t>84992465371</t>
  </si>
  <si>
    <t>246-87-64</t>
  </si>
  <si>
    <t>246-47-65</t>
  </si>
  <si>
    <t>4992464387</t>
  </si>
  <si>
    <t>84992465657</t>
  </si>
  <si>
    <t>4992464572</t>
  </si>
  <si>
    <t>246-59-25</t>
  </si>
  <si>
    <t>4992461188</t>
  </si>
  <si>
    <t>246-22-69</t>
  </si>
  <si>
    <t>246-82-15</t>
  </si>
  <si>
    <t>4992460699</t>
  </si>
  <si>
    <t>246-99-52</t>
  </si>
  <si>
    <t>246-20-15</t>
  </si>
  <si>
    <t>84992462293</t>
  </si>
  <si>
    <t>-4992462293</t>
  </si>
  <si>
    <t>-4992463314</t>
  </si>
  <si>
    <t>4997664151</t>
  </si>
  <si>
    <t>246-69-86</t>
  </si>
  <si>
    <t>248-77-46</t>
  </si>
  <si>
    <t>4992462460</t>
  </si>
  <si>
    <t>246-81-79</t>
  </si>
  <si>
    <t>499-246-11-07</t>
  </si>
  <si>
    <t>4992468572</t>
  </si>
  <si>
    <t>248-22-81</t>
  </si>
  <si>
    <t>4992462217</t>
  </si>
  <si>
    <t>499-242-32-84</t>
  </si>
  <si>
    <t>4992463619</t>
  </si>
  <si>
    <t>246-42-06</t>
  </si>
  <si>
    <t>248-48-30</t>
  </si>
  <si>
    <t>499-246-30-42</t>
  </si>
  <si>
    <t>84992464344</t>
  </si>
  <si>
    <t>247-11-28</t>
  </si>
  <si>
    <t>246-50-39</t>
  </si>
  <si>
    <t>246-27-15</t>
  </si>
  <si>
    <t>4992462659</t>
  </si>
  <si>
    <t>246-13-70</t>
  </si>
  <si>
    <t>4992467786</t>
  </si>
  <si>
    <t>499 246-21-95</t>
  </si>
  <si>
    <t>84992468574</t>
  </si>
  <si>
    <t>4992462713</t>
  </si>
  <si>
    <t>246-98-89</t>
  </si>
  <si>
    <t>4992453468</t>
  </si>
  <si>
    <t>4992465626</t>
  </si>
  <si>
    <t>499-246-95-19</t>
  </si>
  <si>
    <t>4992465858</t>
  </si>
  <si>
    <t>246-79-41</t>
  </si>
  <si>
    <t>84992464968</t>
  </si>
  <si>
    <t>246-51-05</t>
  </si>
  <si>
    <t>246-22-48</t>
  </si>
  <si>
    <t>4992467274</t>
  </si>
  <si>
    <t>246-45-84</t>
  </si>
  <si>
    <t>246-43-33</t>
  </si>
  <si>
    <t>499-246-60-56</t>
  </si>
  <si>
    <t>246-34-54</t>
  </si>
  <si>
    <t>4992460558</t>
  </si>
  <si>
    <t>246-84-35</t>
  </si>
  <si>
    <t>246-81-57</t>
  </si>
  <si>
    <t>4992463904</t>
  </si>
  <si>
    <t>248-79-48</t>
  </si>
  <si>
    <t>246-24-15</t>
  </si>
  <si>
    <t>4992557075</t>
  </si>
  <si>
    <t>246-05-27</t>
  </si>
  <si>
    <t>246-05-26</t>
  </si>
  <si>
    <t>4992462534</t>
  </si>
  <si>
    <t>4992465275</t>
  </si>
  <si>
    <t>246-81-08</t>
  </si>
  <si>
    <t>4992463893</t>
  </si>
  <si>
    <t>84992465931</t>
  </si>
  <si>
    <t>4992464952</t>
  </si>
  <si>
    <t>9636663476</t>
  </si>
  <si>
    <t>4992466568</t>
  </si>
  <si>
    <t>245-30-87</t>
  </si>
  <si>
    <t>246-90-46</t>
  </si>
  <si>
    <t>246-62-92</t>
  </si>
  <si>
    <t>84997664453</t>
  </si>
  <si>
    <t>4992463868</t>
  </si>
  <si>
    <t>4992462967</t>
  </si>
  <si>
    <t>246-01-11</t>
  </si>
  <si>
    <t>499-246-12-05</t>
  </si>
  <si>
    <t>246-41-40</t>
  </si>
  <si>
    <t>246-32-68</t>
  </si>
  <si>
    <t>248-79-18</t>
  </si>
  <si>
    <t>4992463178</t>
  </si>
  <si>
    <t>4992469560</t>
  </si>
  <si>
    <t>246-84-87</t>
  </si>
  <si>
    <t>499-246-41-67</t>
  </si>
  <si>
    <t>246-19-79</t>
  </si>
  <si>
    <t>246-61-54</t>
  </si>
  <si>
    <t>4992462383</t>
  </si>
  <si>
    <t>84992468249</t>
  </si>
  <si>
    <t>4992465800</t>
  </si>
  <si>
    <t>499-246-29-07</t>
  </si>
  <si>
    <t>4992483130</t>
  </si>
  <si>
    <t>4992461460</t>
  </si>
  <si>
    <t>499-246-74-32</t>
  </si>
  <si>
    <t>246-05-24</t>
  </si>
  <si>
    <t>246-51-95</t>
  </si>
  <si>
    <t>246-28-78</t>
  </si>
  <si>
    <t>4992552221</t>
  </si>
  <si>
    <t>4992462838</t>
  </si>
  <si>
    <t>246-41-64</t>
  </si>
  <si>
    <t>4992487084</t>
  </si>
  <si>
    <t>4992461418</t>
  </si>
  <si>
    <t>4992466725</t>
  </si>
  <si>
    <t>4992465130</t>
  </si>
  <si>
    <t>4992485127</t>
  </si>
  <si>
    <t>246-89-47</t>
  </si>
  <si>
    <t>246-45-57</t>
  </si>
  <si>
    <t>246-41-84</t>
  </si>
  <si>
    <t>4992487739</t>
  </si>
  <si>
    <t>4992462973</t>
  </si>
  <si>
    <t>246-29-74</t>
  </si>
  <si>
    <t>4992460053</t>
  </si>
  <si>
    <t>248-54-86</t>
  </si>
  <si>
    <t>4992553516</t>
  </si>
  <si>
    <t>246-16-81</t>
  </si>
  <si>
    <t>246-65-14</t>
  </si>
  <si>
    <t>4992466511</t>
  </si>
  <si>
    <t>248-07-16</t>
  </si>
  <si>
    <t>4992462746</t>
  </si>
  <si>
    <t>4992462947</t>
  </si>
  <si>
    <t>4992451452</t>
  </si>
  <si>
    <t>246-72-59</t>
  </si>
  <si>
    <t>84992487785</t>
  </si>
  <si>
    <t>246-93-75</t>
  </si>
  <si>
    <t>248-79-34</t>
  </si>
  <si>
    <t>4992462282</t>
  </si>
  <si>
    <t>84992467859</t>
  </si>
  <si>
    <t>8499.246-86-18</t>
  </si>
  <si>
    <t>246-09-95</t>
  </si>
  <si>
    <t>246-90-54</t>
  </si>
  <si>
    <t>4992466539</t>
  </si>
  <si>
    <t>4992464542</t>
  </si>
  <si>
    <t>246-44-47</t>
  </si>
  <si>
    <t>246-09-71</t>
  </si>
  <si>
    <t>-84992467092</t>
  </si>
  <si>
    <t>248-17-68</t>
  </si>
  <si>
    <t>246-70-05</t>
  </si>
  <si>
    <t>4992462207</t>
  </si>
  <si>
    <t>4992462206</t>
  </si>
  <si>
    <t>248-07-15</t>
  </si>
  <si>
    <t>84992463653</t>
  </si>
  <si>
    <t>499-246-59-40</t>
  </si>
  <si>
    <t>246-66-30</t>
  </si>
  <si>
    <t>246-43-63</t>
  </si>
  <si>
    <t>84992469025</t>
  </si>
  <si>
    <t>4992464447</t>
  </si>
  <si>
    <t>84992463915</t>
  </si>
  <si>
    <t>240</t>
  </si>
  <si>
    <t>246-45-68</t>
  </si>
  <si>
    <t>241</t>
  </si>
  <si>
    <t>246-09-51</t>
  </si>
  <si>
    <t>242</t>
  </si>
  <si>
    <t>245-17-74</t>
  </si>
  <si>
    <t>243</t>
  </si>
  <si>
    <t>4992467547</t>
  </si>
  <si>
    <t>244</t>
  </si>
  <si>
    <t>246-59-99</t>
  </si>
  <si>
    <t>245</t>
  </si>
  <si>
    <t>246-45-48</t>
  </si>
  <si>
    <t>246</t>
  </si>
  <si>
    <t>246-00-57</t>
  </si>
  <si>
    <t>247</t>
  </si>
  <si>
    <t>4992468238</t>
  </si>
  <si>
    <t>248</t>
  </si>
  <si>
    <t>248-79-65</t>
  </si>
  <si>
    <t>249</t>
  </si>
  <si>
    <t>245-37-70</t>
  </si>
  <si>
    <t>250</t>
  </si>
  <si>
    <t>4992463881</t>
  </si>
  <si>
    <t>-4992463881</t>
  </si>
  <si>
    <t>251</t>
  </si>
  <si>
    <t>245-36-40</t>
  </si>
  <si>
    <t>252</t>
  </si>
  <si>
    <t>4992552679</t>
  </si>
  <si>
    <t>253</t>
  </si>
  <si>
    <t>84992462371</t>
  </si>
  <si>
    <t>254</t>
  </si>
  <si>
    <t>246-82-11</t>
  </si>
  <si>
    <t>255</t>
  </si>
  <si>
    <t>499-248-21-85</t>
  </si>
  <si>
    <t>256</t>
  </si>
  <si>
    <t>499246367</t>
  </si>
  <si>
    <t>257</t>
  </si>
  <si>
    <t>84992467602</t>
  </si>
  <si>
    <t>258</t>
  </si>
  <si>
    <t>4992462106</t>
  </si>
  <si>
    <t>259</t>
  </si>
  <si>
    <t>4992462606</t>
  </si>
  <si>
    <t>260</t>
  </si>
  <si>
    <t>246-20-26</t>
  </si>
  <si>
    <t>261</t>
  </si>
  <si>
    <t>246-70-35</t>
  </si>
  <si>
    <t>262</t>
  </si>
  <si>
    <t>499-246-95-51</t>
  </si>
  <si>
    <t>263</t>
  </si>
  <si>
    <t>4992467022</t>
  </si>
  <si>
    <t>264</t>
  </si>
  <si>
    <t>246-05-23</t>
  </si>
  <si>
    <t>265</t>
  </si>
  <si>
    <t>4992460445</t>
  </si>
  <si>
    <t>266</t>
  </si>
  <si>
    <t>499-245-32-94</t>
  </si>
  <si>
    <t>267</t>
  </si>
  <si>
    <t>4992460366</t>
  </si>
  <si>
    <t>268</t>
  </si>
  <si>
    <t>4992468237</t>
  </si>
  <si>
    <t>269</t>
  </si>
  <si>
    <t>84992463716</t>
  </si>
  <si>
    <t>270</t>
  </si>
  <si>
    <t>246-20-99</t>
  </si>
  <si>
    <t>271</t>
  </si>
  <si>
    <t>4992462859</t>
  </si>
  <si>
    <t>272</t>
  </si>
  <si>
    <t>246-39-32</t>
  </si>
  <si>
    <t>273</t>
  </si>
  <si>
    <t>246-11-23</t>
  </si>
  <si>
    <t>274</t>
  </si>
  <si>
    <t>4992451839</t>
  </si>
  <si>
    <t>275</t>
  </si>
  <si>
    <t>4992460213</t>
  </si>
  <si>
    <t>276</t>
  </si>
  <si>
    <t>246-05-34</t>
  </si>
  <si>
    <t>277</t>
  </si>
  <si>
    <t>255-35-17</t>
  </si>
  <si>
    <t>278</t>
  </si>
  <si>
    <t>4992460429</t>
  </si>
  <si>
    <t>279</t>
  </si>
  <si>
    <t>4992460090</t>
  </si>
  <si>
    <t>280</t>
  </si>
  <si>
    <t>4992464725</t>
  </si>
  <si>
    <t>281</t>
  </si>
  <si>
    <t>4992452603</t>
  </si>
  <si>
    <t>282</t>
  </si>
  <si>
    <t>4992462587</t>
  </si>
  <si>
    <t>283</t>
  </si>
  <si>
    <t>247-11-21</t>
  </si>
  <si>
    <t>284</t>
  </si>
  <si>
    <t>246-76-46</t>
  </si>
  <si>
    <t>285</t>
  </si>
  <si>
    <t>246-67-85</t>
  </si>
  <si>
    <t>286</t>
  </si>
  <si>
    <t>4992457509</t>
  </si>
  <si>
    <t>287</t>
  </si>
  <si>
    <t>-4992463625</t>
  </si>
  <si>
    <t>288</t>
  </si>
  <si>
    <t>246-26-28</t>
  </si>
  <si>
    <t>289</t>
  </si>
  <si>
    <t>246-24-46</t>
  </si>
  <si>
    <t>290</t>
  </si>
  <si>
    <t>248-27-10</t>
  </si>
  <si>
    <t>291</t>
  </si>
  <si>
    <t>89169212728</t>
  </si>
  <si>
    <t>292</t>
  </si>
  <si>
    <t>248-73-78</t>
  </si>
  <si>
    <t>293</t>
  </si>
  <si>
    <t>84992450391</t>
  </si>
  <si>
    <t>294</t>
  </si>
  <si>
    <t>499-246-21-26</t>
  </si>
  <si>
    <t>295</t>
  </si>
  <si>
    <t>245-13-62</t>
  </si>
  <si>
    <t>296</t>
  </si>
  <si>
    <t>4992487995</t>
  </si>
  <si>
    <t>297</t>
  </si>
  <si>
    <t>4992469511</t>
  </si>
  <si>
    <t>298</t>
  </si>
  <si>
    <t>4992468375</t>
  </si>
  <si>
    <t>299</t>
  </si>
  <si>
    <t>+8(903)766-58-48</t>
  </si>
  <si>
    <t>300</t>
  </si>
  <si>
    <t>246-37-36</t>
  </si>
  <si>
    <t>301</t>
  </si>
  <si>
    <t>84992464307</t>
  </si>
  <si>
    <t>302</t>
  </si>
  <si>
    <t>246-63-43</t>
  </si>
  <si>
    <t>303</t>
  </si>
  <si>
    <t>84992417803</t>
  </si>
  <si>
    <t>304</t>
  </si>
  <si>
    <t>-4992468226</t>
  </si>
  <si>
    <t>305</t>
  </si>
  <si>
    <t>246-45-87</t>
  </si>
  <si>
    <t>306</t>
  </si>
  <si>
    <t>-84992468819</t>
  </si>
  <si>
    <t>307</t>
  </si>
  <si>
    <t>246-24-34</t>
  </si>
  <si>
    <t>308</t>
  </si>
  <si>
    <t>246-38-26</t>
  </si>
  <si>
    <t>309</t>
  </si>
  <si>
    <t>246-52-79</t>
  </si>
  <si>
    <t>310</t>
  </si>
  <si>
    <t>246-60-37</t>
  </si>
  <si>
    <t>311</t>
  </si>
  <si>
    <t>4992467603</t>
  </si>
  <si>
    <t>312</t>
  </si>
  <si>
    <t>4992461570</t>
  </si>
  <si>
    <t>313</t>
  </si>
  <si>
    <t>246-95-72</t>
  </si>
  <si>
    <t>314</t>
  </si>
  <si>
    <t>84992463534</t>
  </si>
  <si>
    <t>315</t>
  </si>
  <si>
    <t>499-246-77-57</t>
  </si>
  <si>
    <t>4992467757</t>
  </si>
  <si>
    <t>316</t>
  </si>
  <si>
    <t>4992557905</t>
  </si>
  <si>
    <t>317</t>
  </si>
  <si>
    <t>4992461756</t>
  </si>
  <si>
    <t>318</t>
  </si>
  <si>
    <t>4992464321</t>
  </si>
  <si>
    <t>319</t>
  </si>
  <si>
    <t>246-00-59</t>
  </si>
  <si>
    <t>320</t>
  </si>
  <si>
    <t>4992463725</t>
  </si>
  <si>
    <t>Смоленский бульв., дом. 7</t>
  </si>
  <si>
    <t>84992527173</t>
  </si>
  <si>
    <t>4992481163</t>
  </si>
  <si>
    <t>89255093873</t>
  </si>
  <si>
    <t>4992527495</t>
  </si>
  <si>
    <t>244-71-91</t>
  </si>
  <si>
    <t>4992527177</t>
  </si>
  <si>
    <t>84992527156</t>
  </si>
  <si>
    <t>4992527151</t>
  </si>
  <si>
    <t>244-72-75</t>
  </si>
  <si>
    <t>84992527175</t>
  </si>
  <si>
    <t>84992418834</t>
  </si>
  <si>
    <t>244-71-37</t>
  </si>
  <si>
    <t>244-75-50</t>
  </si>
  <si>
    <t>84992411989</t>
  </si>
  <si>
    <t>244-72-82</t>
  </si>
  <si>
    <t>241-04-77</t>
  </si>
  <si>
    <t>244-75-36</t>
  </si>
  <si>
    <t>499 241-26-14</t>
  </si>
  <si>
    <t>4992528646</t>
  </si>
  <si>
    <t>4992528883</t>
  </si>
  <si>
    <t>4992528669</t>
  </si>
  <si>
    <t>244-07-69</t>
  </si>
  <si>
    <t>2527197</t>
  </si>
  <si>
    <t>244-71-78</t>
  </si>
  <si>
    <t>244-72-41</t>
  </si>
  <si>
    <t>244-71-42</t>
  </si>
  <si>
    <t>4992527381</t>
  </si>
  <si>
    <t>499-252-71-49</t>
  </si>
  <si>
    <t>244-00-52</t>
  </si>
  <si>
    <t>241-77-71</t>
  </si>
  <si>
    <t>2527213</t>
  </si>
  <si>
    <t>4992528579</t>
  </si>
  <si>
    <t>244-06-39</t>
  </si>
  <si>
    <t>4992527373</t>
  </si>
  <si>
    <t>499-248-43-92</t>
  </si>
  <si>
    <t>4992528534</t>
  </si>
  <si>
    <t>2528309</t>
  </si>
  <si>
    <t>908-63-77</t>
  </si>
  <si>
    <t>244-06-68</t>
  </si>
  <si>
    <t>4992527255</t>
  </si>
  <si>
    <t>4992527229</t>
  </si>
  <si>
    <t>2527531</t>
  </si>
  <si>
    <t>84992520246</t>
  </si>
  <si>
    <t>84992412265</t>
  </si>
  <si>
    <t>4992528368</t>
  </si>
  <si>
    <t>244-02-24</t>
  </si>
  <si>
    <t>84992528324</t>
  </si>
  <si>
    <t>2528765</t>
  </si>
  <si>
    <t>244-06-65</t>
  </si>
  <si>
    <t>244-71-63</t>
  </si>
  <si>
    <t>4992527175</t>
  </si>
  <si>
    <t>244-05-21</t>
  </si>
  <si>
    <t>4992527205</t>
  </si>
  <si>
    <t>8499-252-73-91</t>
  </si>
  <si>
    <t>254-38-68</t>
  </si>
  <si>
    <t>4992527375</t>
  </si>
  <si>
    <t>4992527253</t>
  </si>
  <si>
    <t>244-72-53</t>
  </si>
  <si>
    <t>2527271</t>
  </si>
  <si>
    <t>244-06-66</t>
  </si>
  <si>
    <t>4992528495</t>
  </si>
  <si>
    <t>4992527265</t>
  </si>
  <si>
    <t>84992528859</t>
  </si>
  <si>
    <t>4992527207</t>
  </si>
  <si>
    <t>244-02-26</t>
  </si>
  <si>
    <t>499 244-03-26</t>
  </si>
  <si>
    <t>4992415849</t>
  </si>
  <si>
    <t>499-252-95-07</t>
  </si>
  <si>
    <t>2527410</t>
  </si>
  <si>
    <t>84992527239</t>
  </si>
  <si>
    <t>244-73-88</t>
  </si>
  <si>
    <t>499 255-82-39</t>
  </si>
  <si>
    <t>84992527231</t>
  </si>
  <si>
    <t>4992528490</t>
  </si>
  <si>
    <t>241-81-05</t>
  </si>
  <si>
    <t>4992528589</t>
  </si>
  <si>
    <t>2528223</t>
  </si>
  <si>
    <t>244-72-46</t>
  </si>
  <si>
    <t>244-74-28</t>
  </si>
  <si>
    <t>244-76-97</t>
  </si>
  <si>
    <t>4992527657</t>
  </si>
  <si>
    <t>84992528757</t>
  </si>
  <si>
    <t>4992528657</t>
  </si>
  <si>
    <t>244-73-67</t>
  </si>
  <si>
    <t>241-93-25</t>
  </si>
  <si>
    <t>4992527614</t>
  </si>
  <si>
    <t>4992527079</t>
  </si>
  <si>
    <t>244-78-09</t>
  </si>
  <si>
    <t>499-252-76-92</t>
  </si>
  <si>
    <t>4992528389</t>
  </si>
  <si>
    <t>4992527153</t>
  </si>
  <si>
    <t>84992527214</t>
  </si>
  <si>
    <t>244-72-23</t>
  </si>
  <si>
    <t>84992527371</t>
  </si>
  <si>
    <t>241-74-18</t>
  </si>
  <si>
    <t>244-71-50</t>
  </si>
  <si>
    <t>244-08-24</t>
  </si>
  <si>
    <t>84992527389</t>
  </si>
  <si>
    <t>Смоленский бульв., дом. 13 стр.7</t>
  </si>
  <si>
    <t>2528478</t>
  </si>
  <si>
    <t>2528821</t>
  </si>
  <si>
    <t>2527736</t>
  </si>
  <si>
    <t>4992412925</t>
  </si>
  <si>
    <t>244-08-28</t>
  </si>
  <si>
    <t>4992527179</t>
  </si>
  <si>
    <t>240-90-15</t>
  </si>
  <si>
    <t>241-87-26</t>
  </si>
  <si>
    <t>4992528583</t>
  </si>
  <si>
    <t>244-08-43</t>
  </si>
  <si>
    <t>84992528803</t>
  </si>
  <si>
    <t>4992418504</t>
  </si>
  <si>
    <t>241-85-04</t>
  </si>
  <si>
    <t>4992528003</t>
  </si>
  <si>
    <t>4992418369</t>
  </si>
  <si>
    <t>4992528829</t>
  </si>
  <si>
    <t>2528827</t>
  </si>
  <si>
    <t>4992528796</t>
  </si>
  <si>
    <t>244-08-66</t>
  </si>
  <si>
    <t>244-04-33</t>
  </si>
  <si>
    <t>+7(499)252-81-11</t>
  </si>
  <si>
    <t>-4992528645</t>
  </si>
  <si>
    <t>4992528645</t>
  </si>
  <si>
    <t>4992528790</t>
  </si>
  <si>
    <t>244-07-76</t>
  </si>
  <si>
    <t>2528803</t>
  </si>
  <si>
    <t>499-252-88-03</t>
  </si>
  <si>
    <t>244-01-18</t>
  </si>
  <si>
    <t>2528852</t>
  </si>
  <si>
    <t>2528856</t>
  </si>
  <si>
    <t>244-08-53</t>
  </si>
  <si>
    <t>244-72-86</t>
  </si>
  <si>
    <t>4992527267</t>
  </si>
  <si>
    <t>244-03-98</t>
  </si>
  <si>
    <t>84992528118</t>
  </si>
  <si>
    <t>84992528471</t>
  </si>
  <si>
    <t>Смоленский бульв., дом. 13 стр.8</t>
  </si>
  <si>
    <t>244-09-58</t>
  </si>
  <si>
    <t>244-18-31</t>
  </si>
  <si>
    <t>2528791</t>
  </si>
  <si>
    <t>244-00-37</t>
  </si>
  <si>
    <t>244-71-39</t>
  </si>
  <si>
    <t>+7(902)87-00-90</t>
  </si>
  <si>
    <t>2528937</t>
  </si>
  <si>
    <t>244-03-22</t>
  </si>
  <si>
    <t>4992528952</t>
  </si>
  <si>
    <t>4992527293</t>
  </si>
  <si>
    <t>244-09-66</t>
  </si>
  <si>
    <t>4992412451</t>
  </si>
  <si>
    <t>248-21-78</t>
  </si>
  <si>
    <t>4992528967</t>
  </si>
  <si>
    <t>2528920</t>
  </si>
  <si>
    <t>4992527309</t>
  </si>
  <si>
    <t>244-17-78</t>
  </si>
  <si>
    <t>244-89-21</t>
  </si>
  <si>
    <t>244-71-88</t>
  </si>
  <si>
    <t>244-74-48</t>
  </si>
  <si>
    <t>241-42-77</t>
  </si>
  <si>
    <t>4992410302</t>
  </si>
  <si>
    <t>4992527291</t>
  </si>
  <si>
    <t>244-03-16</t>
  </si>
  <si>
    <t>244-09-82</t>
  </si>
  <si>
    <t>-4992528915</t>
  </si>
  <si>
    <t>244-09-12</t>
  </si>
  <si>
    <t>244-72-88</t>
  </si>
  <si>
    <t>244-08-16</t>
  </si>
  <si>
    <t>4992527129</t>
  </si>
  <si>
    <t>4992528868</t>
  </si>
  <si>
    <t>2528641</t>
  </si>
  <si>
    <t>244-09-18</t>
  </si>
  <si>
    <t>84992413651</t>
  </si>
  <si>
    <t>499-142-43-45</t>
  </si>
  <si>
    <t>84992528029</t>
  </si>
  <si>
    <t>2527324</t>
  </si>
  <si>
    <t>4992527746</t>
  </si>
  <si>
    <t>Смоленский бульв., дом. 15</t>
  </si>
  <si>
    <t>241-05-72</t>
  </si>
  <si>
    <t>2527053</t>
  </si>
  <si>
    <t>2В</t>
  </si>
  <si>
    <t>4992527705</t>
  </si>
  <si>
    <t>4992528233</t>
  </si>
  <si>
    <t>3Б</t>
  </si>
  <si>
    <t>84992528679</t>
  </si>
  <si>
    <t>244-77-71</t>
  </si>
  <si>
    <t>4992527613</t>
  </si>
  <si>
    <t>84992527713</t>
  </si>
  <si>
    <t>4992527167</t>
  </si>
  <si>
    <t>849925278395</t>
  </si>
  <si>
    <t>5Б</t>
  </si>
  <si>
    <t>241-40-58</t>
  </si>
  <si>
    <t>84992527706</t>
  </si>
  <si>
    <t>4992527704</t>
  </si>
  <si>
    <t>6Б</t>
  </si>
  <si>
    <t>241-81-66</t>
  </si>
  <si>
    <t>4992483962</t>
  </si>
  <si>
    <t>84952415319</t>
  </si>
  <si>
    <t>89261189592</t>
  </si>
  <si>
    <t>244-00-67</t>
  </si>
  <si>
    <t>244-06-72</t>
  </si>
  <si>
    <t>10В</t>
  </si>
  <si>
    <t>2527084</t>
  </si>
  <si>
    <t>4992527624</t>
  </si>
  <si>
    <t>4992527620</t>
  </si>
  <si>
    <t>11В</t>
  </si>
  <si>
    <t>244-73-44</t>
  </si>
  <si>
    <t>4992527488</t>
  </si>
  <si>
    <t>4992410616</t>
  </si>
  <si>
    <t>13А</t>
  </si>
  <si>
    <t>248-72-31</t>
  </si>
  <si>
    <t>13В</t>
  </si>
  <si>
    <t>4992483936</t>
  </si>
  <si>
    <t>4992414623</t>
  </si>
  <si>
    <t>2527187</t>
  </si>
  <si>
    <t>14В</t>
  </si>
  <si>
    <t>84992483947</t>
  </si>
  <si>
    <t>84992528219</t>
  </si>
  <si>
    <t>244-76-11</t>
  </si>
  <si>
    <t>4992528017</t>
  </si>
  <si>
    <t>248-17-39</t>
  </si>
  <si>
    <t>248-02-42</t>
  </si>
  <si>
    <t>84992485863</t>
  </si>
  <si>
    <t>248-16-60</t>
  </si>
  <si>
    <t>4992484771</t>
  </si>
  <si>
    <t>248-59-85</t>
  </si>
  <si>
    <t>248-29-38499</t>
  </si>
  <si>
    <t>4992487435</t>
  </si>
  <si>
    <t>248-39-34</t>
  </si>
  <si>
    <t>248-31-35</t>
  </si>
  <si>
    <t>248-09-37</t>
  </si>
  <si>
    <t>4992484879</t>
  </si>
  <si>
    <t>248-31-37</t>
  </si>
  <si>
    <t>499-248-56-60</t>
  </si>
  <si>
    <t>4992486149</t>
  </si>
  <si>
    <t>84992487757</t>
  </si>
  <si>
    <t>4953571039</t>
  </si>
  <si>
    <t>248-74-76</t>
  </si>
  <si>
    <t>4992480759</t>
  </si>
  <si>
    <t>499-248-23-68</t>
  </si>
  <si>
    <t>499-248-31-59</t>
  </si>
  <si>
    <t>248-31-59</t>
  </si>
  <si>
    <t>84992481573</t>
  </si>
  <si>
    <t>4992480748</t>
  </si>
  <si>
    <t>248-45-90</t>
  </si>
  <si>
    <t>84955260093</t>
  </si>
  <si>
    <t>499-248-31-49</t>
  </si>
  <si>
    <t>4997951494</t>
  </si>
  <si>
    <t>244-02-98</t>
  </si>
  <si>
    <t>58Б</t>
  </si>
  <si>
    <t>241-53-76</t>
  </si>
  <si>
    <t>4992527378</t>
  </si>
  <si>
    <t>244-76-83</t>
  </si>
  <si>
    <t>4992528956</t>
  </si>
  <si>
    <t>499-252-75-84</t>
  </si>
  <si>
    <t>4992527436</t>
  </si>
  <si>
    <t>244-71-69</t>
  </si>
  <si>
    <t>246-46-84</t>
  </si>
  <si>
    <t>244-07-94</t>
  </si>
  <si>
    <t>2528314</t>
  </si>
  <si>
    <t>244-02-60</t>
  </si>
  <si>
    <t>241-55-28</t>
  </si>
  <si>
    <t>4992528576</t>
  </si>
  <si>
    <t>499-241-36-98</t>
  </si>
  <si>
    <t>244-07-31</t>
  </si>
  <si>
    <t>2528962</t>
  </si>
  <si>
    <t>2528244</t>
  </si>
  <si>
    <t>-9255072604</t>
  </si>
  <si>
    <t>244-09-64</t>
  </si>
  <si>
    <t>84992527230</t>
  </si>
  <si>
    <t>235-08-05</t>
  </si>
  <si>
    <t>4992418994</t>
  </si>
  <si>
    <t>4992448230</t>
  </si>
  <si>
    <t>244-07-22</t>
  </si>
  <si>
    <t>244-09-75</t>
  </si>
  <si>
    <t>88-89</t>
  </si>
  <si>
    <t>90-91</t>
  </si>
  <si>
    <t>9688216</t>
  </si>
  <si>
    <t>244-02-77</t>
  </si>
  <si>
    <t>4992528916</t>
  </si>
  <si>
    <t>-4992414540</t>
  </si>
  <si>
    <t>244-70-19</t>
  </si>
  <si>
    <t>4992527406</t>
  </si>
  <si>
    <t>4992528444</t>
  </si>
  <si>
    <t>4992412679</t>
  </si>
  <si>
    <t>4992528255</t>
  </si>
  <si>
    <t>241-55-65</t>
  </si>
  <si>
    <t>499-252-87-62</t>
  </si>
  <si>
    <t>4992419009</t>
  </si>
  <si>
    <t>2528232</t>
  </si>
  <si>
    <t>4992528905</t>
  </si>
  <si>
    <t>241.72.57</t>
  </si>
  <si>
    <t>-84992416653</t>
  </si>
  <si>
    <t>4992528231</t>
  </si>
  <si>
    <t>4992527106</t>
  </si>
  <si>
    <t>2528212</t>
  </si>
  <si>
    <t>4992528671</t>
  </si>
  <si>
    <t>246-12-43</t>
  </si>
  <si>
    <t>4992527249</t>
  </si>
  <si>
    <t>244-02-83</t>
  </si>
  <si>
    <t>2528137</t>
  </si>
  <si>
    <t>241-65-68</t>
  </si>
  <si>
    <t>4992528220</t>
  </si>
  <si>
    <t>244-02-21</t>
  </si>
  <si>
    <t>499-252-81-44</t>
  </si>
  <si>
    <t>244-75-32</t>
  </si>
  <si>
    <t>4992527772</t>
  </si>
  <si>
    <t>244-02-56</t>
  </si>
  <si>
    <t>4992414713</t>
  </si>
  <si>
    <t>2527147</t>
  </si>
  <si>
    <t>4992527539</t>
  </si>
  <si>
    <t>4992528642</t>
  </si>
  <si>
    <t>+8(499)256-76-23</t>
  </si>
  <si>
    <t>Смоленский бульв., дом. 17 стр.1</t>
  </si>
  <si>
    <t>246-64-77</t>
  </si>
  <si>
    <t>241-53-47</t>
  </si>
  <si>
    <t>241-53-42</t>
  </si>
  <si>
    <t>241-58-17</t>
  </si>
  <si>
    <t>244-64-83</t>
  </si>
  <si>
    <t>247-45-56</t>
  </si>
  <si>
    <t>499-241-65-07</t>
  </si>
  <si>
    <t>4992558860</t>
  </si>
  <si>
    <t>-4992481793</t>
  </si>
  <si>
    <t>4992481491</t>
  </si>
  <si>
    <t>241-57-34</t>
  </si>
  <si>
    <t>241-66-08</t>
  </si>
  <si>
    <t>241-56-58</t>
  </si>
  <si>
    <t>241-66-52</t>
  </si>
  <si>
    <t>84992481862</t>
  </si>
  <si>
    <t>241-50-98</t>
  </si>
  <si>
    <t>84992482117</t>
  </si>
  <si>
    <t>241-79-77</t>
  </si>
  <si>
    <t>241-67-57</t>
  </si>
  <si>
    <t>241-76-34</t>
  </si>
  <si>
    <t>84992480863</t>
  </si>
  <si>
    <t>241-77-21</t>
  </si>
  <si>
    <t>4992480654</t>
  </si>
  <si>
    <t>241-55-54</t>
  </si>
  <si>
    <t>30А</t>
  </si>
  <si>
    <t>4959346562</t>
  </si>
  <si>
    <t>84992480906</t>
  </si>
  <si>
    <t>84992317947</t>
  </si>
  <si>
    <t>4492932</t>
  </si>
  <si>
    <t>31А</t>
  </si>
  <si>
    <t>241-88-40</t>
  </si>
  <si>
    <t>31Б</t>
  </si>
  <si>
    <t>-4992481686</t>
  </si>
  <si>
    <t>4992481957</t>
  </si>
  <si>
    <t>33А</t>
  </si>
  <si>
    <t>241-63-09</t>
  </si>
  <si>
    <t>4992481776</t>
  </si>
  <si>
    <t>4992480662</t>
  </si>
  <si>
    <t>241-57-35</t>
  </si>
  <si>
    <t>248-47-08</t>
  </si>
  <si>
    <t>241-69-92</t>
  </si>
  <si>
    <t>2481756</t>
  </si>
  <si>
    <t>Смоленский бульв., дом. 17 стр.5</t>
  </si>
  <si>
    <t>4992481236</t>
  </si>
  <si>
    <t>4992481568</t>
  </si>
  <si>
    <t>-2481586</t>
  </si>
  <si>
    <t>4992480563</t>
  </si>
  <si>
    <t>42А</t>
  </si>
  <si>
    <t>-2488417</t>
  </si>
  <si>
    <t>-4992481043</t>
  </si>
  <si>
    <t>84992481589</t>
  </si>
  <si>
    <t>241-65-74</t>
  </si>
  <si>
    <t>241-65-13</t>
  </si>
  <si>
    <t>241-59-72</t>
  </si>
  <si>
    <t>(499)248-09-56</t>
  </si>
  <si>
    <t>4992481703</t>
  </si>
  <si>
    <t>4992481759</t>
  </si>
  <si>
    <t>241-69-77</t>
  </si>
  <si>
    <t>241-56-33</t>
  </si>
  <si>
    <t>241-05-73</t>
  </si>
  <si>
    <t>56А</t>
  </si>
  <si>
    <t>241-69-79</t>
  </si>
  <si>
    <t>84992480481</t>
  </si>
  <si>
    <t>241-55-14</t>
  </si>
  <si>
    <t>4992481490</t>
  </si>
  <si>
    <t>241-58-19</t>
  </si>
  <si>
    <t>4992481321</t>
  </si>
  <si>
    <t>84992481875</t>
  </si>
  <si>
    <t>Тружеников 1-й пер., дом. 17</t>
  </si>
  <si>
    <t>248-26-78</t>
  </si>
  <si>
    <t>4992483015</t>
  </si>
  <si>
    <t>4992487230</t>
  </si>
  <si>
    <t>84992483377</t>
  </si>
  <si>
    <t>248-60-19</t>
  </si>
  <si>
    <t>236-03-17</t>
  </si>
  <si>
    <t>248-59-40</t>
  </si>
  <si>
    <t>4992483397</t>
  </si>
  <si>
    <t>248-27-97</t>
  </si>
  <si>
    <t>248-19-55</t>
  </si>
  <si>
    <t>248-57-32</t>
  </si>
  <si>
    <t>248-14-84</t>
  </si>
  <si>
    <t>4992487505</t>
  </si>
  <si>
    <t>248-46-05</t>
  </si>
  <si>
    <t>248-30-47</t>
  </si>
  <si>
    <t>8499248-35-95</t>
  </si>
  <si>
    <t>84992487436</t>
  </si>
  <si>
    <t>248-14-15</t>
  </si>
  <si>
    <t>248-29-12</t>
  </si>
  <si>
    <t>4992481494</t>
  </si>
  <si>
    <t>4992486605</t>
  </si>
  <si>
    <t>4992482075</t>
  </si>
  <si>
    <t>+7(903)206-16-82</t>
  </si>
  <si>
    <t>248-23-52</t>
  </si>
  <si>
    <t>248-41-09</t>
  </si>
  <si>
    <t>248-46-80</t>
  </si>
  <si>
    <t>248-29-03</t>
  </si>
  <si>
    <t>4992482712</t>
  </si>
  <si>
    <t>248-44-61</t>
  </si>
  <si>
    <t>248-29-27</t>
  </si>
  <si>
    <t>-84992482885</t>
  </si>
  <si>
    <t>4992482748</t>
  </si>
  <si>
    <t>4992484823</t>
  </si>
  <si>
    <t>248-70-67</t>
  </si>
  <si>
    <t>248-37-34</t>
  </si>
  <si>
    <t>248-24-73</t>
  </si>
  <si>
    <t>331-15-09</t>
  </si>
  <si>
    <t>4992483092</t>
  </si>
  <si>
    <t>7613484</t>
  </si>
  <si>
    <t>4992486246</t>
  </si>
  <si>
    <t>4992482753</t>
  </si>
  <si>
    <t>84992482753</t>
  </si>
  <si>
    <t>248-18-02</t>
  </si>
  <si>
    <t>4992481786</t>
  </si>
  <si>
    <t>4992482137</t>
  </si>
  <si>
    <t>248-17-64</t>
  </si>
  <si>
    <t>248-27-18</t>
  </si>
  <si>
    <t>248-27-71</t>
  </si>
  <si>
    <t>248-17-61</t>
  </si>
  <si>
    <t>248-20-11</t>
  </si>
  <si>
    <t>4992482690</t>
  </si>
  <si>
    <t>248-48-97</t>
  </si>
  <si>
    <t>+8(499)248-43-89</t>
  </si>
  <si>
    <t>248-31-88</t>
  </si>
  <si>
    <t>4992483183</t>
  </si>
  <si>
    <t>4992484192</t>
  </si>
  <si>
    <t>248-27-87</t>
  </si>
  <si>
    <t>248-20-84</t>
  </si>
  <si>
    <t>4992483065</t>
  </si>
  <si>
    <t>248-41-01</t>
  </si>
  <si>
    <t>(499)248-23-64</t>
  </si>
  <si>
    <t>248-29-90</t>
  </si>
  <si>
    <t>4992482994</t>
  </si>
  <si>
    <t>248-29-89</t>
  </si>
  <si>
    <t>248-31-10</t>
  </si>
  <si>
    <t>248-62-40</t>
  </si>
  <si>
    <t>248-05-79</t>
  </si>
  <si>
    <t>248-16-52</t>
  </si>
  <si>
    <t>Тружеников 1-й пер., дом. 19/4 стр.3</t>
  </si>
  <si>
    <t>4992485830</t>
  </si>
  <si>
    <t>84992487985</t>
  </si>
  <si>
    <t>248-27-15</t>
  </si>
  <si>
    <t>499-248-27-51</t>
  </si>
  <si>
    <t>499-248-58-89</t>
  </si>
  <si>
    <t>248-08-98</t>
  </si>
  <si>
    <t>248-35-37</t>
  </si>
  <si>
    <t>4992481337</t>
  </si>
  <si>
    <t>248-27-21</t>
  </si>
  <si>
    <t>248-23-13</t>
  </si>
  <si>
    <t>248-26-70</t>
  </si>
  <si>
    <t>248-23-45</t>
  </si>
  <si>
    <t>2482707</t>
  </si>
  <si>
    <t>248-26-36</t>
  </si>
  <si>
    <t>4992486691</t>
  </si>
  <si>
    <t>4992482810</t>
  </si>
  <si>
    <t>248-29-59</t>
  </si>
  <si>
    <t>248-54-19</t>
  </si>
  <si>
    <t>248-06-14</t>
  </si>
  <si>
    <t>4992482384</t>
  </si>
  <si>
    <t>2482552</t>
  </si>
  <si>
    <t>248-56-82</t>
  </si>
  <si>
    <t>499-248-13-09</t>
  </si>
  <si>
    <t>248-57-18</t>
  </si>
  <si>
    <t>248-17-23</t>
  </si>
  <si>
    <t>4992460608</t>
  </si>
  <si>
    <t>84992482637</t>
  </si>
  <si>
    <t>248-06-59</t>
  </si>
  <si>
    <t>4992482543</t>
  </si>
  <si>
    <t>4992485598</t>
  </si>
  <si>
    <t>4992480649</t>
  </si>
  <si>
    <t>4957446848</t>
  </si>
  <si>
    <t>84992482541</t>
  </si>
  <si>
    <t>84992456235</t>
  </si>
  <si>
    <t>-4992482612</t>
  </si>
  <si>
    <t>499 248-25-12</t>
  </si>
  <si>
    <t>Тружеников 2-й пер., дом. 4/19 стр.1</t>
  </si>
  <si>
    <t>2483776</t>
  </si>
  <si>
    <t>248-37-76</t>
  </si>
  <si>
    <t>89670440022</t>
  </si>
  <si>
    <t>84992480038</t>
  </si>
  <si>
    <t>248-00-67</t>
  </si>
  <si>
    <t>84992480067</t>
  </si>
  <si>
    <t>248-37-90</t>
  </si>
  <si>
    <t>2466346</t>
  </si>
  <si>
    <t>248-43-06</t>
  </si>
  <si>
    <t>248-00-08</t>
  </si>
  <si>
    <t>4992483952</t>
  </si>
  <si>
    <t>84992480085</t>
  </si>
  <si>
    <t>4992483714</t>
  </si>
  <si>
    <t>4992483683</t>
  </si>
  <si>
    <t>4992480137</t>
  </si>
  <si>
    <t>248-37-59</t>
  </si>
  <si>
    <t>4992483910</t>
  </si>
  <si>
    <t>4992483798</t>
  </si>
  <si>
    <t>248-36-74</t>
  </si>
  <si>
    <t>4992480547</t>
  </si>
  <si>
    <t>248-02-39</t>
  </si>
  <si>
    <t>4992483768</t>
  </si>
  <si>
    <t>2480002</t>
  </si>
  <si>
    <t>248-27-81</t>
  </si>
  <si>
    <t>248-03-37</t>
  </si>
  <si>
    <t>248.38.57</t>
  </si>
  <si>
    <t>248-37-42</t>
  </si>
  <si>
    <t>248-39-04</t>
  </si>
  <si>
    <t>4991536739</t>
  </si>
  <si>
    <t>246-67-05</t>
  </si>
  <si>
    <t>2483950</t>
  </si>
  <si>
    <t>248-39-50</t>
  </si>
  <si>
    <t>499-248-39-79</t>
  </si>
  <si>
    <t>2483979</t>
  </si>
  <si>
    <t>4992483976</t>
  </si>
  <si>
    <t>246-67-23</t>
  </si>
  <si>
    <t>248-43-07</t>
  </si>
  <si>
    <t>248-37-71</t>
  </si>
  <si>
    <t>248-37-40</t>
  </si>
  <si>
    <t>248-00-81</t>
  </si>
  <si>
    <t>2483919</t>
  </si>
  <si>
    <t>248-26-48</t>
  </si>
  <si>
    <t>248-36-63</t>
  </si>
  <si>
    <t>2483663</t>
  </si>
  <si>
    <t>84992483738</t>
  </si>
  <si>
    <t>84992483941</t>
  </si>
  <si>
    <t>248-02-68</t>
  </si>
  <si>
    <t>Тружеников 2-й пер., дом. 4/19 стр.2</t>
  </si>
  <si>
    <t>4992482757</t>
  </si>
  <si>
    <t>246-52-71</t>
  </si>
  <si>
    <t>248-00-84</t>
  </si>
  <si>
    <t>-2483957</t>
  </si>
  <si>
    <t>499-246-52-72</t>
  </si>
  <si>
    <t>248-22-13</t>
  </si>
  <si>
    <t>84992480158</t>
  </si>
  <si>
    <t>84992480646</t>
  </si>
  <si>
    <t>2483758</t>
  </si>
  <si>
    <t>2483987</t>
  </si>
  <si>
    <t>4992480676</t>
  </si>
  <si>
    <t>84992483986</t>
  </si>
  <si>
    <t>248-38-28</t>
  </si>
  <si>
    <t>248-37-79</t>
  </si>
  <si>
    <t>4992483989</t>
  </si>
  <si>
    <t>248-38-30</t>
  </si>
  <si>
    <t>4992483681</t>
  </si>
  <si>
    <t>4992480095</t>
  </si>
  <si>
    <t>248-36-43</t>
  </si>
  <si>
    <t>4992480038</t>
  </si>
  <si>
    <t>4992483646</t>
  </si>
  <si>
    <t>-4992480273</t>
  </si>
  <si>
    <t>248-39-20</t>
  </si>
  <si>
    <t>245-38-13</t>
  </si>
  <si>
    <t>499 248-00-43</t>
  </si>
  <si>
    <t>4992483796</t>
  </si>
  <si>
    <t>499-248-39-49</t>
  </si>
  <si>
    <t>2483949</t>
  </si>
  <si>
    <t>248-39-24</t>
  </si>
  <si>
    <t>-84992483807</t>
  </si>
  <si>
    <t>4992480087</t>
  </si>
  <si>
    <t>4992465180</t>
  </si>
  <si>
    <t>248-02-17</t>
  </si>
  <si>
    <t>-4992480257</t>
  </si>
  <si>
    <t>248-39-96</t>
  </si>
  <si>
    <t>248-39-27</t>
  </si>
  <si>
    <t>248-38-70</t>
  </si>
  <si>
    <t>4992483905</t>
  </si>
  <si>
    <t>4992483604</t>
  </si>
  <si>
    <t>2483604</t>
  </si>
  <si>
    <t>248-43-16</t>
  </si>
  <si>
    <t>248-37-49</t>
  </si>
  <si>
    <t>4992487692</t>
  </si>
  <si>
    <t>Усачева ул., дом. 4</t>
  </si>
  <si>
    <t>4992460174</t>
  </si>
  <si>
    <t>4992462739</t>
  </si>
  <si>
    <t>-4992462961</t>
  </si>
  <si>
    <t>84992481249</t>
  </si>
  <si>
    <t>499-246-00-98</t>
  </si>
  <si>
    <t>499-246-90-71</t>
  </si>
  <si>
    <t>246-01-14</t>
  </si>
  <si>
    <t>4992466969</t>
  </si>
  <si>
    <t>246-84-42</t>
  </si>
  <si>
    <t>499-246-27-32</t>
  </si>
  <si>
    <t>4992462728</t>
  </si>
  <si>
    <t>246-01-38</t>
  </si>
  <si>
    <t>81992460138</t>
  </si>
  <si>
    <t>+7(909)163-00-11</t>
  </si>
  <si>
    <t>246-09-76</t>
  </si>
  <si>
    <t>246-37-63</t>
  </si>
  <si>
    <t>246-29-28</t>
  </si>
  <si>
    <t>246-81-50</t>
  </si>
  <si>
    <t>4992461077</t>
  </si>
  <si>
    <t>246-11-72</t>
  </si>
  <si>
    <t>247-18-56</t>
  </si>
  <si>
    <t>499-246-11-82</t>
  </si>
  <si>
    <t>246-02-90</t>
  </si>
  <si>
    <t>499-246-02-96</t>
  </si>
  <si>
    <t>246-03-54</t>
  </si>
  <si>
    <t>84992462393</t>
  </si>
  <si>
    <t>246-23-30</t>
  </si>
  <si>
    <t>246-23-73</t>
  </si>
  <si>
    <t>246-23-16</t>
  </si>
  <si>
    <t>4992482605</t>
  </si>
  <si>
    <t>499-248-06-18</t>
  </si>
  <si>
    <t>4992460237</t>
  </si>
  <si>
    <t>4992469526</t>
  </si>
  <si>
    <t>246-11-94</t>
  </si>
  <si>
    <t>246-30-16</t>
  </si>
  <si>
    <t>4992462532</t>
  </si>
  <si>
    <t>4992464797</t>
  </si>
  <si>
    <t>4992460231</t>
  </si>
  <si>
    <t>246-02-30</t>
  </si>
  <si>
    <t>84992462945</t>
  </si>
  <si>
    <t>246-25-37</t>
  </si>
  <si>
    <t>4992462561</t>
  </si>
  <si>
    <t>84992460875</t>
  </si>
  <si>
    <t>4992460390</t>
  </si>
  <si>
    <t>246-03-55</t>
  </si>
  <si>
    <t>4992464733</t>
  </si>
  <si>
    <t>4992464636</t>
  </si>
  <si>
    <t>499 246-22-62</t>
  </si>
  <si>
    <t>499-246-73-24</t>
  </si>
  <si>
    <t>4992462238</t>
  </si>
  <si>
    <t>246-53-98</t>
  </si>
  <si>
    <t>246-79-82</t>
  </si>
  <si>
    <t>4992460394</t>
  </si>
  <si>
    <t>246-42-90</t>
  </si>
  <si>
    <t>246-22-53</t>
  </si>
  <si>
    <t>84992462257</t>
  </si>
  <si>
    <t>4992460788</t>
  </si>
  <si>
    <t>246-27-75</t>
  </si>
  <si>
    <t>246-04-19</t>
  </si>
  <si>
    <t>248-08-08</t>
  </si>
  <si>
    <t>4992462025</t>
  </si>
  <si>
    <t>499-246-30-65</t>
  </si>
  <si>
    <t>4992463072</t>
  </si>
  <si>
    <t>246-35-24</t>
  </si>
  <si>
    <t>84992462782</t>
  </si>
  <si>
    <t>84992460522</t>
  </si>
  <si>
    <t>4992460528</t>
  </si>
  <si>
    <t>4992462034</t>
  </si>
  <si>
    <t>246-94-66</t>
  </si>
  <si>
    <t>246-20-93</t>
  </si>
  <si>
    <t>499 248-02-76</t>
  </si>
  <si>
    <t>246-12-31</t>
  </si>
  <si>
    <t>4992461283</t>
  </si>
  <si>
    <t>246-35-16</t>
  </si>
  <si>
    <t>4992461799</t>
  </si>
  <si>
    <t>246-31-19</t>
  </si>
  <si>
    <t>4992462205</t>
  </si>
  <si>
    <t>4992462215</t>
  </si>
  <si>
    <t>4992467812</t>
  </si>
  <si>
    <t>246-20-14</t>
  </si>
  <si>
    <t>4992461295</t>
  </si>
  <si>
    <t>246-17-90</t>
  </si>
  <si>
    <t>499-246-17-26</t>
  </si>
  <si>
    <t>246-16-99</t>
  </si>
  <si>
    <t>246-16-84</t>
  </si>
  <si>
    <t>84992480816</t>
  </si>
  <si>
    <t>246-27-79</t>
  </si>
  <si>
    <t>246-16-54</t>
  </si>
  <si>
    <t>246-31-20</t>
  </si>
  <si>
    <t>-84992481294</t>
  </si>
  <si>
    <t>246-32-29</t>
  </si>
  <si>
    <t>Усачева ул., дом. 19а к.1</t>
  </si>
  <si>
    <t>499-246-04-07</t>
  </si>
  <si>
    <t>246-40-21</t>
  </si>
  <si>
    <t>+8(499)245-97-01</t>
  </si>
  <si>
    <t>246-26-38</t>
  </si>
  <si>
    <t>4992450606</t>
  </si>
  <si>
    <t>4992456459</t>
  </si>
  <si>
    <t>84992553482</t>
  </si>
  <si>
    <t>4992457737</t>
  </si>
  <si>
    <t>4992473484</t>
  </si>
  <si>
    <t>4992460905</t>
  </si>
  <si>
    <t>246-50-37</t>
  </si>
  <si>
    <t>245-45-81</t>
  </si>
  <si>
    <t>245-08-07</t>
  </si>
  <si>
    <t>245-55-38</t>
  </si>
  <si>
    <t>84992457723</t>
  </si>
  <si>
    <t>245-57-37</t>
  </si>
  <si>
    <t>20-21</t>
  </si>
  <si>
    <t>245-56-27</t>
  </si>
  <si>
    <t>246-10-45</t>
  </si>
  <si>
    <t>245-12-60</t>
  </si>
  <si>
    <t>-84992457386</t>
  </si>
  <si>
    <t>4992467158</t>
  </si>
  <si>
    <t>246-27-90</t>
  </si>
  <si>
    <t>246-12-87</t>
  </si>
  <si>
    <t>246-46-13</t>
  </si>
  <si>
    <t>246-72-07</t>
  </si>
  <si>
    <t>245-77-04</t>
  </si>
  <si>
    <t>499-245-56-38</t>
  </si>
  <si>
    <t>245-64-50</t>
  </si>
  <si>
    <t>499-246-28-14</t>
  </si>
  <si>
    <t>84992469233</t>
  </si>
  <si>
    <t>4992453375</t>
  </si>
  <si>
    <t>495-247-02-05</t>
  </si>
  <si>
    <t>8-499-245-63-21</t>
  </si>
  <si>
    <t>4992459226</t>
  </si>
  <si>
    <t>246-04-46</t>
  </si>
  <si>
    <t>246-07-75</t>
  </si>
  <si>
    <t>246-01-68</t>
  </si>
  <si>
    <t>84997664728</t>
  </si>
  <si>
    <t>84992558673</t>
  </si>
  <si>
    <t>201-75-48</t>
  </si>
  <si>
    <t>4957083859</t>
  </si>
  <si>
    <t>245-79-15</t>
  </si>
  <si>
    <t>246-35-95</t>
  </si>
  <si>
    <t>4992460079</t>
  </si>
  <si>
    <t>245-98-21</t>
  </si>
  <si>
    <t>245-00-71</t>
  </si>
  <si>
    <t>247-17-03</t>
  </si>
  <si>
    <t>4992541414</t>
  </si>
  <si>
    <t>4992464835</t>
  </si>
  <si>
    <t>84992451480</t>
  </si>
  <si>
    <t>246-16-26</t>
  </si>
  <si>
    <t>150-25-56</t>
  </si>
  <si>
    <t>245-92-25</t>
  </si>
  <si>
    <t>4992457924</t>
  </si>
  <si>
    <t>245-94-26</t>
  </si>
  <si>
    <t>125-63-96</t>
  </si>
  <si>
    <t>4992454131</t>
  </si>
  <si>
    <t>84992457569</t>
  </si>
  <si>
    <t>448-81-47</t>
  </si>
  <si>
    <t>245-75-58</t>
  </si>
  <si>
    <t>952-40-41</t>
  </si>
  <si>
    <t>-4992461289</t>
  </si>
  <si>
    <t>Усачева ул., дом. 19а к.2</t>
  </si>
  <si>
    <t>245-62-67</t>
  </si>
  <si>
    <t>84992456331</t>
  </si>
  <si>
    <t>245-62-69</t>
  </si>
  <si>
    <t>245-63-77</t>
  </si>
  <si>
    <t>499-245-53-72</t>
  </si>
  <si>
    <t>245-72-66</t>
  </si>
  <si>
    <t>4992454194</t>
  </si>
  <si>
    <t>4992457474</t>
  </si>
  <si>
    <t>4992464408</t>
  </si>
  <si>
    <t>84992456271</t>
  </si>
  <si>
    <t>4992454283</t>
  </si>
  <si>
    <t>499-245-49-19</t>
  </si>
  <si>
    <t>245-43-83</t>
  </si>
  <si>
    <t>(499)245-57-22</t>
  </si>
  <si>
    <t>84992455697</t>
  </si>
  <si>
    <t>849924564049</t>
  </si>
  <si>
    <t>499-245-69-92</t>
  </si>
  <si>
    <t>245-62-81</t>
  </si>
  <si>
    <t>84992456282</t>
  </si>
  <si>
    <t>2558388</t>
  </si>
  <si>
    <t>84992457043</t>
  </si>
  <si>
    <t>4992462367</t>
  </si>
  <si>
    <t>245-62-95</t>
  </si>
  <si>
    <t>4992467323</t>
  </si>
  <si>
    <t>4992456296</t>
  </si>
  <si>
    <t>245-62-97</t>
  </si>
  <si>
    <t>84992450607</t>
  </si>
  <si>
    <t>245-28-56</t>
  </si>
  <si>
    <t>245-63-02</t>
  </si>
  <si>
    <t>4992456301</t>
  </si>
  <si>
    <t>Усачева ул., дом. 19 к.3</t>
  </si>
  <si>
    <t>245-45-17</t>
  </si>
  <si>
    <t>245-45-18</t>
  </si>
  <si>
    <t>245-45-40</t>
  </si>
  <si>
    <t>245-44-00</t>
  </si>
  <si>
    <t>245-53-40</t>
  </si>
  <si>
    <t>245-53-21</t>
  </si>
  <si>
    <t>245-44-49</t>
  </si>
  <si>
    <t>245-51-59</t>
  </si>
  <si>
    <t>4992454496</t>
  </si>
  <si>
    <t>245-41-91</t>
  </si>
  <si>
    <t>4992454412</t>
  </si>
  <si>
    <t>4992454666</t>
  </si>
  <si>
    <t>245-46-67</t>
  </si>
  <si>
    <t>4992454339</t>
  </si>
  <si>
    <t>4992455600</t>
  </si>
  <si>
    <t>4992455197</t>
  </si>
  <si>
    <t>278-66-35</t>
  </si>
  <si>
    <t>499-245-47-42</t>
  </si>
  <si>
    <t>4992463286</t>
  </si>
  <si>
    <t>4992455307</t>
  </si>
  <si>
    <t>245-56-81</t>
  </si>
  <si>
    <t>4992455887</t>
  </si>
  <si>
    <t>4992455692</t>
  </si>
  <si>
    <t>84992455163</t>
  </si>
  <si>
    <t>84992454578</t>
  </si>
  <si>
    <t>4992454743</t>
  </si>
  <si>
    <t>245-47-60</t>
  </si>
  <si>
    <t>245-57-69</t>
  </si>
  <si>
    <t>245-50-60</t>
  </si>
  <si>
    <t>84992454630</t>
  </si>
  <si>
    <t>84992455961</t>
  </si>
  <si>
    <t>245-09-16</t>
  </si>
  <si>
    <t>245-46-05</t>
  </si>
  <si>
    <t>4992454744</t>
  </si>
  <si>
    <t>246-67-77</t>
  </si>
  <si>
    <t>499-245-47-45</t>
  </si>
  <si>
    <t>245-48-23</t>
  </si>
  <si>
    <t>4992457042</t>
  </si>
  <si>
    <t>245-53-67</t>
  </si>
  <si>
    <t>84992455641</t>
  </si>
  <si>
    <t>84992454907</t>
  </si>
  <si>
    <t>4992450816</t>
  </si>
  <si>
    <t>4992454836</t>
  </si>
  <si>
    <t>4992465421</t>
  </si>
  <si>
    <t>84992455178</t>
  </si>
  <si>
    <t>245-53-27</t>
  </si>
  <si>
    <t>4992455572</t>
  </si>
  <si>
    <t>4992466172</t>
  </si>
  <si>
    <t>245-46-63</t>
  </si>
  <si>
    <t>84992454875</t>
  </si>
  <si>
    <t>4992454293</t>
  </si>
  <si>
    <t>245-76-59</t>
  </si>
  <si>
    <t>84992455529</t>
  </si>
  <si>
    <t>(499)245-56-53</t>
  </si>
  <si>
    <t>247-10-28</t>
  </si>
  <si>
    <t>245-58-36</t>
  </si>
  <si>
    <t>84992455129</t>
  </si>
  <si>
    <t>8499245-74-43</t>
  </si>
  <si>
    <t>84992454583</t>
  </si>
  <si>
    <t>245-58-42</t>
  </si>
  <si>
    <t>4992498414</t>
  </si>
  <si>
    <t>499-245-50-27</t>
  </si>
  <si>
    <t>4992454579</t>
  </si>
  <si>
    <t>4992455106</t>
  </si>
  <si>
    <t>245-40-52</t>
  </si>
  <si>
    <t>4992455667</t>
  </si>
  <si>
    <t>245-59-60</t>
  </si>
  <si>
    <t>245-55-27</t>
  </si>
  <si>
    <t>245-45-54</t>
  </si>
  <si>
    <t>Усачева ул., дом. 19а к.3</t>
  </si>
  <si>
    <t>245-47-80</t>
  </si>
  <si>
    <t>245-56-83</t>
  </si>
  <si>
    <t>245-43-08</t>
  </si>
  <si>
    <t>499-245-44-16</t>
  </si>
  <si>
    <t>4992453074</t>
  </si>
  <si>
    <t>495245-53-55</t>
  </si>
  <si>
    <t>245-53-55</t>
  </si>
  <si>
    <t>84992455179</t>
  </si>
  <si>
    <t>4992457340</t>
  </si>
  <si>
    <t>4992454894</t>
  </si>
  <si>
    <t>499 245-41-08</t>
  </si>
  <si>
    <t>4992455406</t>
  </si>
  <si>
    <t>-4992455893</t>
  </si>
  <si>
    <t>245-43-10</t>
  </si>
  <si>
    <t>245-40-19</t>
  </si>
  <si>
    <t>4957083723</t>
  </si>
  <si>
    <t>245-58-78</t>
  </si>
  <si>
    <t>245-57-36</t>
  </si>
  <si>
    <t>84992455473</t>
  </si>
  <si>
    <t>245-44-63</t>
  </si>
  <si>
    <t>4992455951</t>
  </si>
  <si>
    <t>245-44-71</t>
  </si>
  <si>
    <t>245-42-30</t>
  </si>
  <si>
    <t>245-47-97</t>
  </si>
  <si>
    <t>245-40-36</t>
  </si>
  <si>
    <t>4992457934</t>
  </si>
  <si>
    <t>499-245-43-72</t>
  </si>
  <si>
    <t>84992455971</t>
  </si>
  <si>
    <t>4992454607</t>
  </si>
  <si>
    <t>4992454044</t>
  </si>
  <si>
    <t>245-55-59</t>
  </si>
  <si>
    <t>245-49-97</t>
  </si>
  <si>
    <t>245-57-63</t>
  </si>
  <si>
    <t>4992454940</t>
  </si>
  <si>
    <t>245-50-30</t>
  </si>
  <si>
    <t>4992455990</t>
  </si>
  <si>
    <t>245-55-95</t>
  </si>
  <si>
    <t>84992455775</t>
  </si>
  <si>
    <t>245-58-93</t>
  </si>
  <si>
    <t>499-245-48-16</t>
  </si>
  <si>
    <t>245-40-68</t>
  </si>
  <si>
    <t>4992455545</t>
  </si>
  <si>
    <t>4992455991</t>
  </si>
  <si>
    <t>84992455998</t>
  </si>
  <si>
    <t>-4992454985</t>
  </si>
  <si>
    <t>245-41-80</t>
  </si>
  <si>
    <t>4992452573</t>
  </si>
  <si>
    <t>84992455122</t>
  </si>
  <si>
    <t>4957247928</t>
  </si>
  <si>
    <t>89154883621</t>
  </si>
  <si>
    <t>248-32-53</t>
  </si>
  <si>
    <t>4992455518</t>
  </si>
  <si>
    <t>245-43-16</t>
  </si>
  <si>
    <t>4992455921</t>
  </si>
  <si>
    <t>245-53-89</t>
  </si>
  <si>
    <t>245-57-58</t>
  </si>
  <si>
    <t>245-58-85</t>
  </si>
  <si>
    <t>84992558872</t>
  </si>
  <si>
    <t>245-43-86</t>
  </si>
  <si>
    <t>84992454386</t>
  </si>
  <si>
    <t>Усачева ул., дом. 21</t>
  </si>
  <si>
    <t>246-05-07</t>
  </si>
  <si>
    <t>4992455013</t>
  </si>
  <si>
    <t>246-86-91</t>
  </si>
  <si>
    <t>84992462789</t>
  </si>
  <si>
    <t>246-86-96</t>
  </si>
  <si>
    <t>245-47-48</t>
  </si>
  <si>
    <t>4992454628</t>
  </si>
  <si>
    <t>499-246-91-38</t>
  </si>
  <si>
    <t>245-54-93</t>
  </si>
  <si>
    <t>245-54-49</t>
  </si>
  <si>
    <t>84992450616</t>
  </si>
  <si>
    <t>246-87-51</t>
  </si>
  <si>
    <t>4992468756</t>
  </si>
  <si>
    <t>8499245-40-25</t>
  </si>
  <si>
    <t>245-52-39</t>
  </si>
  <si>
    <t>246-88-14</t>
  </si>
  <si>
    <t>245-55-15</t>
  </si>
  <si>
    <t>245-50-25</t>
  </si>
  <si>
    <t>246-03-62</t>
  </si>
  <si>
    <t>499-245-57-64</t>
  </si>
  <si>
    <t>246-86-58</t>
  </si>
  <si>
    <t>-84992454424</t>
  </si>
  <si>
    <t>4992455928</t>
  </si>
  <si>
    <t>4992468815</t>
  </si>
  <si>
    <t>246-85-30</t>
  </si>
  <si>
    <t>246-86-59</t>
  </si>
  <si>
    <t>84992455907</t>
  </si>
  <si>
    <t>245-55-50</t>
  </si>
  <si>
    <t>4992450789</t>
  </si>
  <si>
    <t>246-85-31</t>
  </si>
  <si>
    <t>246-42-83</t>
  </si>
  <si>
    <t>84992455713</t>
  </si>
  <si>
    <t>246-80-19</t>
  </si>
  <si>
    <t>4992450455</t>
  </si>
  <si>
    <t>245-59-87</t>
  </si>
  <si>
    <t>245-46-16</t>
  </si>
  <si>
    <t>415-30-02</t>
  </si>
  <si>
    <t>4992468319</t>
  </si>
  <si>
    <t>245-43-03</t>
  </si>
  <si>
    <t>245-75-68</t>
  </si>
  <si>
    <t>246-79-98</t>
  </si>
  <si>
    <t>246-79-95</t>
  </si>
  <si>
    <t>245-49-77</t>
  </si>
  <si>
    <t>245-49-69</t>
  </si>
  <si>
    <t>4992454514</t>
  </si>
  <si>
    <t>246-82-55</t>
  </si>
  <si>
    <t>4992468254</t>
  </si>
  <si>
    <t>245-05-16</t>
  </si>
  <si>
    <t>4992455260</t>
  </si>
  <si>
    <t>4992461547</t>
  </si>
  <si>
    <t>84992450590</t>
  </si>
  <si>
    <t>245-51-16</t>
  </si>
  <si>
    <t>84954580624</t>
  </si>
  <si>
    <t>245-41-87</t>
  </si>
  <si>
    <t>84992450764</t>
  </si>
  <si>
    <t>8499-245-50-81</t>
  </si>
  <si>
    <t>246-66-85</t>
  </si>
  <si>
    <t>246-66-84</t>
  </si>
  <si>
    <t>4992454893</t>
  </si>
  <si>
    <t>245-07-24</t>
  </si>
  <si>
    <t>245-56-74</t>
  </si>
  <si>
    <t>245-59-40</t>
  </si>
  <si>
    <t>246-83-62</t>
  </si>
  <si>
    <t>Усачева ул., дом. 25</t>
  </si>
  <si>
    <t>245-91-53</t>
  </si>
  <si>
    <t>245-71-31</t>
  </si>
  <si>
    <t>4992457649</t>
  </si>
  <si>
    <t>248-28-74</t>
  </si>
  <si>
    <t>248-78-76</t>
  </si>
  <si>
    <t>246-81-55</t>
  </si>
  <si>
    <t>246-12-74</t>
  </si>
  <si>
    <t>4992457809</t>
  </si>
  <si>
    <t>84992457827</t>
  </si>
  <si>
    <t>245-70-32</t>
  </si>
  <si>
    <t>246-65-09</t>
  </si>
  <si>
    <t>4992465982</t>
  </si>
  <si>
    <t>248-78-51</t>
  </si>
  <si>
    <t>4992466837</t>
  </si>
  <si>
    <t>248-05-78</t>
  </si>
  <si>
    <t>246-64-95</t>
  </si>
  <si>
    <t>4992482855</t>
  </si>
  <si>
    <t>2499457671</t>
  </si>
  <si>
    <t>245-78-36</t>
  </si>
  <si>
    <t>4992457833</t>
  </si>
  <si>
    <t>-4992553401</t>
  </si>
  <si>
    <t>245-78-57</t>
  </si>
  <si>
    <t>245-78-49</t>
  </si>
  <si>
    <t>245-79-30</t>
  </si>
  <si>
    <t>245-79-31</t>
  </si>
  <si>
    <t>7706635</t>
  </si>
  <si>
    <t>4992457894</t>
  </si>
  <si>
    <t>84992467895</t>
  </si>
  <si>
    <t>4992457893</t>
  </si>
  <si>
    <t>84992457630</t>
  </si>
  <si>
    <t>245-72-14</t>
  </si>
  <si>
    <t>4992480571</t>
  </si>
  <si>
    <t>245-76-31</t>
  </si>
  <si>
    <t>4992480608</t>
  </si>
  <si>
    <t>4992457122</t>
  </si>
  <si>
    <t>499-246-64-39</t>
  </si>
  <si>
    <t>245-71-23</t>
  </si>
  <si>
    <t>4992466575</t>
  </si>
  <si>
    <t>242-39-38</t>
  </si>
  <si>
    <t>246-78-94</t>
  </si>
  <si>
    <t>4992464274</t>
  </si>
  <si>
    <t>84992466437</t>
  </si>
  <si>
    <t>4992468441</t>
  </si>
  <si>
    <t>84992466384</t>
  </si>
  <si>
    <t>246-63-88</t>
  </si>
  <si>
    <t>4992466545</t>
  </si>
  <si>
    <t>246-65-44</t>
  </si>
  <si>
    <t>4992464273</t>
  </si>
  <si>
    <t>248-69-87</t>
  </si>
  <si>
    <t>84992487546</t>
  </si>
  <si>
    <t>246-68-39</t>
  </si>
  <si>
    <t>4992457217</t>
  </si>
  <si>
    <t>245-78-32</t>
  </si>
  <si>
    <t>4992487587</t>
  </si>
  <si>
    <t>245-72-18</t>
  </si>
  <si>
    <t>4992463387</t>
  </si>
  <si>
    <t>4992457125</t>
  </si>
  <si>
    <t>4992459140</t>
  </si>
  <si>
    <t>245-77-49</t>
  </si>
  <si>
    <t>245-67-10</t>
  </si>
  <si>
    <t>245-77-32</t>
  </si>
  <si>
    <t>4992486053</t>
  </si>
  <si>
    <t>246-65-47</t>
  </si>
  <si>
    <t>242-09-03</t>
  </si>
  <si>
    <t>242-42-07</t>
  </si>
  <si>
    <t>499-238-77-58</t>
  </si>
  <si>
    <t>248-03-47</t>
  </si>
  <si>
    <t>4992457958</t>
  </si>
  <si>
    <t>248-23-56</t>
  </si>
  <si>
    <t>4992457274</t>
  </si>
  <si>
    <t>246-26-30</t>
  </si>
  <si>
    <t>246-68-32</t>
  </si>
  <si>
    <t>4992483583</t>
  </si>
  <si>
    <t>245-71-07</t>
  </si>
  <si>
    <t>4992457748</t>
  </si>
  <si>
    <t>499-248-35-79</t>
  </si>
  <si>
    <t>499-246-66-02</t>
  </si>
  <si>
    <t>4992459146</t>
  </si>
  <si>
    <t>245-70-75</t>
  </si>
  <si>
    <t>84992457127</t>
  </si>
  <si>
    <t>4992457561</t>
  </si>
  <si>
    <t>84992466834</t>
  </si>
  <si>
    <t>4992457109</t>
  </si>
  <si>
    <t>499-246-66-09</t>
  </si>
  <si>
    <t>84957083198</t>
  </si>
  <si>
    <t>4992480741</t>
  </si>
  <si>
    <t>248-08-72</t>
  </si>
  <si>
    <t>4992457128</t>
  </si>
  <si>
    <t>246-19-38</t>
  </si>
  <si>
    <t>4992457130</t>
  </si>
  <si>
    <t>246-41-24</t>
  </si>
  <si>
    <t>246-41-23</t>
  </si>
  <si>
    <t>4992464046</t>
  </si>
  <si>
    <t>84992457317</t>
  </si>
  <si>
    <t>499-248-20-48</t>
  </si>
  <si>
    <t>4992482338</t>
  </si>
  <si>
    <t>499 246-40-47</t>
  </si>
  <si>
    <t>4992457224</t>
  </si>
  <si>
    <t>245-78-25</t>
  </si>
  <si>
    <t>245-73-18</t>
  </si>
  <si>
    <t>4992457733</t>
  </si>
  <si>
    <t>245-72-22</t>
  </si>
  <si>
    <t>245-77-40</t>
  </si>
  <si>
    <t>84992457794</t>
  </si>
  <si>
    <t>4992465542</t>
  </si>
  <si>
    <t>245-77-91</t>
  </si>
  <si>
    <t>4992552448</t>
  </si>
  <si>
    <t>245-74-64</t>
  </si>
  <si>
    <t>246-67-35</t>
  </si>
  <si>
    <t>84992459128</t>
  </si>
  <si>
    <t>246-55-43</t>
  </si>
  <si>
    <t>84957337388</t>
  </si>
  <si>
    <t>4992487594</t>
  </si>
  <si>
    <t>246-23-32</t>
  </si>
  <si>
    <t>4992457830</t>
  </si>
  <si>
    <t>4992457828</t>
  </si>
  <si>
    <t>246-67-34</t>
  </si>
  <si>
    <t>248-77-14</t>
  </si>
  <si>
    <t>246-38-80</t>
  </si>
  <si>
    <t>245-73-19</t>
  </si>
  <si>
    <t>246-19-91</t>
  </si>
  <si>
    <t>4992484874</t>
  </si>
  <si>
    <t>245-72-32</t>
  </si>
  <si>
    <t>4992457312</t>
  </si>
  <si>
    <t>4992457300</t>
  </si>
  <si>
    <t>499-245-74-69</t>
  </si>
  <si>
    <t>4992457673</t>
  </si>
  <si>
    <t>245-73-22</t>
  </si>
  <si>
    <t>4992466690</t>
  </si>
  <si>
    <t>246-76-78</t>
  </si>
  <si>
    <t>499-245-91-51</t>
  </si>
  <si>
    <t>4992457321</t>
  </si>
  <si>
    <t>4992482347</t>
  </si>
  <si>
    <t>246-37-81</t>
  </si>
  <si>
    <t>4992459133</t>
  </si>
  <si>
    <t>242-02-20</t>
  </si>
  <si>
    <t>242-02-54</t>
  </si>
  <si>
    <t>84992457228</t>
  </si>
  <si>
    <t>4992466795</t>
  </si>
  <si>
    <t>-4992466840</t>
  </si>
  <si>
    <t>4992466691</t>
  </si>
  <si>
    <t>4992457702</t>
  </si>
  <si>
    <t>245-72-30</t>
  </si>
  <si>
    <t>4992457231</t>
  </si>
  <si>
    <t>4992457844</t>
  </si>
  <si>
    <t>245-73-23</t>
  </si>
  <si>
    <t>499 245-77-00</t>
  </si>
  <si>
    <t>84992457770</t>
  </si>
  <si>
    <t>4992459152</t>
  </si>
  <si>
    <t>245-91-19</t>
  </si>
  <si>
    <t>4992459158</t>
  </si>
  <si>
    <t>4992457324</t>
  </si>
  <si>
    <t>245-73-28</t>
  </si>
  <si>
    <t>4992457573</t>
  </si>
  <si>
    <t>245-73-15</t>
  </si>
  <si>
    <t>4992483964</t>
  </si>
  <si>
    <t>246-68-48</t>
  </si>
  <si>
    <t>84992457927</t>
  </si>
  <si>
    <t>245-47-08</t>
  </si>
  <si>
    <t>4992466862</t>
  </si>
  <si>
    <t>4992481387</t>
  </si>
  <si>
    <t>246-68-49</t>
  </si>
  <si>
    <t>4992457331</t>
  </si>
  <si>
    <t>245-73-14</t>
  </si>
  <si>
    <t>-4992457325</t>
  </si>
  <si>
    <t>4992455835</t>
  </si>
  <si>
    <t>245-73-26</t>
  </si>
  <si>
    <t>4992465698</t>
  </si>
  <si>
    <t>Усачева ул., дом. 29 к.1</t>
  </si>
  <si>
    <t>4992455485</t>
  </si>
  <si>
    <t>4992455832</t>
  </si>
  <si>
    <t>4992455489</t>
  </si>
  <si>
    <t>4992455901</t>
  </si>
  <si>
    <t>-4992454148</t>
  </si>
  <si>
    <t>4992454148</t>
  </si>
  <si>
    <t>4992455007</t>
  </si>
  <si>
    <t>4992455195</t>
  </si>
  <si>
    <t>4992455922</t>
  </si>
  <si>
    <t>4992455955</t>
  </si>
  <si>
    <t>4992455364</t>
  </si>
  <si>
    <t>4992455837</t>
  </si>
  <si>
    <t>4992455847</t>
  </si>
  <si>
    <t>4992467595</t>
  </si>
  <si>
    <t>4992455665</t>
  </si>
  <si>
    <t>4992455050</t>
  </si>
  <si>
    <t>4992455182</t>
  </si>
  <si>
    <t>4992454005</t>
  </si>
  <si>
    <t>-4992455854</t>
  </si>
  <si>
    <t>4992452232</t>
  </si>
  <si>
    <t>4992452239</t>
  </si>
  <si>
    <t>4992454981</t>
  </si>
  <si>
    <t>-492455850</t>
  </si>
  <si>
    <t>4992455694</t>
  </si>
  <si>
    <t>-4992455476</t>
  </si>
  <si>
    <t>4992455872</t>
  </si>
  <si>
    <t>4992480714</t>
  </si>
  <si>
    <t>4953384790</t>
  </si>
  <si>
    <t>4992455488</t>
  </si>
  <si>
    <t>4992455058</t>
  </si>
  <si>
    <t>4992455853</t>
  </si>
  <si>
    <t>4992455924</t>
  </si>
  <si>
    <t>4992455671</t>
  </si>
  <si>
    <t>4992459851</t>
  </si>
  <si>
    <t>4992454390</t>
  </si>
  <si>
    <t>4992455127</t>
  </si>
  <si>
    <t>4992455266</t>
  </si>
  <si>
    <t>-4992455463</t>
  </si>
  <si>
    <t>4992455421</t>
  </si>
  <si>
    <t>4992455645</t>
  </si>
  <si>
    <t>248-33-88</t>
  </si>
  <si>
    <t>4952204635</t>
  </si>
  <si>
    <t>4992455022</t>
  </si>
  <si>
    <t>4992457974</t>
  </si>
  <si>
    <t>4992487267</t>
  </si>
  <si>
    <t>-4992455906</t>
  </si>
  <si>
    <t>4992455596</t>
  </si>
  <si>
    <t>-4992455553</t>
  </si>
  <si>
    <t>4992455014</t>
  </si>
  <si>
    <t>4992455231</t>
  </si>
  <si>
    <t>4992455276</t>
  </si>
  <si>
    <t>4992455525</t>
  </si>
  <si>
    <t>4992454480</t>
  </si>
  <si>
    <t>4992454794</t>
  </si>
  <si>
    <t>4992454245</t>
  </si>
  <si>
    <t>4992455255</t>
  </si>
  <si>
    <t>4992461588</t>
  </si>
  <si>
    <t>4992454811</t>
  </si>
  <si>
    <t>4992455435</t>
  </si>
  <si>
    <t>4992455216</t>
  </si>
  <si>
    <t>4992454015</t>
  </si>
  <si>
    <t>Усачева ул., дом. 29 к.2</t>
  </si>
  <si>
    <t>4992463412</t>
  </si>
  <si>
    <t>4992454764</t>
  </si>
  <si>
    <t>4992455930</t>
  </si>
  <si>
    <t>4992455685</t>
  </si>
  <si>
    <t>4992454367</t>
  </si>
  <si>
    <t>4992455189</t>
  </si>
  <si>
    <t>4992454039</t>
  </si>
  <si>
    <t>4992455315</t>
  </si>
  <si>
    <t>4992455034</t>
  </si>
  <si>
    <t>4992453516</t>
  </si>
  <si>
    <t>4992453524</t>
  </si>
  <si>
    <t>4992460939</t>
  </si>
  <si>
    <t>4992461966</t>
  </si>
  <si>
    <t>4992461987</t>
  </si>
  <si>
    <t>4992450896</t>
  </si>
  <si>
    <t>4992460475</t>
  </si>
  <si>
    <t>4992460255</t>
  </si>
  <si>
    <t>4992464597</t>
  </si>
  <si>
    <t>4992462063</t>
  </si>
  <si>
    <t>4992468800</t>
  </si>
  <si>
    <t>4992465426</t>
  </si>
  <si>
    <t>4954735590</t>
  </si>
  <si>
    <t>4992464235</t>
  </si>
  <si>
    <t>4992462273</t>
  </si>
  <si>
    <t>4992463233</t>
  </si>
  <si>
    <t>246-32-33</t>
  </si>
  <si>
    <t>4997664303</t>
  </si>
  <si>
    <t>4992452813</t>
  </si>
  <si>
    <t>-4992462153</t>
  </si>
  <si>
    <t>4992464058</t>
  </si>
  <si>
    <t>4992463159</t>
  </si>
  <si>
    <t>4992464707</t>
  </si>
  <si>
    <t>4992464366</t>
  </si>
  <si>
    <t>4992465750</t>
  </si>
  <si>
    <t>4992461806</t>
  </si>
  <si>
    <t>4992465802</t>
  </si>
  <si>
    <t>4992464787</t>
  </si>
  <si>
    <t>4992464888</t>
  </si>
  <si>
    <t>4992465952</t>
  </si>
  <si>
    <t>4992465197</t>
  </si>
  <si>
    <t>4992453480</t>
  </si>
  <si>
    <t>4992460306</t>
  </si>
  <si>
    <t>499-730 28 68</t>
  </si>
  <si>
    <t>4992466025</t>
  </si>
  <si>
    <t>4992466115</t>
  </si>
  <si>
    <t>4992466318</t>
  </si>
  <si>
    <t>4992466205</t>
  </si>
  <si>
    <t>4992552741</t>
  </si>
  <si>
    <t>4992557652</t>
  </si>
  <si>
    <t>-4992466260</t>
  </si>
  <si>
    <t>4992466562</t>
  </si>
  <si>
    <t>4992467044</t>
  </si>
  <si>
    <t>-4992467037</t>
  </si>
  <si>
    <t>4992466454</t>
  </si>
  <si>
    <t>4992466604</t>
  </si>
  <si>
    <t>4992467018</t>
  </si>
  <si>
    <t>4992466801</t>
  </si>
  <si>
    <t>4992466704</t>
  </si>
  <si>
    <t>4992467004</t>
  </si>
  <si>
    <t>Усачева ул., дом. 29 к.3</t>
  </si>
  <si>
    <t>4992454288</t>
  </si>
  <si>
    <t>4992454834</t>
  </si>
  <si>
    <t>4992455173</t>
  </si>
  <si>
    <t>4992454260</t>
  </si>
  <si>
    <t>84992454377</t>
  </si>
  <si>
    <t>4992454439</t>
  </si>
  <si>
    <t>4992454990</t>
  </si>
  <si>
    <t>-4992454927</t>
  </si>
  <si>
    <t>-4992460397</t>
  </si>
  <si>
    <t>4992469194</t>
  </si>
  <si>
    <t>4992454064</t>
  </si>
  <si>
    <t>4992455814</t>
  </si>
  <si>
    <t>4992454261</t>
  </si>
  <si>
    <t>4992455056</t>
  </si>
  <si>
    <t>4992455153</t>
  </si>
  <si>
    <t>-4992455631</t>
  </si>
  <si>
    <t>4992455631</t>
  </si>
  <si>
    <t>4992455204</t>
  </si>
  <si>
    <t>4992455297</t>
  </si>
  <si>
    <t>4992455702</t>
  </si>
  <si>
    <t>-4992455477</t>
  </si>
  <si>
    <t>495-245-58-55</t>
  </si>
  <si>
    <t>4992455428</t>
  </si>
  <si>
    <t>4992454864</t>
  </si>
  <si>
    <t>4992455087</t>
  </si>
  <si>
    <t>-4992454239</t>
  </si>
  <si>
    <t>4992454239</t>
  </si>
  <si>
    <t>4992454295</t>
  </si>
  <si>
    <t>4992455927</t>
  </si>
  <si>
    <t>4992552458</t>
  </si>
  <si>
    <t>4992455802</t>
  </si>
  <si>
    <t>4992464615</t>
  </si>
  <si>
    <t>4992454928</t>
  </si>
  <si>
    <t>4992455523</t>
  </si>
  <si>
    <t>4992455821</t>
  </si>
  <si>
    <t>4992454800</t>
  </si>
  <si>
    <t>4992455133</t>
  </si>
  <si>
    <t>4992454427</t>
  </si>
  <si>
    <t>4992454255</t>
  </si>
  <si>
    <t>4992455158</t>
  </si>
  <si>
    <t>4992455857</t>
  </si>
  <si>
    <t>4992454796</t>
  </si>
  <si>
    <t>4992454466</t>
  </si>
  <si>
    <t>4992469214</t>
  </si>
  <si>
    <t>4992454803</t>
  </si>
  <si>
    <t>-4992454543</t>
  </si>
  <si>
    <t>4992454013</t>
  </si>
  <si>
    <t>4992454629</t>
  </si>
  <si>
    <t>4992454862</t>
  </si>
  <si>
    <t>4992454062</t>
  </si>
  <si>
    <t>4992454782</t>
  </si>
  <si>
    <t>4992454420</t>
  </si>
  <si>
    <t>4992454267</t>
  </si>
  <si>
    <t>4992454656</t>
  </si>
  <si>
    <t>4992455759</t>
  </si>
  <si>
    <t>4992454806</t>
  </si>
  <si>
    <t>4992454807</t>
  </si>
  <si>
    <t>4992455751</t>
  </si>
  <si>
    <t>245-78-86</t>
  </si>
  <si>
    <t>4992454819</t>
  </si>
  <si>
    <t>4992455131</t>
  </si>
  <si>
    <t>4992454476</t>
  </si>
  <si>
    <t>4992469638</t>
  </si>
  <si>
    <t>4992469595</t>
  </si>
  <si>
    <t>4992454934</t>
  </si>
  <si>
    <t>4992454475</t>
  </si>
  <si>
    <t>4992454284</t>
  </si>
  <si>
    <t>4992455069</t>
  </si>
  <si>
    <t>4992455049</t>
  </si>
  <si>
    <t>Усачева ул., дом. 29 к.7</t>
  </si>
  <si>
    <t>353</t>
  </si>
  <si>
    <t>4992467862</t>
  </si>
  <si>
    <t>354</t>
  </si>
  <si>
    <t>4992454533</t>
  </si>
  <si>
    <t>355</t>
  </si>
  <si>
    <t>4992454352</t>
  </si>
  <si>
    <t>356</t>
  </si>
  <si>
    <t>-4992454545</t>
  </si>
  <si>
    <t>357</t>
  </si>
  <si>
    <t>4992454353</t>
  </si>
  <si>
    <t>358</t>
  </si>
  <si>
    <t>4992457898</t>
  </si>
  <si>
    <t>359</t>
  </si>
  <si>
    <t>4992455628</t>
  </si>
  <si>
    <t>360</t>
  </si>
  <si>
    <t>4992455062</t>
  </si>
  <si>
    <t>361</t>
  </si>
  <si>
    <t>4992455881</t>
  </si>
  <si>
    <t>362</t>
  </si>
  <si>
    <t>363</t>
  </si>
  <si>
    <t>4992454779</t>
  </si>
  <si>
    <t>364</t>
  </si>
  <si>
    <t>245-84-30</t>
  </si>
  <si>
    <t>4992457342</t>
  </si>
  <si>
    <t>365</t>
  </si>
  <si>
    <t>4992456435</t>
  </si>
  <si>
    <t>366</t>
  </si>
  <si>
    <t>4992454244</t>
  </si>
  <si>
    <t>367</t>
  </si>
  <si>
    <t>4992454361</t>
  </si>
  <si>
    <t>368</t>
  </si>
  <si>
    <t>4992454519</t>
  </si>
  <si>
    <t>369</t>
  </si>
  <si>
    <t>4992454398</t>
  </si>
  <si>
    <t>370</t>
  </si>
  <si>
    <t>4992457997</t>
  </si>
  <si>
    <t>371</t>
  </si>
  <si>
    <t>4992454884</t>
  </si>
  <si>
    <t>372</t>
  </si>
  <si>
    <t>4992454920</t>
  </si>
  <si>
    <t>373</t>
  </si>
  <si>
    <t>4992454014</t>
  </si>
  <si>
    <t>374</t>
  </si>
  <si>
    <t>4992455331</t>
  </si>
  <si>
    <t>375</t>
  </si>
  <si>
    <t>4992455410</t>
  </si>
  <si>
    <t>376</t>
  </si>
  <si>
    <t>4992455161</t>
  </si>
  <si>
    <t>377</t>
  </si>
  <si>
    <t>4992454895</t>
  </si>
  <si>
    <t>378</t>
  </si>
  <si>
    <t>4992455916</t>
  </si>
  <si>
    <t>379</t>
  </si>
  <si>
    <t>380</t>
  </si>
  <si>
    <t>4992454542</t>
  </si>
  <si>
    <t>381</t>
  </si>
  <si>
    <t>4992454282</t>
  </si>
  <si>
    <t>382</t>
  </si>
  <si>
    <t>4992455851</t>
  </si>
  <si>
    <t>383</t>
  </si>
  <si>
    <t>4992455876</t>
  </si>
  <si>
    <t>384</t>
  </si>
  <si>
    <t>4992455560</t>
  </si>
  <si>
    <t>385</t>
  </si>
  <si>
    <t>4992455466</t>
  </si>
  <si>
    <t>-4992455466</t>
  </si>
  <si>
    <t>386</t>
  </si>
  <si>
    <t>4992454291</t>
  </si>
  <si>
    <t>-4992454291</t>
  </si>
  <si>
    <t>387</t>
  </si>
  <si>
    <t>4992454215</t>
  </si>
  <si>
    <t>388</t>
  </si>
  <si>
    <t>4992457896</t>
  </si>
  <si>
    <t>389</t>
  </si>
  <si>
    <t>4992454268</t>
  </si>
  <si>
    <t>4953943268</t>
  </si>
  <si>
    <t>390</t>
  </si>
  <si>
    <t>4992455077</t>
  </si>
  <si>
    <t>263-97-47</t>
  </si>
  <si>
    <t>391</t>
  </si>
  <si>
    <t>4992454448</t>
  </si>
  <si>
    <t>392</t>
  </si>
  <si>
    <t>4992454447</t>
  </si>
  <si>
    <t>393</t>
  </si>
  <si>
    <t>4992454446</t>
  </si>
  <si>
    <t>394</t>
  </si>
  <si>
    <t>4992455283</t>
  </si>
  <si>
    <t>395</t>
  </si>
  <si>
    <t>4992455202</t>
  </si>
  <si>
    <t>396</t>
  </si>
  <si>
    <t>4992454485</t>
  </si>
  <si>
    <t>397</t>
  </si>
  <si>
    <t>-4992454872</t>
  </si>
  <si>
    <t>4992454872</t>
  </si>
  <si>
    <t>398</t>
  </si>
  <si>
    <t>4992455720</t>
  </si>
  <si>
    <t>399</t>
  </si>
  <si>
    <t>4992454193</t>
  </si>
  <si>
    <t>400</t>
  </si>
  <si>
    <t>4992454252</t>
  </si>
  <si>
    <t>401</t>
  </si>
  <si>
    <t>4992455601</t>
  </si>
  <si>
    <t>402</t>
  </si>
  <si>
    <t>4992454249</t>
  </si>
  <si>
    <t>403</t>
  </si>
  <si>
    <t>4992454430</t>
  </si>
  <si>
    <t>404</t>
  </si>
  <si>
    <t>4992454887</t>
  </si>
  <si>
    <t>405</t>
  </si>
  <si>
    <t>4992454632</t>
  </si>
  <si>
    <t>406</t>
  </si>
  <si>
    <t>4992455302</t>
  </si>
  <si>
    <t>407</t>
  </si>
  <si>
    <t>4992455741</t>
  </si>
  <si>
    <t>408</t>
  </si>
  <si>
    <t>4992454127</t>
  </si>
  <si>
    <t>409</t>
  </si>
  <si>
    <t>410</t>
  </si>
  <si>
    <t>4992467879</t>
  </si>
  <si>
    <t>411</t>
  </si>
  <si>
    <t>4992455423</t>
  </si>
  <si>
    <t>412</t>
  </si>
  <si>
    <t>4992454826</t>
  </si>
  <si>
    <t>4992457962</t>
  </si>
  <si>
    <t>413</t>
  </si>
  <si>
    <t>4992552107</t>
  </si>
  <si>
    <t>414</t>
  </si>
  <si>
    <t>4992454558</t>
  </si>
  <si>
    <t>415</t>
  </si>
  <si>
    <t>4992454275</t>
  </si>
  <si>
    <t>416</t>
  </si>
  <si>
    <t>4992454453</t>
  </si>
  <si>
    <t>417</t>
  </si>
  <si>
    <t>4992454104</t>
  </si>
  <si>
    <t>418</t>
  </si>
  <si>
    <t>4992454294</t>
  </si>
  <si>
    <t>419</t>
  </si>
  <si>
    <t>4992462812</t>
  </si>
  <si>
    <t>420</t>
  </si>
  <si>
    <t>+7(499)246-29-31</t>
  </si>
  <si>
    <t>421</t>
  </si>
  <si>
    <t>4992455288</t>
  </si>
  <si>
    <t>422</t>
  </si>
  <si>
    <t>4992454618</t>
  </si>
  <si>
    <t>423</t>
  </si>
  <si>
    <t>424</t>
  </si>
  <si>
    <t>425</t>
  </si>
  <si>
    <t>4992454279</t>
  </si>
  <si>
    <t>426</t>
  </si>
  <si>
    <t>4992455790</t>
  </si>
  <si>
    <t>427</t>
  </si>
  <si>
    <t>428</t>
  </si>
  <si>
    <t>4992455285</t>
  </si>
  <si>
    <t>Усачева ул., дом. 29 к.8</t>
  </si>
  <si>
    <t>429</t>
  </si>
  <si>
    <t>4992468020</t>
  </si>
  <si>
    <t>430</t>
  </si>
  <si>
    <t>4992454686</t>
  </si>
  <si>
    <t>430А</t>
  </si>
  <si>
    <t>4992455381</t>
  </si>
  <si>
    <t>431</t>
  </si>
  <si>
    <t>4992462078</t>
  </si>
  <si>
    <t>432</t>
  </si>
  <si>
    <t>4992455813</t>
  </si>
  <si>
    <t>432А</t>
  </si>
  <si>
    <t>4992455542</t>
  </si>
  <si>
    <t>433</t>
  </si>
  <si>
    <t>4992454359</t>
  </si>
  <si>
    <t>434</t>
  </si>
  <si>
    <t>4992467555</t>
  </si>
  <si>
    <t>434А</t>
  </si>
  <si>
    <t>4992455801</t>
  </si>
  <si>
    <t>435</t>
  </si>
  <si>
    <t>4992455617</t>
  </si>
  <si>
    <t>436</t>
  </si>
  <si>
    <t>-4992455726</t>
  </si>
  <si>
    <t>436А</t>
  </si>
  <si>
    <t>4992469136</t>
  </si>
  <si>
    <t>437</t>
  </si>
  <si>
    <t>4992455023</t>
  </si>
  <si>
    <t>438</t>
  </si>
  <si>
    <t>4992454592</t>
  </si>
  <si>
    <t>438А</t>
  </si>
  <si>
    <t>4992454761</t>
  </si>
  <si>
    <t>439</t>
  </si>
  <si>
    <t>4992455005</t>
  </si>
  <si>
    <t>440</t>
  </si>
  <si>
    <t>441</t>
  </si>
  <si>
    <t>4992455507</t>
  </si>
  <si>
    <t>442</t>
  </si>
  <si>
    <t>4992467000</t>
  </si>
  <si>
    <t>443</t>
  </si>
  <si>
    <t>4992455648</t>
  </si>
  <si>
    <t>444</t>
  </si>
  <si>
    <t>4992455564</t>
  </si>
  <si>
    <t>445</t>
  </si>
  <si>
    <t>4992454512</t>
  </si>
  <si>
    <t>446</t>
  </si>
  <si>
    <t>4992455394</t>
  </si>
  <si>
    <t>447</t>
  </si>
  <si>
    <t>4992455672</t>
  </si>
  <si>
    <t>448</t>
  </si>
  <si>
    <t>4992455743</t>
  </si>
  <si>
    <t>449</t>
  </si>
  <si>
    <t>4992468114</t>
  </si>
  <si>
    <t>450</t>
  </si>
  <si>
    <t>4992455385</t>
  </si>
  <si>
    <t>451</t>
  </si>
  <si>
    <t>4992455707</t>
  </si>
  <si>
    <t>452</t>
  </si>
  <si>
    <t>4992455334</t>
  </si>
  <si>
    <t>453</t>
  </si>
  <si>
    <t>-4992452331</t>
  </si>
  <si>
    <t>454</t>
  </si>
  <si>
    <t>4992454965</t>
  </si>
  <si>
    <t>455</t>
  </si>
  <si>
    <t>4992454608</t>
  </si>
  <si>
    <t>456</t>
  </si>
  <si>
    <t>4992451072</t>
  </si>
  <si>
    <t>457</t>
  </si>
  <si>
    <t>4992455615</t>
  </si>
  <si>
    <t>458</t>
  </si>
  <si>
    <t>4992454948</t>
  </si>
  <si>
    <t>459</t>
  </si>
  <si>
    <t>4992450539</t>
  </si>
  <si>
    <t>461</t>
  </si>
  <si>
    <t>4992452195</t>
  </si>
  <si>
    <t>462</t>
  </si>
  <si>
    <t>4992468535</t>
  </si>
  <si>
    <t>463</t>
  </si>
  <si>
    <t>4992455762</t>
  </si>
  <si>
    <t>464</t>
  </si>
  <si>
    <t>4992454231</t>
  </si>
  <si>
    <t>465</t>
  </si>
  <si>
    <t>4992455787</t>
  </si>
  <si>
    <t>466</t>
  </si>
  <si>
    <t>4992454660</t>
  </si>
  <si>
    <t>467</t>
  </si>
  <si>
    <t>4992455109</t>
  </si>
  <si>
    <t>468</t>
  </si>
  <si>
    <t>4992455256</t>
  </si>
  <si>
    <t>469</t>
  </si>
  <si>
    <t>-4992454662</t>
  </si>
  <si>
    <t>470</t>
  </si>
  <si>
    <t>4992468046</t>
  </si>
  <si>
    <t>471</t>
  </si>
  <si>
    <t>4992463704</t>
  </si>
  <si>
    <t>472</t>
  </si>
  <si>
    <t>4992454444</t>
  </si>
  <si>
    <t>473</t>
  </si>
  <si>
    <t>474</t>
  </si>
  <si>
    <t>4992468038</t>
  </si>
  <si>
    <t>475</t>
  </si>
  <si>
    <t>4992455886</t>
  </si>
  <si>
    <t>476</t>
  </si>
  <si>
    <t>4992454808</t>
  </si>
  <si>
    <t>477</t>
  </si>
  <si>
    <t>4992454898</t>
  </si>
  <si>
    <t>478</t>
  </si>
  <si>
    <t>4992462193</t>
  </si>
  <si>
    <t>479</t>
  </si>
  <si>
    <t>4992454217</t>
  </si>
  <si>
    <t>480</t>
  </si>
  <si>
    <t>4992455772</t>
  </si>
  <si>
    <t>481</t>
  </si>
  <si>
    <t>-4992455809</t>
  </si>
  <si>
    <t>482</t>
  </si>
  <si>
    <t>4992455729</t>
  </si>
  <si>
    <t>483</t>
  </si>
  <si>
    <t>4997664679</t>
  </si>
  <si>
    <t>484</t>
  </si>
  <si>
    <t>4992455043</t>
  </si>
  <si>
    <t>485</t>
  </si>
  <si>
    <t>4992454094</t>
  </si>
  <si>
    <t>486</t>
  </si>
  <si>
    <t>4992454596</t>
  </si>
  <si>
    <t>487</t>
  </si>
  <si>
    <t>4992463832</t>
  </si>
  <si>
    <t>488</t>
  </si>
  <si>
    <t>4992454096</t>
  </si>
  <si>
    <t>Усачева ул., дом. 29 к.9</t>
  </si>
  <si>
    <t>491</t>
  </si>
  <si>
    <t>4992487442</t>
  </si>
  <si>
    <t>492</t>
  </si>
  <si>
    <t>4992454050</t>
  </si>
  <si>
    <t>493</t>
  </si>
  <si>
    <t>4992454246</t>
  </si>
  <si>
    <t>494</t>
  </si>
  <si>
    <t>4992455606</t>
  </si>
  <si>
    <t>495</t>
  </si>
  <si>
    <t>4954663298</t>
  </si>
  <si>
    <t>496</t>
  </si>
  <si>
    <t>4992454265</t>
  </si>
  <si>
    <t>497</t>
  </si>
  <si>
    <t>4992455113</t>
  </si>
  <si>
    <t>-4992455113</t>
  </si>
  <si>
    <t>498</t>
  </si>
  <si>
    <t>2455261499</t>
  </si>
  <si>
    <t>499</t>
  </si>
  <si>
    <t>4992455521</t>
  </si>
  <si>
    <t>500</t>
  </si>
  <si>
    <t>4992455514</t>
  </si>
  <si>
    <t>84992455514</t>
  </si>
  <si>
    <t>501</t>
  </si>
  <si>
    <t>4992455704</t>
  </si>
  <si>
    <t>502</t>
  </si>
  <si>
    <t>4992455274</t>
  </si>
  <si>
    <t>503</t>
  </si>
  <si>
    <t>-4992466259</t>
  </si>
  <si>
    <t>504</t>
  </si>
  <si>
    <t>-4992557519</t>
  </si>
  <si>
    <t>505</t>
  </si>
  <si>
    <t>4992455221</t>
  </si>
  <si>
    <t>506</t>
  </si>
  <si>
    <t>4992454692</t>
  </si>
  <si>
    <t>507</t>
  </si>
  <si>
    <t>4992455432</t>
  </si>
  <si>
    <t>508</t>
  </si>
  <si>
    <t>4992455686</t>
  </si>
  <si>
    <t>509</t>
  </si>
  <si>
    <t>4992455059</t>
  </si>
  <si>
    <t>510</t>
  </si>
  <si>
    <t>4992557512</t>
  </si>
  <si>
    <t>511</t>
  </si>
  <si>
    <t>4992455300</t>
  </si>
  <si>
    <t>512</t>
  </si>
  <si>
    <t>4992455010</t>
  </si>
  <si>
    <t>513</t>
  </si>
  <si>
    <t>4992455676</t>
  </si>
  <si>
    <t>4992452379</t>
  </si>
  <si>
    <t>514</t>
  </si>
  <si>
    <t>516</t>
  </si>
  <si>
    <t>4992454017</t>
  </si>
  <si>
    <t>517</t>
  </si>
  <si>
    <t>4992454646</t>
  </si>
  <si>
    <t>518</t>
  </si>
  <si>
    <t>4992455610</t>
  </si>
  <si>
    <t>519</t>
  </si>
  <si>
    <t>4992455623</t>
  </si>
  <si>
    <t>520</t>
  </si>
  <si>
    <t>4992454575</t>
  </si>
  <si>
    <t>521</t>
  </si>
  <si>
    <t>4992454115</t>
  </si>
  <si>
    <t>522</t>
  </si>
  <si>
    <t>4992455008</t>
  </si>
  <si>
    <t>523</t>
  </si>
  <si>
    <t>4992455251</t>
  </si>
  <si>
    <t>524</t>
  </si>
  <si>
    <t>4992455546</t>
  </si>
  <si>
    <t>525</t>
  </si>
  <si>
    <t>4992454022</t>
  </si>
  <si>
    <t>526</t>
  </si>
  <si>
    <t>499-255-30-50</t>
  </si>
  <si>
    <t>527</t>
  </si>
  <si>
    <t>4992454452</t>
  </si>
  <si>
    <t>528</t>
  </si>
  <si>
    <t>4992455032</t>
  </si>
  <si>
    <t>529</t>
  </si>
  <si>
    <t>4992455479</t>
  </si>
  <si>
    <t>530</t>
  </si>
  <si>
    <t>4992454040</t>
  </si>
  <si>
    <t>531</t>
  </si>
  <si>
    <t>4992454690</t>
  </si>
  <si>
    <t>532</t>
  </si>
  <si>
    <t>4992455566</t>
  </si>
  <si>
    <t>533</t>
  </si>
  <si>
    <t>4992455926</t>
  </si>
  <si>
    <t>534</t>
  </si>
  <si>
    <t>4992455592</t>
  </si>
  <si>
    <t>535</t>
  </si>
  <si>
    <t>4992455952</t>
  </si>
  <si>
    <t>536</t>
  </si>
  <si>
    <t>4992454612</t>
  </si>
  <si>
    <t>537</t>
  </si>
  <si>
    <t>4992455706</t>
  </si>
  <si>
    <t>538</t>
  </si>
  <si>
    <t>-4992455091</t>
  </si>
  <si>
    <t>539</t>
  </si>
  <si>
    <t>4992455419</t>
  </si>
  <si>
    <t>540</t>
  </si>
  <si>
    <t>4992454541</t>
  </si>
  <si>
    <t>541</t>
  </si>
  <si>
    <t>4992455797</t>
  </si>
  <si>
    <t>542</t>
  </si>
  <si>
    <t>4992454856</t>
  </si>
  <si>
    <t>543</t>
  </si>
  <si>
    <t>4992455528</t>
  </si>
  <si>
    <t>544</t>
  </si>
  <si>
    <t>4992455443</t>
  </si>
  <si>
    <t>-4992455443</t>
  </si>
  <si>
    <t>545</t>
  </si>
  <si>
    <t>4992462329</t>
  </si>
  <si>
    <t>546</t>
  </si>
  <si>
    <t>546А</t>
  </si>
  <si>
    <t>547</t>
  </si>
  <si>
    <t>4992454691</t>
  </si>
  <si>
    <t>548</t>
  </si>
  <si>
    <t>4992454930</t>
  </si>
  <si>
    <t>549</t>
  </si>
  <si>
    <t>4992454110</t>
  </si>
  <si>
    <t>550</t>
  </si>
  <si>
    <t>4954215480</t>
  </si>
  <si>
    <t>4994215480</t>
  </si>
  <si>
    <t>551</t>
  </si>
  <si>
    <t>4992455232</t>
  </si>
  <si>
    <t>552</t>
  </si>
  <si>
    <t>4992454790</t>
  </si>
  <si>
    <t>553</t>
  </si>
  <si>
    <t>554</t>
  </si>
  <si>
    <t>4992455400</t>
  </si>
  <si>
    <t>555</t>
  </si>
  <si>
    <t>4992454501</t>
  </si>
  <si>
    <t>556</t>
  </si>
  <si>
    <t>4992455118</t>
  </si>
  <si>
    <t>557</t>
  </si>
  <si>
    <t>4992454037</t>
  </si>
  <si>
    <t>558</t>
  </si>
  <si>
    <t>4992455063</t>
  </si>
  <si>
    <t>Усачева ул., дом. 38</t>
  </si>
  <si>
    <t>247-19-46</t>
  </si>
  <si>
    <t>4992557945</t>
  </si>
  <si>
    <t>246-77-98</t>
  </si>
  <si>
    <t>4992469201</t>
  </si>
  <si>
    <t>4992461035</t>
  </si>
  <si>
    <t>84992557929</t>
  </si>
  <si>
    <t>4992460937</t>
  </si>
  <si>
    <t>84992460953</t>
  </si>
  <si>
    <t>4992457776</t>
  </si>
  <si>
    <t>84992557965</t>
  </si>
  <si>
    <t>4992460990</t>
  </si>
  <si>
    <t>84992460412</t>
  </si>
  <si>
    <t>-4992460974</t>
  </si>
  <si>
    <t>84992460959</t>
  </si>
  <si>
    <t>246-09-59</t>
  </si>
  <si>
    <t>84992460955</t>
  </si>
  <si>
    <t>4992557966</t>
  </si>
  <si>
    <t>246-10-33</t>
  </si>
  <si>
    <t>245-50-62</t>
  </si>
  <si>
    <t>246-77-96</t>
  </si>
  <si>
    <t>247-19-60</t>
  </si>
  <si>
    <t>246-13-10</t>
  </si>
  <si>
    <t>246-62-55</t>
  </si>
  <si>
    <t>84992467751</t>
  </si>
  <si>
    <t>84999077327</t>
  </si>
  <si>
    <t>247-00-55</t>
  </si>
  <si>
    <t>246-10-56</t>
  </si>
  <si>
    <t>9260715895</t>
  </si>
  <si>
    <t>245-22-55</t>
  </si>
  <si>
    <t>4992461075</t>
  </si>
  <si>
    <t>4992552051</t>
  </si>
  <si>
    <t>84992552050</t>
  </si>
  <si>
    <t>246-10-90</t>
  </si>
  <si>
    <t>4992466512</t>
  </si>
  <si>
    <t>246-10-93</t>
  </si>
  <si>
    <t>246-10-96</t>
  </si>
  <si>
    <t>89057893913</t>
  </si>
  <si>
    <t>246-99-15</t>
  </si>
  <si>
    <t>4992453568</t>
  </si>
  <si>
    <t>4992463735</t>
  </si>
  <si>
    <t>4992552058</t>
  </si>
  <si>
    <t>84992552056</t>
  </si>
  <si>
    <t>84992461132</t>
  </si>
  <si>
    <t>247-00-47</t>
  </si>
  <si>
    <t>245-29-19</t>
  </si>
  <si>
    <t>246-97-11</t>
  </si>
  <si>
    <t>246-13-52</t>
  </si>
  <si>
    <t>246-19-70</t>
  </si>
  <si>
    <t>84997699499</t>
  </si>
  <si>
    <t>4992465230</t>
  </si>
  <si>
    <t>247-00-70</t>
  </si>
  <si>
    <t>247-00-73</t>
  </si>
  <si>
    <t>499 246-23-90</t>
  </si>
  <si>
    <t>4992467903</t>
  </si>
  <si>
    <t>(499)255-20-14</t>
  </si>
  <si>
    <t>4992461183</t>
  </si>
  <si>
    <t>246-19-52</t>
  </si>
  <si>
    <t>246-14-97</t>
  </si>
  <si>
    <t>246-14-96</t>
  </si>
  <si>
    <t>4992467845</t>
  </si>
  <si>
    <t>4992552005</t>
  </si>
  <si>
    <t>8499246-13-33</t>
  </si>
  <si>
    <t>246-13-58</t>
  </si>
  <si>
    <t>246-13-54</t>
  </si>
  <si>
    <t>4992552090</t>
  </si>
  <si>
    <t>9031867311</t>
  </si>
  <si>
    <t>499-255-20-92</t>
  </si>
  <si>
    <t>246-06-29</t>
  </si>
  <si>
    <t>247-00-10</t>
  </si>
  <si>
    <t>247-48-38</t>
  </si>
  <si>
    <t>245-10-26</t>
  </si>
  <si>
    <t>84992461536</t>
  </si>
  <si>
    <t>246-37-37</t>
  </si>
  <si>
    <t>247-00-76</t>
  </si>
  <si>
    <t>246-15-34</t>
  </si>
  <si>
    <t>89031892560</t>
  </si>
  <si>
    <t>Усачева ул., дом. 40</t>
  </si>
  <si>
    <t>246-34-00</t>
  </si>
  <si>
    <t>246-95-15</t>
  </si>
  <si>
    <t>4992468182</t>
  </si>
  <si>
    <t>4992461456</t>
  </si>
  <si>
    <t>4992468280</t>
  </si>
  <si>
    <t>84992468462</t>
  </si>
  <si>
    <t>246-60-80</t>
  </si>
  <si>
    <t>84992457446</t>
  </si>
  <si>
    <t>499-246-72-37</t>
  </si>
  <si>
    <t>84992467117</t>
  </si>
  <si>
    <t>499-246-53-39</t>
  </si>
  <si>
    <t>245-71-58</t>
  </si>
  <si>
    <t>246-92-50</t>
  </si>
  <si>
    <t>246-70-15</t>
  </si>
  <si>
    <t>4992466934</t>
  </si>
  <si>
    <t>246-85-48</t>
  </si>
  <si>
    <t>4992453141</t>
  </si>
  <si>
    <t>4992451766</t>
  </si>
  <si>
    <t>246-93-13</t>
  </si>
  <si>
    <t>84992469267</t>
  </si>
  <si>
    <t>245-28-87</t>
  </si>
  <si>
    <t>4992466927</t>
  </si>
  <si>
    <t>499-246-85-42</t>
  </si>
  <si>
    <t>499-245-25-40</t>
  </si>
  <si>
    <t>4992453047</t>
  </si>
  <si>
    <t>246-54-82</t>
  </si>
  <si>
    <t>4992469592</t>
  </si>
  <si>
    <t>4992468485</t>
  </si>
  <si>
    <t>4992466811</t>
  </si>
  <si>
    <t>246-66-60</t>
  </si>
  <si>
    <t>246-95-99</t>
  </si>
  <si>
    <t>246-95-61</t>
  </si>
  <si>
    <t>4992469598</t>
  </si>
  <si>
    <t>499 246-96-00</t>
  </si>
  <si>
    <t>4992453395</t>
  </si>
  <si>
    <t>246-86-31</t>
  </si>
  <si>
    <t>4992453326</t>
  </si>
  <si>
    <t>4992467566</t>
  </si>
  <si>
    <t>4992453006</t>
  </si>
  <si>
    <t>4992451516</t>
  </si>
  <si>
    <t>4992452224</t>
  </si>
  <si>
    <t>246-73-78</t>
  </si>
  <si>
    <t>246-27-23</t>
  </si>
  <si>
    <t>246-75-80</t>
  </si>
  <si>
    <t>84992452724</t>
  </si>
  <si>
    <t>4992457745</t>
  </si>
  <si>
    <t>245-15-67</t>
  </si>
  <si>
    <t>245-36-98</t>
  </si>
  <si>
    <t>246-73-81</t>
  </si>
  <si>
    <t>499 246-73-21</t>
  </si>
  <si>
    <t>246-72-35</t>
  </si>
  <si>
    <t>84992451568</t>
  </si>
  <si>
    <t>4992468699</t>
  </si>
  <si>
    <t>495-246-86-44</t>
  </si>
  <si>
    <t>245-34-37</t>
  </si>
  <si>
    <t>-4992467168</t>
  </si>
  <si>
    <t>245-15-72</t>
  </si>
  <si>
    <t>4992465938</t>
  </si>
  <si>
    <t>4992451585</t>
  </si>
  <si>
    <t>499-246-87-12</t>
  </si>
  <si>
    <t>+8(499)246-23-97</t>
  </si>
  <si>
    <t>4992468456</t>
  </si>
  <si>
    <t>84992451589</t>
  </si>
  <si>
    <t>245-15-93</t>
  </si>
  <si>
    <t>245-15-96</t>
  </si>
  <si>
    <t>246-25-65</t>
  </si>
  <si>
    <t>246-78-02</t>
  </si>
  <si>
    <t>246-87-98</t>
  </si>
  <si>
    <t>4992451616</t>
  </si>
  <si>
    <t>4992462568</t>
  </si>
  <si>
    <t>84992451640</t>
  </si>
  <si>
    <t>246-08-02</t>
  </si>
  <si>
    <t>4992468744</t>
  </si>
  <si>
    <t>246-36-29</t>
  </si>
  <si>
    <t>84992468878</t>
  </si>
  <si>
    <t>84992451672</t>
  </si>
  <si>
    <t>4992451634</t>
  </si>
  <si>
    <t>4992466967</t>
  </si>
  <si>
    <t>245-05-56</t>
  </si>
  <si>
    <t>499-246-61-34</t>
  </si>
  <si>
    <t>246-34-74</t>
  </si>
  <si>
    <t>84992469232</t>
  </si>
  <si>
    <t>4992467203</t>
  </si>
  <si>
    <t>4992466822</t>
  </si>
  <si>
    <t>245-16-90</t>
  </si>
  <si>
    <t>4992468862</t>
  </si>
  <si>
    <t>4992453464</t>
  </si>
  <si>
    <t>246-91-32</t>
  </si>
  <si>
    <t>4992451688</t>
  </si>
  <si>
    <t>246-72-02</t>
  </si>
  <si>
    <t>245-17-08</t>
  </si>
  <si>
    <t>Усачева ул., дом. 62</t>
  </si>
  <si>
    <t>-4992461044</t>
  </si>
  <si>
    <t>246-36-82</t>
  </si>
  <si>
    <t>4992465503</t>
  </si>
  <si>
    <t>-84992467216</t>
  </si>
  <si>
    <t>499-246-83-79</t>
  </si>
  <si>
    <t>246-67-99</t>
  </si>
  <si>
    <t>245-15-22</t>
  </si>
  <si>
    <t>4992457194</t>
  </si>
  <si>
    <t>4992552106</t>
  </si>
  <si>
    <t>245-72-90</t>
  </si>
  <si>
    <t>499-245-72-95</t>
  </si>
  <si>
    <t>4992552174</t>
  </si>
  <si>
    <t>499-245-91-49</t>
  </si>
  <si>
    <t>245-73-07</t>
  </si>
  <si>
    <t>499-246-78-24</t>
  </si>
  <si>
    <t>246-87-32</t>
  </si>
  <si>
    <t>499-255-85-65</t>
  </si>
  <si>
    <t>89851485558</t>
  </si>
  <si>
    <t>246-05-68</t>
  </si>
  <si>
    <t>245-79-17</t>
  </si>
  <si>
    <t>499-246-29-34</t>
  </si>
  <si>
    <t>248-56-13</t>
  </si>
  <si>
    <t>246-28-70</t>
  </si>
  <si>
    <t>246-03-80</t>
  </si>
  <si>
    <t>245-17-00</t>
  </si>
  <si>
    <t>499-246-55-04</t>
  </si>
  <si>
    <t>4997664403</t>
  </si>
  <si>
    <t>499-245-93-04</t>
  </si>
  <si>
    <t>499-245-41-45</t>
  </si>
  <si>
    <t>246-22-72</t>
  </si>
  <si>
    <t>499 255-23-34</t>
  </si>
  <si>
    <t>84992459217</t>
  </si>
  <si>
    <t>245-78-71</t>
  </si>
  <si>
    <t>499-766-48-80</t>
  </si>
  <si>
    <t>4992454468</t>
  </si>
  <si>
    <t>4992469742</t>
  </si>
  <si>
    <t>246-30-81</t>
  </si>
  <si>
    <t>499-766-43-84</t>
  </si>
  <si>
    <t>84992453864</t>
  </si>
  <si>
    <t>246-67-66</t>
  </si>
  <si>
    <t>245-13-69</t>
  </si>
  <si>
    <t>245-05-77</t>
  </si>
  <si>
    <t>4992460074</t>
  </si>
  <si>
    <t>246-01-52</t>
  </si>
  <si>
    <t>245-10-41</t>
  </si>
  <si>
    <t>245-39-70</t>
  </si>
  <si>
    <t>4992464619</t>
  </si>
  <si>
    <t>246-02-71</t>
  </si>
  <si>
    <t>246-50-02</t>
  </si>
  <si>
    <t>84992553421</t>
  </si>
  <si>
    <t>Учебный пер., дом. 2</t>
  </si>
  <si>
    <t>-4992480016</t>
  </si>
  <si>
    <t>246-77-92</t>
  </si>
  <si>
    <t>4992484361</t>
  </si>
  <si>
    <t>-4992483501</t>
  </si>
  <si>
    <t>84992456336</t>
  </si>
  <si>
    <t>-4992484456</t>
  </si>
  <si>
    <t>4992460282</t>
  </si>
  <si>
    <t>4992465593</t>
  </si>
  <si>
    <t>246-58-34</t>
  </si>
  <si>
    <t>4992465049</t>
  </si>
  <si>
    <t>499-248-01-85</t>
  </si>
  <si>
    <t>499-246-38-71</t>
  </si>
  <si>
    <t>246-37-22</t>
  </si>
  <si>
    <t>4992468429</t>
  </si>
  <si>
    <t>4992464656</t>
  </si>
  <si>
    <t>4992469280</t>
  </si>
  <si>
    <t>246-49-32</t>
  </si>
  <si>
    <t>4992455180</t>
  </si>
  <si>
    <t>4992464309</t>
  </si>
  <si>
    <t>4992464179</t>
  </si>
  <si>
    <t>248-01-69</t>
  </si>
  <si>
    <t>4992485274</t>
  </si>
  <si>
    <t>248-00-17</t>
  </si>
  <si>
    <t>246-36-75</t>
  </si>
  <si>
    <t>4997664131</t>
  </si>
  <si>
    <t>84992480051</t>
  </si>
  <si>
    <t>245-55-40</t>
  </si>
  <si>
    <t>499-248-63-01</t>
  </si>
  <si>
    <t>84992467977</t>
  </si>
  <si>
    <t>4992466310</t>
  </si>
  <si>
    <t>499-246-31-97</t>
  </si>
  <si>
    <t>246-24-53</t>
  </si>
  <si>
    <t>248-18-11</t>
  </si>
  <si>
    <t>245-28-71</t>
  </si>
  <si>
    <t>84992485541</t>
  </si>
  <si>
    <t>4992466206</t>
  </si>
  <si>
    <t>246-39-38</t>
  </si>
  <si>
    <t>4992454992</t>
  </si>
  <si>
    <t>248-05-28</t>
  </si>
  <si>
    <t>499-245-56-54</t>
  </si>
  <si>
    <t>4992465229</t>
  </si>
  <si>
    <t>248-68-29</t>
  </si>
  <si>
    <t>248-68-92</t>
  </si>
  <si>
    <t>246-52-16</t>
  </si>
  <si>
    <t>4992468359</t>
  </si>
  <si>
    <t>248-06-78</t>
  </si>
  <si>
    <t>4992486207</t>
  </si>
  <si>
    <t>4992466931</t>
  </si>
  <si>
    <t>4992468553</t>
  </si>
  <si>
    <t>248-52-43</t>
  </si>
  <si>
    <t>246-98-30</t>
  </si>
  <si>
    <t>4992480249</t>
  </si>
  <si>
    <t>84992480236</t>
  </si>
  <si>
    <t>499-248-07-36</t>
  </si>
  <si>
    <t>499-246-61-03</t>
  </si>
  <si>
    <t>499-245-91-93</t>
  </si>
  <si>
    <t>84952453582</t>
  </si>
  <si>
    <t>4992528686</t>
  </si>
  <si>
    <t>246-39-96</t>
  </si>
  <si>
    <t>84992480039</t>
  </si>
  <si>
    <t>84992480247</t>
  </si>
  <si>
    <t>245-22-14</t>
  </si>
  <si>
    <t>84992452685</t>
  </si>
  <si>
    <t>4992464939</t>
  </si>
  <si>
    <t>248-15-83</t>
  </si>
  <si>
    <t>672-83-56</t>
  </si>
  <si>
    <t>245-34-42</t>
  </si>
  <si>
    <t>248-68-47</t>
  </si>
  <si>
    <t>4992528782</t>
  </si>
  <si>
    <t>4992480875</t>
  </si>
  <si>
    <t>-4992453025</t>
  </si>
  <si>
    <t>246-40-40</t>
  </si>
  <si>
    <t>246-39-79</t>
  </si>
  <si>
    <t>248-06-97</t>
  </si>
  <si>
    <t>245-28-32</t>
  </si>
  <si>
    <t>246-59-13</t>
  </si>
  <si>
    <t>246-89-99</t>
  </si>
  <si>
    <t>-4992465728</t>
  </si>
  <si>
    <t>84992485174</t>
  </si>
  <si>
    <t>247-17-74</t>
  </si>
  <si>
    <t>247-06-72</t>
  </si>
  <si>
    <t>246-78-52</t>
  </si>
  <si>
    <t>245-22-88</t>
  </si>
  <si>
    <t>4992468880</t>
  </si>
  <si>
    <t>4997083602</t>
  </si>
  <si>
    <t>248-03-56</t>
  </si>
  <si>
    <t>246-26-83</t>
  </si>
  <si>
    <t>-4992557618</t>
  </si>
  <si>
    <t>-84997664130</t>
  </si>
  <si>
    <t>244-06-78</t>
  </si>
  <si>
    <t>248-10-74</t>
  </si>
  <si>
    <t>-84992481074</t>
  </si>
  <si>
    <t>9099014872</t>
  </si>
  <si>
    <t>84992557435</t>
  </si>
  <si>
    <t>247-18-45</t>
  </si>
  <si>
    <t>248-15-92</t>
  </si>
  <si>
    <t>499-248-27-74</t>
  </si>
  <si>
    <t>245-39-54</t>
  </si>
  <si>
    <t>245-32-49</t>
  </si>
  <si>
    <t>245-05-76</t>
  </si>
  <si>
    <t>84992453951</t>
  </si>
  <si>
    <t>499 246-74-93</t>
  </si>
  <si>
    <t>248-05-21</t>
  </si>
  <si>
    <t>4992451150</t>
  </si>
  <si>
    <t>246-73-17</t>
  </si>
  <si>
    <t>4992480832</t>
  </si>
  <si>
    <t>246-74-91</t>
  </si>
  <si>
    <t>84992480746</t>
  </si>
  <si>
    <t>4992469917</t>
  </si>
  <si>
    <t>4992466422</t>
  </si>
  <si>
    <t>248-58-94</t>
  </si>
  <si>
    <t>4992485860</t>
  </si>
  <si>
    <t>+7(916)695-91-05</t>
  </si>
  <si>
    <t>4992466313</t>
  </si>
  <si>
    <t>4992455097</t>
  </si>
  <si>
    <t>4992460376</t>
  </si>
  <si>
    <t>4992485212</t>
  </si>
  <si>
    <t>4992480839</t>
  </si>
  <si>
    <t>4992467404</t>
  </si>
  <si>
    <t>4992468901</t>
  </si>
  <si>
    <t>246-89-08</t>
  </si>
  <si>
    <t>-4992467907</t>
  </si>
  <si>
    <t>245-59-97</t>
  </si>
  <si>
    <t>84992455481</t>
  </si>
  <si>
    <t>4992480187</t>
  </si>
  <si>
    <t>245-43-62</t>
  </si>
  <si>
    <t>499-248-02-65</t>
  </si>
  <si>
    <t>-84992480265</t>
  </si>
  <si>
    <t>248-43-39</t>
  </si>
  <si>
    <t>Учебный пер., дом. 3</t>
  </si>
  <si>
    <t>4992484347</t>
  </si>
  <si>
    <t>4992463733</t>
  </si>
  <si>
    <t>245-14-32</t>
  </si>
  <si>
    <t>246-57-96</t>
  </si>
  <si>
    <t>84992552129</t>
  </si>
  <si>
    <t>248-42-17</t>
  </si>
  <si>
    <t>4992465875</t>
  </si>
  <si>
    <t>84992466757</t>
  </si>
  <si>
    <t>246-95-70</t>
  </si>
  <si>
    <t>4992451632</t>
  </si>
  <si>
    <t>246-39-37</t>
  </si>
  <si>
    <t>84992463937</t>
  </si>
  <si>
    <t>245-38-32</t>
  </si>
  <si>
    <t>248-40-96</t>
  </si>
  <si>
    <t>84992452412</t>
  </si>
  <si>
    <t>4992463745</t>
  </si>
  <si>
    <t>246-95-93</t>
  </si>
  <si>
    <t>4992453482</t>
  </si>
  <si>
    <t>499 246-84-92</t>
  </si>
  <si>
    <t>499-246-72-77</t>
  </si>
  <si>
    <t>4992468836</t>
  </si>
  <si>
    <t>4992468877</t>
  </si>
  <si>
    <t>245-18-82</t>
  </si>
  <si>
    <t>246-06-37</t>
  </si>
  <si>
    <t>246-72-97</t>
  </si>
  <si>
    <t>246-87-57</t>
  </si>
  <si>
    <t>246-86-94</t>
  </si>
  <si>
    <t>84992468497</t>
  </si>
  <si>
    <t>245-28-79</t>
  </si>
  <si>
    <t>4992453853</t>
  </si>
  <si>
    <t>84992487734</t>
  </si>
  <si>
    <t>2557828</t>
  </si>
  <si>
    <t>4992468392</t>
  </si>
  <si>
    <t>499-246-70-99</t>
  </si>
  <si>
    <t>4992465372</t>
  </si>
  <si>
    <t>4992467119</t>
  </si>
  <si>
    <t>245-20-32</t>
  </si>
  <si>
    <t>84992485654</t>
  </si>
  <si>
    <t>4997664059</t>
  </si>
  <si>
    <t>246-04-16</t>
  </si>
  <si>
    <t>246-64-94</t>
  </si>
  <si>
    <t>84992452893</t>
  </si>
  <si>
    <t>84992464282</t>
  </si>
  <si>
    <t>4992480484</t>
  </si>
  <si>
    <t>246-84-44</t>
  </si>
  <si>
    <t>-4992463573</t>
  </si>
  <si>
    <t>4992452722</t>
  </si>
  <si>
    <t>4992484027</t>
  </si>
  <si>
    <t>4992450321</t>
  </si>
  <si>
    <t>247-10-07</t>
  </si>
  <si>
    <t>499-246-47-36</t>
  </si>
  <si>
    <t>4992462625</t>
  </si>
  <si>
    <t>247-06-73</t>
  </si>
  <si>
    <t>246-02-92</t>
  </si>
  <si>
    <t>248-19-64</t>
  </si>
  <si>
    <t>246-30-99</t>
  </si>
  <si>
    <t>247-37-00</t>
  </si>
  <si>
    <t>4992557280</t>
  </si>
  <si>
    <t>4992481992</t>
  </si>
  <si>
    <t>245-03-22</t>
  </si>
  <si>
    <t>245-26-82</t>
  </si>
  <si>
    <t>499-248-18-98</t>
  </si>
  <si>
    <t>4992452121</t>
  </si>
  <si>
    <t>4997664060</t>
  </si>
  <si>
    <t>4992459180</t>
  </si>
  <si>
    <t>4992450861</t>
  </si>
  <si>
    <t>245-38-61</t>
  </si>
  <si>
    <t>499-245-18-80</t>
  </si>
  <si>
    <t>4992452878</t>
  </si>
  <si>
    <t>248-43-98</t>
  </si>
  <si>
    <t>245-33-28</t>
  </si>
  <si>
    <t>Фрунзе Тимура ул., дом. 16</t>
  </si>
  <si>
    <t>245-36-47</t>
  </si>
  <si>
    <t>4992467708</t>
  </si>
  <si>
    <t>246-95-62</t>
  </si>
  <si>
    <t>246-87-66</t>
  </si>
  <si>
    <t>246-31-15</t>
  </si>
  <si>
    <t>245-31-31</t>
  </si>
  <si>
    <t>246-42-16</t>
  </si>
  <si>
    <t>246-42-55</t>
  </si>
  <si>
    <t>4992552393</t>
  </si>
  <si>
    <t>4992552247</t>
  </si>
  <si>
    <t>84992461755</t>
  </si>
  <si>
    <t>-4992464217</t>
  </si>
  <si>
    <t>246-65-32</t>
  </si>
  <si>
    <t>4992469026</t>
  </si>
  <si>
    <t>4992467249</t>
  </si>
  <si>
    <t>246-27-83</t>
  </si>
  <si>
    <t>246-42-18</t>
  </si>
  <si>
    <t>499 246-83-50</t>
  </si>
  <si>
    <t>246-68-51</t>
  </si>
  <si>
    <t>246-84-09</t>
  </si>
  <si>
    <t>4992468722</t>
  </si>
  <si>
    <t>84992464227</t>
  </si>
  <si>
    <t>499-246-69-21</t>
  </si>
  <si>
    <t>Фрунзе Тимура ул., дом. 18</t>
  </si>
  <si>
    <t>-4992462866</t>
  </si>
  <si>
    <t>-4992467233</t>
  </si>
  <si>
    <t>4992461505</t>
  </si>
  <si>
    <t>-000000000</t>
  </si>
  <si>
    <t>246-14-55</t>
  </si>
  <si>
    <t>246-96-71</t>
  </si>
  <si>
    <t>499-246-83-34</t>
  </si>
  <si>
    <t>4992451520</t>
  </si>
  <si>
    <t>245-14-97</t>
  </si>
  <si>
    <t>246-39-16</t>
  </si>
  <si>
    <t>84957083613</t>
  </si>
  <si>
    <t>4992453034</t>
  </si>
  <si>
    <t>84992466856</t>
  </si>
  <si>
    <t>4992463531</t>
  </si>
  <si>
    <t>4992450954</t>
  </si>
  <si>
    <t>4992465797</t>
  </si>
  <si>
    <t>246-24-38</t>
  </si>
  <si>
    <t>245-74-57</t>
  </si>
  <si>
    <t>245-13-80</t>
  </si>
  <si>
    <t>246-97-22</t>
  </si>
  <si>
    <t>499-246-41-92</t>
  </si>
  <si>
    <t>246-66-78</t>
  </si>
  <si>
    <t>26-А</t>
  </si>
  <si>
    <t>246-86-76</t>
  </si>
  <si>
    <t>84992451600</t>
  </si>
  <si>
    <t>246-93-87</t>
  </si>
  <si>
    <t>Фрунзе Тимура ул., дом. 20</t>
  </si>
  <si>
    <t>4992468344</t>
  </si>
  <si>
    <t>84992557010</t>
  </si>
  <si>
    <t>84992468890</t>
  </si>
  <si>
    <t>499-245-10-91</t>
  </si>
  <si>
    <t>245-19-78</t>
  </si>
  <si>
    <t>245-06-74</t>
  </si>
  <si>
    <t>245-31-32</t>
  </si>
  <si>
    <t>245-25-26</t>
  </si>
  <si>
    <t>499-245-62-99</t>
  </si>
  <si>
    <t>499 246-55-48</t>
  </si>
  <si>
    <t>4992451274</t>
  </si>
  <si>
    <t>4992450968</t>
  </si>
  <si>
    <t>4992466789</t>
  </si>
  <si>
    <t>-4992452078</t>
  </si>
  <si>
    <t>499-246-69-89</t>
  </si>
  <si>
    <t>245-14-68</t>
  </si>
  <si>
    <t>245-16-66</t>
  </si>
  <si>
    <t>4992460149</t>
  </si>
  <si>
    <t>499-246-58-73</t>
  </si>
  <si>
    <t>247-01-28</t>
  </si>
  <si>
    <t>4992464933</t>
  </si>
  <si>
    <t>84992466953</t>
  </si>
  <si>
    <t>+7(916)439-15-78</t>
  </si>
  <si>
    <t>-4992451474</t>
  </si>
  <si>
    <t>499-246-21-70</t>
  </si>
  <si>
    <t>84992451374</t>
  </si>
  <si>
    <t>246-59-56</t>
  </si>
  <si>
    <t>246-14-59</t>
  </si>
  <si>
    <t>246-53-16</t>
  </si>
  <si>
    <t>246-84-64</t>
  </si>
  <si>
    <t>4957083583</t>
  </si>
  <si>
    <t>4992469664</t>
  </si>
  <si>
    <t>246-95-18</t>
  </si>
  <si>
    <t>245-26-32</t>
  </si>
  <si>
    <t>+8(499)245-26-32</t>
  </si>
  <si>
    <t>84992464059</t>
  </si>
  <si>
    <t>4992552098</t>
  </si>
  <si>
    <t>4992459482</t>
  </si>
  <si>
    <t>245-37-74</t>
  </si>
  <si>
    <t>246-58-35</t>
  </si>
  <si>
    <t>246-89-52</t>
  </si>
  <si>
    <t>84992451532</t>
  </si>
  <si>
    <t>708-30-11</t>
  </si>
  <si>
    <t>4992466413</t>
  </si>
  <si>
    <t>499-246-33-78</t>
  </si>
  <si>
    <t>246-81-07</t>
  </si>
  <si>
    <t>8926-225-22-18</t>
  </si>
  <si>
    <t>4992452074</t>
  </si>
  <si>
    <t>4992468861</t>
  </si>
  <si>
    <t>4992468863</t>
  </si>
  <si>
    <t>4992460019</t>
  </si>
  <si>
    <t>84992452278</t>
  </si>
  <si>
    <t>245-26-78</t>
  </si>
  <si>
    <t>245-15-74</t>
  </si>
  <si>
    <t>246-29-06</t>
  </si>
  <si>
    <t>246-87-13</t>
  </si>
  <si>
    <t>245-15-58</t>
  </si>
  <si>
    <t>245-17-71</t>
  </si>
  <si>
    <t>4992451378</t>
  </si>
  <si>
    <t>4992453012</t>
  </si>
  <si>
    <t>245-30-12</t>
  </si>
  <si>
    <t>245-22-92</t>
  </si>
  <si>
    <t>245-07-15</t>
  </si>
  <si>
    <t>495-718-72-59</t>
  </si>
  <si>
    <t>245-16-74</t>
  </si>
  <si>
    <t>246-21-52</t>
  </si>
  <si>
    <t>246-97-15</t>
  </si>
  <si>
    <t>4992463413</t>
  </si>
  <si>
    <t>4992461479</t>
  </si>
  <si>
    <t>245-29-78</t>
  </si>
  <si>
    <t>499-246-10-48</t>
  </si>
  <si>
    <t>333-39-64</t>
  </si>
  <si>
    <t>246-10-48</t>
  </si>
  <si>
    <t>246-39-75</t>
  </si>
  <si>
    <t>84992463559</t>
  </si>
  <si>
    <t>246-35-59</t>
  </si>
  <si>
    <t>2463595</t>
  </si>
  <si>
    <t>4992451068</t>
  </si>
  <si>
    <t>245-09-93</t>
  </si>
  <si>
    <t>4992463450</t>
  </si>
  <si>
    <t>246-64-93</t>
  </si>
  <si>
    <t>449-246-07-91</t>
  </si>
  <si>
    <t>-89859240614</t>
  </si>
  <si>
    <t>7054847</t>
  </si>
  <si>
    <t>246-07-91</t>
  </si>
  <si>
    <t>499-245-11-41</t>
  </si>
  <si>
    <t>4992468390</t>
  </si>
  <si>
    <t>84992465052</t>
  </si>
  <si>
    <t>245-35-32</t>
  </si>
  <si>
    <t>4992463968</t>
  </si>
  <si>
    <t>-4992465054</t>
  </si>
  <si>
    <t>246-50-54</t>
  </si>
  <si>
    <t>245-77-67</t>
  </si>
  <si>
    <t>708-37-43</t>
  </si>
  <si>
    <t>Фрунзе Тимура ул., дом. 22</t>
  </si>
  <si>
    <t>246-57-17</t>
  </si>
  <si>
    <t>246-70-96</t>
  </si>
  <si>
    <t>246-71-85</t>
  </si>
  <si>
    <t>245-14-63</t>
  </si>
  <si>
    <t>499-246-93-31</t>
  </si>
  <si>
    <t>4992461860</t>
  </si>
  <si>
    <t>4992463903</t>
  </si>
  <si>
    <t>245-09-19</t>
  </si>
  <si>
    <t>4992451074</t>
  </si>
  <si>
    <t>-4992450974</t>
  </si>
  <si>
    <t>246-87-17</t>
  </si>
  <si>
    <t>4992460778</t>
  </si>
  <si>
    <t>4992451782</t>
  </si>
  <si>
    <t>245-17-82</t>
  </si>
  <si>
    <t>246-48-99</t>
  </si>
  <si>
    <t>4992467609</t>
  </si>
  <si>
    <t>245-08-74</t>
  </si>
  <si>
    <t>4992461620</t>
  </si>
  <si>
    <t>4992457298</t>
  </si>
  <si>
    <t>246-56-83</t>
  </si>
  <si>
    <t>246-98-58</t>
  </si>
  <si>
    <t>246-16-77</t>
  </si>
  <si>
    <t>4992453591</t>
  </si>
  <si>
    <t>245-37-67</t>
  </si>
  <si>
    <t>84992450872</t>
  </si>
  <si>
    <t>246-61-78</t>
  </si>
  <si>
    <t>Фрунзе Тимура ул., дом. 30</t>
  </si>
  <si>
    <t>247-03-30</t>
  </si>
  <si>
    <t>4992468849</t>
  </si>
  <si>
    <t>4992557454</t>
  </si>
  <si>
    <t>4992460485</t>
  </si>
  <si>
    <t>247-11-03</t>
  </si>
  <si>
    <t>84992557686</t>
  </si>
  <si>
    <t>247-14-59</t>
  </si>
  <si>
    <t>4992453208</t>
  </si>
  <si>
    <t>4992557353</t>
  </si>
  <si>
    <t>4992450729</t>
  </si>
  <si>
    <t>245-15-30</t>
  </si>
  <si>
    <t>84992557453</t>
  </si>
  <si>
    <t>84992466582</t>
  </si>
  <si>
    <t>-4992557820</t>
  </si>
  <si>
    <t>247-10-23</t>
  </si>
  <si>
    <t>247-18-07</t>
  </si>
  <si>
    <t>4992454270</t>
  </si>
  <si>
    <t>4992467130</t>
  </si>
  <si>
    <t>4992557685</t>
  </si>
  <si>
    <t>245-12-63</t>
  </si>
  <si>
    <t>84992552868</t>
  </si>
  <si>
    <t>4992557425</t>
  </si>
  <si>
    <t>247-01-51</t>
  </si>
  <si>
    <t>4992463550</t>
  </si>
  <si>
    <t>4992450723</t>
  </si>
  <si>
    <t>245-32-17</t>
  </si>
  <si>
    <t>84992552919</t>
  </si>
  <si>
    <t>84992557626</t>
  </si>
  <si>
    <t>247-01-09</t>
  </si>
  <si>
    <t>4992466019</t>
  </si>
  <si>
    <t>2420616</t>
  </si>
  <si>
    <t>84992552600</t>
  </si>
  <si>
    <t>3753576</t>
  </si>
  <si>
    <t>245-25-36</t>
  </si>
  <si>
    <t>499-255-83-43</t>
  </si>
  <si>
    <t>84992552149</t>
  </si>
  <si>
    <t>4992460857</t>
  </si>
  <si>
    <t>246-94-01</t>
  </si>
  <si>
    <t>4992557467</t>
  </si>
  <si>
    <t>84992557468</t>
  </si>
  <si>
    <t>246-53-70</t>
  </si>
  <si>
    <t>246-53-66</t>
  </si>
  <si>
    <t>4992557739</t>
  </si>
  <si>
    <t>4992460682</t>
  </si>
  <si>
    <t>4992464722</t>
  </si>
  <si>
    <t>246-53-61</t>
  </si>
  <si>
    <t>4992463478</t>
  </si>
  <si>
    <t>245-13-03</t>
  </si>
  <si>
    <t>84992557319</t>
  </si>
  <si>
    <t>246-53-36</t>
  </si>
  <si>
    <t>247-14-61</t>
  </si>
  <si>
    <t>247-14-05</t>
  </si>
  <si>
    <t>4957083889</t>
  </si>
  <si>
    <t>246-27-38</t>
  </si>
  <si>
    <t>-4992465214</t>
  </si>
  <si>
    <t>4992557375</t>
  </si>
  <si>
    <t>Фрунзе Тимура ул., дом. 34</t>
  </si>
  <si>
    <t>4992465923</t>
  </si>
  <si>
    <t>4992463262</t>
  </si>
  <si>
    <t>4992460861</t>
  </si>
  <si>
    <t>4992468259</t>
  </si>
  <si>
    <t>4992469820</t>
  </si>
  <si>
    <t>4992469189</t>
  </si>
  <si>
    <t>4955002179</t>
  </si>
  <si>
    <t>4992461694</t>
  </si>
  <si>
    <t>4992465861</t>
  </si>
  <si>
    <t>4992469264</t>
  </si>
  <si>
    <t>4992464373</t>
  </si>
  <si>
    <t>4992468828</t>
  </si>
  <si>
    <t>4992461137</t>
  </si>
  <si>
    <t>4992557950</t>
  </si>
  <si>
    <t>4992461136</t>
  </si>
  <si>
    <t>4992461857</t>
  </si>
  <si>
    <t>4992461256</t>
  </si>
  <si>
    <t>4992467572</t>
  </si>
  <si>
    <t>4992461242</t>
  </si>
  <si>
    <t>4992469944</t>
  </si>
  <si>
    <t>4992464404</t>
  </si>
  <si>
    <t>4954322760</t>
  </si>
  <si>
    <t>4992461152</t>
  </si>
  <si>
    <t>4992463553</t>
  </si>
  <si>
    <t>4992461413</t>
  </si>
  <si>
    <t>4992466237</t>
  </si>
  <si>
    <t>4992465921</t>
  </si>
  <si>
    <t>4992463141</t>
  </si>
  <si>
    <t>4992464324</t>
  </si>
  <si>
    <t>4992462442</t>
  </si>
  <si>
    <t>4992461279</t>
  </si>
  <si>
    <t>4992461912</t>
  </si>
  <si>
    <t>4992464645</t>
  </si>
  <si>
    <t>4992461346</t>
  </si>
  <si>
    <t>4992463646</t>
  </si>
  <si>
    <t>4992468735</t>
  </si>
  <si>
    <t>4992463623</t>
  </si>
  <si>
    <t>4992557559</t>
  </si>
  <si>
    <t>4992457051</t>
  </si>
  <si>
    <t>4992462546</t>
  </si>
  <si>
    <t>4992461322</t>
  </si>
  <si>
    <t>4992461476</t>
  </si>
  <si>
    <t>4997664912</t>
  </si>
  <si>
    <t>Фрунзенская 3-я ул., дом. 1</t>
  </si>
  <si>
    <t>499-242-84-72</t>
  </si>
  <si>
    <t>4992421201</t>
  </si>
  <si>
    <t>84992421130</t>
  </si>
  <si>
    <t>242-46-04</t>
  </si>
  <si>
    <t>242-12-03</t>
  </si>
  <si>
    <t>242-11-29</t>
  </si>
  <si>
    <t>4992421284</t>
  </si>
  <si>
    <t>242-11-31</t>
  </si>
  <si>
    <t>84992422089</t>
  </si>
  <si>
    <t>4992421205</t>
  </si>
  <si>
    <t>4992421517</t>
  </si>
  <si>
    <t>242-38-71</t>
  </si>
  <si>
    <t>242-12-07</t>
  </si>
  <si>
    <t>242-12-11</t>
  </si>
  <si>
    <t>242-15-58</t>
  </si>
  <si>
    <t>242-11-20</t>
  </si>
  <si>
    <t>242-12-09</t>
  </si>
  <si>
    <t>4992421105</t>
  </si>
  <si>
    <t>242-11-33</t>
  </si>
  <si>
    <t>242-14-85</t>
  </si>
  <si>
    <t>242-12-15</t>
  </si>
  <si>
    <t>242-19-72</t>
  </si>
  <si>
    <t>242-12-17</t>
  </si>
  <si>
    <t>84992421335</t>
  </si>
  <si>
    <t>27-28</t>
  </si>
  <si>
    <t>242-15-30</t>
  </si>
  <si>
    <t>242-15-29</t>
  </si>
  <si>
    <t>242-15-27</t>
  </si>
  <si>
    <t>242-12-10</t>
  </si>
  <si>
    <t>242-46-73</t>
  </si>
  <si>
    <t>499-242-44-57</t>
  </si>
  <si>
    <t>242-44-57</t>
  </si>
  <si>
    <t>242-12-19</t>
  </si>
  <si>
    <t>242-14-97</t>
  </si>
  <si>
    <t>4992420935</t>
  </si>
  <si>
    <t>4992421290</t>
  </si>
  <si>
    <t>242-12-37</t>
  </si>
  <si>
    <t>4992420895</t>
  </si>
  <si>
    <t>242-15-07</t>
  </si>
  <si>
    <t>242-14-80</t>
  </si>
  <si>
    <t>242-13-63</t>
  </si>
  <si>
    <t>4992421365</t>
  </si>
  <si>
    <t>499-242-13-67</t>
  </si>
  <si>
    <t>499-242-16-92</t>
  </si>
  <si>
    <t>4992421301</t>
  </si>
  <si>
    <t>242-13-69</t>
  </si>
  <si>
    <t>242-44-58</t>
  </si>
  <si>
    <t>242-13-70</t>
  </si>
  <si>
    <t>84992421103</t>
  </si>
  <si>
    <t>4992421282</t>
  </si>
  <si>
    <t>242-12-92</t>
  </si>
  <si>
    <t>242-13-71</t>
  </si>
  <si>
    <t>4992424461</t>
  </si>
  <si>
    <t>242-13-73</t>
  </si>
  <si>
    <t>242-44-63</t>
  </si>
  <si>
    <t>242-13-75</t>
  </si>
  <si>
    <t>242-44-67</t>
  </si>
  <si>
    <t>242-50-66</t>
  </si>
  <si>
    <t>4992421339</t>
  </si>
  <si>
    <t>242-11-01</t>
  </si>
  <si>
    <t>242-13-15</t>
  </si>
  <si>
    <t>4992421320</t>
  </si>
  <si>
    <t>4992421848</t>
  </si>
  <si>
    <t>4992421100</t>
  </si>
  <si>
    <t>242-16-09</t>
  </si>
  <si>
    <t>499 242-13-03</t>
  </si>
  <si>
    <t>242-15-21</t>
  </si>
  <si>
    <t>242-11-37</t>
  </si>
  <si>
    <t>84992421281</t>
  </si>
  <si>
    <t>499-242-45-60</t>
  </si>
  <si>
    <t>242-15-20</t>
  </si>
  <si>
    <t>242-44-97</t>
  </si>
  <si>
    <t>4997668384</t>
  </si>
  <si>
    <t>242-13-77</t>
  </si>
  <si>
    <t>84992421379</t>
  </si>
  <si>
    <t>4992420897</t>
  </si>
  <si>
    <t>242-12-20</t>
  </si>
  <si>
    <t>4992421286</t>
  </si>
  <si>
    <t>499-242-15-35</t>
  </si>
  <si>
    <t>84992424456</t>
  </si>
  <si>
    <t>4992421221</t>
  </si>
  <si>
    <t>242-12-40</t>
  </si>
  <si>
    <t>499-242-15-90</t>
  </si>
  <si>
    <t>242-15-05</t>
  </si>
  <si>
    <t>84992421229</t>
  </si>
  <si>
    <t>4992423782</t>
  </si>
  <si>
    <t>4992428816</t>
  </si>
  <si>
    <t>84992421289</t>
  </si>
  <si>
    <t>4997668344</t>
  </si>
  <si>
    <t>4992428195</t>
  </si>
  <si>
    <t>4997668730</t>
  </si>
  <si>
    <t>247-30-77</t>
  </si>
  <si>
    <t>242-10-70</t>
  </si>
  <si>
    <t>4992422385</t>
  </si>
  <si>
    <t>242-12-30</t>
  </si>
  <si>
    <t>4992421380</t>
  </si>
  <si>
    <t>84992421000</t>
  </si>
  <si>
    <t>-84992421093</t>
  </si>
  <si>
    <t>242-14-91</t>
  </si>
  <si>
    <t>4992421261</t>
  </si>
  <si>
    <t>4992421329</t>
  </si>
  <si>
    <t>242-10-91</t>
  </si>
  <si>
    <t>8499-242-83-47</t>
  </si>
  <si>
    <t>4992421109</t>
  </si>
  <si>
    <t>242-12-39</t>
  </si>
  <si>
    <t>4992422711</t>
  </si>
  <si>
    <t>499-242-12-31</t>
  </si>
  <si>
    <t>84992421533</t>
  </si>
  <si>
    <t>499-242-12-94</t>
  </si>
  <si>
    <t>84992421501</t>
  </si>
  <si>
    <t>242-10-83</t>
  </si>
  <si>
    <t>257-21-19</t>
  </si>
  <si>
    <t>4992424453</t>
  </si>
  <si>
    <t>242-09-17</t>
  </si>
  <si>
    <t>499-242-13-81</t>
  </si>
  <si>
    <t>242-14-81</t>
  </si>
  <si>
    <t>242-12-93</t>
  </si>
  <si>
    <t>242-09-31</t>
  </si>
  <si>
    <t>242-44-54</t>
  </si>
  <si>
    <t>4992421525</t>
  </si>
  <si>
    <t>242-44-56</t>
  </si>
  <si>
    <t>242-13-85</t>
  </si>
  <si>
    <t>242-77-98</t>
  </si>
  <si>
    <t>499-242-12-80</t>
  </si>
  <si>
    <t>242-13-05</t>
  </si>
  <si>
    <t>499-242-13-19</t>
  </si>
  <si>
    <t>84992422404</t>
  </si>
  <si>
    <t>242-13-89</t>
  </si>
  <si>
    <t>4992429572</t>
  </si>
  <si>
    <t>8499-242-83-85</t>
  </si>
  <si>
    <t>134А</t>
  </si>
  <si>
    <t>242-67-21</t>
  </si>
  <si>
    <t>242-13-91</t>
  </si>
  <si>
    <t>242-15-63</t>
  </si>
  <si>
    <t>242-13-93</t>
  </si>
  <si>
    <t>242-58-97</t>
  </si>
  <si>
    <t>242-12-98</t>
  </si>
  <si>
    <t>4992421291</t>
  </si>
  <si>
    <t>4992421327</t>
  </si>
  <si>
    <t>242-12-83</t>
  </si>
  <si>
    <t>4992421317</t>
  </si>
  <si>
    <t>499-242-34-93</t>
  </si>
  <si>
    <t>242-27-13</t>
  </si>
  <si>
    <t>242-13-61</t>
  </si>
  <si>
    <t>242-15-31</t>
  </si>
  <si>
    <t>4992421495</t>
  </si>
  <si>
    <t>499-242-08-91</t>
  </si>
  <si>
    <t>4992421297</t>
  </si>
  <si>
    <t>4992424917</t>
  </si>
  <si>
    <t>242-16-50</t>
  </si>
  <si>
    <t>84992424469</t>
  </si>
  <si>
    <t>8499-242-10-60</t>
  </si>
  <si>
    <t>242-10-61</t>
  </si>
  <si>
    <t>4992420890</t>
  </si>
  <si>
    <t>8499-242-12-96</t>
  </si>
  <si>
    <t>4992421139</t>
  </si>
  <si>
    <t>242-10-87</t>
  </si>
  <si>
    <t>4992421063</t>
  </si>
  <si>
    <t>242-10-65</t>
  </si>
  <si>
    <t>499-242-24-71</t>
  </si>
  <si>
    <t>4997668733</t>
  </si>
  <si>
    <t>242-15-11</t>
  </si>
  <si>
    <t>4992421519</t>
  </si>
  <si>
    <t>242-40-76</t>
  </si>
  <si>
    <t>242-54-53</t>
  </si>
  <si>
    <t>499-242-10-81</t>
  </si>
  <si>
    <t>242-30-38</t>
  </si>
  <si>
    <t>242-13-33</t>
  </si>
  <si>
    <t>4992421080</t>
  </si>
  <si>
    <t>4992421097</t>
  </si>
  <si>
    <t>499-242-13-31</t>
  </si>
  <si>
    <t>4992421483</t>
  </si>
  <si>
    <t>499-242-10-67</t>
  </si>
  <si>
    <t>4992421069</t>
  </si>
  <si>
    <t>-84997668726</t>
  </si>
  <si>
    <t>4992421307</t>
  </si>
  <si>
    <t>8499-242-14-29</t>
  </si>
  <si>
    <t>181-182</t>
  </si>
  <si>
    <t>242-10-71</t>
  </si>
  <si>
    <t>245-67-88</t>
  </si>
  <si>
    <t>499-242-10-75</t>
  </si>
  <si>
    <t>242-14-87</t>
  </si>
  <si>
    <t>4992421077</t>
  </si>
  <si>
    <t>4992422950</t>
  </si>
  <si>
    <t>242-83-27</t>
  </si>
  <si>
    <t>4992421321</t>
  </si>
  <si>
    <t>242-13-30</t>
  </si>
  <si>
    <t>242-10-79</t>
  </si>
  <si>
    <t>242-09-39</t>
  </si>
  <si>
    <t>4992424060</t>
  </si>
  <si>
    <t>4992421490</t>
  </si>
  <si>
    <t>242-35-34</t>
  </si>
  <si>
    <t>196-7</t>
  </si>
  <si>
    <t>499-242-14-92</t>
  </si>
  <si>
    <t>499-242-15-15</t>
  </si>
  <si>
    <t>4992426716</t>
  </si>
  <si>
    <t>4992421323</t>
  </si>
  <si>
    <t>4992422830</t>
  </si>
  <si>
    <t>242-13-11</t>
  </si>
  <si>
    <t>242-13-09</t>
  </si>
  <si>
    <t>242-13-60</t>
  </si>
  <si>
    <t>8499-242-09-33</t>
  </si>
  <si>
    <t>84992420910</t>
  </si>
  <si>
    <t>242-14-19</t>
  </si>
  <si>
    <t>499-242-27-15</t>
  </si>
  <si>
    <t>4992426871</t>
  </si>
  <si>
    <t>84992420911</t>
  </si>
  <si>
    <t>4992420913</t>
  </si>
  <si>
    <t>4992421523</t>
  </si>
  <si>
    <t>4992421089</t>
  </si>
  <si>
    <t>8499-242-09-30</t>
  </si>
  <si>
    <t>499-242-09-29</t>
  </si>
  <si>
    <t>242-39-77</t>
  </si>
  <si>
    <t>4992421383</t>
  </si>
  <si>
    <t>499-242-09-15</t>
  </si>
  <si>
    <t>242-42-95</t>
  </si>
  <si>
    <t>4992421591</t>
  </si>
  <si>
    <t>84992422154</t>
  </si>
  <si>
    <t>248-33-76</t>
  </si>
  <si>
    <t>4992421285</t>
  </si>
  <si>
    <t>4997668512</t>
  </si>
  <si>
    <t>242-09-21</t>
  </si>
  <si>
    <t>245-64-72</t>
  </si>
  <si>
    <t>499-766-82-55</t>
  </si>
  <si>
    <t>84992420923</t>
  </si>
  <si>
    <t>4997660939</t>
  </si>
  <si>
    <t>242-15-13</t>
  </si>
  <si>
    <t>4997660692</t>
  </si>
  <si>
    <t>4992420927</t>
  </si>
  <si>
    <t>247-30-76</t>
  </si>
  <si>
    <t>84997668727</t>
  </si>
  <si>
    <t>245-67-90</t>
  </si>
  <si>
    <t>247-30-75</t>
  </si>
  <si>
    <t>4997668262</t>
  </si>
  <si>
    <t>499 242-51-80</t>
  </si>
  <si>
    <t>4992422714</t>
  </si>
  <si>
    <t>Фрунзенская 3-я ул., дом. 3</t>
  </si>
  <si>
    <t>4992420267</t>
  </si>
  <si>
    <t>242-88-80</t>
  </si>
  <si>
    <t>-84992421119</t>
  </si>
  <si>
    <t>4992421509</t>
  </si>
  <si>
    <t>84992421095</t>
  </si>
  <si>
    <t>-4992424013</t>
  </si>
  <si>
    <t>84992424004</t>
  </si>
  <si>
    <t>242-46-17</t>
  </si>
  <si>
    <t>242-14-39</t>
  </si>
  <si>
    <t>4992424550</t>
  </si>
  <si>
    <t>242-46-46</t>
  </si>
  <si>
    <t>84992420342</t>
  </si>
  <si>
    <t>242-44-59</t>
  </si>
  <si>
    <t>8495244-44-59</t>
  </si>
  <si>
    <t>4992423809</t>
  </si>
  <si>
    <t>499-242-01-78</t>
  </si>
  <si>
    <t>245-67-39</t>
  </si>
  <si>
    <t>242-07-15</t>
  </si>
  <si>
    <t>84992420790</t>
  </si>
  <si>
    <t>4992425783</t>
  </si>
  <si>
    <t>4992426234</t>
  </si>
  <si>
    <t>84992426254</t>
  </si>
  <si>
    <t>4992428722</t>
  </si>
  <si>
    <t>4992423963</t>
  </si>
  <si>
    <t>242-38-01</t>
  </si>
  <si>
    <t>242-24-37</t>
  </si>
  <si>
    <t>499-242-26-67</t>
  </si>
  <si>
    <t>247-34-40</t>
  </si>
  <si>
    <t>242-55-31</t>
  </si>
  <si>
    <t>242-15-74</t>
  </si>
  <si>
    <t>84992424043</t>
  </si>
  <si>
    <t>4997668022</t>
  </si>
  <si>
    <t>242-42-78 499</t>
  </si>
  <si>
    <t>499-242-44-77</t>
  </si>
  <si>
    <t>242-59-93</t>
  </si>
  <si>
    <t>242-15-75</t>
  </si>
  <si>
    <t>84996897643</t>
  </si>
  <si>
    <t>245-79-45</t>
  </si>
  <si>
    <t>84956091432</t>
  </si>
  <si>
    <t>4992424040</t>
  </si>
  <si>
    <t>242-51-41</t>
  </si>
  <si>
    <t>242-35-89</t>
  </si>
  <si>
    <t>242-68-73</t>
  </si>
  <si>
    <t>84992421019</t>
  </si>
  <si>
    <t>499 242-76-81</t>
  </si>
  <si>
    <t>242-39-55</t>
  </si>
  <si>
    <t>4992422000</t>
  </si>
  <si>
    <t>4997668075</t>
  </si>
  <si>
    <t>242-82-09</t>
  </si>
  <si>
    <t>242-97-64</t>
  </si>
  <si>
    <t>242-39-70</t>
  </si>
  <si>
    <t>4992422171</t>
  </si>
  <si>
    <t>609-16-52</t>
  </si>
  <si>
    <t>242-09-25</t>
  </si>
  <si>
    <t>242-58-33</t>
  </si>
  <si>
    <t>4992426244</t>
  </si>
  <si>
    <t>4992425153</t>
  </si>
  <si>
    <t>4992424133</t>
  </si>
  <si>
    <t>4997660520</t>
  </si>
  <si>
    <t>242-83-07</t>
  </si>
  <si>
    <t>245-67-15</t>
  </si>
  <si>
    <t>242-47-10</t>
  </si>
  <si>
    <t>4992426245</t>
  </si>
  <si>
    <t>242-15-53</t>
  </si>
  <si>
    <t>-4992420787</t>
  </si>
  <si>
    <t>84992424726</t>
  </si>
  <si>
    <t>242-37-27</t>
  </si>
  <si>
    <t>4997668258</t>
  </si>
  <si>
    <t>242-45-66</t>
  </si>
  <si>
    <t>4992427065</t>
  </si>
  <si>
    <t>499-242-69-25</t>
  </si>
  <si>
    <t>84992428654</t>
  </si>
  <si>
    <t>4992423808</t>
  </si>
  <si>
    <t>84992426269</t>
  </si>
  <si>
    <t>242-51-90</t>
  </si>
  <si>
    <t>+7(495)609-17-40</t>
  </si>
  <si>
    <t>499-242-14-30</t>
  </si>
  <si>
    <t>242-14-40</t>
  </si>
  <si>
    <t>242-14-89</t>
  </si>
  <si>
    <t>242-86-14</t>
  </si>
  <si>
    <t>(8499)242-58-06</t>
  </si>
  <si>
    <t>242-15-51</t>
  </si>
  <si>
    <t>245-67-49</t>
  </si>
  <si>
    <t>242-66-93</t>
  </si>
  <si>
    <t>84992421409</t>
  </si>
  <si>
    <t>84992421540</t>
  </si>
  <si>
    <t>242-39-11</t>
  </si>
  <si>
    <t>242-59-70</t>
  </si>
  <si>
    <t>4992421407</t>
  </si>
  <si>
    <t>4992423959</t>
  </si>
  <si>
    <t>242-39-57</t>
  </si>
  <si>
    <t>4997668524</t>
  </si>
  <si>
    <t>242-35-44</t>
  </si>
  <si>
    <t>242-17-32</t>
  </si>
  <si>
    <t>6091653</t>
  </si>
  <si>
    <t>4992423960</t>
  </si>
  <si>
    <t>84992425916</t>
  </si>
  <si>
    <t>-4992424639</t>
  </si>
  <si>
    <t>4992421304</t>
  </si>
  <si>
    <t>4992421593</t>
  </si>
  <si>
    <t>242-12-23</t>
  </si>
  <si>
    <t>4992425002</t>
  </si>
  <si>
    <t>242-50-03</t>
  </si>
  <si>
    <t>84992422009</t>
  </si>
  <si>
    <t>4992425009</t>
  </si>
  <si>
    <t>242-14-45</t>
  </si>
  <si>
    <t>4992425012</t>
  </si>
  <si>
    <t>4953771385</t>
  </si>
  <si>
    <t>4992422584</t>
  </si>
  <si>
    <t>499-242-50-75</t>
  </si>
  <si>
    <t>242-19-95</t>
  </si>
  <si>
    <t>242-19-96</t>
  </si>
  <si>
    <t>242-88-28</t>
  </si>
  <si>
    <t>242-40-25</t>
  </si>
  <si>
    <t>4997660693</t>
  </si>
  <si>
    <t>242-45-67</t>
  </si>
  <si>
    <t>242-20-07</t>
  </si>
  <si>
    <t>4997660993</t>
  </si>
  <si>
    <t>84992426071</t>
  </si>
  <si>
    <t>242-61-71</t>
  </si>
  <si>
    <t>4997660705</t>
  </si>
  <si>
    <t>4997660905</t>
  </si>
  <si>
    <t>4992421357</t>
  </si>
  <si>
    <t>4992420854</t>
  </si>
  <si>
    <t>4992425081</t>
  </si>
  <si>
    <t>499-242-43-33</t>
  </si>
  <si>
    <t>4992425686</t>
  </si>
  <si>
    <t>242-15-55</t>
  </si>
  <si>
    <t>4992423298</t>
  </si>
  <si>
    <t>4992424303</t>
  </si>
  <si>
    <t>242-86-53</t>
  </si>
  <si>
    <t>84992427195</t>
  </si>
  <si>
    <t>499-242-56-70</t>
  </si>
  <si>
    <t>84992428406</t>
  </si>
  <si>
    <t>609-11-03</t>
  </si>
  <si>
    <t>4956091105</t>
  </si>
  <si>
    <t>4992422012</t>
  </si>
  <si>
    <t>4992423150</t>
  </si>
  <si>
    <t>4956091364</t>
  </si>
  <si>
    <t>4992425367</t>
  </si>
  <si>
    <t>242-80-88</t>
  </si>
  <si>
    <t>242-40-75</t>
  </si>
  <si>
    <t>242-50-87</t>
  </si>
  <si>
    <t>84992421427</t>
  </si>
  <si>
    <t>4992421500</t>
  </si>
  <si>
    <t>499-242-39-58</t>
  </si>
  <si>
    <t>242-42-56</t>
  </si>
  <si>
    <t>242-12-47</t>
  </si>
  <si>
    <t>245-67-12</t>
  </si>
  <si>
    <t>4992421992</t>
  </si>
  <si>
    <t>242-50-84</t>
  </si>
  <si>
    <t>4992425995</t>
  </si>
  <si>
    <t>242-42-00</t>
  </si>
  <si>
    <t>242-47-29</t>
  </si>
  <si>
    <t>499-242-33-87</t>
  </si>
  <si>
    <t>4992421557</t>
  </si>
  <si>
    <t>242-59-06</t>
  </si>
  <si>
    <t>242-09-19</t>
  </si>
  <si>
    <t>84992423658</t>
  </si>
  <si>
    <t>4992421607</t>
  </si>
  <si>
    <t>242-83-05</t>
  </si>
  <si>
    <t>4992425159</t>
  </si>
  <si>
    <t>4992425168</t>
  </si>
  <si>
    <t>84992425171</t>
  </si>
  <si>
    <t>499-242-28-82</t>
  </si>
  <si>
    <t>4992425170</t>
  </si>
  <si>
    <t>84992552151</t>
  </si>
  <si>
    <t>499-242-80-29</t>
  </si>
  <si>
    <t>242-80-68</t>
  </si>
  <si>
    <t>242-51-74</t>
  </si>
  <si>
    <t>242-41-11</t>
  </si>
  <si>
    <t>4992425175</t>
  </si>
  <si>
    <t>84992425135</t>
  </si>
  <si>
    <t>84992425177</t>
  </si>
  <si>
    <t>Фрунзенская 3-я ул., дом. 13</t>
  </si>
  <si>
    <t>4992456234</t>
  </si>
  <si>
    <t>4992457098</t>
  </si>
  <si>
    <t>4992459857</t>
  </si>
  <si>
    <t>4992473174</t>
  </si>
  <si>
    <t>4992425230</t>
  </si>
  <si>
    <t>4992459845</t>
  </si>
  <si>
    <t>4992455621</t>
  </si>
  <si>
    <t>4992423898</t>
  </si>
  <si>
    <t>4992456145</t>
  </si>
  <si>
    <t>4993533401</t>
  </si>
  <si>
    <t>-4992456137</t>
  </si>
  <si>
    <t>4992420860</t>
  </si>
  <si>
    <t>4992420851</t>
  </si>
  <si>
    <t>4992459865</t>
  </si>
  <si>
    <t>4955378902</t>
  </si>
  <si>
    <t>4992420850</t>
  </si>
  <si>
    <t>4992423294</t>
  </si>
  <si>
    <t>4992427258</t>
  </si>
  <si>
    <t>4992427358</t>
  </si>
  <si>
    <t>4992456132</t>
  </si>
  <si>
    <t>4992483385</t>
  </si>
  <si>
    <t>4992451556</t>
  </si>
  <si>
    <t>4992428563</t>
  </si>
  <si>
    <t>4992459854</t>
  </si>
  <si>
    <t>4992553172</t>
  </si>
  <si>
    <t>4992456151</t>
  </si>
  <si>
    <t>4992459855</t>
  </si>
  <si>
    <t>4992456146</t>
  </si>
  <si>
    <t>4992473173</t>
  </si>
  <si>
    <t>4992459903</t>
  </si>
  <si>
    <t>4992424853</t>
  </si>
  <si>
    <t>4992464904</t>
  </si>
  <si>
    <t>4992456389</t>
  </si>
  <si>
    <t>4992459856</t>
  </si>
  <si>
    <t>4992421605</t>
  </si>
  <si>
    <t>4992459776</t>
  </si>
  <si>
    <t>4997660951</t>
  </si>
  <si>
    <t>4992425390</t>
  </si>
  <si>
    <t>4992459859</t>
  </si>
  <si>
    <t>4992421716</t>
  </si>
  <si>
    <t>4992459858</t>
  </si>
  <si>
    <t>4994429625</t>
  </si>
  <si>
    <t>4992427350</t>
  </si>
  <si>
    <t>4997660650</t>
  </si>
  <si>
    <t>4992421741</t>
  </si>
  <si>
    <t>4992462952</t>
  </si>
  <si>
    <t>4992456141</t>
  </si>
  <si>
    <t>4992457208</t>
  </si>
  <si>
    <t>4992459869</t>
  </si>
  <si>
    <t>4992428249</t>
  </si>
  <si>
    <t>4997668420</t>
  </si>
  <si>
    <t>4992456148</t>
  </si>
  <si>
    <t>4992427246</t>
  </si>
  <si>
    <t>4992427346</t>
  </si>
  <si>
    <t>4992427247</t>
  </si>
  <si>
    <t>4992456152</t>
  </si>
  <si>
    <t>4992428600</t>
  </si>
  <si>
    <t>4997668415</t>
  </si>
  <si>
    <t>4957660734</t>
  </si>
  <si>
    <t>4992427244</t>
  </si>
  <si>
    <t>4997660552</t>
  </si>
  <si>
    <t>4992427343</t>
  </si>
  <si>
    <t>4992457559</t>
  </si>
  <si>
    <t>4997660503</t>
  </si>
  <si>
    <t>4992426504</t>
  </si>
  <si>
    <t>4992456127</t>
  </si>
  <si>
    <t>4992427243</t>
  </si>
  <si>
    <t>4992427103</t>
  </si>
  <si>
    <t>4992553175</t>
  </si>
  <si>
    <t>4992459760</t>
  </si>
  <si>
    <t>4992422086</t>
  </si>
  <si>
    <t>4992469261</t>
  </si>
  <si>
    <t>4992421739</t>
  </si>
  <si>
    <t>4992427342</t>
  </si>
  <si>
    <t>4992457304</t>
  </si>
  <si>
    <t>4992429752</t>
  </si>
  <si>
    <t>4957784419</t>
  </si>
  <si>
    <t>4992456123</t>
  </si>
  <si>
    <t>4992459287</t>
  </si>
  <si>
    <t>4992426354</t>
  </si>
  <si>
    <t>4992456136</t>
  </si>
  <si>
    <t>4992459493</t>
  </si>
  <si>
    <t>4992456134</t>
  </si>
  <si>
    <t>4992456150</t>
  </si>
  <si>
    <t>4997660540</t>
  </si>
  <si>
    <t>4992427340</t>
  </si>
  <si>
    <t>Фрунзенская 3-я ул., дом. 15</t>
  </si>
  <si>
    <t>4992459605</t>
  </si>
  <si>
    <t>4992459880</t>
  </si>
  <si>
    <t>4992457252</t>
  </si>
  <si>
    <t>4992459619</t>
  </si>
  <si>
    <t>4992459388</t>
  </si>
  <si>
    <t>4992459886</t>
  </si>
  <si>
    <t>4992459414</t>
  </si>
  <si>
    <t>4992459413</t>
  </si>
  <si>
    <t>4992459387</t>
  </si>
  <si>
    <t>4992459362</t>
  </si>
  <si>
    <t>-4992457016</t>
  </si>
  <si>
    <t>4992456124</t>
  </si>
  <si>
    <t>4992451496</t>
  </si>
  <si>
    <t>4992426077</t>
  </si>
  <si>
    <t>4992456451</t>
  </si>
  <si>
    <t>4992459867</t>
  </si>
  <si>
    <t>4992464929</t>
  </si>
  <si>
    <t>4992459385</t>
  </si>
  <si>
    <t>4992426122</t>
  </si>
  <si>
    <t>4992423295</t>
  </si>
  <si>
    <t>4992459875</t>
  </si>
  <si>
    <t>4997660687</t>
  </si>
  <si>
    <t>4992456121</t>
  </si>
  <si>
    <t>4997660587</t>
  </si>
  <si>
    <t>4992558772</t>
  </si>
  <si>
    <t>4992459384</t>
  </si>
  <si>
    <t>4992459846</t>
  </si>
  <si>
    <t>4992459881</t>
  </si>
  <si>
    <t>4992425242</t>
  </si>
  <si>
    <t>4992462423</t>
  </si>
  <si>
    <t>4992459406</t>
  </si>
  <si>
    <t>4992425791</t>
  </si>
  <si>
    <t>4992457253</t>
  </si>
  <si>
    <t>4992421830</t>
  </si>
  <si>
    <t>4992457211</t>
  </si>
  <si>
    <t>4992459877</t>
  </si>
  <si>
    <t>4992459884</t>
  </si>
  <si>
    <t>4992553959</t>
  </si>
  <si>
    <t>4992459878</t>
  </si>
  <si>
    <t>4992459883</t>
  </si>
  <si>
    <t>4992423296</t>
  </si>
  <si>
    <t>-4992421743</t>
  </si>
  <si>
    <t>4992459876</t>
  </si>
  <si>
    <t>4992459870</t>
  </si>
  <si>
    <t>4992428503</t>
  </si>
  <si>
    <t>4992456464</t>
  </si>
  <si>
    <t>4992456120</t>
  </si>
  <si>
    <t>4992461715</t>
  </si>
  <si>
    <t>4992459882</t>
  </si>
  <si>
    <t>4992456452</t>
  </si>
  <si>
    <t>4992456453</t>
  </si>
  <si>
    <t>4992459874</t>
  </si>
  <si>
    <t>4992459403</t>
  </si>
  <si>
    <t>4992459879</t>
  </si>
  <si>
    <t>4956091814</t>
  </si>
  <si>
    <t>4992456126</t>
  </si>
  <si>
    <t>4992456454</t>
  </si>
  <si>
    <t>4992456455</t>
  </si>
  <si>
    <t>4992456462</t>
  </si>
  <si>
    <t>4992456461</t>
  </si>
  <si>
    <t>4992459396</t>
  </si>
  <si>
    <t>4992459405</t>
  </si>
  <si>
    <t>4992459938</t>
  </si>
  <si>
    <t>4992456458</t>
  </si>
  <si>
    <t>4992456457</t>
  </si>
  <si>
    <t>4992459401</t>
  </si>
  <si>
    <t>4992459400</t>
  </si>
  <si>
    <t>4992456460</t>
  </si>
  <si>
    <t>4992459397</t>
  </si>
  <si>
    <t>Фрунзенская 3-я ул., дом. 17</t>
  </si>
  <si>
    <t>4997660767</t>
  </si>
  <si>
    <t>4992428512</t>
  </si>
  <si>
    <t>4992456125</t>
  </si>
  <si>
    <t>4992456197</t>
  </si>
  <si>
    <t>4992459915</t>
  </si>
  <si>
    <t>4992457223</t>
  </si>
  <si>
    <t>4992426188</t>
  </si>
  <si>
    <t>4992424921</t>
  </si>
  <si>
    <t>4992421927</t>
  </si>
  <si>
    <t>4992456198</t>
  </si>
  <si>
    <t>4992459909</t>
  </si>
  <si>
    <t>4992457209</t>
  </si>
  <si>
    <t>-4992456025</t>
  </si>
  <si>
    <t>4992456196</t>
  </si>
  <si>
    <t>4992459290</t>
  </si>
  <si>
    <t>4992427316</t>
  </si>
  <si>
    <t>4992553363</t>
  </si>
  <si>
    <t>4992457243</t>
  </si>
  <si>
    <t>4992426960</t>
  </si>
  <si>
    <t>4992553196</t>
  </si>
  <si>
    <t>4992459559</t>
  </si>
  <si>
    <t>4992459732</t>
  </si>
  <si>
    <t>4992457482</t>
  </si>
  <si>
    <t>4992456208</t>
  </si>
  <si>
    <t>4997660718</t>
  </si>
  <si>
    <t>4992457477</t>
  </si>
  <si>
    <t>4992456133</t>
  </si>
  <si>
    <t>4992457176</t>
  </si>
  <si>
    <t>4992457058</t>
  </si>
  <si>
    <t>4992455526</t>
  </si>
  <si>
    <t>-4997668685</t>
  </si>
  <si>
    <t>4997660518</t>
  </si>
  <si>
    <t>4992553362</t>
  </si>
  <si>
    <t>4992424213</t>
  </si>
  <si>
    <t>4992424432</t>
  </si>
  <si>
    <t>4992459847</t>
  </si>
  <si>
    <t>4992457650</t>
  </si>
  <si>
    <t>4992459906</t>
  </si>
  <si>
    <t>4992459924</t>
  </si>
  <si>
    <t>4992457484</t>
  </si>
  <si>
    <t>4956091176</t>
  </si>
  <si>
    <t>4992457485</t>
  </si>
  <si>
    <t>4992457527</t>
  </si>
  <si>
    <t>4992426370</t>
  </si>
  <si>
    <t>4992457478</t>
  </si>
  <si>
    <t>4992457480</t>
  </si>
  <si>
    <t>4992459907</t>
  </si>
  <si>
    <t>4992459914</t>
  </si>
  <si>
    <t>4992457046</t>
  </si>
  <si>
    <t>4992456279</t>
  </si>
  <si>
    <t>4992456142</t>
  </si>
  <si>
    <t>4997660706</t>
  </si>
  <si>
    <t>4992426060</t>
  </si>
  <si>
    <t>4992459911</t>
  </si>
  <si>
    <t>4992426165</t>
  </si>
  <si>
    <t>4992426194</t>
  </si>
  <si>
    <t>4992457575</t>
  </si>
  <si>
    <t>4992457579</t>
  </si>
  <si>
    <t>4992457576</t>
  </si>
  <si>
    <t>4992426162</t>
  </si>
  <si>
    <t>4992459341</t>
  </si>
  <si>
    <t>4992426065</t>
  </si>
  <si>
    <t>4956091049</t>
  </si>
  <si>
    <t>4992457577</t>
  </si>
  <si>
    <t>4992428607</t>
  </si>
  <si>
    <t>4992459274</t>
  </si>
  <si>
    <t>4992428950</t>
  </si>
  <si>
    <t>4992428371</t>
  </si>
  <si>
    <t>4992428608</t>
  </si>
  <si>
    <t>4992457479</t>
  </si>
  <si>
    <t>Фрунзенская 3-я ул., дом. 18</t>
  </si>
  <si>
    <t>4992454097</t>
  </si>
  <si>
    <t>4992459292</t>
  </si>
  <si>
    <t>-4992553148</t>
  </si>
  <si>
    <t>4992456441</t>
  </si>
  <si>
    <t>4992473145</t>
  </si>
  <si>
    <t>4992553149</t>
  </si>
  <si>
    <t>4992473231</t>
  </si>
  <si>
    <t>4992456350</t>
  </si>
  <si>
    <t>4992473146</t>
  </si>
  <si>
    <t>4992553147</t>
  </si>
  <si>
    <t>4992456351</t>
  </si>
  <si>
    <t>4992553137</t>
  </si>
  <si>
    <t>4992459293</t>
  </si>
  <si>
    <t>4992455815</t>
  </si>
  <si>
    <t>4992553609</t>
  </si>
  <si>
    <t>4992553136</t>
  </si>
  <si>
    <t>4992427304</t>
  </si>
  <si>
    <t>4992553138</t>
  </si>
  <si>
    <t>4991255186</t>
  </si>
  <si>
    <t>4992473139</t>
  </si>
  <si>
    <t>4992456663</t>
  </si>
  <si>
    <t>4992456353</t>
  </si>
  <si>
    <t>4992463263</t>
  </si>
  <si>
    <t>-4992459305</t>
  </si>
  <si>
    <t>4992427204</t>
  </si>
  <si>
    <t>4992456354</t>
  </si>
  <si>
    <t>4992456071</t>
  </si>
  <si>
    <t>4992473135</t>
  </si>
  <si>
    <t>4992459326</t>
  </si>
  <si>
    <t>4992456355</t>
  </si>
  <si>
    <t>4992459296</t>
  </si>
  <si>
    <t>-4992459360</t>
  </si>
  <si>
    <t>4992459360</t>
  </si>
  <si>
    <t>-4992553650</t>
  </si>
  <si>
    <t>4992553142</t>
  </si>
  <si>
    <t>4992465992</t>
  </si>
  <si>
    <t>4992473141</t>
  </si>
  <si>
    <t>4992456357</t>
  </si>
  <si>
    <t>4992459256</t>
  </si>
  <si>
    <t>4992459310</t>
  </si>
  <si>
    <t>4992459312</t>
  </si>
  <si>
    <t>-4992473133</t>
  </si>
  <si>
    <t>-4992459177</t>
  </si>
  <si>
    <t>4992553132</t>
  </si>
  <si>
    <t>4992553130</t>
  </si>
  <si>
    <t>4992456069</t>
  </si>
  <si>
    <t>4992456358</t>
  </si>
  <si>
    <t>4992553193</t>
  </si>
  <si>
    <t>4992459363</t>
  </si>
  <si>
    <t>Фрунзенская 3-я ул., дом. 20</t>
  </si>
  <si>
    <t>4992429583</t>
  </si>
  <si>
    <t>4992426076</t>
  </si>
  <si>
    <t>4997660950</t>
  </si>
  <si>
    <t>4997660750</t>
  </si>
  <si>
    <t>4992420479</t>
  </si>
  <si>
    <t>4992457866</t>
  </si>
  <si>
    <t>4992553926</t>
  </si>
  <si>
    <t>4992456371</t>
  </si>
  <si>
    <t>4992553092</t>
  </si>
  <si>
    <t>4992553925</t>
  </si>
  <si>
    <t>4992456531</t>
  </si>
  <si>
    <t>-4992459263</t>
  </si>
  <si>
    <t>4992459244</t>
  </si>
  <si>
    <t>4992473839</t>
  </si>
  <si>
    <t>4992456372</t>
  </si>
  <si>
    <t>4992553838</t>
  </si>
  <si>
    <t>4992459264</t>
  </si>
  <si>
    <t>4992456373</t>
  </si>
  <si>
    <t>4992553757</t>
  </si>
  <si>
    <t>4992553973</t>
  </si>
  <si>
    <t>4957083012</t>
  </si>
  <si>
    <t>4992553836</t>
  </si>
  <si>
    <t>4992459249</t>
  </si>
  <si>
    <t>4992459379</t>
  </si>
  <si>
    <t>4992456375</t>
  </si>
  <si>
    <t>4992553651</t>
  </si>
  <si>
    <t>4992456376</t>
  </si>
  <si>
    <t>4992553835</t>
  </si>
  <si>
    <t>4992553837</t>
  </si>
  <si>
    <t>4997660906</t>
  </si>
  <si>
    <t>4997660628</t>
  </si>
  <si>
    <t>4992428066</t>
  </si>
  <si>
    <t>4997660738</t>
  </si>
  <si>
    <t>4992459278</t>
  </si>
  <si>
    <t>4992477434</t>
  </si>
  <si>
    <t>-4992456378</t>
  </si>
  <si>
    <t>4992456379</t>
  </si>
  <si>
    <t>4992420275</t>
  </si>
  <si>
    <t>4992553930</t>
  </si>
  <si>
    <t>4992459262</t>
  </si>
  <si>
    <t>4992426395</t>
  </si>
  <si>
    <t>4992553929</t>
  </si>
  <si>
    <t>4992456415</t>
  </si>
  <si>
    <t>4992456811</t>
  </si>
  <si>
    <t>-4992459253</t>
  </si>
  <si>
    <t>4992466888</t>
  </si>
  <si>
    <t>4992456382</t>
  </si>
  <si>
    <t>4992459258</t>
  </si>
  <si>
    <t>4992456384</t>
  </si>
  <si>
    <t>Фрунзенская 3-я ул., дом. 26</t>
  </si>
  <si>
    <t>4992456570</t>
  </si>
  <si>
    <t>4992553848</t>
  </si>
  <si>
    <t>4992456395</t>
  </si>
  <si>
    <t>4992456363</t>
  </si>
  <si>
    <t>4992456571</t>
  </si>
  <si>
    <t>4992456668</t>
  </si>
  <si>
    <t>4992456667</t>
  </si>
  <si>
    <t>4992459334</t>
  </si>
  <si>
    <t>4992557065</t>
  </si>
  <si>
    <t>4992553938</t>
  </si>
  <si>
    <t>4992459322</t>
  </si>
  <si>
    <t>4992456572</t>
  </si>
  <si>
    <t>4992456675</t>
  </si>
  <si>
    <t>4992457505</t>
  </si>
  <si>
    <t>4992457662</t>
  </si>
  <si>
    <t>4992457423</t>
  </si>
  <si>
    <t>4992473438</t>
  </si>
  <si>
    <t>4992456582</t>
  </si>
  <si>
    <t>4992459365</t>
  </si>
  <si>
    <t>4992553127</t>
  </si>
  <si>
    <t>4992456581</t>
  </si>
  <si>
    <t>4992456580</t>
  </si>
  <si>
    <t>4992553338</t>
  </si>
  <si>
    <t>4992457424</t>
  </si>
  <si>
    <t>4992457504</t>
  </si>
  <si>
    <t>4992467822</t>
  </si>
  <si>
    <t>4992450571</t>
  </si>
  <si>
    <t>4992553436</t>
  </si>
  <si>
    <t>4992456578</t>
  </si>
  <si>
    <t>4992553940</t>
  </si>
  <si>
    <t>4992456573</t>
  </si>
  <si>
    <t>4992460369</t>
  </si>
  <si>
    <t>4992456576</t>
  </si>
  <si>
    <t>4992456577</t>
  </si>
  <si>
    <t>4992456596</t>
  </si>
  <si>
    <t>-4992459301</t>
  </si>
  <si>
    <t>245-93-01</t>
  </si>
  <si>
    <t>4992459301</t>
  </si>
  <si>
    <t>4992456244</t>
  </si>
  <si>
    <t>4992473208</t>
  </si>
  <si>
    <t>4992553323</t>
  </si>
  <si>
    <t>4992456568</t>
  </si>
  <si>
    <t>-4992456651</t>
  </si>
  <si>
    <t>4992553432</t>
  </si>
  <si>
    <t>4992456566</t>
  </si>
  <si>
    <t>4992456567</t>
  </si>
  <si>
    <t>4992456038</t>
  </si>
  <si>
    <t>4992456652</t>
  </si>
  <si>
    <t>4992456650</t>
  </si>
  <si>
    <t>4992451112</t>
  </si>
  <si>
    <t>4992465555</t>
  </si>
  <si>
    <t>4992456585</t>
  </si>
  <si>
    <t>4992425096</t>
  </si>
  <si>
    <t>4992456648</t>
  </si>
  <si>
    <t>4992456212</t>
  </si>
  <si>
    <t>4992553430</t>
  </si>
  <si>
    <t>4992429028</t>
  </si>
  <si>
    <t>4992553847</t>
  </si>
  <si>
    <t>4992456586</t>
  </si>
  <si>
    <t>4992456587</t>
  </si>
  <si>
    <t>4992456669</t>
  </si>
  <si>
    <t>4992459314</t>
  </si>
  <si>
    <t>4992553433</t>
  </si>
  <si>
    <t>4992553434</t>
  </si>
  <si>
    <t>4992456589</t>
  </si>
  <si>
    <t>4992457925</t>
  </si>
  <si>
    <t>4992553437</t>
  </si>
  <si>
    <t>4992456590</t>
  </si>
  <si>
    <t>4992456591</t>
  </si>
  <si>
    <t>4992456593</t>
  </si>
  <si>
    <t>4992553232</t>
  </si>
  <si>
    <t>4954539749</t>
  </si>
  <si>
    <t>4992456595</t>
  </si>
  <si>
    <t>4992459284</t>
  </si>
  <si>
    <t>4992473238</t>
  </si>
  <si>
    <t>4992456603</t>
  </si>
  <si>
    <t>4992553046</t>
  </si>
  <si>
    <t>4992457256</t>
  </si>
  <si>
    <t>4992427574</t>
  </si>
  <si>
    <t>4992456604</t>
  </si>
  <si>
    <t>4992457417</t>
  </si>
  <si>
    <t>4992473086</t>
  </si>
  <si>
    <t>4992459323</t>
  </si>
  <si>
    <t>4992457420</t>
  </si>
  <si>
    <t>4992456347</t>
  </si>
  <si>
    <t>4992456602</t>
  </si>
  <si>
    <t>4992459302</t>
  </si>
  <si>
    <t>4992457419</t>
  </si>
  <si>
    <t>4992456605</t>
  </si>
  <si>
    <t>4992473825</t>
  </si>
  <si>
    <t>4992457060</t>
  </si>
  <si>
    <t>4992456606</t>
  </si>
  <si>
    <t>4992456607</t>
  </si>
  <si>
    <t>4992553946</t>
  </si>
  <si>
    <t>4992457415</t>
  </si>
  <si>
    <t>4992473943</t>
  </si>
  <si>
    <t>4992459338</t>
  </si>
  <si>
    <t>4992457416</t>
  </si>
  <si>
    <t>4992553859</t>
  </si>
  <si>
    <t>4992457418</t>
  </si>
  <si>
    <t>4992456059</t>
  </si>
  <si>
    <t>4992553582</t>
  </si>
  <si>
    <t>4992457519</t>
  </si>
  <si>
    <t>4992553942</t>
  </si>
  <si>
    <t>4992553941</t>
  </si>
  <si>
    <t>4992456597</t>
  </si>
  <si>
    <t>4992459329</t>
  </si>
  <si>
    <t>4992456469</t>
  </si>
  <si>
    <t>4992456608</t>
  </si>
  <si>
    <t>4992456609</t>
  </si>
  <si>
    <t>4992459357</t>
  </si>
  <si>
    <t>4955047457</t>
  </si>
  <si>
    <t>4992459306</t>
  </si>
  <si>
    <t>4992456611</t>
  </si>
  <si>
    <t>4992456612</t>
  </si>
  <si>
    <t>4992456655</t>
  </si>
  <si>
    <t>4992553841</t>
  </si>
  <si>
    <t>4992461473</t>
  </si>
  <si>
    <t>4992425431</t>
  </si>
  <si>
    <t>4992456657</t>
  </si>
  <si>
    <t>4992456658</t>
  </si>
  <si>
    <t>4992456654</t>
  </si>
  <si>
    <t>4992459324</t>
  </si>
  <si>
    <t>4992456630</t>
  </si>
  <si>
    <t>4992473844</t>
  </si>
  <si>
    <t>4992456631</t>
  </si>
  <si>
    <t>4992457421</t>
  </si>
  <si>
    <t>4992553843</t>
  </si>
  <si>
    <t>4992456628</t>
  </si>
  <si>
    <t>4992426582</t>
  </si>
  <si>
    <t>4992459970</t>
  </si>
  <si>
    <t>4992456627</t>
  </si>
  <si>
    <t>4992459368</t>
  </si>
  <si>
    <t>4992456626</t>
  </si>
  <si>
    <t>-4992456626</t>
  </si>
  <si>
    <t>4992473229</t>
  </si>
  <si>
    <t>4992428396</t>
  </si>
  <si>
    <t>4992456625</t>
  </si>
  <si>
    <t>4992553840</t>
  </si>
  <si>
    <t>4992456623</t>
  </si>
  <si>
    <t>4992456520</t>
  </si>
  <si>
    <t>4992473304</t>
  </si>
  <si>
    <t>4992456622</t>
  </si>
  <si>
    <t>4992456621</t>
  </si>
  <si>
    <t>-4992456620</t>
  </si>
  <si>
    <t>4992469370</t>
  </si>
  <si>
    <t>4992456613</t>
  </si>
  <si>
    <t>4992456614</t>
  </si>
  <si>
    <t>4992456660</t>
  </si>
  <si>
    <t>4992460280</t>
  </si>
  <si>
    <t>-4992456294</t>
  </si>
  <si>
    <t>4992456615</t>
  </si>
  <si>
    <t>4992456662</t>
  </si>
  <si>
    <t>4992456632</t>
  </si>
  <si>
    <t>4992473542</t>
  </si>
  <si>
    <t>4992456616</t>
  </si>
  <si>
    <t>4992456637</t>
  </si>
  <si>
    <t>4992553933</t>
  </si>
  <si>
    <t>4992553845</t>
  </si>
  <si>
    <t>4992456617</t>
  </si>
  <si>
    <t>4992553935</t>
  </si>
  <si>
    <t>4992459374</t>
  </si>
  <si>
    <t>4992553949</t>
  </si>
  <si>
    <t>4992473842</t>
  </si>
  <si>
    <t>4992473934</t>
  </si>
  <si>
    <t>4992553937</t>
  </si>
  <si>
    <t>4992456618</t>
  </si>
  <si>
    <t>4992456619</t>
  </si>
  <si>
    <t>4992456633</t>
  </si>
  <si>
    <t>4992456634</t>
  </si>
  <si>
    <t>4992553144</t>
  </si>
  <si>
    <t>4992473540</t>
  </si>
  <si>
    <t>4992456635</t>
  </si>
  <si>
    <t>4992456636</t>
  </si>
  <si>
    <t>-4992456659</t>
  </si>
  <si>
    <t>4992456639</t>
  </si>
  <si>
    <t>4992456640</t>
  </si>
  <si>
    <t>4992553936</t>
  </si>
  <si>
    <t>4992456641</t>
  </si>
  <si>
    <t>4992553541</t>
  </si>
  <si>
    <t>4992553932</t>
  </si>
  <si>
    <t>4992456642</t>
  </si>
  <si>
    <t>Фрунзенская наб., дом. 4</t>
  </si>
  <si>
    <t>4992465576</t>
  </si>
  <si>
    <t>499-246-80-62</t>
  </si>
  <si>
    <t>246-80-62</t>
  </si>
  <si>
    <t>246-61-43</t>
  </si>
  <si>
    <t>246-98-75</t>
  </si>
  <si>
    <t>4992463017</t>
  </si>
  <si>
    <t>246-39-51</t>
  </si>
  <si>
    <t>246-36-12</t>
  </si>
  <si>
    <t>246-15-71</t>
  </si>
  <si>
    <t>9,10</t>
  </si>
  <si>
    <t>245-20-54</t>
  </si>
  <si>
    <t>246-65-79</t>
  </si>
  <si>
    <t>4992468903</t>
  </si>
  <si>
    <t>246-46-80</t>
  </si>
  <si>
    <t>4992453924</t>
  </si>
  <si>
    <t>4992463769</t>
  </si>
  <si>
    <t>246-04-87</t>
  </si>
  <si>
    <t>246-44-70</t>
  </si>
  <si>
    <t>4992463971</t>
  </si>
  <si>
    <t>4992552357</t>
  </si>
  <si>
    <t>84992464510</t>
  </si>
  <si>
    <t>84992461452</t>
  </si>
  <si>
    <t>4992469512</t>
  </si>
  <si>
    <t>84992467971</t>
  </si>
  <si>
    <t>246-39-52</t>
  </si>
  <si>
    <t>246-66-62 499</t>
  </si>
  <si>
    <t>246-20-97</t>
  </si>
  <si>
    <t>245-12-98</t>
  </si>
  <si>
    <t>246-71-20</t>
  </si>
  <si>
    <t>767-81-81</t>
  </si>
  <si>
    <t>84992452497</t>
  </si>
  <si>
    <t>245-21-38</t>
  </si>
  <si>
    <t>246-45-13</t>
  </si>
  <si>
    <t>245-13-98</t>
  </si>
  <si>
    <t>4992461049</t>
  </si>
  <si>
    <t>4992468960</t>
  </si>
  <si>
    <t>4992469895</t>
  </si>
  <si>
    <t>246-35-91</t>
  </si>
  <si>
    <t>4992452198</t>
  </si>
  <si>
    <t>84992451098</t>
  </si>
  <si>
    <t>245-26-51</t>
  </si>
  <si>
    <t>6154519</t>
  </si>
  <si>
    <t>4992462758</t>
  </si>
  <si>
    <t>4992552576</t>
  </si>
  <si>
    <t>246-06-17</t>
  </si>
  <si>
    <t>84992470359</t>
  </si>
  <si>
    <t>246-82-23</t>
  </si>
  <si>
    <t>4992552734</t>
  </si>
  <si>
    <t>246-27-55</t>
  </si>
  <si>
    <t>4992467479</t>
  </si>
  <si>
    <t>246-87-01</t>
  </si>
  <si>
    <t>246-33-49</t>
  </si>
  <si>
    <t>246-77-27</t>
  </si>
  <si>
    <t>84992463823</t>
  </si>
  <si>
    <t>246-30-34</t>
  </si>
  <si>
    <t>246-64-85</t>
  </si>
  <si>
    <t>4992465818</t>
  </si>
  <si>
    <t>4992467039</t>
  </si>
  <si>
    <t>245-19-98</t>
  </si>
  <si>
    <t>4992466750</t>
  </si>
  <si>
    <t>84992451852</t>
  </si>
  <si>
    <t>4992468768</t>
  </si>
  <si>
    <t>246-35-32</t>
  </si>
  <si>
    <t>246-38-39</t>
  </si>
  <si>
    <t>84992466922</t>
  </si>
  <si>
    <t>84992464897</t>
  </si>
  <si>
    <t>245-07-87</t>
  </si>
  <si>
    <t>499-246-71-42</t>
  </si>
  <si>
    <t>246-43-91</t>
  </si>
  <si>
    <t>246-89-42</t>
  </si>
  <si>
    <t>246-37-84</t>
  </si>
  <si>
    <t>245-18-98</t>
  </si>
  <si>
    <t>245-23-19</t>
  </si>
  <si>
    <t>4992451798</t>
  </si>
  <si>
    <t>245-23-87</t>
  </si>
  <si>
    <t>84992451987</t>
  </si>
  <si>
    <t>246-30-76</t>
  </si>
  <si>
    <t>4992463804</t>
  </si>
  <si>
    <t>245-38-75</t>
  </si>
  <si>
    <t>246-08-98</t>
  </si>
  <si>
    <t>4992468945</t>
  </si>
  <si>
    <t>245-14-98</t>
  </si>
  <si>
    <t>246-96-08</t>
  </si>
  <si>
    <t>4992450918</t>
  </si>
  <si>
    <t>4992552685</t>
  </si>
  <si>
    <t>4992451598</t>
  </si>
  <si>
    <t>84992469470</t>
  </si>
  <si>
    <t>245-16-98</t>
  </si>
  <si>
    <t>Фрунзенская наб., дом. 12</t>
  </si>
  <si>
    <t>246-17-00</t>
  </si>
  <si>
    <t>4992453161</t>
  </si>
  <si>
    <t>84992466743</t>
  </si>
  <si>
    <t>246-62-68</t>
  </si>
  <si>
    <t>245-09-04</t>
  </si>
  <si>
    <t>245-11-04</t>
  </si>
  <si>
    <t>4997664249</t>
  </si>
  <si>
    <t>245-10-18</t>
  </si>
  <si>
    <t>245-36-06</t>
  </si>
  <si>
    <t>4992461146</t>
  </si>
  <si>
    <t>245-34-04</t>
  </si>
  <si>
    <t>245-32-46</t>
  </si>
  <si>
    <t>4992552102</t>
  </si>
  <si>
    <t>245-14-04</t>
  </si>
  <si>
    <t>245-15-04</t>
  </si>
  <si>
    <t>241-45-39</t>
  </si>
  <si>
    <t>245-12-04</t>
  </si>
  <si>
    <t>4992451635</t>
  </si>
  <si>
    <t>245-17-35</t>
  </si>
  <si>
    <t>245-11-91</t>
  </si>
  <si>
    <t>245-12-23</t>
  </si>
  <si>
    <t>245-21-23</t>
  </si>
  <si>
    <t>246-67-44</t>
  </si>
  <si>
    <t>245-16-06</t>
  </si>
  <si>
    <t>499-245-16-75</t>
  </si>
  <si>
    <t>8499245-30-58</t>
  </si>
  <si>
    <t>499-245-15-65</t>
  </si>
  <si>
    <t>4992453300</t>
  </si>
  <si>
    <t>4992451335</t>
  </si>
  <si>
    <t>245-08-04</t>
  </si>
  <si>
    <t>245-26-35</t>
  </si>
  <si>
    <t>245-24-35</t>
  </si>
  <si>
    <t>245-25-35</t>
  </si>
  <si>
    <t>245-22-35</t>
  </si>
  <si>
    <t>84992461549</t>
  </si>
  <si>
    <t>245-28-44</t>
  </si>
  <si>
    <t>245-29-35</t>
  </si>
  <si>
    <t>245-37-65</t>
  </si>
  <si>
    <t>-4992450504</t>
  </si>
  <si>
    <t>4994081239</t>
  </si>
  <si>
    <t>245-27-35</t>
  </si>
  <si>
    <t>245-34-38</t>
  </si>
  <si>
    <t>4992453806</t>
  </si>
  <si>
    <t>4992452828</t>
  </si>
  <si>
    <t>245-20-35</t>
  </si>
  <si>
    <t>4992452835</t>
  </si>
  <si>
    <t>245-18-23</t>
  </si>
  <si>
    <t>245-31-52</t>
  </si>
  <si>
    <t>499-245-33-74</t>
  </si>
  <si>
    <t>245-32-23</t>
  </si>
  <si>
    <t>4992453465</t>
  </si>
  <si>
    <t>4992465787</t>
  </si>
  <si>
    <t>499245135</t>
  </si>
  <si>
    <t>8499245-32-07</t>
  </si>
  <si>
    <t>84992453706</t>
  </si>
  <si>
    <t>499-245-23-23</t>
  </si>
  <si>
    <t>245-10-35</t>
  </si>
  <si>
    <t>245-32-54</t>
  </si>
  <si>
    <t>4992453817</t>
  </si>
  <si>
    <t>499-245-11-35-</t>
  </si>
  <si>
    <t>245-12-35</t>
  </si>
  <si>
    <t>-4992450440</t>
  </si>
  <si>
    <t>246-85-75</t>
  </si>
  <si>
    <t>84992425678</t>
  </si>
  <si>
    <t>49992451265</t>
  </si>
  <si>
    <t>245-39-06</t>
  </si>
  <si>
    <t>245-36-54</t>
  </si>
  <si>
    <t>4992452196</t>
  </si>
  <si>
    <t>4992451435</t>
  </si>
  <si>
    <t>245-34-23</t>
  </si>
  <si>
    <t>245-14-23</t>
  </si>
  <si>
    <t>245-18-90</t>
  </si>
  <si>
    <t>Фрунзенская наб., дом. 16 к.1</t>
  </si>
  <si>
    <t>4992451664</t>
  </si>
  <si>
    <t>245-16-68</t>
  </si>
  <si>
    <t>4992451622</t>
  </si>
  <si>
    <t>4992469301</t>
  </si>
  <si>
    <t>245-23-55</t>
  </si>
  <si>
    <t>84992457963</t>
  </si>
  <si>
    <t>499-255-24-94</t>
  </si>
  <si>
    <t>247-18-39</t>
  </si>
  <si>
    <t>4992451030</t>
  </si>
  <si>
    <t>4992552282</t>
  </si>
  <si>
    <t>84992468909</t>
  </si>
  <si>
    <t>4992557520</t>
  </si>
  <si>
    <t>4992451422</t>
  </si>
  <si>
    <t>245-15-43</t>
  </si>
  <si>
    <t>4992452460</t>
  </si>
  <si>
    <t>4992452465</t>
  </si>
  <si>
    <t>245-24-07</t>
  </si>
  <si>
    <t>4992462922</t>
  </si>
  <si>
    <t>246-42-85</t>
  </si>
  <si>
    <t>246-29-44</t>
  </si>
  <si>
    <t>246-86-13</t>
  </si>
  <si>
    <t>245-17-27</t>
  </si>
  <si>
    <t>-4992552367</t>
  </si>
  <si>
    <t>4992451637</t>
  </si>
  <si>
    <t>84992557366</t>
  </si>
  <si>
    <t>499-245-17-29</t>
  </si>
  <si>
    <t>84992451729</t>
  </si>
  <si>
    <t>4992452552</t>
  </si>
  <si>
    <t>245-15-12</t>
  </si>
  <si>
    <t>4992452796</t>
  </si>
  <si>
    <t>4992452581</t>
  </si>
  <si>
    <t>245-08-12</t>
  </si>
  <si>
    <t>84992453077</t>
  </si>
  <si>
    <t>245-08-60</t>
  </si>
  <si>
    <t>84997664148</t>
  </si>
  <si>
    <t>4992450867</t>
  </si>
  <si>
    <t>499-245-32-34</t>
  </si>
  <si>
    <t>4992451745</t>
  </si>
  <si>
    <t>4992453414</t>
  </si>
  <si>
    <t>4992464093</t>
  </si>
  <si>
    <t>84992451006</t>
  </si>
  <si>
    <t>499-245-10-04</t>
  </si>
  <si>
    <t>84992451331</t>
  </si>
  <si>
    <t>499-245-13-29</t>
  </si>
  <si>
    <t>8499-246-40-88</t>
  </si>
  <si>
    <t>245-15-39</t>
  </si>
  <si>
    <t>499-245-30-36</t>
  </si>
  <si>
    <t>245-01-76</t>
  </si>
  <si>
    <t>84992453445</t>
  </si>
  <si>
    <t>84992557474</t>
  </si>
  <si>
    <t>245-15-37</t>
  </si>
  <si>
    <t>4992450283</t>
  </si>
  <si>
    <t>245-16-82</t>
  </si>
  <si>
    <t>4992552450</t>
  </si>
  <si>
    <t>245-02-74</t>
  </si>
  <si>
    <t>609-20-78</t>
  </si>
  <si>
    <t>4992450887</t>
  </si>
  <si>
    <t>247-04-66</t>
  </si>
  <si>
    <t>245-21-46</t>
  </si>
  <si>
    <t>244-09-80</t>
  </si>
  <si>
    <t>4992552372</t>
  </si>
  <si>
    <t>246-95-36</t>
  </si>
  <si>
    <t>499-255-23-71</t>
  </si>
  <si>
    <t>245-75-26</t>
  </si>
  <si>
    <t>245-25-46</t>
  </si>
  <si>
    <t>4992552326</t>
  </si>
  <si>
    <t>245-18-22</t>
  </si>
  <si>
    <t>4992450636</t>
  </si>
  <si>
    <t>4992451324</t>
  </si>
  <si>
    <t>4992451825</t>
  </si>
  <si>
    <t>4992453459</t>
  </si>
  <si>
    <t>4997664147</t>
  </si>
  <si>
    <t>4992451936</t>
  </si>
  <si>
    <t>(499)255-23-77</t>
  </si>
  <si>
    <t>4992451934</t>
  </si>
  <si>
    <t>4992452804</t>
  </si>
  <si>
    <t>84992452804</t>
  </si>
  <si>
    <t>245-28-10</t>
  </si>
  <si>
    <t>245-19-14</t>
  </si>
  <si>
    <t>245-35-50</t>
  </si>
  <si>
    <t>84992457442</t>
  </si>
  <si>
    <t>245-16-36</t>
  </si>
  <si>
    <t>246-50-73</t>
  </si>
  <si>
    <t>84992453660</t>
  </si>
  <si>
    <t>+8(499)245-17-18</t>
  </si>
  <si>
    <t>244-78-27</t>
  </si>
  <si>
    <t>4992557248</t>
  </si>
  <si>
    <t>245-27-49</t>
  </si>
  <si>
    <t>(499)245-16-44</t>
  </si>
  <si>
    <t>245-16-30</t>
  </si>
  <si>
    <t>499-245-27-26</t>
  </si>
  <si>
    <t>4992557421</t>
  </si>
  <si>
    <t>84992557421</t>
  </si>
  <si>
    <t>246-91-40</t>
  </si>
  <si>
    <t>2557408</t>
  </si>
  <si>
    <t>248-31-75</t>
  </si>
  <si>
    <t>499-245-05-33</t>
  </si>
  <si>
    <t>4992552350</t>
  </si>
  <si>
    <t>4992550348</t>
  </si>
  <si>
    <t>246-43-19</t>
  </si>
  <si>
    <t>84992452025</t>
  </si>
  <si>
    <t>245-25-09</t>
  </si>
  <si>
    <t>245-06-27</t>
  </si>
  <si>
    <t>4992552437</t>
  </si>
  <si>
    <t>4992557872</t>
  </si>
  <si>
    <t>4992453424</t>
  </si>
  <si>
    <t>4992452503</t>
  </si>
  <si>
    <t>4992550347</t>
  </si>
  <si>
    <t>4992552387</t>
  </si>
  <si>
    <t>4992453683</t>
  </si>
  <si>
    <t>246-58-38</t>
  </si>
  <si>
    <t>Фрунзенская наб., дом. 18</t>
  </si>
  <si>
    <t>245-31-11</t>
  </si>
  <si>
    <t>499-245-05-20</t>
  </si>
  <si>
    <t>246-38-79</t>
  </si>
  <si>
    <t>247-04-61</t>
  </si>
  <si>
    <t>84992451888</t>
  </si>
  <si>
    <t>247-04-81</t>
  </si>
  <si>
    <t>241-28-20</t>
  </si>
  <si>
    <t>241-86-80</t>
  </si>
  <si>
    <t>499-246-28-18</t>
  </si>
  <si>
    <t>245-26-65</t>
  </si>
  <si>
    <t>245-11-39</t>
  </si>
  <si>
    <t>4992451427</t>
  </si>
  <si>
    <t>84992463578</t>
  </si>
  <si>
    <t>4992453380</t>
  </si>
  <si>
    <t>4992463203</t>
  </si>
  <si>
    <t>245-14-29</t>
  </si>
  <si>
    <t>4992466319</t>
  </si>
  <si>
    <t>245-26-92</t>
  </si>
  <si>
    <t>4992552493</t>
  </si>
  <si>
    <t>245-15-25</t>
  </si>
  <si>
    <t>7083618</t>
  </si>
  <si>
    <t>4992451527</t>
  </si>
  <si>
    <t>4992461271</t>
  </si>
  <si>
    <t>-4992460052</t>
  </si>
  <si>
    <t>246-14-48</t>
  </si>
  <si>
    <t>245-13-50</t>
  </si>
  <si>
    <t>247-05-01</t>
  </si>
  <si>
    <t>246-12-66</t>
  </si>
  <si>
    <t>499 245-18-58</t>
  </si>
  <si>
    <t>245-11-28</t>
  </si>
  <si>
    <t>246-69-47</t>
  </si>
  <si>
    <t>499-246-25-70</t>
  </si>
  <si>
    <t>245-11-22</t>
  </si>
  <si>
    <t>84992552507</t>
  </si>
  <si>
    <t>-4997664124</t>
  </si>
  <si>
    <t>-4997664061</t>
  </si>
  <si>
    <t>84992466782</t>
  </si>
  <si>
    <t>84997664054</t>
  </si>
  <si>
    <t>-4992451365</t>
  </si>
  <si>
    <t>4992457034</t>
  </si>
  <si>
    <t>246-09-97</t>
  </si>
  <si>
    <t>-84992463512</t>
  </si>
  <si>
    <t>84992468303</t>
  </si>
  <si>
    <t>4997664117</t>
  </si>
  <si>
    <t>84997664048</t>
  </si>
  <si>
    <t>4992451731</t>
  </si>
  <si>
    <t>4992451737</t>
  </si>
  <si>
    <t>4992461544</t>
  </si>
  <si>
    <t>4992450481</t>
  </si>
  <si>
    <t>4992552933</t>
  </si>
  <si>
    <t>245-16-25</t>
  </si>
  <si>
    <t>245-34-00</t>
  </si>
  <si>
    <t>246-35-11</t>
  </si>
  <si>
    <t>247-04-85</t>
  </si>
  <si>
    <t>4992557081</t>
  </si>
  <si>
    <t>773-04-59</t>
  </si>
  <si>
    <t>245-16-29</t>
  </si>
  <si>
    <t>4992552462</t>
  </si>
  <si>
    <t>246-88-52</t>
  </si>
  <si>
    <t>247-04-63</t>
  </si>
  <si>
    <t>4992468514</t>
  </si>
  <si>
    <t>245-37-45</t>
  </si>
  <si>
    <t>4992464905</t>
  </si>
  <si>
    <t>4992451895</t>
  </si>
  <si>
    <t>245-18-95</t>
  </si>
  <si>
    <t>245-23-45</t>
  </si>
  <si>
    <t>4997664085</t>
  </si>
  <si>
    <t>246-49-59</t>
  </si>
  <si>
    <t>4992452845</t>
  </si>
  <si>
    <t>241-20-87</t>
  </si>
  <si>
    <t>245-28-34</t>
  </si>
  <si>
    <t>245-10-62</t>
  </si>
  <si>
    <t>246-35-17</t>
  </si>
  <si>
    <t>247-06-15</t>
  </si>
  <si>
    <t>4992459526</t>
  </si>
  <si>
    <t>246-25-36</t>
  </si>
  <si>
    <t>247-06-52</t>
  </si>
  <si>
    <t>4992450551</t>
  </si>
  <si>
    <t>-4992450680</t>
  </si>
  <si>
    <t>4992453162</t>
  </si>
  <si>
    <t>84992552194</t>
  </si>
  <si>
    <t>245-20-67</t>
  </si>
  <si>
    <t>84992552853</t>
  </si>
  <si>
    <t>4992552464</t>
  </si>
  <si>
    <t>246-02-81</t>
  </si>
  <si>
    <t>84992460283</t>
  </si>
  <si>
    <t>Фрунзенская наб., дом. 24</t>
  </si>
  <si>
    <t>4992424431</t>
  </si>
  <si>
    <t>84992424773</t>
  </si>
  <si>
    <t>4992427827</t>
  </si>
  <si>
    <t>242-47-32</t>
  </si>
  <si>
    <t>4992423181</t>
  </si>
  <si>
    <t>242-89-31</t>
  </si>
  <si>
    <t>432-33-22</t>
  </si>
  <si>
    <t>242-25-66</t>
  </si>
  <si>
    <t>84992423103</t>
  </si>
  <si>
    <t>242-58-57</t>
  </si>
  <si>
    <t>4992424834</t>
  </si>
  <si>
    <t>242-53-66</t>
  </si>
  <si>
    <t>84992423160</t>
  </si>
  <si>
    <t>499-242-11-61</t>
  </si>
  <si>
    <t>242-59-38</t>
  </si>
  <si>
    <t>4992425373</t>
  </si>
  <si>
    <t>242-49-73</t>
  </si>
  <si>
    <t>-4992422572</t>
  </si>
  <si>
    <t>4992423182</t>
  </si>
  <si>
    <t>242-47-74</t>
  </si>
  <si>
    <t>242-53-83</t>
  </si>
  <si>
    <t>4992425896</t>
  </si>
  <si>
    <t>499-242-53-61</t>
  </si>
  <si>
    <t>248-17-24</t>
  </si>
  <si>
    <t>242-31-62</t>
  </si>
  <si>
    <t>4992425420</t>
  </si>
  <si>
    <t>242-53-81</t>
  </si>
  <si>
    <t>242-53-82</t>
  </si>
  <si>
    <t>242-42-47</t>
  </si>
  <si>
    <t>499-242-53-62</t>
  </si>
  <si>
    <t>84992423143</t>
  </si>
  <si>
    <t>-4992425718</t>
  </si>
  <si>
    <t>242-31-65</t>
  </si>
  <si>
    <t>242-26-37</t>
  </si>
  <si>
    <t>4992422605</t>
  </si>
  <si>
    <t>245-60-39</t>
  </si>
  <si>
    <t>499-242-31-59</t>
  </si>
  <si>
    <t>242-02-53</t>
  </si>
  <si>
    <t>4992422596</t>
  </si>
  <si>
    <t>242-31-72</t>
  </si>
  <si>
    <t>242-24-69</t>
  </si>
  <si>
    <t>242-53-85</t>
  </si>
  <si>
    <t>84992423137</t>
  </si>
  <si>
    <t>84992425746</t>
  </si>
  <si>
    <t>242-58-30</t>
  </si>
  <si>
    <t>84992425855</t>
  </si>
  <si>
    <t>242-58-07</t>
  </si>
  <si>
    <t>242-53-86</t>
  </si>
  <si>
    <t>242-58-23</t>
  </si>
  <si>
    <t>4992427433</t>
  </si>
  <si>
    <t>242-58-45</t>
  </si>
  <si>
    <t>-4992421399</t>
  </si>
  <si>
    <t>248-53-91</t>
  </si>
  <si>
    <t>245-79-54</t>
  </si>
  <si>
    <t>4992423174</t>
  </si>
  <si>
    <t>242-31-73</t>
  </si>
  <si>
    <t>242-58-20</t>
  </si>
  <si>
    <t>242-53-77</t>
  </si>
  <si>
    <t>4992457497</t>
  </si>
  <si>
    <t>242-53-89</t>
  </si>
  <si>
    <t>8499-242-53-63</t>
  </si>
  <si>
    <t>84992427571</t>
  </si>
  <si>
    <t>242-25-92</t>
  </si>
  <si>
    <t>84992425378</t>
  </si>
  <si>
    <t>84992423176</t>
  </si>
  <si>
    <t>499-242-25-87</t>
  </si>
  <si>
    <t>-84992425375</t>
  </si>
  <si>
    <t>4992423212</t>
  </si>
  <si>
    <t>-84992424985</t>
  </si>
  <si>
    <t>242-53-64</t>
  </si>
  <si>
    <t>242-88-74</t>
  </si>
  <si>
    <t>242-31-77</t>
  </si>
  <si>
    <t>242-53-68</t>
  </si>
  <si>
    <t>242-47-67</t>
  </si>
  <si>
    <t>242-53-79</t>
  </si>
  <si>
    <t>242-53-91</t>
  </si>
  <si>
    <t>4992424791</t>
  </si>
  <si>
    <t>4992425371</t>
  </si>
  <si>
    <t>242-47-31</t>
  </si>
  <si>
    <t>4992425847</t>
  </si>
  <si>
    <t>8499-242-57-45</t>
  </si>
  <si>
    <t>84992423168</t>
  </si>
  <si>
    <t>242-27-98</t>
  </si>
  <si>
    <t>242-25-97</t>
  </si>
  <si>
    <t>242-57-43</t>
  </si>
  <si>
    <t>4992425747</t>
  </si>
  <si>
    <t>4992422583</t>
  </si>
  <si>
    <t>4992425755</t>
  </si>
  <si>
    <t>242-27-07</t>
  </si>
  <si>
    <t>242-78-62</t>
  </si>
  <si>
    <t>4992425898</t>
  </si>
  <si>
    <t>242-53-93</t>
  </si>
  <si>
    <t>242-58-51</t>
  </si>
  <si>
    <t>242-57-57</t>
  </si>
  <si>
    <t>242-53-94</t>
  </si>
  <si>
    <t>4992422473</t>
  </si>
  <si>
    <t>8499-242-53-72</t>
  </si>
  <si>
    <t>241-01-38</t>
  </si>
  <si>
    <t>-89166033914</t>
  </si>
  <si>
    <t>242-58-86</t>
  </si>
  <si>
    <t>242-31-61</t>
  </si>
  <si>
    <t>4992422571</t>
  </si>
  <si>
    <t>242-54-07</t>
  </si>
  <si>
    <t>4992425618</t>
  </si>
  <si>
    <t>84992425403</t>
  </si>
  <si>
    <t>-4992425406</t>
  </si>
  <si>
    <t>499-242-33-22</t>
  </si>
  <si>
    <t>242-58-21</t>
  </si>
  <si>
    <t>84997668514</t>
  </si>
  <si>
    <t>4992425405</t>
  </si>
  <si>
    <t>242-54-13</t>
  </si>
  <si>
    <t>242-54-08</t>
  </si>
  <si>
    <t>4992423114</t>
  </si>
  <si>
    <t>4992425412</t>
  </si>
  <si>
    <t>242-54-11</t>
  </si>
  <si>
    <t>242-54-15</t>
  </si>
  <si>
    <t>242-54-21</t>
  </si>
  <si>
    <t>242-54-23</t>
  </si>
  <si>
    <t>84992425424</t>
  </si>
  <si>
    <t>4992425422</t>
  </si>
  <si>
    <t>4992425756</t>
  </si>
  <si>
    <t>242-57-52</t>
  </si>
  <si>
    <t>4992425425</t>
  </si>
  <si>
    <t>499-242-54-27</t>
  </si>
  <si>
    <t>499-242-54-30</t>
  </si>
  <si>
    <t>242-54-28</t>
  </si>
  <si>
    <t>242-47-25</t>
  </si>
  <si>
    <t>4997668138</t>
  </si>
  <si>
    <t>499-242-47-34</t>
  </si>
  <si>
    <t>499-242-58-80</t>
  </si>
  <si>
    <t>8499-242-62-65</t>
  </si>
  <si>
    <t>242-58-58</t>
  </si>
  <si>
    <t>242-47-37</t>
  </si>
  <si>
    <t>242-47-43</t>
  </si>
  <si>
    <t>242-53-92</t>
  </si>
  <si>
    <t>242-47-36</t>
  </si>
  <si>
    <t>4992424748</t>
  </si>
  <si>
    <t>84992424741</t>
  </si>
  <si>
    <t>4992424747</t>
  </si>
  <si>
    <t>242-31-15</t>
  </si>
  <si>
    <t>242-47-51</t>
  </si>
  <si>
    <t>4992424744</t>
  </si>
  <si>
    <t>4992423140</t>
  </si>
  <si>
    <t>499-242-47-49</t>
  </si>
  <si>
    <t>4992424746</t>
  </si>
  <si>
    <t>242-47-59</t>
  </si>
  <si>
    <t>499-242-47-54</t>
  </si>
  <si>
    <t>242-47-52</t>
  </si>
  <si>
    <t>4992424760</t>
  </si>
  <si>
    <t>242-47-57</t>
  </si>
  <si>
    <t>4992423571</t>
  </si>
  <si>
    <t>499-242-87-20</t>
  </si>
  <si>
    <t>242-47-55</t>
  </si>
  <si>
    <t>242-47-69</t>
  </si>
  <si>
    <t>242-47-66</t>
  </si>
  <si>
    <t>242-47-71</t>
  </si>
  <si>
    <t>(499)242-47-70</t>
  </si>
  <si>
    <t>4992424764</t>
  </si>
  <si>
    <t>4992424768</t>
  </si>
  <si>
    <t>84992424992</t>
  </si>
  <si>
    <t>242-54-09</t>
  </si>
  <si>
    <t>499-766-84-95</t>
  </si>
  <si>
    <t>245-72-62</t>
  </si>
  <si>
    <t>499-242-47-79</t>
  </si>
  <si>
    <t>242-31-13</t>
  </si>
  <si>
    <t>242-47-76</t>
  </si>
  <si>
    <t>499-242-08-53</t>
  </si>
  <si>
    <t>4992424785</t>
  </si>
  <si>
    <t>499-242-47-90</t>
  </si>
  <si>
    <t>4997668252</t>
  </si>
  <si>
    <t>242-47-83</t>
  </si>
  <si>
    <t>84992424787</t>
  </si>
  <si>
    <t>242-47-89</t>
  </si>
  <si>
    <t>4992424802</t>
  </si>
  <si>
    <t>4992424168</t>
  </si>
  <si>
    <t>242-47-97</t>
  </si>
  <si>
    <t>242-47-95</t>
  </si>
  <si>
    <t>242-54-98</t>
  </si>
  <si>
    <t>4992424825</t>
  </si>
  <si>
    <t>4992424827</t>
  </si>
  <si>
    <t>242-48-24</t>
  </si>
  <si>
    <t>499-242-48-26</t>
  </si>
  <si>
    <t>4992424829</t>
  </si>
  <si>
    <t>189А</t>
  </si>
  <si>
    <t>499-242-48-29</t>
  </si>
  <si>
    <t>242-06-80</t>
  </si>
  <si>
    <t>242-48-22</t>
  </si>
  <si>
    <t>242-48-33</t>
  </si>
  <si>
    <t>193-194</t>
  </si>
  <si>
    <t>4992424840</t>
  </si>
  <si>
    <t>242-48-39</t>
  </si>
  <si>
    <t>242-48-38</t>
  </si>
  <si>
    <t>4992424843</t>
  </si>
  <si>
    <t>242-48-47</t>
  </si>
  <si>
    <t>242-49-61</t>
  </si>
  <si>
    <t>242-49-68</t>
  </si>
  <si>
    <t>4992425553</t>
  </si>
  <si>
    <t>242-49-63</t>
  </si>
  <si>
    <t>242-49-64</t>
  </si>
  <si>
    <t>242-49-86</t>
  </si>
  <si>
    <t>84992424835</t>
  </si>
  <si>
    <t>4992425404</t>
  </si>
  <si>
    <t>4992424966</t>
  </si>
  <si>
    <t>8499-242-49-76</t>
  </si>
  <si>
    <t>84992424981</t>
  </si>
  <si>
    <t>84992424984</t>
  </si>
  <si>
    <t>84992424977</t>
  </si>
  <si>
    <t>4992424980</t>
  </si>
  <si>
    <t>4992424983</t>
  </si>
  <si>
    <t>242-49-78</t>
  </si>
  <si>
    <t>499-242-49-82</t>
  </si>
  <si>
    <t>84992424988</t>
  </si>
  <si>
    <t>242-58-49</t>
  </si>
  <si>
    <t>248-09-47</t>
  </si>
  <si>
    <t>242-49-94</t>
  </si>
  <si>
    <t>4992424991</t>
  </si>
  <si>
    <t>242-49-93</t>
  </si>
  <si>
    <t>499-242-47-63</t>
  </si>
  <si>
    <t>Фрунзенская наб., дом. 34</t>
  </si>
  <si>
    <t>Фрунзенская наб., дом. 46</t>
  </si>
  <si>
    <t>4992422813</t>
  </si>
  <si>
    <t>4992424023</t>
  </si>
  <si>
    <t>84992422794</t>
  </si>
  <si>
    <t>4992422819</t>
  </si>
  <si>
    <t>4992424160</t>
  </si>
  <si>
    <t>242-27-85</t>
  </si>
  <si>
    <t>242-84-92</t>
  </si>
  <si>
    <t>-84997668982</t>
  </si>
  <si>
    <t>84997668193</t>
  </si>
  <si>
    <t>4992422816</t>
  </si>
  <si>
    <t>-4992422861</t>
  </si>
  <si>
    <t>-4992425418</t>
  </si>
  <si>
    <t>245-77-95</t>
  </si>
  <si>
    <t>242-27-87</t>
  </si>
  <si>
    <t>242-17-21</t>
  </si>
  <si>
    <t>242-28-53</t>
  </si>
  <si>
    <t>242-28-49</t>
  </si>
  <si>
    <t>4996091297</t>
  </si>
  <si>
    <t>4992427584</t>
  </si>
  <si>
    <t>4992422935</t>
  </si>
  <si>
    <t>242-45-78</t>
  </si>
  <si>
    <t>499-242-32-43</t>
  </si>
  <si>
    <t>-84992424618</t>
  </si>
  <si>
    <t>242-30-43</t>
  </si>
  <si>
    <t>84992428897</t>
  </si>
  <si>
    <t>84992425875</t>
  </si>
  <si>
    <t>242-29-10</t>
  </si>
  <si>
    <t>4992422863</t>
  </si>
  <si>
    <t>242-56-95</t>
  </si>
  <si>
    <t>242-58-62</t>
  </si>
  <si>
    <t>4992422655</t>
  </si>
  <si>
    <t>242-28-17</t>
  </si>
  <si>
    <t>242-61-30</t>
  </si>
  <si>
    <t>242-57-37</t>
  </si>
  <si>
    <t>242-42-91</t>
  </si>
  <si>
    <t>4997668230</t>
  </si>
  <si>
    <t>4992422659</t>
  </si>
  <si>
    <t>-4992424222</t>
  </si>
  <si>
    <t>242-26-41</t>
  </si>
  <si>
    <t>242-30-76</t>
  </si>
  <si>
    <t>499-242-28-18</t>
  </si>
  <si>
    <t>4992422815</t>
  </si>
  <si>
    <t>242-28-07</t>
  </si>
  <si>
    <t>4992422777</t>
  </si>
  <si>
    <t>4992422646</t>
  </si>
  <si>
    <t>4992422770</t>
  </si>
  <si>
    <t>499-242-28-55</t>
  </si>
  <si>
    <t>4992422658</t>
  </si>
  <si>
    <t>242-28-93</t>
  </si>
  <si>
    <t>84992422640</t>
  </si>
  <si>
    <t>242-27-83</t>
  </si>
  <si>
    <t>84992425905</t>
  </si>
  <si>
    <t>4992423205</t>
  </si>
  <si>
    <t>4992422931</t>
  </si>
  <si>
    <t>4992423167</t>
  </si>
  <si>
    <t>242-59-30</t>
  </si>
  <si>
    <t>-4992422649</t>
  </si>
  <si>
    <t>84992422474</t>
  </si>
  <si>
    <t>-4992429523</t>
  </si>
  <si>
    <t>242-27-84</t>
  </si>
  <si>
    <t>4992423065</t>
  </si>
  <si>
    <t>-4992426039</t>
  </si>
  <si>
    <t>499-242-28-00</t>
  </si>
  <si>
    <t>4992423251</t>
  </si>
  <si>
    <t>242-28-57</t>
  </si>
  <si>
    <t>499 242-13-72</t>
  </si>
  <si>
    <t>242-28-45</t>
  </si>
  <si>
    <t>242-56-90</t>
  </si>
  <si>
    <t>242-28-03</t>
  </si>
  <si>
    <t>84992422812</t>
  </si>
  <si>
    <t>4992423087</t>
  </si>
  <si>
    <t>242-49-21</t>
  </si>
  <si>
    <t>242-34-75</t>
  </si>
  <si>
    <t>242-24-75</t>
  </si>
  <si>
    <t>242-32-14</t>
  </si>
  <si>
    <t>242-28-37</t>
  </si>
  <si>
    <t>4992422933</t>
  </si>
  <si>
    <t>242-34-58</t>
  </si>
  <si>
    <t>242-28-51</t>
  </si>
  <si>
    <t>499-242-28-25</t>
  </si>
  <si>
    <t>4992422726</t>
  </si>
  <si>
    <t>4992420225</t>
  </si>
  <si>
    <t>242-28-31</t>
  </si>
  <si>
    <t>4992422831</t>
  </si>
  <si>
    <t>4997660694</t>
  </si>
  <si>
    <t>242-82-02</t>
  </si>
  <si>
    <t>Фрунзенская наб., дом. 48</t>
  </si>
  <si>
    <t>4992423185</t>
  </si>
  <si>
    <t>84992421991</t>
  </si>
  <si>
    <t>4992425751</t>
  </si>
  <si>
    <t>499-242-28-35</t>
  </si>
  <si>
    <t>242-32-54</t>
  </si>
  <si>
    <t>4992422725</t>
  </si>
  <si>
    <t>4992425707</t>
  </si>
  <si>
    <t>499-242-41-50</t>
  </si>
  <si>
    <t>499-242-08-65</t>
  </si>
  <si>
    <t>499-242-35-38</t>
  </si>
  <si>
    <t>242-31-47</t>
  </si>
  <si>
    <t>499-242-35-36</t>
  </si>
  <si>
    <t>242-30-48</t>
  </si>
  <si>
    <t>4992421929</t>
  </si>
  <si>
    <t>242-29-47</t>
  </si>
  <si>
    <t>4992421697</t>
  </si>
  <si>
    <t>245-68-36</t>
  </si>
  <si>
    <t>257-29-73</t>
  </si>
  <si>
    <t>242-25-76</t>
  </si>
  <si>
    <t>242-35-09</t>
  </si>
  <si>
    <t>245-68-31</t>
  </si>
  <si>
    <t>4992424924</t>
  </si>
  <si>
    <t>4992422823</t>
  </si>
  <si>
    <t>84992422722</t>
  </si>
  <si>
    <t>242-30-56</t>
  </si>
  <si>
    <t>4992424241</t>
  </si>
  <si>
    <t>242-57-39</t>
  </si>
  <si>
    <t>242-32-19</t>
  </si>
  <si>
    <t>4992427270</t>
  </si>
  <si>
    <t>242-57-34</t>
  </si>
  <si>
    <t>242-42-06</t>
  </si>
  <si>
    <t>4992424215</t>
  </si>
  <si>
    <t>242-23-75</t>
  </si>
  <si>
    <t>242-56-91</t>
  </si>
  <si>
    <t>4992421988</t>
  </si>
  <si>
    <t>245-68-34</t>
  </si>
  <si>
    <t>242-41-58</t>
  </si>
  <si>
    <t>42-43</t>
  </si>
  <si>
    <t>248-29-71</t>
  </si>
  <si>
    <t>4992421923</t>
  </si>
  <si>
    <t>84992422083</t>
  </si>
  <si>
    <t>4992422574</t>
  </si>
  <si>
    <t>499-242-25-73</t>
  </si>
  <si>
    <t>499-242-84-66</t>
  </si>
  <si>
    <t>242-35-76</t>
  </si>
  <si>
    <t>499-242-31-87</t>
  </si>
  <si>
    <t>4992425726</t>
  </si>
  <si>
    <t>242-42-45</t>
  </si>
  <si>
    <t>4992425703</t>
  </si>
  <si>
    <t>4992420125</t>
  </si>
  <si>
    <t>4992424244</t>
  </si>
  <si>
    <t>4992422808</t>
  </si>
  <si>
    <t>242-57-00</t>
  </si>
  <si>
    <t>8499-242-32-21</t>
  </si>
  <si>
    <t>242-57-28</t>
  </si>
  <si>
    <t>4992422998</t>
  </si>
  <si>
    <t>4992423090</t>
  </si>
  <si>
    <t>4997668203</t>
  </si>
  <si>
    <t>4992424242</t>
  </si>
  <si>
    <t>-4992421986</t>
  </si>
  <si>
    <t>84956091698</t>
  </si>
  <si>
    <t>84992423046</t>
  </si>
  <si>
    <t>84992421878</t>
  </si>
  <si>
    <t>8499-242-57-04</t>
  </si>
  <si>
    <t>242-04-89</t>
  </si>
  <si>
    <t>84992424252</t>
  </si>
  <si>
    <t>499-242-19-18</t>
  </si>
  <si>
    <t>4992421918</t>
  </si>
  <si>
    <t>242-28-05</t>
  </si>
  <si>
    <t>242-49-38</t>
  </si>
  <si>
    <t>4992424938</t>
  </si>
  <si>
    <t>242-57-21</t>
  </si>
  <si>
    <t>4992422875</t>
  </si>
  <si>
    <t>4992421933</t>
  </si>
  <si>
    <t>499 194-06-51</t>
  </si>
  <si>
    <t>4992429793</t>
  </si>
  <si>
    <t>242-27-20</t>
  </si>
  <si>
    <t>242-29-48</t>
  </si>
  <si>
    <t>242-29-46</t>
  </si>
  <si>
    <t>242-42-46</t>
  </si>
  <si>
    <t>499-242-42-48</t>
  </si>
  <si>
    <t>4992422847</t>
  </si>
  <si>
    <t>242-32-37</t>
  </si>
  <si>
    <t>242-58-73</t>
  </si>
  <si>
    <t>242-42-53</t>
  </si>
  <si>
    <t>242-42-50</t>
  </si>
  <si>
    <t>4992425868</t>
  </si>
  <si>
    <t>242-32-23</t>
  </si>
  <si>
    <t>242-58-69</t>
  </si>
  <si>
    <t>242-32-15</t>
  </si>
  <si>
    <t>4992423057</t>
  </si>
  <si>
    <t>242-58-79</t>
  </si>
  <si>
    <t>242-58-70</t>
  </si>
  <si>
    <t>242-87-97</t>
  </si>
  <si>
    <t>84992421113</t>
  </si>
  <si>
    <t>242-19-17</t>
  </si>
  <si>
    <t>242-33-82</t>
  </si>
  <si>
    <t>242-33-80</t>
  </si>
  <si>
    <t>242-01-25</t>
  </si>
  <si>
    <t>242-42-54</t>
  </si>
  <si>
    <t>4992421916</t>
  </si>
  <si>
    <t>242-32-35</t>
  </si>
  <si>
    <t>4997668191</t>
  </si>
  <si>
    <t>84997668014</t>
  </si>
  <si>
    <t>4992425713</t>
  </si>
  <si>
    <t>242-57-13</t>
  </si>
  <si>
    <t>242-42-57</t>
  </si>
  <si>
    <t>4992422879</t>
  </si>
  <si>
    <t>242-30-91</t>
  </si>
  <si>
    <t>242-32-18</t>
  </si>
  <si>
    <t>242-32-17</t>
  </si>
  <si>
    <t>4992422569</t>
  </si>
  <si>
    <t>4992423216</t>
  </si>
  <si>
    <t>242-68-12</t>
  </si>
  <si>
    <t>8499-242-32-07</t>
  </si>
  <si>
    <t>4992423044</t>
  </si>
  <si>
    <t>499-242-42-58</t>
  </si>
  <si>
    <t>242-57-15</t>
  </si>
  <si>
    <t>-4992425714</t>
  </si>
  <si>
    <t>242-26-50</t>
  </si>
  <si>
    <t>4992424261</t>
  </si>
  <si>
    <t>242-58-77</t>
  </si>
  <si>
    <t>242-58-78</t>
  </si>
  <si>
    <t>242-42-60</t>
  </si>
  <si>
    <t>4992422062</t>
  </si>
  <si>
    <t>499-242-30-50</t>
  </si>
  <si>
    <t>4992424255</t>
  </si>
  <si>
    <t>242-56-81</t>
  </si>
  <si>
    <t>84992421919</t>
  </si>
  <si>
    <t>4992423068</t>
  </si>
  <si>
    <t>4992422771</t>
  </si>
  <si>
    <t>242-85-92</t>
  </si>
  <si>
    <t>242-57-80</t>
  </si>
  <si>
    <t>4992422778</t>
  </si>
  <si>
    <t>4992426103</t>
  </si>
  <si>
    <t>4992422930</t>
  </si>
  <si>
    <t>84992426108</t>
  </si>
  <si>
    <t>Фрунзенская наб., дом. 52</t>
  </si>
  <si>
    <t>4992422833</t>
  </si>
  <si>
    <t>242-20-96</t>
  </si>
  <si>
    <t>499-242-42-63</t>
  </si>
  <si>
    <t>4992424851</t>
  </si>
  <si>
    <t>242-32-04</t>
  </si>
  <si>
    <t>499-242-57-19</t>
  </si>
  <si>
    <t>242-57-20</t>
  </si>
  <si>
    <t>242-33-81</t>
  </si>
  <si>
    <t>4992425727</t>
  </si>
  <si>
    <t>4992425717</t>
  </si>
  <si>
    <t>4992422575</t>
  </si>
  <si>
    <t>242-42-62</t>
  </si>
  <si>
    <t>242-58-01</t>
  </si>
  <si>
    <t>499-242-32-52</t>
  </si>
  <si>
    <t>4956091812</t>
  </si>
  <si>
    <t>242-58-00</t>
  </si>
  <si>
    <t>4997668174</t>
  </si>
  <si>
    <t>4992428709</t>
  </si>
  <si>
    <t>245-78-67</t>
  </si>
  <si>
    <t>4992424265</t>
  </si>
  <si>
    <t>242-28-50</t>
  </si>
  <si>
    <t>84997668176</t>
  </si>
  <si>
    <t>4992422891</t>
  </si>
  <si>
    <t>242-42-68</t>
  </si>
  <si>
    <t>245-78-60</t>
  </si>
  <si>
    <t>4992424251</t>
  </si>
  <si>
    <t>8499-242-42-69</t>
  </si>
  <si>
    <t>499-242-59-08</t>
  </si>
  <si>
    <t>89853054919</t>
  </si>
  <si>
    <t>248-46-72</t>
  </si>
  <si>
    <t>4992423255</t>
  </si>
  <si>
    <t>84992420103</t>
  </si>
  <si>
    <t>242-42-66</t>
  </si>
  <si>
    <t>4956091383</t>
  </si>
  <si>
    <t>609-18-54</t>
  </si>
  <si>
    <t>242-42-67</t>
  </si>
  <si>
    <t>242-58-76</t>
  </si>
  <si>
    <t>4992426486</t>
  </si>
  <si>
    <t>242-57-50</t>
  </si>
  <si>
    <t>242-33-90</t>
  </si>
  <si>
    <t>242-33-85</t>
  </si>
  <si>
    <t>245-78-63</t>
  </si>
  <si>
    <t>242-42-64</t>
  </si>
  <si>
    <t>246-31-71</t>
  </si>
  <si>
    <t>-4992422681</t>
  </si>
  <si>
    <t>4992457771</t>
  </si>
  <si>
    <t>242-57-58</t>
  </si>
  <si>
    <t>4992423153</t>
  </si>
  <si>
    <t>4992427641</t>
  </si>
  <si>
    <t>84992423239</t>
  </si>
  <si>
    <t>4992425732</t>
  </si>
  <si>
    <t>242-32-30</t>
  </si>
  <si>
    <t>4992424271</t>
  </si>
  <si>
    <t>242-87-10</t>
  </si>
  <si>
    <t>84992428710</t>
  </si>
  <si>
    <t>499-242-30-63</t>
  </si>
  <si>
    <t>242-25-20</t>
  </si>
  <si>
    <t>242-31-27</t>
  </si>
  <si>
    <t>242-23-05</t>
  </si>
  <si>
    <t>242-53-60</t>
  </si>
  <si>
    <t>4997668158</t>
  </si>
  <si>
    <t>242-57-33</t>
  </si>
  <si>
    <t>242-42-70</t>
  </si>
  <si>
    <t>242-56-08</t>
  </si>
  <si>
    <t>499-766-87-89</t>
  </si>
  <si>
    <t>4997668783</t>
  </si>
  <si>
    <t>242-24-62</t>
  </si>
  <si>
    <t>84992422691</t>
  </si>
  <si>
    <t>4992422387</t>
  </si>
  <si>
    <t>4992423396</t>
  </si>
  <si>
    <t>8499-242-57-90</t>
  </si>
  <si>
    <t>242-19-31</t>
  </si>
  <si>
    <t>4992422078</t>
  </si>
  <si>
    <t>242-32-42</t>
  </si>
  <si>
    <t>242-32-08</t>
  </si>
  <si>
    <t>-4992425825</t>
  </si>
  <si>
    <t>242-57-51</t>
  </si>
  <si>
    <t>84-85</t>
  </si>
  <si>
    <t>4992424274</t>
  </si>
  <si>
    <t>8499242-87-12</t>
  </si>
  <si>
    <t>242-02-83</t>
  </si>
  <si>
    <t>-4992423231</t>
  </si>
  <si>
    <t>499-242-17-15</t>
  </si>
  <si>
    <t>4992425810</t>
  </si>
  <si>
    <t>84992421526</t>
  </si>
  <si>
    <t>257-27-73</t>
  </si>
  <si>
    <t>436-56-23</t>
  </si>
  <si>
    <t>4992423233</t>
  </si>
  <si>
    <t>242-21-50</t>
  </si>
  <si>
    <t>242-31-51</t>
  </si>
  <si>
    <t>242-31-84</t>
  </si>
  <si>
    <t>499-242-58-85</t>
  </si>
  <si>
    <t>499-242-32-13</t>
  </si>
  <si>
    <t>499-242-63-09</t>
  </si>
  <si>
    <t>4997668761</t>
  </si>
  <si>
    <t>766-87-66</t>
  </si>
  <si>
    <t>242-19-12</t>
  </si>
  <si>
    <t>4992425748</t>
  </si>
  <si>
    <t>4997668768</t>
  </si>
  <si>
    <t>4992428713</t>
  </si>
  <si>
    <t>499-242-31-79</t>
  </si>
  <si>
    <t>499-242-20-56</t>
  </si>
  <si>
    <t>499-242-26-44</t>
  </si>
  <si>
    <t>245-79-62</t>
  </si>
  <si>
    <t>4992421551</t>
  </si>
  <si>
    <t>242-36-37</t>
  </si>
  <si>
    <t>257-24-41</t>
  </si>
  <si>
    <t>242-02-41</t>
  </si>
  <si>
    <t>4992421740</t>
  </si>
  <si>
    <t>242-37-01</t>
  </si>
  <si>
    <t>84992423702</t>
  </si>
  <si>
    <t>84992421930</t>
  </si>
  <si>
    <t>4992422205</t>
  </si>
  <si>
    <t>4992422248</t>
  </si>
  <si>
    <t>257-22-75</t>
  </si>
  <si>
    <t>242-36-35</t>
  </si>
  <si>
    <t>4992428714</t>
  </si>
  <si>
    <t>242-36-96</t>
  </si>
  <si>
    <t>242-87-15</t>
  </si>
  <si>
    <t>242-37-07</t>
  </si>
  <si>
    <t>4992421400</t>
  </si>
  <si>
    <t>499-242-36-72</t>
  </si>
  <si>
    <t>499-242-37-08</t>
  </si>
  <si>
    <t>4992423807</t>
  </si>
  <si>
    <t>4992423633</t>
  </si>
  <si>
    <t>242-14-01</t>
  </si>
  <si>
    <t>(8499)242-37-00</t>
  </si>
  <si>
    <t>242-36-91</t>
  </si>
  <si>
    <t>84992421403</t>
  </si>
  <si>
    <t>499-766-84-38</t>
  </si>
  <si>
    <t>242-80-20</t>
  </si>
  <si>
    <t>499-766-84-39</t>
  </si>
  <si>
    <t>242-03-81</t>
  </si>
  <si>
    <t>Фрунзенская наб., дом. 54</t>
  </si>
  <si>
    <t>242-36-09</t>
  </si>
  <si>
    <t>4992423606</t>
  </si>
  <si>
    <t>84992423608</t>
  </si>
  <si>
    <t>242-36-03</t>
  </si>
  <si>
    <t>4992423605</t>
  </si>
  <si>
    <t>4992424398</t>
  </si>
  <si>
    <t>4992423607</t>
  </si>
  <si>
    <t>609-18-36</t>
  </si>
  <si>
    <t>-84992423604</t>
  </si>
  <si>
    <t>242-36-15</t>
  </si>
  <si>
    <t>242-12-53</t>
  </si>
  <si>
    <t>4992424366</t>
  </si>
  <si>
    <t>242-36-12</t>
  </si>
  <si>
    <t>242-44-46</t>
  </si>
  <si>
    <t>242-43-86</t>
  </si>
  <si>
    <t>242-36-27</t>
  </si>
  <si>
    <t>242-41-98</t>
  </si>
  <si>
    <t>84992424447</t>
  </si>
  <si>
    <t>499-242-36-30</t>
  </si>
  <si>
    <t>242-36-19</t>
  </si>
  <si>
    <t>242-36-20</t>
  </si>
  <si>
    <t>242-43-97</t>
  </si>
  <si>
    <t>4992423710</t>
  </si>
  <si>
    <t>4992423639</t>
  </si>
  <si>
    <t>4992423631</t>
  </si>
  <si>
    <t>242-36-51</t>
  </si>
  <si>
    <t>84992423646</t>
  </si>
  <si>
    <t>499-242-36-47</t>
  </si>
  <si>
    <t>242-36-49</t>
  </si>
  <si>
    <t>84992421765</t>
  </si>
  <si>
    <t>84992423648</t>
  </si>
  <si>
    <t>4992423645</t>
  </si>
  <si>
    <t>242-36-52</t>
  </si>
  <si>
    <t>84992425333</t>
  </si>
  <si>
    <t>4992423642</t>
  </si>
  <si>
    <t>242-36-41</t>
  </si>
  <si>
    <t>84992423643</t>
  </si>
  <si>
    <t>-4992422827</t>
  </si>
  <si>
    <t>4992424400</t>
  </si>
  <si>
    <t>-4992423663</t>
  </si>
  <si>
    <t>242-36-59</t>
  </si>
  <si>
    <t>4956091515</t>
  </si>
  <si>
    <t>242-44-01</t>
  </si>
  <si>
    <t>242-36-55</t>
  </si>
  <si>
    <t>4992424407</t>
  </si>
  <si>
    <t>4992423665</t>
  </si>
  <si>
    <t>499-242-43-96</t>
  </si>
  <si>
    <t>242-36-67</t>
  </si>
  <si>
    <t>4992423709</t>
  </si>
  <si>
    <t>4992422220</t>
  </si>
  <si>
    <t>242-36-71</t>
  </si>
  <si>
    <t>84992423668</t>
  </si>
  <si>
    <t>242-44-09</t>
  </si>
  <si>
    <t>499-242-44-08</t>
  </si>
  <si>
    <t>242-44-05</t>
  </si>
  <si>
    <t>4992423673</t>
  </si>
  <si>
    <t>4992424406</t>
  </si>
  <si>
    <t>4992424403</t>
  </si>
  <si>
    <t>4992423786</t>
  </si>
  <si>
    <t>242-44-02</t>
  </si>
  <si>
    <t>4992423683</t>
  </si>
  <si>
    <t>242-51-15</t>
  </si>
  <si>
    <t>4992423680</t>
  </si>
  <si>
    <t>84992423674</t>
  </si>
  <si>
    <t>4992423677</t>
  </si>
  <si>
    <t>-4992423681</t>
  </si>
  <si>
    <t>242-36-75</t>
  </si>
  <si>
    <t>499-242-36-25</t>
  </si>
  <si>
    <t>242-44-12</t>
  </si>
  <si>
    <t>242-44-64</t>
  </si>
  <si>
    <t>242-20-59</t>
  </si>
  <si>
    <t>242-36-92</t>
  </si>
  <si>
    <t>4992424415</t>
  </si>
  <si>
    <t>242-36-98</t>
  </si>
  <si>
    <t>242-44-17</t>
  </si>
  <si>
    <t>84997668079</t>
  </si>
  <si>
    <t>4992423697</t>
  </si>
  <si>
    <t>242-36-84</t>
  </si>
  <si>
    <t>4992423689</t>
  </si>
  <si>
    <t>242-36-87</t>
  </si>
  <si>
    <t>242-81-20</t>
  </si>
  <si>
    <t>242-44-14 499</t>
  </si>
  <si>
    <t>Хамовнический вал ул., дом. 2</t>
  </si>
  <si>
    <t>242-36-76</t>
  </si>
  <si>
    <t>84992422107</t>
  </si>
  <si>
    <t>499-242-34-36</t>
  </si>
  <si>
    <t>242-28-29</t>
  </si>
  <si>
    <t>499-245-70-49</t>
  </si>
  <si>
    <t>242-37-06</t>
  </si>
  <si>
    <t>247-34-72</t>
  </si>
  <si>
    <t>242-36-94</t>
  </si>
  <si>
    <t>242-36-86</t>
  </si>
  <si>
    <t>4992421451</t>
  </si>
  <si>
    <t>4992423433</t>
  </si>
  <si>
    <t>242-27-81</t>
  </si>
  <si>
    <t>242-87-71</t>
  </si>
  <si>
    <t>4992421259</t>
  </si>
  <si>
    <t>242-15-76</t>
  </si>
  <si>
    <t>242-15-77</t>
  </si>
  <si>
    <t>499-242-15-77</t>
  </si>
  <si>
    <t>84992425861</t>
  </si>
  <si>
    <t>8499-242-58-08</t>
  </si>
  <si>
    <t>242-87-75</t>
  </si>
  <si>
    <t>4992426029</t>
  </si>
  <si>
    <t>242-27-29</t>
  </si>
  <si>
    <t>609-18-29</t>
  </si>
  <si>
    <t>(499)766-84-83</t>
  </si>
  <si>
    <t>242-49-96</t>
  </si>
  <si>
    <t>248-05-81</t>
  </si>
  <si>
    <t>4997668677</t>
  </si>
  <si>
    <t>-9255094789</t>
  </si>
  <si>
    <t>-84992421423</t>
  </si>
  <si>
    <t>242-14-23</t>
  </si>
  <si>
    <t>4997668654</t>
  </si>
  <si>
    <t>4992423359</t>
  </si>
  <si>
    <t>4992420249</t>
  </si>
  <si>
    <t>499-242-24-85</t>
  </si>
  <si>
    <t>242-24-85</t>
  </si>
  <si>
    <t>242-37-15</t>
  </si>
  <si>
    <t>499-242-83-54</t>
  </si>
  <si>
    <t>4992422643</t>
  </si>
  <si>
    <t>499-242-24-87</t>
  </si>
  <si>
    <t>499-242-83-50</t>
  </si>
  <si>
    <t>242-33-57</t>
  </si>
  <si>
    <t>4992423356</t>
  </si>
  <si>
    <t>45-46</t>
  </si>
  <si>
    <t>4956091770</t>
  </si>
  <si>
    <t>4992423133</t>
  </si>
  <si>
    <t>4992423975</t>
  </si>
  <si>
    <t>84992424096</t>
  </si>
  <si>
    <t>242-04-28</t>
  </si>
  <si>
    <t>422-33-55</t>
  </si>
  <si>
    <t>8499-242-00-84</t>
  </si>
  <si>
    <t>242-25-89</t>
  </si>
  <si>
    <t>(499)242-21-05</t>
  </si>
  <si>
    <t>242-33-53</t>
  </si>
  <si>
    <t>242-56-39</t>
  </si>
  <si>
    <t>89686555517</t>
  </si>
  <si>
    <t>499-242-33-52</t>
  </si>
  <si>
    <t>4992420053</t>
  </si>
  <si>
    <t>242-88-30</t>
  </si>
  <si>
    <t>499-242-87-80</t>
  </si>
  <si>
    <t>499-242-87-86</t>
  </si>
  <si>
    <t>4992421578</t>
  </si>
  <si>
    <t>242-87-81</t>
  </si>
  <si>
    <t>242-17-10</t>
  </si>
  <si>
    <t>242-40-51</t>
  </si>
  <si>
    <t>4992423351</t>
  </si>
  <si>
    <t>4992423119</t>
  </si>
  <si>
    <t>84992422922</t>
  </si>
  <si>
    <t>4992421449</t>
  </si>
  <si>
    <t>4992428617</t>
  </si>
  <si>
    <t>84992421705</t>
  </si>
  <si>
    <t>4992426134</t>
  </si>
  <si>
    <t>242-62-71</t>
  </si>
  <si>
    <t>242-87-78</t>
  </si>
  <si>
    <t>247-33-78</t>
  </si>
  <si>
    <t>4992427183</t>
  </si>
  <si>
    <t>-4992427772</t>
  </si>
  <si>
    <t>499-242-12-50</t>
  </si>
  <si>
    <t>84992426579</t>
  </si>
  <si>
    <t>242-78-74</t>
  </si>
  <si>
    <t>84992423105</t>
  </si>
  <si>
    <t>4992421710</t>
  </si>
  <si>
    <t>84992427454</t>
  </si>
  <si>
    <t>4992423349</t>
  </si>
  <si>
    <t>242-38-76</t>
  </si>
  <si>
    <t>4992423348</t>
  </si>
  <si>
    <t>242-53-26 499</t>
  </si>
  <si>
    <t>242-87-84</t>
  </si>
  <si>
    <t>4992422103</t>
  </si>
  <si>
    <t>242-87-79</t>
  </si>
  <si>
    <t>242-33-47</t>
  </si>
  <si>
    <t>242-15-89</t>
  </si>
  <si>
    <t>84992422751</t>
  </si>
  <si>
    <t>242-87-82</t>
  </si>
  <si>
    <t>242-17-63</t>
  </si>
  <si>
    <t>4992428785</t>
  </si>
  <si>
    <t>499 242-87-83</t>
  </si>
  <si>
    <t>242-36-54</t>
  </si>
  <si>
    <t>4992423948</t>
  </si>
  <si>
    <t>242-52-80</t>
  </si>
  <si>
    <t>4992428673</t>
  </si>
  <si>
    <t>4992428787</t>
  </si>
  <si>
    <t>242-87-88</t>
  </si>
  <si>
    <t>242-39-51</t>
  </si>
  <si>
    <t>4992424211</t>
  </si>
  <si>
    <t>4992421700</t>
  </si>
  <si>
    <t>257-29-57</t>
  </si>
  <si>
    <t>4992422903</t>
  </si>
  <si>
    <t>4992421030</t>
  </si>
  <si>
    <t>84992425749</t>
  </si>
  <si>
    <t>203-36-57</t>
  </si>
  <si>
    <t>4992423954</t>
  </si>
  <si>
    <t>84992420169</t>
  </si>
  <si>
    <t>4992420169</t>
  </si>
  <si>
    <t>499-242-53-13</t>
  </si>
  <si>
    <t>499-242-18-54</t>
  </si>
  <si>
    <t>84992423952</t>
  </si>
  <si>
    <t>-4992428305</t>
  </si>
  <si>
    <t>242-39-50</t>
  </si>
  <si>
    <t>4992428255</t>
  </si>
  <si>
    <t>242-39-45</t>
  </si>
  <si>
    <t>242-17-09</t>
  </si>
  <si>
    <t>4956091395</t>
  </si>
  <si>
    <t>4997668315</t>
  </si>
  <si>
    <t>84992423929</t>
  </si>
  <si>
    <t>242-82-27</t>
  </si>
  <si>
    <t>4992429030</t>
  </si>
  <si>
    <t>-4992428790</t>
  </si>
  <si>
    <t>247-34-77</t>
  </si>
  <si>
    <t>4992427728</t>
  </si>
  <si>
    <t>4992425307</t>
  </si>
  <si>
    <t>8499-242-86-74</t>
  </si>
  <si>
    <t>4992423666</t>
  </si>
  <si>
    <t>242-86-71</t>
  </si>
  <si>
    <t>242-88-34</t>
  </si>
  <si>
    <t>242-37-14</t>
  </si>
  <si>
    <t>242-88-33</t>
  </si>
  <si>
    <t>4992422937</t>
  </si>
  <si>
    <t>4997668549</t>
  </si>
  <si>
    <t>4997668068</t>
  </si>
  <si>
    <t>4992423897</t>
  </si>
  <si>
    <t>242-37-12</t>
  </si>
  <si>
    <t>624-24-78</t>
  </si>
  <si>
    <t>257-25-50</t>
  </si>
  <si>
    <t>242-38-80</t>
  </si>
  <si>
    <t>4992428792</t>
  </si>
  <si>
    <t>499-242-86-84</t>
  </si>
  <si>
    <t>242-62-77</t>
  </si>
  <si>
    <t>242-86-83</t>
  </si>
  <si>
    <t>766-89-53 499</t>
  </si>
  <si>
    <t>242-80-23</t>
  </si>
  <si>
    <t>242-87-93</t>
  </si>
  <si>
    <t>247-34-76</t>
  </si>
  <si>
    <t>242-87-94</t>
  </si>
  <si>
    <t>242-49-06</t>
  </si>
  <si>
    <t>242-75-34</t>
  </si>
  <si>
    <t>4992426472</t>
  </si>
  <si>
    <t>242-38-00</t>
  </si>
  <si>
    <t>422-62-75</t>
  </si>
  <si>
    <t>84992427475</t>
  </si>
  <si>
    <t>-4992422219</t>
  </si>
  <si>
    <t>4997668702</t>
  </si>
  <si>
    <t>242-37-79</t>
  </si>
  <si>
    <t>499-242-37-79</t>
  </si>
  <si>
    <t>169-170</t>
  </si>
  <si>
    <t>242-87-95</t>
  </si>
  <si>
    <t>4992428819</t>
  </si>
  <si>
    <t>-4992428829</t>
  </si>
  <si>
    <t>Хамовнический вал ул., дом. 4</t>
  </si>
  <si>
    <t>4992423676</t>
  </si>
  <si>
    <t>4992420344</t>
  </si>
  <si>
    <t>4992424331</t>
  </si>
  <si>
    <t>8499-242-11-10</t>
  </si>
  <si>
    <t>84992423685</t>
  </si>
  <si>
    <t>4992429539</t>
  </si>
  <si>
    <t>4992421676</t>
  </si>
  <si>
    <t>242-12-49</t>
  </si>
  <si>
    <t>84992427403</t>
  </si>
  <si>
    <t>84992423345</t>
  </si>
  <si>
    <t>242-82-26</t>
  </si>
  <si>
    <t>4992428800</t>
  </si>
  <si>
    <t>242-12-41</t>
  </si>
  <si>
    <t>499-609-10-55</t>
  </si>
  <si>
    <t>4992424095</t>
  </si>
  <si>
    <t>499-242-62-98</t>
  </si>
  <si>
    <t>242-88-01</t>
  </si>
  <si>
    <t>242-88-02</t>
  </si>
  <si>
    <t>4992426240</t>
  </si>
  <si>
    <t>242-59-01</t>
  </si>
  <si>
    <t>84992425680</t>
  </si>
  <si>
    <t>242-23-97</t>
  </si>
  <si>
    <t>4992423619</t>
  </si>
  <si>
    <t>245-68-57</t>
  </si>
  <si>
    <t>242-15-79</t>
  </si>
  <si>
    <t>84992425473</t>
  </si>
  <si>
    <t>242-88-03</t>
  </si>
  <si>
    <t>84992423058</t>
  </si>
  <si>
    <t>4992420690</t>
  </si>
  <si>
    <t>4956091578</t>
  </si>
  <si>
    <t>242-63-79</t>
  </si>
  <si>
    <t>242-14-53</t>
  </si>
  <si>
    <t>242-88-04</t>
  </si>
  <si>
    <t>4992421828</t>
  </si>
  <si>
    <t>242-33-44</t>
  </si>
  <si>
    <t>84992422895</t>
  </si>
  <si>
    <t>4992423717</t>
  </si>
  <si>
    <t>499-242-32-27</t>
  </si>
  <si>
    <t>84992421459</t>
  </si>
  <si>
    <t>4992425992</t>
  </si>
  <si>
    <t>242-33-42</t>
  </si>
  <si>
    <t>4992421600</t>
  </si>
  <si>
    <t>4992428605</t>
  </si>
  <si>
    <t>499 242-12-57</t>
  </si>
  <si>
    <t>242-14-20</t>
  </si>
  <si>
    <t>242-55-98</t>
  </si>
  <si>
    <t>242-57-01</t>
  </si>
  <si>
    <t>242-15-69</t>
  </si>
  <si>
    <t>4992428831</t>
  </si>
  <si>
    <t>242-23-43</t>
  </si>
  <si>
    <t>4992423749</t>
  </si>
  <si>
    <t>4992421173</t>
  </si>
  <si>
    <t>242-23-83</t>
  </si>
  <si>
    <t>242-33-40</t>
  </si>
  <si>
    <t>242-15-70</t>
  </si>
  <si>
    <t>242-88-27</t>
  </si>
  <si>
    <t>499-242-33-38</t>
  </si>
  <si>
    <t>6091958</t>
  </si>
  <si>
    <t>242-88-05</t>
  </si>
  <si>
    <t>242-20-93</t>
  </si>
  <si>
    <t>4992424483</t>
  </si>
  <si>
    <t>242-15-61</t>
  </si>
  <si>
    <t>4992428470</t>
  </si>
  <si>
    <t>499-242-33-28</t>
  </si>
  <si>
    <t>242-53-15</t>
  </si>
  <si>
    <t>242-22-74</t>
  </si>
  <si>
    <t>8499-242-48-89</t>
  </si>
  <si>
    <t>4992423311</t>
  </si>
  <si>
    <t>242-82-24</t>
  </si>
  <si>
    <t>4992423229</t>
  </si>
  <si>
    <t>242-83-24</t>
  </si>
  <si>
    <t>-4992423200</t>
  </si>
  <si>
    <t>242-59-03</t>
  </si>
  <si>
    <t>4992422186</t>
  </si>
  <si>
    <t>242-33-10</t>
  </si>
  <si>
    <t>4992423301</t>
  </si>
  <si>
    <t>4992428806</t>
  </si>
  <si>
    <t>242-15-60</t>
  </si>
  <si>
    <t>242-10-20</t>
  </si>
  <si>
    <t>242-15-39</t>
  </si>
  <si>
    <t>245-76-09</t>
  </si>
  <si>
    <t>499-242-55-86</t>
  </si>
  <si>
    <t>-84992422091</t>
  </si>
  <si>
    <t>4992423300</t>
  </si>
  <si>
    <t>242-23-89</t>
  </si>
  <si>
    <t>4956091439</t>
  </si>
  <si>
    <t>84992420655</t>
  </si>
  <si>
    <t>242-86-22</t>
  </si>
  <si>
    <t>242-15-59</t>
  </si>
  <si>
    <t>242-46-40</t>
  </si>
  <si>
    <t>242-88-08</t>
  </si>
  <si>
    <t>84992422631</t>
  </si>
  <si>
    <t>4992428809</t>
  </si>
  <si>
    <t>4992428789</t>
  </si>
  <si>
    <t>-84992428810</t>
  </si>
  <si>
    <t>242-88-12</t>
  </si>
  <si>
    <t>609-17-50</t>
  </si>
  <si>
    <t>4992428937</t>
  </si>
  <si>
    <t>84992425994</t>
  </si>
  <si>
    <t>-4992420432</t>
  </si>
  <si>
    <t>499 242-58-81</t>
  </si>
  <si>
    <t>242-14-41</t>
  </si>
  <si>
    <t>4992424857</t>
  </si>
  <si>
    <t>84992423444</t>
  </si>
  <si>
    <t>84992428813</t>
  </si>
  <si>
    <t>4992421572</t>
  </si>
  <si>
    <t>84992421969</t>
  </si>
  <si>
    <t>4992428814</t>
  </si>
  <si>
    <t>242-88-15</t>
  </si>
  <si>
    <t>242-86-43</t>
  </si>
  <si>
    <t>242-02-45</t>
  </si>
  <si>
    <t>242-20-29</t>
  </si>
  <si>
    <t>4997668581</t>
  </si>
  <si>
    <t>242-88-17</t>
  </si>
  <si>
    <t>8499-242-45-72</t>
  </si>
  <si>
    <t>499-242-02-40</t>
  </si>
  <si>
    <t>4992428818</t>
  </si>
  <si>
    <t>Хамовнический вал ул., дом. 14</t>
  </si>
  <si>
    <t>4956091678</t>
  </si>
  <si>
    <t>242-21-16</t>
  </si>
  <si>
    <t>242-56-32</t>
  </si>
  <si>
    <t>4997668927</t>
  </si>
  <si>
    <t>242-74-16</t>
  </si>
  <si>
    <t>4992421738</t>
  </si>
  <si>
    <t>4992421479</t>
  </si>
  <si>
    <t>4992421736</t>
  </si>
  <si>
    <t>499-242-22-11</t>
  </si>
  <si>
    <t>499-242-15-48</t>
  </si>
  <si>
    <t>242-16-41</t>
  </si>
  <si>
    <t>242-15-52</t>
  </si>
  <si>
    <t>4992421998</t>
  </si>
  <si>
    <t>245-78-56</t>
  </si>
  <si>
    <t>4992427268</t>
  </si>
  <si>
    <t>8499-766-08-41</t>
  </si>
  <si>
    <t>8499-242-51-07</t>
  </si>
  <si>
    <t>4956091685</t>
  </si>
  <si>
    <t>499-242-14-60</t>
  </si>
  <si>
    <t>4997660936</t>
  </si>
  <si>
    <t>-84992428083</t>
  </si>
  <si>
    <t>4992422370</t>
  </si>
  <si>
    <t>4956091550</t>
  </si>
  <si>
    <t>84956091738</t>
  </si>
  <si>
    <t>242-29-16</t>
  </si>
  <si>
    <t>4992428537</t>
  </si>
  <si>
    <t>242-06-79</t>
  </si>
  <si>
    <t>8499-242-18-70</t>
  </si>
  <si>
    <t>242-29-08</t>
  </si>
  <si>
    <t>242-34-77 499</t>
  </si>
  <si>
    <t>242-34-77</t>
  </si>
  <si>
    <t>242-00-23</t>
  </si>
  <si>
    <t>4992426880</t>
  </si>
  <si>
    <t>8499-242-17-96</t>
  </si>
  <si>
    <t>499-242-81-31</t>
  </si>
  <si>
    <t>4992422754</t>
  </si>
  <si>
    <t>242-19-22</t>
  </si>
  <si>
    <t>4992428026</t>
  </si>
  <si>
    <t>8499-242-81-35</t>
  </si>
  <si>
    <t>242-80-92</t>
  </si>
  <si>
    <t>4992428945</t>
  </si>
  <si>
    <t>4997668920</t>
  </si>
  <si>
    <t>245-62-86</t>
  </si>
  <si>
    <t>242-38-53</t>
  </si>
  <si>
    <t>4492422742</t>
  </si>
  <si>
    <t>4997668917</t>
  </si>
  <si>
    <t>257-29-16</t>
  </si>
  <si>
    <t>767-30-56</t>
  </si>
  <si>
    <t>242-13-36</t>
  </si>
  <si>
    <t>242-37-80</t>
  </si>
  <si>
    <t>84992421496</t>
  </si>
  <si>
    <t>499 242-21-18</t>
  </si>
  <si>
    <t>242-29-14</t>
  </si>
  <si>
    <t>257-29-22</t>
  </si>
  <si>
    <t>4992424592</t>
  </si>
  <si>
    <t>(499)242-55-63</t>
  </si>
  <si>
    <t>242-29-06</t>
  </si>
  <si>
    <t>242-74-21</t>
  </si>
  <si>
    <t>242-29-04</t>
  </si>
  <si>
    <t>(499)242-22-15</t>
  </si>
  <si>
    <t>242-75-22</t>
  </si>
  <si>
    <t>4992424082</t>
  </si>
  <si>
    <t>242-28-85</t>
  </si>
  <si>
    <t>242-79-57</t>
  </si>
  <si>
    <t>8499-242-87-44</t>
  </si>
  <si>
    <t>4997668945</t>
  </si>
  <si>
    <t>84997668836</t>
  </si>
  <si>
    <t>4992421536</t>
  </si>
  <si>
    <t>245-62-91</t>
  </si>
  <si>
    <t>242-24-07</t>
  </si>
  <si>
    <t>242-74-22</t>
  </si>
  <si>
    <t>242-74-23</t>
  </si>
  <si>
    <t>84992421702</t>
  </si>
  <si>
    <t>4992421619</t>
  </si>
  <si>
    <t>4992420144</t>
  </si>
  <si>
    <t>242-75-23</t>
  </si>
  <si>
    <t>4992424078</t>
  </si>
  <si>
    <t>84992422756</t>
  </si>
  <si>
    <t>4992428745</t>
  </si>
  <si>
    <t>84992428090</t>
  </si>
  <si>
    <t>-4992422746</t>
  </si>
  <si>
    <t>4992428067</t>
  </si>
  <si>
    <t>242-75-24</t>
  </si>
  <si>
    <t>242-23-79</t>
  </si>
  <si>
    <t>4992420147</t>
  </si>
  <si>
    <t>499-242-81-34</t>
  </si>
  <si>
    <t>84992422748</t>
  </si>
  <si>
    <t>499-242-40-86</t>
  </si>
  <si>
    <t>84997668923</t>
  </si>
  <si>
    <t>242-36-34</t>
  </si>
  <si>
    <t>242-75-25</t>
  </si>
  <si>
    <t>242-84-82</t>
  </si>
  <si>
    <t>4992693325</t>
  </si>
  <si>
    <t>242-81-93</t>
  </si>
  <si>
    <t>4992422475</t>
  </si>
  <si>
    <t>-84992428391</t>
  </si>
  <si>
    <t>242-29-02</t>
  </si>
  <si>
    <t>4992427412</t>
  </si>
  <si>
    <t>495-609-14-58</t>
  </si>
  <si>
    <t>4992422758</t>
  </si>
  <si>
    <t>4992421630</t>
  </si>
  <si>
    <t>242-74-26</t>
  </si>
  <si>
    <t>242-75-26</t>
  </si>
  <si>
    <t>242-75-27</t>
  </si>
  <si>
    <t>245-62-98</t>
  </si>
  <si>
    <t>4992422744</t>
  </si>
  <si>
    <t>242-22-03</t>
  </si>
  <si>
    <t>499-242-77-30</t>
  </si>
  <si>
    <t>84997660775</t>
  </si>
  <si>
    <t>242-75-28</t>
  </si>
  <si>
    <t>242-85-83</t>
  </si>
  <si>
    <t>242-84-83</t>
  </si>
  <si>
    <t>242-70-70</t>
  </si>
  <si>
    <t>242-16-84</t>
  </si>
  <si>
    <t>242-27-52</t>
  </si>
  <si>
    <t>242-16-56</t>
  </si>
  <si>
    <t>242-14-55</t>
  </si>
  <si>
    <t>242-87-46</t>
  </si>
  <si>
    <t>242-29-12</t>
  </si>
  <si>
    <t>242-22-01</t>
  </si>
  <si>
    <t>242-74-28</t>
  </si>
  <si>
    <t>Хамовнический вал ул., дом. 16</t>
  </si>
  <si>
    <t>242-20-79</t>
  </si>
  <si>
    <t>89154882627</t>
  </si>
  <si>
    <t>242-37-40</t>
  </si>
  <si>
    <t>242-20-82</t>
  </si>
  <si>
    <t>242-40-42</t>
  </si>
  <si>
    <t>242-75-63</t>
  </si>
  <si>
    <t>242-75-62</t>
  </si>
  <si>
    <t>8499-242-85-20</t>
  </si>
  <si>
    <t>4992422675</t>
  </si>
  <si>
    <t>242-03-63</t>
  </si>
  <si>
    <t>4992421518</t>
  </si>
  <si>
    <t>4992428415</t>
  </si>
  <si>
    <t>4992424804</t>
  </si>
  <si>
    <t>4992427148</t>
  </si>
  <si>
    <t>245-63-42</t>
  </si>
  <si>
    <t>84992421545</t>
  </si>
  <si>
    <t>766-05-48</t>
  </si>
  <si>
    <t>242-24-03</t>
  </si>
  <si>
    <t>242-85-84</t>
  </si>
  <si>
    <t>242-75-66</t>
  </si>
  <si>
    <t>499-242-62-26</t>
  </si>
  <si>
    <t>4992423961</t>
  </si>
  <si>
    <t>499 242-62-23</t>
  </si>
  <si>
    <t>4997668153</t>
  </si>
  <si>
    <t>84997668652</t>
  </si>
  <si>
    <t>499240414</t>
  </si>
  <si>
    <t>499-242-40-52</t>
  </si>
  <si>
    <t>242-23-33</t>
  </si>
  <si>
    <t>242-35-73</t>
  </si>
  <si>
    <t>4992426681</t>
  </si>
  <si>
    <t>245-63-39</t>
  </si>
  <si>
    <t>4992422077</t>
  </si>
  <si>
    <t>84992422076</t>
  </si>
  <si>
    <t>4992424372</t>
  </si>
  <si>
    <t>4992424056</t>
  </si>
  <si>
    <t>4992421522</t>
  </si>
  <si>
    <t>4992423763</t>
  </si>
  <si>
    <t>242-37-63</t>
  </si>
  <si>
    <t>4992423790</t>
  </si>
  <si>
    <t>499-242-40-44</t>
  </si>
  <si>
    <t>499-242-15-32</t>
  </si>
  <si>
    <t>4956091235</t>
  </si>
  <si>
    <t>4992423791</t>
  </si>
  <si>
    <t>242-42-79</t>
  </si>
  <si>
    <t>9165385430</t>
  </si>
  <si>
    <t>242-32-38</t>
  </si>
  <si>
    <t>242-20-95</t>
  </si>
  <si>
    <t>242-43-62</t>
  </si>
  <si>
    <t>242-77-23</t>
  </si>
  <si>
    <t>4992428655</t>
  </si>
  <si>
    <t>242-08-07</t>
  </si>
  <si>
    <t>4956091694</t>
  </si>
  <si>
    <t>242-74-38</t>
  </si>
  <si>
    <t>84992428749</t>
  </si>
  <si>
    <t>242-87-49</t>
  </si>
  <si>
    <t>4992428750</t>
  </si>
  <si>
    <t>499-242-66-14</t>
  </si>
  <si>
    <t>242-32-36</t>
  </si>
  <si>
    <t>242-32-28</t>
  </si>
  <si>
    <t>4997660536</t>
  </si>
  <si>
    <t>242-15-46</t>
  </si>
  <si>
    <t>242-15-38</t>
  </si>
  <si>
    <t>242-32-24</t>
  </si>
  <si>
    <t>4992421976</t>
  </si>
  <si>
    <t>4997660836</t>
  </si>
  <si>
    <t>242-70-12</t>
  </si>
  <si>
    <t>242-16-11</t>
  </si>
  <si>
    <t>+7(499)608-60-84</t>
  </si>
  <si>
    <t>-4956091963</t>
  </si>
  <si>
    <t>4992422217</t>
  </si>
  <si>
    <t>242-22-23</t>
  </si>
  <si>
    <t>4992427341</t>
  </si>
  <si>
    <t>4992426008</t>
  </si>
  <si>
    <t>4992425466</t>
  </si>
  <si>
    <t>609-18-49</t>
  </si>
  <si>
    <t>4992421683</t>
  </si>
  <si>
    <t>242-37-83</t>
  </si>
  <si>
    <t>4992423783</t>
  </si>
  <si>
    <t>499 242-54-65</t>
  </si>
  <si>
    <t>4992423226</t>
  </si>
  <si>
    <t>499-242-51-17</t>
  </si>
  <si>
    <t>4997260518</t>
  </si>
  <si>
    <t>242-68-68</t>
  </si>
  <si>
    <t>84992426680</t>
  </si>
  <si>
    <t>242-87-51</t>
  </si>
  <si>
    <t>242-22-07</t>
  </si>
  <si>
    <t>8499-766-80-03</t>
  </si>
  <si>
    <t>4992420575</t>
  </si>
  <si>
    <t>4992424046</t>
  </si>
  <si>
    <t>242-20-74</t>
  </si>
  <si>
    <t>4992425584</t>
  </si>
  <si>
    <t>499-766-07-78</t>
  </si>
  <si>
    <t>84992428312</t>
  </si>
  <si>
    <t>4992429011</t>
  </si>
  <si>
    <t>242-74-30</t>
  </si>
  <si>
    <t>242-01-73</t>
  </si>
  <si>
    <t>242-40-54</t>
  </si>
  <si>
    <t>242-87-52</t>
  </si>
  <si>
    <t>242-20-75</t>
  </si>
  <si>
    <t>242-20-73</t>
  </si>
  <si>
    <t>499-242-22-96</t>
  </si>
  <si>
    <t>4992422296</t>
  </si>
  <si>
    <t>4997668117</t>
  </si>
  <si>
    <t>499 766-09-20</t>
  </si>
  <si>
    <t>242-22-10</t>
  </si>
  <si>
    <t>84992423514</t>
  </si>
  <si>
    <t>242-66-79</t>
  </si>
  <si>
    <t>4992428407</t>
  </si>
  <si>
    <t>242-75-32</t>
  </si>
  <si>
    <t>4992424058</t>
  </si>
  <si>
    <t>84997668169</t>
  </si>
  <si>
    <t>4992422097</t>
  </si>
  <si>
    <t>242-05-51</t>
  </si>
  <si>
    <t>4997668145</t>
  </si>
  <si>
    <t>4992422283</t>
  </si>
  <si>
    <t>4956091229</t>
  </si>
  <si>
    <t>242-70-78</t>
  </si>
  <si>
    <t>242-82-40</t>
  </si>
  <si>
    <t>4992424364</t>
  </si>
  <si>
    <t>Хамовнический вал ул., дом. 18</t>
  </si>
  <si>
    <t>245-67-95</t>
  </si>
  <si>
    <t>242-14-78</t>
  </si>
  <si>
    <t>84992428250</t>
  </si>
  <si>
    <t>242-17-91</t>
  </si>
  <si>
    <t>4997668038</t>
  </si>
  <si>
    <t>84992424605</t>
  </si>
  <si>
    <t>4992423636</t>
  </si>
  <si>
    <t>84992423636</t>
  </si>
  <si>
    <t>4997668150</t>
  </si>
  <si>
    <t>499-242-26-82</t>
  </si>
  <si>
    <t>242-37-84</t>
  </si>
  <si>
    <t>4992428270</t>
  </si>
  <si>
    <t>4992428041</t>
  </si>
  <si>
    <t>242-74-71</t>
  </si>
  <si>
    <t>84997668018</t>
  </si>
  <si>
    <t>242-22-35</t>
  </si>
  <si>
    <t>499-766-81-97</t>
  </si>
  <si>
    <t>242-87-77</t>
  </si>
  <si>
    <t>(499)242-36-28</t>
  </si>
  <si>
    <t>257-29-54</t>
  </si>
  <si>
    <t>499-242-87-39</t>
  </si>
  <si>
    <t>4997668100</t>
  </si>
  <si>
    <t>4997668924</t>
  </si>
  <si>
    <t>242-75-74</t>
  </si>
  <si>
    <t>84992420536</t>
  </si>
  <si>
    <t>84997668826</t>
  </si>
  <si>
    <t>4992420025</t>
  </si>
  <si>
    <t>242-17-93</t>
  </si>
  <si>
    <t>4997668720</t>
  </si>
  <si>
    <t>84992425092</t>
  </si>
  <si>
    <t>84992426584</t>
  </si>
  <si>
    <t>242-00-43</t>
  </si>
  <si>
    <t>242-37-74</t>
  </si>
  <si>
    <t>4997668640</t>
  </si>
  <si>
    <t>242-75-68</t>
  </si>
  <si>
    <t>4992422231</t>
  </si>
  <si>
    <t>242-82-15</t>
  </si>
  <si>
    <t>242-17-28</t>
  </si>
  <si>
    <t>4992428812</t>
  </si>
  <si>
    <t>4992423478</t>
  </si>
  <si>
    <t>242-14-70</t>
  </si>
  <si>
    <t>4992421370</t>
  </si>
  <si>
    <t>242-17-90</t>
  </si>
  <si>
    <t>242-18-16</t>
  </si>
  <si>
    <t>4992422229</t>
  </si>
  <si>
    <t>499-242-85-53</t>
  </si>
  <si>
    <t>84992423626</t>
  </si>
  <si>
    <t>242-17-83</t>
  </si>
  <si>
    <t>257-25-39</t>
  </si>
  <si>
    <t>499-242-61-91</t>
  </si>
  <si>
    <t>242-74-69</t>
  </si>
  <si>
    <t>242-36-32</t>
  </si>
  <si>
    <t>242-43-68</t>
  </si>
  <si>
    <t>242-17-97</t>
  </si>
  <si>
    <t>4997668126</t>
  </si>
  <si>
    <t>242-15-24</t>
  </si>
  <si>
    <t>245-63-16</t>
  </si>
  <si>
    <t>499-242-23-29</t>
  </si>
  <si>
    <t>8499-242-23-29</t>
  </si>
  <si>
    <t>4997668063</t>
  </si>
  <si>
    <t>242-66-82</t>
  </si>
  <si>
    <t>242-64-38</t>
  </si>
  <si>
    <t>4997668573</t>
  </si>
  <si>
    <t>84992422327</t>
  </si>
  <si>
    <t>Хамовнический вал ул., дом. 24</t>
  </si>
  <si>
    <t>4992420346</t>
  </si>
  <si>
    <t>4992427442</t>
  </si>
  <si>
    <t>4992421975</t>
  </si>
  <si>
    <t>4992456266</t>
  </si>
  <si>
    <t>4992425222</t>
  </si>
  <si>
    <t>4992428359</t>
  </si>
  <si>
    <t>4992421632</t>
  </si>
  <si>
    <t>4992423466</t>
  </si>
  <si>
    <t>4992427058</t>
  </si>
  <si>
    <t>4992428229</t>
  </si>
  <si>
    <t>4992427158</t>
  </si>
  <si>
    <t>4992424551</t>
  </si>
  <si>
    <t>4954055275</t>
  </si>
  <si>
    <t>4992420139</t>
  </si>
  <si>
    <t>4992426703</t>
  </si>
  <si>
    <t>4997668914</t>
  </si>
  <si>
    <t>4992421415</t>
  </si>
  <si>
    <t>4992421772</t>
  </si>
  <si>
    <t>4956091762</t>
  </si>
  <si>
    <t>4992456275</t>
  </si>
  <si>
    <t>4993762991</t>
  </si>
  <si>
    <t>4992425312</t>
  </si>
  <si>
    <t>4992427281</t>
  </si>
  <si>
    <t>4992421669</t>
  </si>
  <si>
    <t>4992422426</t>
  </si>
  <si>
    <t>4997660894</t>
  </si>
  <si>
    <t>4992425978</t>
  </si>
  <si>
    <t>4992424123</t>
  </si>
  <si>
    <t>4992421172</t>
  </si>
  <si>
    <t>4997668303</t>
  </si>
  <si>
    <t>4992421433</t>
  </si>
  <si>
    <t>4992456262</t>
  </si>
  <si>
    <t>4997668313</t>
  </si>
  <si>
    <t>4992426660</t>
  </si>
  <si>
    <t>4992421121</t>
  </si>
  <si>
    <t>4992423316</t>
  </si>
  <si>
    <t>4992456251</t>
  </si>
  <si>
    <t>4992420026</t>
  </si>
  <si>
    <t>4992421706</t>
  </si>
  <si>
    <t>4992428477</t>
  </si>
  <si>
    <t>-4992420234</t>
  </si>
  <si>
    <t>4992420079</t>
  </si>
  <si>
    <t>4992420186</t>
  </si>
  <si>
    <t>4992420238</t>
  </si>
  <si>
    <t>4992420224</t>
  </si>
  <si>
    <t>4992425302</t>
  </si>
  <si>
    <t>4992427053</t>
  </si>
  <si>
    <t>4992423464</t>
  </si>
  <si>
    <t>4992428095</t>
  </si>
  <si>
    <t>4997668616</t>
  </si>
  <si>
    <t>4992456253</t>
  </si>
  <si>
    <t>-4992426663</t>
  </si>
  <si>
    <t>4997668306</t>
  </si>
  <si>
    <t>4992426735</t>
  </si>
  <si>
    <t>4997668307</t>
  </si>
  <si>
    <t>4956091003</t>
  </si>
  <si>
    <t>4992424570</t>
  </si>
  <si>
    <t>4992572740</t>
  </si>
  <si>
    <t>4956091529</t>
  </si>
  <si>
    <t>4997668312</t>
  </si>
  <si>
    <t>4992421616</t>
  </si>
  <si>
    <t>4992426662</t>
  </si>
  <si>
    <t>4992428197</t>
  </si>
  <si>
    <t>-4992420222</t>
  </si>
  <si>
    <t>4992423318</t>
  </si>
  <si>
    <t>4997668235</t>
  </si>
  <si>
    <t>4992420028</t>
  </si>
  <si>
    <t>4992428183</t>
  </si>
  <si>
    <t>4992423472</t>
  </si>
  <si>
    <t>4992420226</t>
  </si>
  <si>
    <t>4992420184</t>
  </si>
  <si>
    <t>4992429707</t>
  </si>
  <si>
    <t>4992427049</t>
  </si>
  <si>
    <t>4992428296</t>
  </si>
  <si>
    <t>4992425518</t>
  </si>
  <si>
    <t>4992424540</t>
  </si>
  <si>
    <t>4992428302</t>
  </si>
  <si>
    <t>4956091751</t>
  </si>
  <si>
    <t>4992420182</t>
  </si>
  <si>
    <t>4992420024</t>
  </si>
  <si>
    <t>4992423462</t>
  </si>
  <si>
    <t>-4992424031</t>
  </si>
  <si>
    <t>4992423363</t>
  </si>
  <si>
    <t>4992422018</t>
  </si>
  <si>
    <t>4992429083</t>
  </si>
  <si>
    <t>4992423195</t>
  </si>
  <si>
    <t>4992420228</t>
  </si>
  <si>
    <t>4992423420</t>
  </si>
  <si>
    <t>4992423688</t>
  </si>
  <si>
    <t>4997660952</t>
  </si>
  <si>
    <t>4992421456</t>
  </si>
  <si>
    <t>4992421145</t>
  </si>
  <si>
    <t>4992423468</t>
  </si>
  <si>
    <t>4997660930</t>
  </si>
  <si>
    <t>4992423314</t>
  </si>
  <si>
    <t>4992422395</t>
  </si>
  <si>
    <t>4992421147</t>
  </si>
  <si>
    <t>4992421332</t>
  </si>
  <si>
    <t>4992420232</t>
  </si>
  <si>
    <t>4992427144</t>
  </si>
  <si>
    <t>4992428233</t>
  </si>
  <si>
    <t>4992421853</t>
  </si>
  <si>
    <t>4992425304</t>
  </si>
  <si>
    <t>4992420188</t>
  </si>
  <si>
    <t>4992428293</t>
  </si>
  <si>
    <t>4956091386</t>
  </si>
  <si>
    <t>4997660848</t>
  </si>
  <si>
    <t>4992422393</t>
  </si>
  <si>
    <t>4992426367</t>
  </si>
  <si>
    <t>4992427143</t>
  </si>
  <si>
    <t>4992427042</t>
  </si>
  <si>
    <t>4992423122</t>
  </si>
  <si>
    <t>4992425206</t>
  </si>
  <si>
    <t>4992428206</t>
  </si>
  <si>
    <t>4992421708</t>
  </si>
  <si>
    <t>4992428571</t>
  </si>
  <si>
    <t>4992420030</t>
  </si>
  <si>
    <t>4997660854</t>
  </si>
  <si>
    <t>4997668965</t>
  </si>
  <si>
    <t>84997668965</t>
  </si>
  <si>
    <t>4997660834</t>
  </si>
  <si>
    <t>4992428567</t>
  </si>
  <si>
    <t>Хамовнический вал ул., дом. 28</t>
  </si>
  <si>
    <t>4992457271</t>
  </si>
  <si>
    <t>4992428680</t>
  </si>
  <si>
    <t>4992427732</t>
  </si>
  <si>
    <t>4992425124</t>
  </si>
  <si>
    <t>4992421494</t>
  </si>
  <si>
    <t>4959721634</t>
  </si>
  <si>
    <t>4992457258</t>
  </si>
  <si>
    <t>4992425282</t>
  </si>
  <si>
    <t>-4992425316</t>
  </si>
  <si>
    <t>4959443619</t>
  </si>
  <si>
    <t>4992423855</t>
  </si>
  <si>
    <t>4992424569</t>
  </si>
  <si>
    <t>4992425972</t>
  </si>
  <si>
    <t>4992426308</t>
  </si>
  <si>
    <t>4992426310</t>
  </si>
  <si>
    <t>4992426219</t>
  </si>
  <si>
    <t>-4992425306</t>
  </si>
  <si>
    <t>4992426220</t>
  </si>
  <si>
    <t>4992425292</t>
  </si>
  <si>
    <t>4992424175</t>
  </si>
  <si>
    <t>4992428355</t>
  </si>
  <si>
    <t>4992428234</t>
  </si>
  <si>
    <t>4992428191</t>
  </si>
  <si>
    <t>4992422064</t>
  </si>
  <si>
    <t>4992457309</t>
  </si>
  <si>
    <t>4992425308</t>
  </si>
  <si>
    <t>4956091671</t>
  </si>
  <si>
    <t>4992425794</t>
  </si>
  <si>
    <t>4992421714</t>
  </si>
  <si>
    <t>4997668297</t>
  </si>
  <si>
    <t>4992423761</t>
  </si>
  <si>
    <t>4992421921</t>
  </si>
  <si>
    <t>4992424707</t>
  </si>
  <si>
    <t>4992425442</t>
  </si>
  <si>
    <t>4992427386</t>
  </si>
  <si>
    <t>4992421057</t>
  </si>
  <si>
    <t>4992423737</t>
  </si>
  <si>
    <t>89169811506</t>
  </si>
  <si>
    <t>4992421776</t>
  </si>
  <si>
    <t>4992423998</t>
  </si>
  <si>
    <t>4992421512</t>
  </si>
  <si>
    <t>4956372717</t>
  </si>
  <si>
    <t>4992425122</t>
  </si>
  <si>
    <t>4992425798</t>
  </si>
  <si>
    <t>-4992426659</t>
  </si>
  <si>
    <t>4992425786</t>
  </si>
  <si>
    <t>-4992425962</t>
  </si>
  <si>
    <t>4992421514</t>
  </si>
  <si>
    <t>4992421886</t>
  </si>
  <si>
    <t>4997668854</t>
  </si>
  <si>
    <t>4992427417</t>
  </si>
  <si>
    <t>4992427221</t>
  </si>
  <si>
    <t>4992423638</t>
  </si>
  <si>
    <t>4992425138</t>
  </si>
  <si>
    <t>4992424050</t>
  </si>
  <si>
    <t>4992425784</t>
  </si>
  <si>
    <t>2425784</t>
  </si>
  <si>
    <t>4992421353</t>
  </si>
  <si>
    <t>4992427081</t>
  </si>
  <si>
    <t>4992425284</t>
  </si>
  <si>
    <t>4992426669</t>
  </si>
  <si>
    <t>4992428948</t>
  </si>
  <si>
    <t>4992425626</t>
  </si>
  <si>
    <t>4992421117</t>
  </si>
  <si>
    <t>4992428232</t>
  </si>
  <si>
    <t>4992855817</t>
  </si>
  <si>
    <t>4992425622</t>
  </si>
  <si>
    <t>4992428262</t>
  </si>
  <si>
    <t>4992472071</t>
  </si>
  <si>
    <t>4992425590</t>
  </si>
  <si>
    <t>4992426670</t>
  </si>
  <si>
    <t>4992456239</t>
  </si>
  <si>
    <t>4992421125</t>
  </si>
  <si>
    <t>4992425706</t>
  </si>
  <si>
    <t>4992425448</t>
  </si>
  <si>
    <t>4992425128</t>
  </si>
  <si>
    <t>4992428943</t>
  </si>
  <si>
    <t>4992421037</t>
  </si>
  <si>
    <t>4992425318</t>
  </si>
  <si>
    <t>4992421073</t>
  </si>
  <si>
    <t>4992428849</t>
  </si>
  <si>
    <t>4992425296</t>
  </si>
  <si>
    <t>4992421127</t>
  </si>
  <si>
    <t>4992427086</t>
  </si>
  <si>
    <t>4992421140</t>
  </si>
  <si>
    <t>4992422340</t>
  </si>
  <si>
    <t>4992422377</t>
  </si>
  <si>
    <t>4992429576</t>
  </si>
  <si>
    <t>4992422291</t>
  </si>
  <si>
    <t>-4992421726</t>
  </si>
  <si>
    <t>4992426672</t>
  </si>
  <si>
    <t>4992425782</t>
  </si>
  <si>
    <t>499-242-57-82</t>
  </si>
  <si>
    <t>84992425782</t>
  </si>
  <si>
    <t>-4956091378</t>
  </si>
  <si>
    <t>4956091725</t>
  </si>
  <si>
    <t>4992421718</t>
  </si>
  <si>
    <t>4992425126</t>
  </si>
  <si>
    <t>4992421712</t>
  </si>
  <si>
    <t>4992421141</t>
  </si>
  <si>
    <t>4992421143</t>
  </si>
  <si>
    <t>-4997660995</t>
  </si>
  <si>
    <t>4959643640</t>
  </si>
  <si>
    <t>4997668134</t>
  </si>
  <si>
    <t>4992425288</t>
  </si>
  <si>
    <t>4992422486</t>
  </si>
  <si>
    <t>4992423567</t>
  </si>
  <si>
    <t>4992427190</t>
  </si>
  <si>
    <t>4997660978</t>
  </si>
  <si>
    <t>4997660635</t>
  </si>
  <si>
    <t>4992425444</t>
  </si>
  <si>
    <t>4992427575</t>
  </si>
  <si>
    <t>4992426671</t>
  </si>
  <si>
    <t>4992425624</t>
  </si>
  <si>
    <t>4992425788</t>
  </si>
  <si>
    <t>4992423128</t>
  </si>
  <si>
    <t>4992423885</t>
  </si>
  <si>
    <t>4992425792</t>
  </si>
  <si>
    <t>4992425456</t>
  </si>
  <si>
    <t>4992426438</t>
  </si>
  <si>
    <t>Хамовнический вал ул., дом. 32</t>
  </si>
  <si>
    <t>4992470769</t>
  </si>
  <si>
    <t>-4992470767</t>
  </si>
  <si>
    <t>4992454589</t>
  </si>
  <si>
    <t>4992457184</t>
  </si>
  <si>
    <t>4992454638</t>
  </si>
  <si>
    <t>4992454556</t>
  </si>
  <si>
    <t>4992454681</t>
  </si>
  <si>
    <t>4992454746</t>
  </si>
  <si>
    <t>4992454651</t>
  </si>
  <si>
    <t>4992454712</t>
  </si>
  <si>
    <t>4992454645</t>
  </si>
  <si>
    <t>4992468052</t>
  </si>
  <si>
    <t>4992557769</t>
  </si>
  <si>
    <t>4992454590</t>
  </si>
  <si>
    <t>4992457077</t>
  </si>
  <si>
    <t>4992457078</t>
  </si>
  <si>
    <t>4992471871</t>
  </si>
  <si>
    <t>4992457079</t>
  </si>
  <si>
    <t>4992457080</t>
  </si>
  <si>
    <t>4992557861</t>
  </si>
  <si>
    <t>4992454737</t>
  </si>
  <si>
    <t>4992557667</t>
  </si>
  <si>
    <t>4992557668</t>
  </si>
  <si>
    <t>4992454754</t>
  </si>
  <si>
    <t>4992454516</t>
  </si>
  <si>
    <t>4992557472</t>
  </si>
  <si>
    <t>4992557433</t>
  </si>
  <si>
    <t>4992457313</t>
  </si>
  <si>
    <t>4992557490</t>
  </si>
  <si>
    <t>4992463136</t>
  </si>
  <si>
    <t>4992455248</t>
  </si>
  <si>
    <t>4992454747</t>
  </si>
  <si>
    <t>4992454302</t>
  </si>
  <si>
    <t>4992552879</t>
  </si>
  <si>
    <t>4992557791</t>
  </si>
  <si>
    <t>4992557728</t>
  </si>
  <si>
    <t>4992545333</t>
  </si>
  <si>
    <t>4992557181</t>
  </si>
  <si>
    <t>4992454289</t>
  </si>
  <si>
    <t>4992455993</t>
  </si>
  <si>
    <t>4992470878</t>
  </si>
  <si>
    <t>4992557149</t>
  </si>
  <si>
    <t>4992454038</t>
  </si>
  <si>
    <t>4992454676</t>
  </si>
  <si>
    <t>4992459431</t>
  </si>
  <si>
    <t>4992471851</t>
  </si>
  <si>
    <t>4992454116</t>
  </si>
  <si>
    <t>4992456036</t>
  </si>
  <si>
    <t>4992454060</t>
  </si>
  <si>
    <t>245-40-60</t>
  </si>
  <si>
    <t>4992454192</t>
  </si>
  <si>
    <t>4992454271</t>
  </si>
  <si>
    <t>4992557039</t>
  </si>
  <si>
    <t>-4992557882</t>
  </si>
  <si>
    <t>4992557228</t>
  </si>
  <si>
    <t>4992461086</t>
  </si>
  <si>
    <t>4992557761</t>
  </si>
  <si>
    <t>4992457085</t>
  </si>
  <si>
    <t>4992557672</t>
  </si>
  <si>
    <t>4992557762</t>
  </si>
  <si>
    <t>4992454572</t>
  </si>
  <si>
    <t>4992457175</t>
  </si>
  <si>
    <t>4992454772</t>
  </si>
  <si>
    <t>4992457177</t>
  </si>
  <si>
    <t>4992454321</t>
  </si>
  <si>
    <t>4992454346</t>
  </si>
  <si>
    <t>4992454323</t>
  </si>
  <si>
    <t>+7(499)111-11-11</t>
  </si>
  <si>
    <t>4992552967</t>
  </si>
  <si>
    <t>4992557992</t>
  </si>
  <si>
    <t>4992455958</t>
  </si>
  <si>
    <t>4992557612</t>
  </si>
  <si>
    <t>4992454433</t>
  </si>
  <si>
    <t>4992454436</t>
  </si>
  <si>
    <t>4992457178</t>
  </si>
  <si>
    <t>4992457179</t>
  </si>
  <si>
    <t>4992454442</t>
  </si>
  <si>
    <t>4992557249</t>
  </si>
  <si>
    <t>4992455576</t>
  </si>
  <si>
    <t>4992454069</t>
  </si>
  <si>
    <t>4992459100</t>
  </si>
  <si>
    <t>4992455577</t>
  </si>
  <si>
    <t>4992557891</t>
  </si>
  <si>
    <t>4992457181</t>
  </si>
  <si>
    <t>4992457275</t>
  </si>
  <si>
    <t>4956105753</t>
  </si>
  <si>
    <t>4992454413</t>
  </si>
  <si>
    <t>4992457276</t>
  </si>
  <si>
    <t>4992454527</t>
  </si>
  <si>
    <t>4992557590</t>
  </si>
  <si>
    <t>-4992454380</t>
  </si>
  <si>
    <t>4997646830</t>
  </si>
  <si>
    <t>4992457278</t>
  </si>
  <si>
    <t>4992452613</t>
  </si>
  <si>
    <t>4992454018</t>
  </si>
  <si>
    <t>-4992456290</t>
  </si>
  <si>
    <t>4992553328</t>
  </si>
  <si>
    <t>4992454513</t>
  </si>
  <si>
    <t>4992471659</t>
  </si>
  <si>
    <t>4992455294</t>
  </si>
  <si>
    <t>4992459108</t>
  </si>
  <si>
    <t>4992557982</t>
  </si>
  <si>
    <t>4992557826</t>
  </si>
  <si>
    <t>4992457280</t>
  </si>
  <si>
    <t>4992557492</t>
  </si>
  <si>
    <t>4992454547</t>
  </si>
  <si>
    <t>4992454535</t>
  </si>
  <si>
    <t>4992557620</t>
  </si>
  <si>
    <t>4992469241</t>
  </si>
  <si>
    <t>4992455700</t>
  </si>
  <si>
    <t>4992457281</t>
  </si>
  <si>
    <t>4992457284</t>
  </si>
  <si>
    <t>4992459105</t>
  </si>
  <si>
    <t>4992457376</t>
  </si>
  <si>
    <t>4992457377</t>
  </si>
  <si>
    <t>4992455754</t>
  </si>
  <si>
    <t>4992454443</t>
  </si>
  <si>
    <t>4992454549</t>
  </si>
  <si>
    <t>4992459101</t>
  </si>
  <si>
    <t>4992471391</t>
  </si>
  <si>
    <t>4992471381</t>
  </si>
  <si>
    <t>4992457277</t>
  </si>
  <si>
    <t>4992454478</t>
  </si>
  <si>
    <t>Хамовнический вал ул., дом. 38</t>
  </si>
  <si>
    <t>4997664150</t>
  </si>
  <si>
    <t>84997664149</t>
  </si>
  <si>
    <t>245-46-15</t>
  </si>
  <si>
    <t>248-76-38</t>
  </si>
  <si>
    <t>4992466999</t>
  </si>
  <si>
    <t>245-19-74</t>
  </si>
  <si>
    <t>4992468779</t>
  </si>
  <si>
    <t>4992468420</t>
  </si>
  <si>
    <t>246-72-27</t>
  </si>
  <si>
    <t>84957083533</t>
  </si>
  <si>
    <t>4992482274</t>
  </si>
  <si>
    <t>246-35-69</t>
  </si>
  <si>
    <t>246-37-32</t>
  </si>
  <si>
    <t>248-34-92</t>
  </si>
  <si>
    <t>4992450419</t>
  </si>
  <si>
    <t>4992465871</t>
  </si>
  <si>
    <t>4992451383</t>
  </si>
  <si>
    <t>245-13-82</t>
  </si>
  <si>
    <t>4992462255</t>
  </si>
  <si>
    <t>246-40-99</t>
  </si>
  <si>
    <t>246-14-23</t>
  </si>
  <si>
    <t>4992482292</t>
  </si>
  <si>
    <t>4992486996</t>
  </si>
  <si>
    <t>499-245-55-04</t>
  </si>
  <si>
    <t>245-40-61</t>
  </si>
  <si>
    <t>4992482283</t>
  </si>
  <si>
    <t>245-50-80</t>
  </si>
  <si>
    <t>499-246-14-06</t>
  </si>
  <si>
    <t>4992486989</t>
  </si>
  <si>
    <t>4992451921</t>
  </si>
  <si>
    <t>246-21-04</t>
  </si>
  <si>
    <t>246-10-97</t>
  </si>
  <si>
    <t>4992453231</t>
  </si>
  <si>
    <t>246-06-58</t>
  </si>
  <si>
    <t>4992464101</t>
  </si>
  <si>
    <t>246-07-37</t>
  </si>
  <si>
    <t>-84992452848</t>
  </si>
  <si>
    <t>4992460947</t>
  </si>
  <si>
    <t>-4992450941</t>
  </si>
  <si>
    <t>245-53-01</t>
  </si>
  <si>
    <t>245-28-40</t>
  </si>
  <si>
    <t>4992482882</t>
  </si>
  <si>
    <t>499-246-10-06</t>
  </si>
  <si>
    <t>4992450581</t>
  </si>
  <si>
    <t>84992450586</t>
  </si>
  <si>
    <t>499-246-10-37</t>
  </si>
  <si>
    <t>708-33-64</t>
  </si>
  <si>
    <t>245-73-55</t>
  </si>
  <si>
    <t>499-245-73-54</t>
  </si>
  <si>
    <t>84992457354</t>
  </si>
  <si>
    <t>246-10-63</t>
  </si>
  <si>
    <t>245-35-63</t>
  </si>
  <si>
    <t>4992453562</t>
  </si>
  <si>
    <t>4992460884</t>
  </si>
  <si>
    <t>4992462482</t>
  </si>
  <si>
    <t>248-78-62</t>
  </si>
  <si>
    <t>245-25-86</t>
  </si>
  <si>
    <t>4992462288</t>
  </si>
  <si>
    <t>246-19-75</t>
  </si>
  <si>
    <t>84992487881</t>
  </si>
  <si>
    <t>246-56-06</t>
  </si>
  <si>
    <t>4992466540</t>
  </si>
  <si>
    <t>4992461198</t>
  </si>
  <si>
    <t>4992482783</t>
  </si>
  <si>
    <t>84992464552</t>
  </si>
  <si>
    <t>4992464552</t>
  </si>
  <si>
    <t>84992460600</t>
  </si>
  <si>
    <t>4992487864</t>
  </si>
  <si>
    <t>246-23-78</t>
  </si>
  <si>
    <t>245-11-58</t>
  </si>
  <si>
    <t>499-245-17-78</t>
  </si>
  <si>
    <t>4992451778</t>
  </si>
  <si>
    <t>246-11-26</t>
  </si>
  <si>
    <t>4992460358</t>
  </si>
  <si>
    <t>245-45-21</t>
  </si>
  <si>
    <t>248-69-30</t>
  </si>
  <si>
    <t>248-68-05</t>
  </si>
  <si>
    <t>4992455607</t>
  </si>
  <si>
    <t>4992452778</t>
  </si>
  <si>
    <t>4992455624</t>
  </si>
  <si>
    <t>-4992452773</t>
  </si>
  <si>
    <t>246-15-57</t>
  </si>
  <si>
    <t>84992455584</t>
  </si>
  <si>
    <t>4992450791</t>
  </si>
  <si>
    <t>248-00-47</t>
  </si>
  <si>
    <t>4992461548</t>
  </si>
  <si>
    <t>245-40-95</t>
  </si>
  <si>
    <t>4992462943</t>
  </si>
  <si>
    <t>4992480029</t>
  </si>
  <si>
    <t>248-06-25</t>
  </si>
  <si>
    <t>84992487943</t>
  </si>
  <si>
    <t>245-28-82</t>
  </si>
  <si>
    <t>84992454497</t>
  </si>
  <si>
    <t>246-37-42</t>
  </si>
  <si>
    <t>246-34-60</t>
  </si>
  <si>
    <t>248-00-36</t>
  </si>
  <si>
    <t>84992482374</t>
  </si>
  <si>
    <t>245-08-91</t>
  </si>
  <si>
    <t>84992451278</t>
  </si>
  <si>
    <t>4992481176</t>
  </si>
  <si>
    <t>4992452332</t>
  </si>
  <si>
    <t>499-245-40-24</t>
  </si>
  <si>
    <t>4992469316</t>
  </si>
  <si>
    <t>4992452721</t>
  </si>
  <si>
    <t>245-56-52</t>
  </si>
  <si>
    <t>4992463087</t>
  </si>
  <si>
    <t>245-42-48</t>
  </si>
  <si>
    <t>4992461206</t>
  </si>
  <si>
    <t>4992454171</t>
  </si>
  <si>
    <t>246-22-21</t>
  </si>
  <si>
    <t>245-27-25</t>
  </si>
  <si>
    <t>4992453571</t>
  </si>
  <si>
    <t>4992454351</t>
  </si>
  <si>
    <t>84992481374</t>
  </si>
  <si>
    <t>84992462420</t>
  </si>
  <si>
    <t>4992481311</t>
  </si>
  <si>
    <t>84992461087</t>
  </si>
  <si>
    <t>248-41-10</t>
  </si>
  <si>
    <t>248-16-11</t>
  </si>
  <si>
    <t>248-00-35</t>
  </si>
  <si>
    <t>244-08-11</t>
  </si>
  <si>
    <t>4992461351</t>
  </si>
  <si>
    <t>4992453178</t>
  </si>
  <si>
    <t>4992481990</t>
  </si>
  <si>
    <t>248-65-49</t>
  </si>
  <si>
    <t>499-246-32-89</t>
  </si>
  <si>
    <t>Чистый пер., дом. 8 стр.1</t>
  </si>
  <si>
    <t>4956312369</t>
  </si>
  <si>
    <t>4956373945</t>
  </si>
  <si>
    <t>4956375367</t>
  </si>
  <si>
    <t>4956372503</t>
  </si>
  <si>
    <t>4956372238</t>
  </si>
  <si>
    <t>4956372578</t>
  </si>
  <si>
    <t>4956372618</t>
  </si>
  <si>
    <t>4956372481</t>
  </si>
  <si>
    <t>4956372605</t>
  </si>
  <si>
    <t>4956374381</t>
  </si>
  <si>
    <t>4956372449</t>
  </si>
  <si>
    <t>4956372463</t>
  </si>
  <si>
    <t>Языковский пер., дом. 4а</t>
  </si>
  <si>
    <t>4992453594</t>
  </si>
  <si>
    <t>245-35-94</t>
  </si>
  <si>
    <t>247-02-85</t>
  </si>
  <si>
    <t>4992557063</t>
  </si>
  <si>
    <t>499-255-70-64</t>
  </si>
  <si>
    <t>247-10-64</t>
  </si>
  <si>
    <t>4992553278</t>
  </si>
  <si>
    <t>4992557561</t>
  </si>
  <si>
    <t>247-17-75</t>
  </si>
  <si>
    <t>4992557754</t>
  </si>
  <si>
    <t>245-20-64</t>
  </si>
  <si>
    <t>4992552687</t>
  </si>
  <si>
    <t>245-20-66</t>
  </si>
  <si>
    <t>4992557560</t>
  </si>
  <si>
    <t>247-13-90</t>
  </si>
  <si>
    <t>245-24-50</t>
  </si>
  <si>
    <t>В случае если у вас возникли вопрсы, обратитесь в
управляющую компанию, в отдел по работе с населением.
Адрес отдела: 3-я Фрунзенская улица, д. 19, стр. 1
График работы: понедельник - пятница 8.00-20.00, суббота 9.00-14.45, обед 12.00-12.45,
выходной - воскресенье
Телефон 8-499-242-51-86, 8-909-676-64-46, 8-909-672-14-05
Электронная почта VolkovaIG2016@yandex.ru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</si>
</sst>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rgb="FF0C67D7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5EFE6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2" borderId="1" xfId="0" applyFill="1" applyBorder="1" applyAlignment="1">
      <alignment vertical="top" wrapText="1"/>
    </xf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I19232"/>
  <sheetViews>
    <sheetView tabSelected="1" workbookViewId="0">
      <pane xSplit="3" ySplit="1" topLeftCell="D18850" activePane="bottomRight" state="frozen"/>
      <selection pane="topRight" activeCell="F1" sqref="F1"/>
      <selection pane="bottomLeft" activeCell="A2" sqref="A2"/>
      <selection pane="bottomRight" activeCell="L19237" sqref="L19237"/>
    </sheetView>
  </sheetViews>
  <sheetFormatPr defaultRowHeight="15" x14ac:dyDescent="0.25"/>
  <cols>
    <col min="1" max="1" width="40.5703125" customWidth="1"/>
    <col min="2" max="2" width="6.28515625" customWidth="1"/>
    <col min="3" max="3" width="12.85546875" customWidth="1"/>
    <col min="4" max="4" width="0" hidden="1" customWidth="1"/>
    <col min="7" max="7" width="0" hidden="1" customWidth="1"/>
    <col min="9" max="9" width="0" hidden="1" customWidth="1"/>
  </cols>
  <sheetData>
    <row r="1" spans="1:9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hidden="1" x14ac:dyDescent="0.25">
      <c r="A2" t="s">
        <v>9</v>
      </c>
      <c r="B2" t="s">
        <v>10</v>
      </c>
      <c r="C2" s="2">
        <f>HYPERLINK("https://cao.dolgi.msk.ru/account/1083383522/", 1083383522)</f>
        <v>1083383522</v>
      </c>
      <c r="D2" t="s">
        <v>11</v>
      </c>
      <c r="E2">
        <v>-12134.89</v>
      </c>
      <c r="F2">
        <v>-2.0099999999999998</v>
      </c>
      <c r="G2" t="s">
        <v>12</v>
      </c>
      <c r="I2" t="s">
        <v>13</v>
      </c>
    </row>
    <row r="3" spans="1:9" hidden="1" x14ac:dyDescent="0.25">
      <c r="A3" t="s">
        <v>9</v>
      </c>
      <c r="B3" t="s">
        <v>10</v>
      </c>
      <c r="C3" s="2">
        <f>HYPERLINK("https://cao.dolgi.msk.ru/account/1089115094/", 1089115094)</f>
        <v>1089115094</v>
      </c>
      <c r="D3" t="s">
        <v>11</v>
      </c>
      <c r="E3">
        <v>0</v>
      </c>
      <c r="G3" t="s">
        <v>14</v>
      </c>
      <c r="I3" t="s">
        <v>13</v>
      </c>
    </row>
    <row r="4" spans="1:9" hidden="1" x14ac:dyDescent="0.25">
      <c r="A4" t="s">
        <v>9</v>
      </c>
      <c r="B4" t="s">
        <v>16</v>
      </c>
      <c r="C4" s="2">
        <f>HYPERLINK("https://cao.dolgi.msk.ru/account/1083383733/", 1083383733)</f>
        <v>1083383733</v>
      </c>
      <c r="D4" t="s">
        <v>17</v>
      </c>
      <c r="E4">
        <v>-6740.59</v>
      </c>
      <c r="F4">
        <v>-1.0900000000000001</v>
      </c>
      <c r="G4" t="s">
        <v>12</v>
      </c>
      <c r="I4" t="s">
        <v>13</v>
      </c>
    </row>
    <row r="5" spans="1:9" hidden="1" x14ac:dyDescent="0.25">
      <c r="A5" t="s">
        <v>9</v>
      </c>
      <c r="B5" t="s">
        <v>16</v>
      </c>
      <c r="C5" s="2">
        <f>HYPERLINK("https://cao.dolgi.msk.ru/account/1089115115/", 1089115115)</f>
        <v>1089115115</v>
      </c>
      <c r="D5" t="s">
        <v>17</v>
      </c>
      <c r="E5">
        <v>266.45</v>
      </c>
      <c r="F5">
        <v>1.46</v>
      </c>
      <c r="G5" t="s">
        <v>14</v>
      </c>
      <c r="I5" t="s">
        <v>13</v>
      </c>
    </row>
    <row r="6" spans="1:9" hidden="1" x14ac:dyDescent="0.25">
      <c r="A6" t="s">
        <v>9</v>
      </c>
      <c r="B6" t="s">
        <v>18</v>
      </c>
      <c r="C6" s="2">
        <f>HYPERLINK("https://cao.dolgi.msk.ru/account/1083383637/", 1083383637)</f>
        <v>1083383637</v>
      </c>
      <c r="D6" t="s">
        <v>19</v>
      </c>
      <c r="E6">
        <v>-81.86</v>
      </c>
      <c r="F6">
        <v>-0.01</v>
      </c>
      <c r="G6" t="s">
        <v>12</v>
      </c>
      <c r="I6" t="s">
        <v>13</v>
      </c>
    </row>
    <row r="7" spans="1:9" hidden="1" x14ac:dyDescent="0.25">
      <c r="A7" t="s">
        <v>9</v>
      </c>
      <c r="B7" t="s">
        <v>18</v>
      </c>
      <c r="C7" s="2">
        <f>HYPERLINK("https://cao.dolgi.msk.ru/account/1089115131/", 1089115131)</f>
        <v>1089115131</v>
      </c>
      <c r="D7" t="s">
        <v>19</v>
      </c>
      <c r="E7">
        <v>-1314.47</v>
      </c>
      <c r="G7" t="s">
        <v>14</v>
      </c>
      <c r="I7" t="s">
        <v>13</v>
      </c>
    </row>
    <row r="8" spans="1:9" hidden="1" x14ac:dyDescent="0.25">
      <c r="A8" t="s">
        <v>9</v>
      </c>
      <c r="B8" t="s">
        <v>20</v>
      </c>
      <c r="C8" s="2">
        <f>HYPERLINK("https://cao.dolgi.msk.ru/account/1083383549/", 1083383549)</f>
        <v>1083383549</v>
      </c>
      <c r="D8" t="s">
        <v>15</v>
      </c>
      <c r="E8">
        <v>-2972.53</v>
      </c>
      <c r="G8" t="s">
        <v>12</v>
      </c>
      <c r="I8" t="s">
        <v>13</v>
      </c>
    </row>
    <row r="9" spans="1:9" hidden="1" x14ac:dyDescent="0.25">
      <c r="A9" t="s">
        <v>9</v>
      </c>
      <c r="B9" t="s">
        <v>20</v>
      </c>
      <c r="C9" s="2">
        <f>HYPERLINK("https://cao.dolgi.msk.ru/account/1089115174/", 1089115174)</f>
        <v>1089115174</v>
      </c>
      <c r="D9" t="s">
        <v>15</v>
      </c>
      <c r="E9">
        <v>35114.83</v>
      </c>
      <c r="G9" t="s">
        <v>14</v>
      </c>
      <c r="I9" t="s">
        <v>13</v>
      </c>
    </row>
    <row r="10" spans="1:9" hidden="1" x14ac:dyDescent="0.25">
      <c r="A10" t="s">
        <v>9</v>
      </c>
      <c r="B10" t="s">
        <v>21</v>
      </c>
      <c r="C10" s="2">
        <f>HYPERLINK("https://cao.dolgi.msk.ru/account/1083383514/", 1083383514)</f>
        <v>1083383514</v>
      </c>
      <c r="D10" t="s">
        <v>15</v>
      </c>
      <c r="E10">
        <v>-7390.63</v>
      </c>
      <c r="F10">
        <v>-1.02</v>
      </c>
      <c r="G10" t="s">
        <v>12</v>
      </c>
      <c r="I10" t="s">
        <v>13</v>
      </c>
    </row>
    <row r="11" spans="1:9" hidden="1" x14ac:dyDescent="0.25">
      <c r="A11" t="s">
        <v>9</v>
      </c>
      <c r="B11" t="s">
        <v>21</v>
      </c>
      <c r="C11" s="2">
        <f>HYPERLINK("https://cao.dolgi.msk.ru/account/1089115203/", 1089115203)</f>
        <v>1089115203</v>
      </c>
      <c r="D11" t="s">
        <v>15</v>
      </c>
      <c r="E11">
        <v>751.07</v>
      </c>
      <c r="F11">
        <v>0.96</v>
      </c>
      <c r="G11" t="s">
        <v>14</v>
      </c>
      <c r="I11" t="s">
        <v>13</v>
      </c>
    </row>
    <row r="12" spans="1:9" hidden="1" x14ac:dyDescent="0.25">
      <c r="A12" t="s">
        <v>9</v>
      </c>
      <c r="B12" t="s">
        <v>22</v>
      </c>
      <c r="C12" s="2">
        <f>HYPERLINK("https://cao.dolgi.msk.ru/account/1083383741/", 1083383741)</f>
        <v>1083383741</v>
      </c>
      <c r="D12" t="s">
        <v>15</v>
      </c>
      <c r="E12">
        <v>14532.96</v>
      </c>
      <c r="F12">
        <v>1</v>
      </c>
      <c r="G12" t="s">
        <v>12</v>
      </c>
      <c r="I12" t="s">
        <v>13</v>
      </c>
    </row>
    <row r="13" spans="1:9" hidden="1" x14ac:dyDescent="0.25">
      <c r="A13" t="s">
        <v>9</v>
      </c>
      <c r="B13" t="s">
        <v>22</v>
      </c>
      <c r="C13" s="2">
        <f>HYPERLINK("https://cao.dolgi.msk.ru/account/1089115246/", 1089115246)</f>
        <v>1089115246</v>
      </c>
      <c r="D13" t="s">
        <v>15</v>
      </c>
      <c r="E13">
        <v>1588.67</v>
      </c>
      <c r="G13" t="s">
        <v>14</v>
      </c>
      <c r="I13" t="s">
        <v>13</v>
      </c>
    </row>
    <row r="14" spans="1:9" hidden="1" x14ac:dyDescent="0.25">
      <c r="A14" t="s">
        <v>9</v>
      </c>
      <c r="B14" t="s">
        <v>23</v>
      </c>
      <c r="C14" s="2">
        <f>HYPERLINK("https://cao.dolgi.msk.ru/account/1083383645/", 1083383645)</f>
        <v>1083383645</v>
      </c>
      <c r="D14" t="s">
        <v>15</v>
      </c>
      <c r="E14">
        <v>5499.08</v>
      </c>
      <c r="F14">
        <v>1</v>
      </c>
      <c r="G14" t="s">
        <v>12</v>
      </c>
      <c r="I14" t="s">
        <v>13</v>
      </c>
    </row>
    <row r="15" spans="1:9" hidden="1" x14ac:dyDescent="0.25">
      <c r="A15" t="s">
        <v>9</v>
      </c>
      <c r="B15" t="s">
        <v>23</v>
      </c>
      <c r="C15" s="2">
        <f>HYPERLINK("https://cao.dolgi.msk.ru/account/1089115254/", 1089115254)</f>
        <v>1089115254</v>
      </c>
      <c r="D15" t="s">
        <v>15</v>
      </c>
      <c r="E15">
        <v>5298.74</v>
      </c>
      <c r="F15">
        <v>3.93</v>
      </c>
      <c r="G15" t="s">
        <v>14</v>
      </c>
      <c r="I15" t="s">
        <v>13</v>
      </c>
    </row>
    <row r="16" spans="1:9" hidden="1" x14ac:dyDescent="0.25">
      <c r="A16" t="s">
        <v>9</v>
      </c>
      <c r="B16" t="s">
        <v>24</v>
      </c>
      <c r="C16" s="2">
        <f>HYPERLINK("https://cao.dolgi.msk.ru/account/1083383573/", 1083383573)</f>
        <v>1083383573</v>
      </c>
      <c r="D16" t="s">
        <v>25</v>
      </c>
      <c r="E16">
        <v>-15387.14</v>
      </c>
      <c r="F16">
        <v>-1.31</v>
      </c>
      <c r="G16" t="s">
        <v>12</v>
      </c>
      <c r="I16" t="s">
        <v>13</v>
      </c>
    </row>
    <row r="17" spans="1:9" hidden="1" x14ac:dyDescent="0.25">
      <c r="A17" t="s">
        <v>9</v>
      </c>
      <c r="B17" t="s">
        <v>24</v>
      </c>
      <c r="C17" s="2">
        <f>HYPERLINK("https://cao.dolgi.msk.ru/account/1089115262/", 1089115262)</f>
        <v>1089115262</v>
      </c>
      <c r="D17" t="s">
        <v>26</v>
      </c>
      <c r="E17">
        <v>-1062.8</v>
      </c>
      <c r="F17">
        <v>-0.53</v>
      </c>
      <c r="G17" t="s">
        <v>14</v>
      </c>
      <c r="I17" t="s">
        <v>13</v>
      </c>
    </row>
    <row r="18" spans="1:9" hidden="1" x14ac:dyDescent="0.25">
      <c r="A18" t="s">
        <v>9</v>
      </c>
      <c r="B18" t="s">
        <v>27</v>
      </c>
      <c r="C18" s="2">
        <f>HYPERLINK("https://cao.dolgi.msk.ru/account/1083383696/", 1083383696)</f>
        <v>1083383696</v>
      </c>
      <c r="D18" t="s">
        <v>28</v>
      </c>
      <c r="E18">
        <v>-10018.67</v>
      </c>
      <c r="F18">
        <v>-0.99</v>
      </c>
      <c r="G18" t="s">
        <v>12</v>
      </c>
      <c r="I18" t="s">
        <v>13</v>
      </c>
    </row>
    <row r="19" spans="1:9" hidden="1" x14ac:dyDescent="0.25">
      <c r="A19" t="s">
        <v>9</v>
      </c>
      <c r="B19" t="s">
        <v>27</v>
      </c>
      <c r="C19" s="2">
        <f>HYPERLINK("https://cao.dolgi.msk.ru/account/1089115318/", 1089115318)</f>
        <v>1089115318</v>
      </c>
      <c r="D19" t="s">
        <v>28</v>
      </c>
      <c r="E19">
        <v>3553.85</v>
      </c>
      <c r="F19">
        <v>1.42</v>
      </c>
      <c r="G19" t="s">
        <v>14</v>
      </c>
      <c r="I19" t="s">
        <v>13</v>
      </c>
    </row>
    <row r="20" spans="1:9" hidden="1" x14ac:dyDescent="0.25">
      <c r="A20" t="s">
        <v>9</v>
      </c>
      <c r="B20" t="s">
        <v>29</v>
      </c>
      <c r="C20" s="2">
        <f>HYPERLINK("https://cao.dolgi.msk.ru/account/1083383557/", 1083383557)</f>
        <v>1083383557</v>
      </c>
      <c r="D20" t="s">
        <v>30</v>
      </c>
      <c r="E20">
        <v>-5783.09</v>
      </c>
      <c r="F20">
        <v>-1.24</v>
      </c>
      <c r="G20" t="s">
        <v>12</v>
      </c>
      <c r="I20" t="s">
        <v>13</v>
      </c>
    </row>
    <row r="21" spans="1:9" hidden="1" x14ac:dyDescent="0.25">
      <c r="A21" t="s">
        <v>9</v>
      </c>
      <c r="B21" t="s">
        <v>29</v>
      </c>
      <c r="C21" s="2">
        <f>HYPERLINK("https://cao.dolgi.msk.ru/account/1089115334/", 1089115334)</f>
        <v>1089115334</v>
      </c>
      <c r="D21" t="s">
        <v>30</v>
      </c>
      <c r="E21">
        <v>863.34</v>
      </c>
      <c r="F21">
        <v>4.0999999999999996</v>
      </c>
      <c r="G21" t="s">
        <v>14</v>
      </c>
      <c r="I21" t="s">
        <v>13</v>
      </c>
    </row>
    <row r="22" spans="1:9" x14ac:dyDescent="0.25">
      <c r="A22" t="s">
        <v>9</v>
      </c>
      <c r="B22" t="s">
        <v>31</v>
      </c>
      <c r="C22" s="2">
        <f>HYPERLINK("https://cao.dolgi.msk.ru/account/1083383581/", 1083383581)</f>
        <v>1083383581</v>
      </c>
      <c r="D22" t="s">
        <v>32</v>
      </c>
      <c r="E22">
        <v>5505.61</v>
      </c>
      <c r="F22">
        <v>1.1200000000000001</v>
      </c>
      <c r="G22" t="s">
        <v>12</v>
      </c>
      <c r="I22" t="s">
        <v>13</v>
      </c>
    </row>
    <row r="23" spans="1:9" hidden="1" x14ac:dyDescent="0.25">
      <c r="A23" t="s">
        <v>9</v>
      </c>
      <c r="B23" t="s">
        <v>31</v>
      </c>
      <c r="C23" s="2">
        <f>HYPERLINK("https://cao.dolgi.msk.ru/account/1089115342/", 1089115342)</f>
        <v>1089115342</v>
      </c>
      <c r="D23" t="s">
        <v>32</v>
      </c>
      <c r="E23">
        <v>174.45</v>
      </c>
      <c r="G23" t="s">
        <v>14</v>
      </c>
      <c r="I23" t="s">
        <v>13</v>
      </c>
    </row>
    <row r="24" spans="1:9" hidden="1" x14ac:dyDescent="0.25">
      <c r="A24" t="s">
        <v>9</v>
      </c>
      <c r="B24" t="s">
        <v>33</v>
      </c>
      <c r="C24" s="2">
        <f>HYPERLINK("https://cao.dolgi.msk.ru/account/1083383709/", 1083383709)</f>
        <v>1083383709</v>
      </c>
      <c r="D24" t="s">
        <v>15</v>
      </c>
      <c r="E24">
        <v>0</v>
      </c>
      <c r="F24">
        <v>0</v>
      </c>
      <c r="G24" t="s">
        <v>12</v>
      </c>
      <c r="I24" t="s">
        <v>13</v>
      </c>
    </row>
    <row r="25" spans="1:9" hidden="1" x14ac:dyDescent="0.25">
      <c r="A25" t="s">
        <v>9</v>
      </c>
      <c r="B25" t="s">
        <v>33</v>
      </c>
      <c r="C25" s="2">
        <f>HYPERLINK("https://cao.dolgi.msk.ru/account/1089115369/", 1089115369)</f>
        <v>1089115369</v>
      </c>
      <c r="D25" t="s">
        <v>15</v>
      </c>
      <c r="E25">
        <v>-329.03</v>
      </c>
      <c r="G25" t="s">
        <v>14</v>
      </c>
      <c r="I25" t="s">
        <v>13</v>
      </c>
    </row>
    <row r="26" spans="1:9" hidden="1" x14ac:dyDescent="0.25">
      <c r="A26" t="s">
        <v>9</v>
      </c>
      <c r="B26" t="s">
        <v>34</v>
      </c>
      <c r="C26" s="2">
        <f>HYPERLINK("https://cao.dolgi.msk.ru/account/1083383602/", 1083383602)</f>
        <v>1083383602</v>
      </c>
      <c r="D26" t="s">
        <v>35</v>
      </c>
      <c r="E26">
        <v>0</v>
      </c>
      <c r="F26">
        <v>0</v>
      </c>
      <c r="G26" t="s">
        <v>12</v>
      </c>
      <c r="I26" t="s">
        <v>13</v>
      </c>
    </row>
    <row r="27" spans="1:9" hidden="1" x14ac:dyDescent="0.25">
      <c r="A27" t="s">
        <v>9</v>
      </c>
      <c r="B27" t="s">
        <v>34</v>
      </c>
      <c r="C27" s="2">
        <f>HYPERLINK("https://cao.dolgi.msk.ru/account/1089115393/", 1089115393)</f>
        <v>1089115393</v>
      </c>
      <c r="D27" t="s">
        <v>35</v>
      </c>
      <c r="E27">
        <v>4372.13</v>
      </c>
      <c r="G27" t="s">
        <v>14</v>
      </c>
      <c r="I27" t="s">
        <v>13</v>
      </c>
    </row>
    <row r="28" spans="1:9" hidden="1" x14ac:dyDescent="0.25">
      <c r="A28" t="s">
        <v>9</v>
      </c>
      <c r="B28" t="s">
        <v>36</v>
      </c>
      <c r="C28" s="2">
        <f>HYPERLINK("https://cao.dolgi.msk.ru/account/1083383717/", 1083383717)</f>
        <v>1083383717</v>
      </c>
      <c r="D28" t="s">
        <v>37</v>
      </c>
      <c r="E28">
        <v>-6392.34</v>
      </c>
      <c r="F28">
        <v>-1.03</v>
      </c>
      <c r="G28" t="s">
        <v>12</v>
      </c>
      <c r="I28" t="s">
        <v>13</v>
      </c>
    </row>
    <row r="29" spans="1:9" hidden="1" x14ac:dyDescent="0.25">
      <c r="A29" t="s">
        <v>9</v>
      </c>
      <c r="B29" t="s">
        <v>36</v>
      </c>
      <c r="C29" s="2">
        <f>HYPERLINK("https://cao.dolgi.msk.ru/account/1089115414/", 1089115414)</f>
        <v>1089115414</v>
      </c>
      <c r="D29" t="s">
        <v>37</v>
      </c>
      <c r="E29">
        <v>0</v>
      </c>
      <c r="G29" t="s">
        <v>14</v>
      </c>
      <c r="I29" t="s">
        <v>13</v>
      </c>
    </row>
    <row r="30" spans="1:9" hidden="1" x14ac:dyDescent="0.25">
      <c r="A30" t="s">
        <v>9</v>
      </c>
      <c r="B30" t="s">
        <v>38</v>
      </c>
      <c r="C30" s="2">
        <f>HYPERLINK("https://cao.dolgi.msk.ru/account/1083383565/", 1083383565)</f>
        <v>1083383565</v>
      </c>
      <c r="D30" t="s">
        <v>15</v>
      </c>
      <c r="E30">
        <v>-4793.72</v>
      </c>
      <c r="F30">
        <v>-0.61</v>
      </c>
      <c r="G30" t="s">
        <v>12</v>
      </c>
      <c r="I30" t="s">
        <v>13</v>
      </c>
    </row>
    <row r="31" spans="1:9" hidden="1" x14ac:dyDescent="0.25">
      <c r="A31" t="s">
        <v>9</v>
      </c>
      <c r="B31" t="s">
        <v>38</v>
      </c>
      <c r="C31" s="2">
        <f>HYPERLINK("https://cao.dolgi.msk.ru/account/1089115449/", 1089115449)</f>
        <v>1089115449</v>
      </c>
      <c r="D31" t="s">
        <v>15</v>
      </c>
      <c r="E31">
        <v>3400.45</v>
      </c>
      <c r="G31" t="s">
        <v>14</v>
      </c>
      <c r="I31" t="s">
        <v>13</v>
      </c>
    </row>
    <row r="32" spans="1:9" hidden="1" x14ac:dyDescent="0.25">
      <c r="A32" t="s">
        <v>9</v>
      </c>
      <c r="B32" t="s">
        <v>39</v>
      </c>
      <c r="C32" s="2">
        <f>HYPERLINK("https://cao.dolgi.msk.ru/account/1083383653/", 1083383653)</f>
        <v>1083383653</v>
      </c>
      <c r="D32" t="s">
        <v>15</v>
      </c>
      <c r="E32">
        <v>-12750.87</v>
      </c>
      <c r="F32">
        <v>-1.02</v>
      </c>
      <c r="G32" t="s">
        <v>12</v>
      </c>
      <c r="I32" t="s">
        <v>13</v>
      </c>
    </row>
    <row r="33" spans="1:9" hidden="1" x14ac:dyDescent="0.25">
      <c r="A33" t="s">
        <v>9</v>
      </c>
      <c r="B33" t="s">
        <v>39</v>
      </c>
      <c r="C33" s="2">
        <f>HYPERLINK("https://cao.dolgi.msk.ru/account/1089115465/", 1089115465)</f>
        <v>1089115465</v>
      </c>
      <c r="D33" t="s">
        <v>15</v>
      </c>
      <c r="E33">
        <v>-2864.81</v>
      </c>
      <c r="G33" t="s">
        <v>14</v>
      </c>
      <c r="I33" t="s">
        <v>13</v>
      </c>
    </row>
    <row r="34" spans="1:9" x14ac:dyDescent="0.25">
      <c r="A34" t="s">
        <v>9</v>
      </c>
      <c r="B34" t="s">
        <v>40</v>
      </c>
      <c r="C34" s="2">
        <f>HYPERLINK("https://cao.dolgi.msk.ru/account/1083383629/", 1083383629)</f>
        <v>1083383629</v>
      </c>
      <c r="D34" t="s">
        <v>15</v>
      </c>
      <c r="E34">
        <v>16823.810000000001</v>
      </c>
      <c r="F34">
        <v>1.91</v>
      </c>
      <c r="G34" t="s">
        <v>12</v>
      </c>
      <c r="I34" t="s">
        <v>13</v>
      </c>
    </row>
    <row r="35" spans="1:9" hidden="1" x14ac:dyDescent="0.25">
      <c r="A35" t="s">
        <v>9</v>
      </c>
      <c r="B35" t="s">
        <v>40</v>
      </c>
      <c r="C35" s="2">
        <f>HYPERLINK("https://cao.dolgi.msk.ru/account/1089115537/", 1089115537)</f>
        <v>1089115537</v>
      </c>
      <c r="D35" t="s">
        <v>15</v>
      </c>
      <c r="E35">
        <v>-1502.19</v>
      </c>
      <c r="G35" t="s">
        <v>14</v>
      </c>
      <c r="I35" t="s">
        <v>13</v>
      </c>
    </row>
    <row r="36" spans="1:9" hidden="1" x14ac:dyDescent="0.25">
      <c r="A36" t="s">
        <v>9</v>
      </c>
      <c r="B36" t="s">
        <v>41</v>
      </c>
      <c r="C36" s="2">
        <f>HYPERLINK("https://cao.dolgi.msk.ru/account/1083383661/", 1083383661)</f>
        <v>1083383661</v>
      </c>
      <c r="D36" t="s">
        <v>15</v>
      </c>
      <c r="E36">
        <v>-11488.85</v>
      </c>
      <c r="F36">
        <v>-1.01</v>
      </c>
      <c r="G36" t="s">
        <v>12</v>
      </c>
      <c r="I36" t="s">
        <v>13</v>
      </c>
    </row>
    <row r="37" spans="1:9" hidden="1" x14ac:dyDescent="0.25">
      <c r="A37" t="s">
        <v>9</v>
      </c>
      <c r="B37" t="s">
        <v>41</v>
      </c>
      <c r="C37" s="2">
        <f>HYPERLINK("https://cao.dolgi.msk.ru/account/1089115553/", 1089115553)</f>
        <v>1089115553</v>
      </c>
      <c r="D37" t="s">
        <v>15</v>
      </c>
      <c r="E37">
        <v>3495.57</v>
      </c>
      <c r="F37">
        <v>2.23</v>
      </c>
      <c r="G37" t="s">
        <v>14</v>
      </c>
      <c r="I37" t="s">
        <v>13</v>
      </c>
    </row>
    <row r="38" spans="1:9" hidden="1" x14ac:dyDescent="0.25">
      <c r="A38" t="s">
        <v>9</v>
      </c>
      <c r="B38" t="s">
        <v>42</v>
      </c>
      <c r="C38" s="2">
        <f>HYPERLINK("https://cao.dolgi.msk.ru/account/1083383768/", 1083383768)</f>
        <v>1083383768</v>
      </c>
      <c r="D38" t="s">
        <v>43</v>
      </c>
      <c r="E38">
        <v>-6556.63</v>
      </c>
      <c r="F38">
        <v>-1.02</v>
      </c>
      <c r="G38" t="s">
        <v>12</v>
      </c>
      <c r="I38" t="s">
        <v>13</v>
      </c>
    </row>
    <row r="39" spans="1:9" hidden="1" x14ac:dyDescent="0.25">
      <c r="A39" t="s">
        <v>9</v>
      </c>
      <c r="B39" t="s">
        <v>42</v>
      </c>
      <c r="C39" s="2">
        <f>HYPERLINK("https://cao.dolgi.msk.ru/account/1089115561/", 1089115561)</f>
        <v>1089115561</v>
      </c>
      <c r="D39" t="s">
        <v>43</v>
      </c>
      <c r="E39">
        <v>-329.08</v>
      </c>
      <c r="G39" t="s">
        <v>14</v>
      </c>
      <c r="I39" t="s">
        <v>13</v>
      </c>
    </row>
    <row r="40" spans="1:9" hidden="1" x14ac:dyDescent="0.25">
      <c r="A40" t="s">
        <v>9</v>
      </c>
      <c r="B40" t="s">
        <v>44</v>
      </c>
      <c r="C40" s="2">
        <f>HYPERLINK("https://cao.dolgi.msk.ru/account/1083274801/", 1083274801)</f>
        <v>1083274801</v>
      </c>
      <c r="D40" t="s">
        <v>15</v>
      </c>
      <c r="E40">
        <v>1502.13</v>
      </c>
      <c r="F40">
        <v>0.96</v>
      </c>
      <c r="G40" t="s">
        <v>14</v>
      </c>
      <c r="I40" t="s">
        <v>13</v>
      </c>
    </row>
    <row r="41" spans="1:9" hidden="1" x14ac:dyDescent="0.25">
      <c r="A41" t="s">
        <v>9</v>
      </c>
      <c r="B41" t="s">
        <v>44</v>
      </c>
      <c r="C41" s="2">
        <f>HYPERLINK("https://cao.dolgi.msk.ru/account/1083383688/", 1083383688)</f>
        <v>1083383688</v>
      </c>
      <c r="D41" t="s">
        <v>15</v>
      </c>
      <c r="E41">
        <v>0</v>
      </c>
      <c r="F41">
        <v>0</v>
      </c>
      <c r="G41" t="s">
        <v>14</v>
      </c>
      <c r="I41" t="s">
        <v>13</v>
      </c>
    </row>
    <row r="42" spans="1:9" hidden="1" x14ac:dyDescent="0.25">
      <c r="A42" t="s">
        <v>9</v>
      </c>
      <c r="B42" t="s">
        <v>44</v>
      </c>
      <c r="C42" s="2">
        <f>HYPERLINK("https://cao.dolgi.msk.ru/account/1083383725/", 1083383725)</f>
        <v>1083383725</v>
      </c>
      <c r="D42" t="s">
        <v>45</v>
      </c>
      <c r="E42">
        <v>-19391.599999999999</v>
      </c>
      <c r="F42">
        <v>-1.64</v>
      </c>
      <c r="G42" t="s">
        <v>12</v>
      </c>
      <c r="I42" t="s">
        <v>13</v>
      </c>
    </row>
    <row r="43" spans="1:9" hidden="1" x14ac:dyDescent="0.25">
      <c r="A43" t="s">
        <v>9</v>
      </c>
      <c r="B43" t="s">
        <v>44</v>
      </c>
      <c r="C43" s="2">
        <f>HYPERLINK("https://cao.dolgi.msk.ru/account/1089115588/", 1089115588)</f>
        <v>1089115588</v>
      </c>
      <c r="D43" t="s">
        <v>45</v>
      </c>
      <c r="E43">
        <v>4566.41</v>
      </c>
      <c r="G43" t="s">
        <v>14</v>
      </c>
      <c r="I43" t="s">
        <v>13</v>
      </c>
    </row>
    <row r="44" spans="1:9" hidden="1" x14ac:dyDescent="0.25">
      <c r="A44" t="s">
        <v>46</v>
      </c>
      <c r="B44" t="s">
        <v>10</v>
      </c>
      <c r="C44" s="2">
        <f>HYPERLINK("https://cao.dolgi.msk.ru/account/1080031273/", 1080031273)</f>
        <v>1080031273</v>
      </c>
      <c r="D44" t="s">
        <v>47</v>
      </c>
      <c r="E44">
        <v>-6849.4</v>
      </c>
      <c r="F44">
        <v>-1.1299999999999999</v>
      </c>
      <c r="G44" t="s">
        <v>12</v>
      </c>
      <c r="I44" t="s">
        <v>13</v>
      </c>
    </row>
    <row r="45" spans="1:9" hidden="1" x14ac:dyDescent="0.25">
      <c r="A45" t="s">
        <v>46</v>
      </c>
      <c r="B45" t="s">
        <v>16</v>
      </c>
      <c r="C45" s="2">
        <f>HYPERLINK("https://cao.dolgi.msk.ru/account/1080031281/", 1080031281)</f>
        <v>1080031281</v>
      </c>
      <c r="D45" t="s">
        <v>48</v>
      </c>
      <c r="E45">
        <v>-7894.96</v>
      </c>
      <c r="F45">
        <v>-1.03</v>
      </c>
      <c r="G45" t="s">
        <v>12</v>
      </c>
      <c r="I45" t="s">
        <v>13</v>
      </c>
    </row>
    <row r="46" spans="1:9" hidden="1" x14ac:dyDescent="0.25">
      <c r="A46" t="s">
        <v>46</v>
      </c>
      <c r="B46" t="s">
        <v>18</v>
      </c>
      <c r="C46" s="2">
        <f>HYPERLINK("https://cao.dolgi.msk.ru/account/1080031302/", 1080031302)</f>
        <v>1080031302</v>
      </c>
      <c r="D46" t="s">
        <v>49</v>
      </c>
      <c r="E46">
        <v>-7978.33</v>
      </c>
      <c r="F46">
        <v>-1.24</v>
      </c>
      <c r="G46" t="s">
        <v>12</v>
      </c>
      <c r="I46" t="s">
        <v>13</v>
      </c>
    </row>
    <row r="47" spans="1:9" hidden="1" x14ac:dyDescent="0.25">
      <c r="A47" t="s">
        <v>46</v>
      </c>
      <c r="B47" t="s">
        <v>20</v>
      </c>
      <c r="C47" s="2">
        <f>HYPERLINK("https://cao.dolgi.msk.ru/account/1080031329/", 1080031329)</f>
        <v>1080031329</v>
      </c>
      <c r="D47" t="s">
        <v>50</v>
      </c>
      <c r="E47">
        <v>0</v>
      </c>
      <c r="F47">
        <v>0</v>
      </c>
      <c r="G47" t="s">
        <v>12</v>
      </c>
      <c r="I47" t="s">
        <v>13</v>
      </c>
    </row>
    <row r="48" spans="1:9" hidden="1" x14ac:dyDescent="0.25">
      <c r="A48" t="s">
        <v>46</v>
      </c>
      <c r="B48" t="s">
        <v>21</v>
      </c>
      <c r="C48" s="2">
        <f>HYPERLINK("https://cao.dolgi.msk.ru/account/1080031337/", 1080031337)</f>
        <v>1080031337</v>
      </c>
      <c r="D48" t="s">
        <v>51</v>
      </c>
      <c r="E48">
        <v>3388.45</v>
      </c>
      <c r="F48">
        <v>0.38</v>
      </c>
      <c r="G48" t="s">
        <v>12</v>
      </c>
      <c r="I48" t="s">
        <v>13</v>
      </c>
    </row>
    <row r="49" spans="1:9" hidden="1" x14ac:dyDescent="0.25">
      <c r="A49" t="s">
        <v>46</v>
      </c>
      <c r="B49" t="s">
        <v>22</v>
      </c>
      <c r="C49" s="2">
        <f>HYPERLINK("https://cao.dolgi.msk.ru/account/1080031345/", 1080031345)</f>
        <v>1080031345</v>
      </c>
      <c r="D49" t="s">
        <v>52</v>
      </c>
      <c r="E49">
        <v>-7443.61</v>
      </c>
      <c r="F49">
        <v>-1.06</v>
      </c>
      <c r="G49" t="s">
        <v>12</v>
      </c>
      <c r="I49" t="s">
        <v>13</v>
      </c>
    </row>
    <row r="50" spans="1:9" hidden="1" x14ac:dyDescent="0.25">
      <c r="A50" t="s">
        <v>46</v>
      </c>
      <c r="B50" t="s">
        <v>23</v>
      </c>
      <c r="C50" s="2">
        <f>HYPERLINK("https://cao.dolgi.msk.ru/account/1080031353/", 1080031353)</f>
        <v>1080031353</v>
      </c>
      <c r="D50" t="s">
        <v>53</v>
      </c>
      <c r="E50">
        <v>-7058.34</v>
      </c>
      <c r="F50">
        <v>-1.03</v>
      </c>
      <c r="G50" t="s">
        <v>12</v>
      </c>
      <c r="I50" t="s">
        <v>13</v>
      </c>
    </row>
    <row r="51" spans="1:9" hidden="1" x14ac:dyDescent="0.25">
      <c r="A51" t="s">
        <v>46</v>
      </c>
      <c r="B51" t="s">
        <v>24</v>
      </c>
      <c r="C51" s="2">
        <f>HYPERLINK("https://cao.dolgi.msk.ru/account/1080031361/", 1080031361)</f>
        <v>1080031361</v>
      </c>
      <c r="D51" t="s">
        <v>54</v>
      </c>
      <c r="E51">
        <v>-8822.85</v>
      </c>
      <c r="F51">
        <v>-1.08</v>
      </c>
      <c r="G51" t="s">
        <v>12</v>
      </c>
      <c r="I51" t="s">
        <v>13</v>
      </c>
    </row>
    <row r="52" spans="1:9" hidden="1" x14ac:dyDescent="0.25">
      <c r="A52" t="s">
        <v>46</v>
      </c>
      <c r="B52" t="s">
        <v>27</v>
      </c>
      <c r="C52" s="2">
        <f>HYPERLINK("https://cao.dolgi.msk.ru/account/1080031388/", 1080031388)</f>
        <v>1080031388</v>
      </c>
      <c r="D52" t="s">
        <v>55</v>
      </c>
      <c r="E52">
        <v>-8645.42</v>
      </c>
      <c r="F52">
        <v>-1.1399999999999999</v>
      </c>
      <c r="G52" t="s">
        <v>12</v>
      </c>
      <c r="I52" t="s">
        <v>13</v>
      </c>
    </row>
    <row r="53" spans="1:9" hidden="1" x14ac:dyDescent="0.25">
      <c r="A53" t="s">
        <v>46</v>
      </c>
      <c r="B53" t="s">
        <v>29</v>
      </c>
      <c r="C53" s="2">
        <f>HYPERLINK("https://cao.dolgi.msk.ru/account/1080031409/", 1080031409)</f>
        <v>1080031409</v>
      </c>
      <c r="D53" t="s">
        <v>56</v>
      </c>
      <c r="E53">
        <v>-803.04</v>
      </c>
      <c r="F53">
        <v>-0.12</v>
      </c>
      <c r="G53" t="s">
        <v>12</v>
      </c>
      <c r="I53" t="s">
        <v>13</v>
      </c>
    </row>
    <row r="54" spans="1:9" hidden="1" x14ac:dyDescent="0.25">
      <c r="A54" t="s">
        <v>46</v>
      </c>
      <c r="B54" t="s">
        <v>31</v>
      </c>
      <c r="C54" s="2">
        <f>HYPERLINK("https://cao.dolgi.msk.ru/account/1080031417/", 1080031417)</f>
        <v>1080031417</v>
      </c>
      <c r="D54" t="s">
        <v>57</v>
      </c>
      <c r="E54">
        <v>-9018.73</v>
      </c>
      <c r="F54">
        <v>-1.03</v>
      </c>
      <c r="G54" t="s">
        <v>12</v>
      </c>
      <c r="I54" t="s">
        <v>13</v>
      </c>
    </row>
    <row r="55" spans="1:9" hidden="1" x14ac:dyDescent="0.25">
      <c r="A55" t="s">
        <v>46</v>
      </c>
      <c r="B55" t="s">
        <v>33</v>
      </c>
      <c r="C55" s="2">
        <f>HYPERLINK("https://cao.dolgi.msk.ru/account/1080031425/", 1080031425)</f>
        <v>1080031425</v>
      </c>
      <c r="D55" t="s">
        <v>58</v>
      </c>
      <c r="E55">
        <v>-6880.87</v>
      </c>
      <c r="F55">
        <v>-1.06</v>
      </c>
      <c r="G55" t="s">
        <v>12</v>
      </c>
      <c r="I55" t="s">
        <v>13</v>
      </c>
    </row>
    <row r="56" spans="1:9" hidden="1" x14ac:dyDescent="0.25">
      <c r="A56" t="s">
        <v>46</v>
      </c>
      <c r="B56" t="s">
        <v>34</v>
      </c>
      <c r="C56" s="2">
        <f>HYPERLINK("https://cao.dolgi.msk.ru/account/1080031433/", 1080031433)</f>
        <v>1080031433</v>
      </c>
      <c r="D56" t="s">
        <v>15</v>
      </c>
      <c r="E56">
        <v>-8210.1</v>
      </c>
      <c r="F56">
        <v>-1.08</v>
      </c>
      <c r="G56" t="s">
        <v>12</v>
      </c>
      <c r="I56" t="s">
        <v>13</v>
      </c>
    </row>
    <row r="57" spans="1:9" hidden="1" x14ac:dyDescent="0.25">
      <c r="A57" t="s">
        <v>46</v>
      </c>
      <c r="B57" t="s">
        <v>36</v>
      </c>
      <c r="C57" s="2">
        <f>HYPERLINK("https://cao.dolgi.msk.ru/account/1080031441/", 1080031441)</f>
        <v>1080031441</v>
      </c>
      <c r="D57" t="s">
        <v>59</v>
      </c>
      <c r="E57">
        <v>-4814.21</v>
      </c>
      <c r="F57">
        <v>-0.97</v>
      </c>
      <c r="G57" t="s">
        <v>12</v>
      </c>
      <c r="I57" t="s">
        <v>13</v>
      </c>
    </row>
    <row r="58" spans="1:9" hidden="1" x14ac:dyDescent="0.25">
      <c r="A58" t="s">
        <v>46</v>
      </c>
      <c r="B58" t="s">
        <v>38</v>
      </c>
      <c r="C58" s="2">
        <f>HYPERLINK("https://cao.dolgi.msk.ru/account/1080031396/", 1080031396)</f>
        <v>1080031396</v>
      </c>
      <c r="D58" t="s">
        <v>60</v>
      </c>
      <c r="E58">
        <v>-4998.34</v>
      </c>
      <c r="F58">
        <v>-1.01</v>
      </c>
      <c r="G58" t="s">
        <v>12</v>
      </c>
      <c r="I58" t="s">
        <v>13</v>
      </c>
    </row>
    <row r="59" spans="1:9" hidden="1" x14ac:dyDescent="0.25">
      <c r="A59" t="s">
        <v>46</v>
      </c>
      <c r="B59" t="s">
        <v>38</v>
      </c>
      <c r="C59" s="2">
        <f>HYPERLINK("https://cao.dolgi.msk.ru/account/1080031468/", 1080031468)</f>
        <v>1080031468</v>
      </c>
      <c r="D59" t="s">
        <v>15</v>
      </c>
      <c r="G59" t="s">
        <v>14</v>
      </c>
      <c r="I59" t="s">
        <v>13</v>
      </c>
    </row>
    <row r="60" spans="1:9" hidden="1" x14ac:dyDescent="0.25">
      <c r="A60" t="s">
        <v>46</v>
      </c>
      <c r="B60" t="s">
        <v>39</v>
      </c>
      <c r="C60" s="2">
        <f>HYPERLINK("https://cao.dolgi.msk.ru/account/1080031476/", 1080031476)</f>
        <v>1080031476</v>
      </c>
      <c r="D60" t="s">
        <v>61</v>
      </c>
      <c r="E60">
        <v>0</v>
      </c>
      <c r="F60">
        <v>0</v>
      </c>
      <c r="G60" t="s">
        <v>12</v>
      </c>
      <c r="I60" t="s">
        <v>13</v>
      </c>
    </row>
    <row r="61" spans="1:9" hidden="1" x14ac:dyDescent="0.25">
      <c r="A61" t="s">
        <v>46</v>
      </c>
      <c r="B61" t="s">
        <v>40</v>
      </c>
      <c r="C61" s="2">
        <f>HYPERLINK("https://cao.dolgi.msk.ru/account/1080031484/", 1080031484)</f>
        <v>1080031484</v>
      </c>
      <c r="D61" t="s">
        <v>62</v>
      </c>
      <c r="E61">
        <v>-4520.84</v>
      </c>
      <c r="F61">
        <v>-1.1200000000000001</v>
      </c>
      <c r="G61" t="s">
        <v>12</v>
      </c>
      <c r="I61" t="s">
        <v>13</v>
      </c>
    </row>
    <row r="62" spans="1:9" hidden="1" x14ac:dyDescent="0.25">
      <c r="A62" t="s">
        <v>46</v>
      </c>
      <c r="B62" t="s">
        <v>41</v>
      </c>
      <c r="C62" s="2">
        <f>HYPERLINK("https://cao.dolgi.msk.ru/account/1080031492/", 1080031492)</f>
        <v>1080031492</v>
      </c>
      <c r="D62" t="s">
        <v>63</v>
      </c>
      <c r="E62">
        <v>-7527.92</v>
      </c>
      <c r="F62">
        <v>-1.06</v>
      </c>
      <c r="G62" t="s">
        <v>12</v>
      </c>
      <c r="I62" t="s">
        <v>13</v>
      </c>
    </row>
    <row r="63" spans="1:9" hidden="1" x14ac:dyDescent="0.25">
      <c r="A63" t="s">
        <v>46</v>
      </c>
      <c r="B63" t="s">
        <v>42</v>
      </c>
      <c r="C63" s="2">
        <f>HYPERLINK("https://cao.dolgi.msk.ru/account/1080031505/", 1080031505)</f>
        <v>1080031505</v>
      </c>
      <c r="D63" t="s">
        <v>64</v>
      </c>
      <c r="E63">
        <v>-6886.87</v>
      </c>
      <c r="F63">
        <v>-1.04</v>
      </c>
      <c r="G63" t="s">
        <v>12</v>
      </c>
      <c r="I63" t="s">
        <v>13</v>
      </c>
    </row>
    <row r="64" spans="1:9" hidden="1" x14ac:dyDescent="0.25">
      <c r="A64" t="s">
        <v>46</v>
      </c>
      <c r="B64" t="s">
        <v>44</v>
      </c>
      <c r="C64" s="2">
        <f>HYPERLINK("https://cao.dolgi.msk.ru/account/1080031513/", 1080031513)</f>
        <v>1080031513</v>
      </c>
      <c r="D64" t="s">
        <v>65</v>
      </c>
      <c r="E64">
        <v>-4474.93</v>
      </c>
      <c r="F64">
        <v>-1.89</v>
      </c>
      <c r="G64" t="s">
        <v>12</v>
      </c>
      <c r="I64" t="s">
        <v>13</v>
      </c>
    </row>
    <row r="65" spans="1:9" hidden="1" x14ac:dyDescent="0.25">
      <c r="A65" t="s">
        <v>46</v>
      </c>
      <c r="B65" t="s">
        <v>66</v>
      </c>
      <c r="C65" s="2">
        <f>HYPERLINK("https://cao.dolgi.msk.ru/account/1080031521/", 1080031521)</f>
        <v>1080031521</v>
      </c>
      <c r="D65" t="s">
        <v>67</v>
      </c>
      <c r="E65">
        <v>-6620.52</v>
      </c>
      <c r="F65">
        <v>-1.52</v>
      </c>
      <c r="G65" t="s">
        <v>12</v>
      </c>
      <c r="H65" t="s">
        <v>7</v>
      </c>
      <c r="I65" t="s">
        <v>13</v>
      </c>
    </row>
    <row r="66" spans="1:9" hidden="1" x14ac:dyDescent="0.25">
      <c r="A66" t="s">
        <v>46</v>
      </c>
      <c r="B66" t="s">
        <v>66</v>
      </c>
      <c r="C66" s="2">
        <f>HYPERLINK("https://cao.dolgi.msk.ru/account/1080031548/", 1080031548)</f>
        <v>1080031548</v>
      </c>
      <c r="D66" t="s">
        <v>67</v>
      </c>
      <c r="E66">
        <v>-1644.95</v>
      </c>
      <c r="F66">
        <v>-0.56000000000000005</v>
      </c>
      <c r="G66" t="s">
        <v>12</v>
      </c>
      <c r="H66" t="s">
        <v>7</v>
      </c>
      <c r="I66" t="s">
        <v>13</v>
      </c>
    </row>
    <row r="67" spans="1:9" hidden="1" x14ac:dyDescent="0.25">
      <c r="A67" t="s">
        <v>46</v>
      </c>
      <c r="B67" t="s">
        <v>68</v>
      </c>
      <c r="C67" s="2">
        <f>HYPERLINK("https://cao.dolgi.msk.ru/account/1080031556/", 1080031556)</f>
        <v>1080031556</v>
      </c>
      <c r="D67" t="s">
        <v>69</v>
      </c>
      <c r="E67">
        <v>-8780.7900000000009</v>
      </c>
      <c r="F67">
        <v>-1.26</v>
      </c>
      <c r="G67" t="s">
        <v>12</v>
      </c>
      <c r="I67" t="s">
        <v>13</v>
      </c>
    </row>
    <row r="68" spans="1:9" hidden="1" x14ac:dyDescent="0.25">
      <c r="A68" t="s">
        <v>46</v>
      </c>
      <c r="B68" t="s">
        <v>70</v>
      </c>
      <c r="C68" s="2">
        <f>HYPERLINK("https://cao.dolgi.msk.ru/account/1080031564/", 1080031564)</f>
        <v>1080031564</v>
      </c>
      <c r="D68" t="s">
        <v>71</v>
      </c>
      <c r="E68">
        <v>-4261.49</v>
      </c>
      <c r="F68">
        <v>-1.23</v>
      </c>
      <c r="G68" t="s">
        <v>12</v>
      </c>
      <c r="I68" t="s">
        <v>13</v>
      </c>
    </row>
    <row r="69" spans="1:9" x14ac:dyDescent="0.25">
      <c r="A69" t="s">
        <v>46</v>
      </c>
      <c r="B69" t="s">
        <v>72</v>
      </c>
      <c r="C69" s="2">
        <f>HYPERLINK("https://cao.dolgi.msk.ru/account/1080031572/", 1080031572)</f>
        <v>1080031572</v>
      </c>
      <c r="D69" t="s">
        <v>73</v>
      </c>
      <c r="E69">
        <v>9916.77</v>
      </c>
      <c r="F69">
        <v>1.1299999999999999</v>
      </c>
      <c r="G69" t="s">
        <v>12</v>
      </c>
      <c r="I69" t="s">
        <v>13</v>
      </c>
    </row>
    <row r="70" spans="1:9" hidden="1" x14ac:dyDescent="0.25">
      <c r="A70" t="s">
        <v>46</v>
      </c>
      <c r="B70" t="s">
        <v>74</v>
      </c>
      <c r="C70" s="2">
        <f>HYPERLINK("https://cao.dolgi.msk.ru/account/1080031599/", 1080031599)</f>
        <v>1080031599</v>
      </c>
      <c r="D70" t="s">
        <v>75</v>
      </c>
      <c r="E70">
        <v>-4282.74</v>
      </c>
      <c r="F70">
        <v>-1.18</v>
      </c>
      <c r="G70" t="s">
        <v>12</v>
      </c>
      <c r="I70" t="s">
        <v>13</v>
      </c>
    </row>
    <row r="71" spans="1:9" hidden="1" x14ac:dyDescent="0.25">
      <c r="A71" t="s">
        <v>46</v>
      </c>
      <c r="B71" t="s">
        <v>76</v>
      </c>
      <c r="C71" s="2">
        <f>HYPERLINK("https://cao.dolgi.msk.ru/account/1080031601/", 1080031601)</f>
        <v>1080031601</v>
      </c>
      <c r="D71" t="s">
        <v>77</v>
      </c>
      <c r="E71">
        <v>-3029.53</v>
      </c>
      <c r="F71">
        <v>-1.07</v>
      </c>
      <c r="G71" t="s">
        <v>12</v>
      </c>
      <c r="I71" t="s">
        <v>13</v>
      </c>
    </row>
    <row r="72" spans="1:9" hidden="1" x14ac:dyDescent="0.25">
      <c r="A72" t="s">
        <v>46</v>
      </c>
      <c r="B72" t="s">
        <v>78</v>
      </c>
      <c r="C72" s="2">
        <f>HYPERLINK("https://cao.dolgi.msk.ru/account/1080031628/", 1080031628)</f>
        <v>1080031628</v>
      </c>
      <c r="D72" t="s">
        <v>79</v>
      </c>
      <c r="E72">
        <v>0</v>
      </c>
      <c r="F72">
        <v>0</v>
      </c>
      <c r="G72" t="s">
        <v>12</v>
      </c>
      <c r="I72" t="s">
        <v>13</v>
      </c>
    </row>
    <row r="73" spans="1:9" hidden="1" x14ac:dyDescent="0.25">
      <c r="A73" t="s">
        <v>46</v>
      </c>
      <c r="B73" t="s">
        <v>80</v>
      </c>
      <c r="C73" s="2">
        <f>HYPERLINK("https://cao.dolgi.msk.ru/account/1080031636/", 1080031636)</f>
        <v>1080031636</v>
      </c>
      <c r="D73" t="s">
        <v>81</v>
      </c>
      <c r="E73">
        <v>-1885.51</v>
      </c>
      <c r="F73">
        <v>-1.48</v>
      </c>
      <c r="G73" t="s">
        <v>12</v>
      </c>
      <c r="I73" t="s">
        <v>13</v>
      </c>
    </row>
    <row r="74" spans="1:9" hidden="1" x14ac:dyDescent="0.25">
      <c r="A74" t="s">
        <v>46</v>
      </c>
      <c r="B74" t="s">
        <v>82</v>
      </c>
      <c r="C74" s="2">
        <f>HYPERLINK("https://cao.dolgi.msk.ru/account/1080031644/", 1080031644)</f>
        <v>1080031644</v>
      </c>
      <c r="D74" t="s">
        <v>83</v>
      </c>
      <c r="E74">
        <v>-3894.35</v>
      </c>
      <c r="F74">
        <v>-1.03</v>
      </c>
      <c r="G74" t="s">
        <v>12</v>
      </c>
      <c r="I74" t="s">
        <v>13</v>
      </c>
    </row>
    <row r="75" spans="1:9" hidden="1" x14ac:dyDescent="0.25">
      <c r="A75" t="s">
        <v>46</v>
      </c>
      <c r="B75" t="s">
        <v>84</v>
      </c>
      <c r="C75" s="2">
        <f>HYPERLINK("https://cao.dolgi.msk.ru/account/1080031652/", 1080031652)</f>
        <v>1080031652</v>
      </c>
      <c r="D75" t="s">
        <v>85</v>
      </c>
      <c r="E75">
        <v>-5800.19</v>
      </c>
      <c r="F75">
        <v>-1.05</v>
      </c>
      <c r="G75" t="s">
        <v>12</v>
      </c>
      <c r="I75" t="s">
        <v>13</v>
      </c>
    </row>
    <row r="76" spans="1:9" hidden="1" x14ac:dyDescent="0.25">
      <c r="A76" t="s">
        <v>46</v>
      </c>
      <c r="B76" t="s">
        <v>86</v>
      </c>
      <c r="C76" s="2">
        <f>HYPERLINK("https://cao.dolgi.msk.ru/account/1080031679/", 1080031679)</f>
        <v>1080031679</v>
      </c>
      <c r="D76" t="s">
        <v>87</v>
      </c>
      <c r="E76">
        <v>-6508.61</v>
      </c>
      <c r="F76">
        <v>-1.0900000000000001</v>
      </c>
      <c r="G76" t="s">
        <v>12</v>
      </c>
      <c r="I76" t="s">
        <v>13</v>
      </c>
    </row>
    <row r="77" spans="1:9" hidden="1" x14ac:dyDescent="0.25">
      <c r="A77" t="s">
        <v>46</v>
      </c>
      <c r="B77" t="s">
        <v>88</v>
      </c>
      <c r="C77" s="2">
        <f>HYPERLINK("https://cao.dolgi.msk.ru/account/1080031687/", 1080031687)</f>
        <v>1080031687</v>
      </c>
      <c r="D77" t="s">
        <v>89</v>
      </c>
      <c r="E77">
        <v>-3106.23</v>
      </c>
      <c r="F77">
        <v>-0.93</v>
      </c>
      <c r="G77" t="s">
        <v>12</v>
      </c>
      <c r="I77" t="s">
        <v>13</v>
      </c>
    </row>
    <row r="78" spans="1:9" hidden="1" x14ac:dyDescent="0.25">
      <c r="A78" t="s">
        <v>46</v>
      </c>
      <c r="B78" t="s">
        <v>90</v>
      </c>
      <c r="C78" s="2">
        <f>HYPERLINK("https://cao.dolgi.msk.ru/account/1080031695/", 1080031695)</f>
        <v>1080031695</v>
      </c>
      <c r="D78" t="s">
        <v>91</v>
      </c>
      <c r="E78">
        <v>-11062.65</v>
      </c>
      <c r="F78">
        <v>-1.1599999999999999</v>
      </c>
      <c r="G78" t="s">
        <v>12</v>
      </c>
      <c r="I78" t="s">
        <v>13</v>
      </c>
    </row>
    <row r="79" spans="1:9" hidden="1" x14ac:dyDescent="0.25">
      <c r="A79" t="s">
        <v>46</v>
      </c>
      <c r="B79" t="s">
        <v>92</v>
      </c>
      <c r="C79" s="2">
        <f>HYPERLINK("https://cao.dolgi.msk.ru/account/1080031708/", 1080031708)</f>
        <v>1080031708</v>
      </c>
      <c r="D79" t="s">
        <v>93</v>
      </c>
      <c r="E79">
        <v>-5776</v>
      </c>
      <c r="F79">
        <v>-1.27</v>
      </c>
      <c r="G79" t="s">
        <v>12</v>
      </c>
      <c r="I79" t="s">
        <v>13</v>
      </c>
    </row>
    <row r="80" spans="1:9" hidden="1" x14ac:dyDescent="0.25">
      <c r="A80" t="s">
        <v>46</v>
      </c>
      <c r="B80" t="s">
        <v>92</v>
      </c>
      <c r="C80" s="2">
        <f>HYPERLINK("https://cao.dolgi.msk.ru/account/1083278327/", 1083278327)</f>
        <v>1083278327</v>
      </c>
      <c r="D80" t="s">
        <v>15</v>
      </c>
      <c r="E80">
        <v>-5596.21</v>
      </c>
      <c r="F80">
        <v>-2.38</v>
      </c>
      <c r="G80" t="s">
        <v>12</v>
      </c>
      <c r="I80" t="s">
        <v>13</v>
      </c>
    </row>
    <row r="81" spans="1:9" hidden="1" x14ac:dyDescent="0.25">
      <c r="A81" t="s">
        <v>46</v>
      </c>
      <c r="B81" t="s">
        <v>94</v>
      </c>
      <c r="C81" s="2">
        <f>HYPERLINK("https://cao.dolgi.msk.ru/account/1080031716/", 1080031716)</f>
        <v>1080031716</v>
      </c>
      <c r="D81" t="s">
        <v>95</v>
      </c>
      <c r="E81">
        <v>-9566.73</v>
      </c>
      <c r="F81">
        <v>-1.2</v>
      </c>
      <c r="G81" t="s">
        <v>12</v>
      </c>
      <c r="I81" t="s">
        <v>13</v>
      </c>
    </row>
    <row r="82" spans="1:9" hidden="1" x14ac:dyDescent="0.25">
      <c r="A82" t="s">
        <v>46</v>
      </c>
      <c r="B82" t="s">
        <v>96</v>
      </c>
      <c r="C82" s="2">
        <f>HYPERLINK("https://cao.dolgi.msk.ru/account/1080031724/", 1080031724)</f>
        <v>1080031724</v>
      </c>
      <c r="D82" t="s">
        <v>97</v>
      </c>
      <c r="E82">
        <v>0</v>
      </c>
      <c r="F82">
        <v>0</v>
      </c>
      <c r="G82" t="s">
        <v>12</v>
      </c>
      <c r="I82" t="s">
        <v>13</v>
      </c>
    </row>
    <row r="83" spans="1:9" hidden="1" x14ac:dyDescent="0.25">
      <c r="A83" t="s">
        <v>46</v>
      </c>
      <c r="B83" t="s">
        <v>98</v>
      </c>
      <c r="C83" s="2">
        <f>HYPERLINK("https://cao.dolgi.msk.ru/account/1080031732/", 1080031732)</f>
        <v>1080031732</v>
      </c>
      <c r="D83" t="s">
        <v>99</v>
      </c>
      <c r="E83">
        <v>-4474.6400000000003</v>
      </c>
      <c r="F83">
        <v>-1.06</v>
      </c>
      <c r="G83" t="s">
        <v>12</v>
      </c>
      <c r="I83" t="s">
        <v>13</v>
      </c>
    </row>
    <row r="84" spans="1:9" hidden="1" x14ac:dyDescent="0.25">
      <c r="A84" t="s">
        <v>46</v>
      </c>
      <c r="B84" t="s">
        <v>100</v>
      </c>
      <c r="C84" s="2">
        <f>HYPERLINK("https://cao.dolgi.msk.ru/account/1080031759/", 1080031759)</f>
        <v>1080031759</v>
      </c>
      <c r="D84" t="s">
        <v>101</v>
      </c>
      <c r="E84">
        <v>-7583.79</v>
      </c>
      <c r="F84">
        <v>-0.99</v>
      </c>
      <c r="G84" t="s">
        <v>12</v>
      </c>
      <c r="I84" t="s">
        <v>13</v>
      </c>
    </row>
    <row r="85" spans="1:9" hidden="1" x14ac:dyDescent="0.25">
      <c r="A85" t="s">
        <v>46</v>
      </c>
      <c r="B85" t="s">
        <v>102</v>
      </c>
      <c r="C85" s="2">
        <f>HYPERLINK("https://cao.dolgi.msk.ru/account/1080031767/", 1080031767)</f>
        <v>1080031767</v>
      </c>
      <c r="D85" t="s">
        <v>103</v>
      </c>
      <c r="E85">
        <v>-2967.32</v>
      </c>
      <c r="F85">
        <v>-0.57999999999999996</v>
      </c>
      <c r="G85" t="s">
        <v>12</v>
      </c>
      <c r="I85" t="s">
        <v>13</v>
      </c>
    </row>
    <row r="86" spans="1:9" hidden="1" x14ac:dyDescent="0.25">
      <c r="A86" t="s">
        <v>46</v>
      </c>
      <c r="B86" t="s">
        <v>104</v>
      </c>
      <c r="C86" s="2">
        <f>HYPERLINK("https://cao.dolgi.msk.ru/account/1080031775/", 1080031775)</f>
        <v>1080031775</v>
      </c>
      <c r="D86" t="s">
        <v>105</v>
      </c>
      <c r="E86">
        <v>-47.42</v>
      </c>
      <c r="F86">
        <v>-0.01</v>
      </c>
      <c r="G86" t="s">
        <v>12</v>
      </c>
      <c r="I86" t="s">
        <v>13</v>
      </c>
    </row>
    <row r="87" spans="1:9" hidden="1" x14ac:dyDescent="0.25">
      <c r="A87" t="s">
        <v>46</v>
      </c>
      <c r="B87" t="s">
        <v>106</v>
      </c>
      <c r="C87" s="2">
        <f>HYPERLINK("https://cao.dolgi.msk.ru/account/1080031791/", 1080031791)</f>
        <v>1080031791</v>
      </c>
      <c r="D87" t="s">
        <v>107</v>
      </c>
      <c r="E87">
        <v>-6040.37</v>
      </c>
      <c r="F87">
        <v>-1.1299999999999999</v>
      </c>
      <c r="G87" t="s">
        <v>12</v>
      </c>
      <c r="I87" t="s">
        <v>13</v>
      </c>
    </row>
    <row r="88" spans="1:9" hidden="1" x14ac:dyDescent="0.25">
      <c r="A88" t="s">
        <v>46</v>
      </c>
      <c r="B88" t="s">
        <v>108</v>
      </c>
      <c r="C88" s="2">
        <f>HYPERLINK("https://cao.dolgi.msk.ru/account/1080031804/", 1080031804)</f>
        <v>1080031804</v>
      </c>
      <c r="D88" t="s">
        <v>109</v>
      </c>
      <c r="E88">
        <v>-4870.8900000000003</v>
      </c>
      <c r="F88">
        <v>-1.31</v>
      </c>
      <c r="G88" t="s">
        <v>12</v>
      </c>
      <c r="I88" t="s">
        <v>13</v>
      </c>
    </row>
    <row r="89" spans="1:9" x14ac:dyDescent="0.25">
      <c r="A89" t="s">
        <v>46</v>
      </c>
      <c r="B89" t="s">
        <v>110</v>
      </c>
      <c r="C89" s="2">
        <f>HYPERLINK("https://cao.dolgi.msk.ru/account/1080031812/", 1080031812)</f>
        <v>1080031812</v>
      </c>
      <c r="D89" t="s">
        <v>111</v>
      </c>
      <c r="E89">
        <v>5404.65</v>
      </c>
      <c r="F89">
        <v>1.01</v>
      </c>
      <c r="G89" t="s">
        <v>12</v>
      </c>
      <c r="I89" t="s">
        <v>13</v>
      </c>
    </row>
    <row r="90" spans="1:9" hidden="1" x14ac:dyDescent="0.25">
      <c r="A90" t="s">
        <v>46</v>
      </c>
      <c r="B90" t="s">
        <v>112</v>
      </c>
      <c r="C90" s="2">
        <f>HYPERLINK("https://cao.dolgi.msk.ru/account/1080031839/", 1080031839)</f>
        <v>1080031839</v>
      </c>
      <c r="D90" t="s">
        <v>113</v>
      </c>
      <c r="E90">
        <v>1504.13</v>
      </c>
      <c r="F90">
        <v>0.2</v>
      </c>
      <c r="G90" t="s">
        <v>12</v>
      </c>
      <c r="I90" t="s">
        <v>13</v>
      </c>
    </row>
    <row r="91" spans="1:9" hidden="1" x14ac:dyDescent="0.25">
      <c r="A91" t="s">
        <v>46</v>
      </c>
      <c r="B91" t="s">
        <v>114</v>
      </c>
      <c r="C91" s="2">
        <f>HYPERLINK("https://cao.dolgi.msk.ru/account/1080031847/", 1080031847)</f>
        <v>1080031847</v>
      </c>
      <c r="D91" t="s">
        <v>115</v>
      </c>
      <c r="E91">
        <v>-7336.99</v>
      </c>
      <c r="F91">
        <v>-1.04</v>
      </c>
      <c r="G91" t="s">
        <v>12</v>
      </c>
      <c r="I91" t="s">
        <v>13</v>
      </c>
    </row>
    <row r="92" spans="1:9" hidden="1" x14ac:dyDescent="0.25">
      <c r="A92" t="s">
        <v>46</v>
      </c>
      <c r="B92" t="s">
        <v>116</v>
      </c>
      <c r="C92" s="2">
        <f>HYPERLINK("https://cao.dolgi.msk.ru/account/1080031855/", 1080031855)</f>
        <v>1080031855</v>
      </c>
      <c r="D92" t="s">
        <v>117</v>
      </c>
      <c r="E92">
        <v>0</v>
      </c>
      <c r="F92">
        <v>0</v>
      </c>
      <c r="G92" t="s">
        <v>12</v>
      </c>
      <c r="I92" t="s">
        <v>13</v>
      </c>
    </row>
    <row r="93" spans="1:9" x14ac:dyDescent="0.25">
      <c r="A93" t="s">
        <v>46</v>
      </c>
      <c r="B93" t="s">
        <v>118</v>
      </c>
      <c r="C93" s="2">
        <f>HYPERLINK("https://cao.dolgi.msk.ru/account/1080031863/", 1080031863)</f>
        <v>1080031863</v>
      </c>
      <c r="D93" t="s">
        <v>119</v>
      </c>
      <c r="E93">
        <v>4558.3999999999996</v>
      </c>
      <c r="F93">
        <v>1.01</v>
      </c>
      <c r="G93" t="s">
        <v>12</v>
      </c>
      <c r="I93" t="s">
        <v>13</v>
      </c>
    </row>
    <row r="94" spans="1:9" hidden="1" x14ac:dyDescent="0.25">
      <c r="A94" t="s">
        <v>46</v>
      </c>
      <c r="B94" t="s">
        <v>120</v>
      </c>
      <c r="C94" s="2">
        <f>HYPERLINK("https://cao.dolgi.msk.ru/account/1080031871/", 1080031871)</f>
        <v>1080031871</v>
      </c>
      <c r="D94" t="s">
        <v>121</v>
      </c>
      <c r="E94">
        <v>-5333.91</v>
      </c>
      <c r="F94">
        <v>-1.17</v>
      </c>
      <c r="G94" t="s">
        <v>12</v>
      </c>
      <c r="I94" t="s">
        <v>13</v>
      </c>
    </row>
    <row r="95" spans="1:9" hidden="1" x14ac:dyDescent="0.25">
      <c r="A95" t="s">
        <v>46</v>
      </c>
      <c r="B95" t="s">
        <v>122</v>
      </c>
      <c r="C95" s="2">
        <f>HYPERLINK("https://cao.dolgi.msk.ru/account/1080031898/", 1080031898)</f>
        <v>1080031898</v>
      </c>
      <c r="D95" t="s">
        <v>123</v>
      </c>
      <c r="E95">
        <v>-6805.35</v>
      </c>
      <c r="F95">
        <v>-0.57999999999999996</v>
      </c>
      <c r="G95" t="s">
        <v>12</v>
      </c>
      <c r="I95" t="s">
        <v>13</v>
      </c>
    </row>
    <row r="96" spans="1:9" hidden="1" x14ac:dyDescent="0.25">
      <c r="A96" t="s">
        <v>46</v>
      </c>
      <c r="B96" t="s">
        <v>124</v>
      </c>
      <c r="C96" s="2">
        <f>HYPERLINK("https://cao.dolgi.msk.ru/account/1080031919/", 1080031919)</f>
        <v>1080031919</v>
      </c>
      <c r="D96" t="s">
        <v>125</v>
      </c>
      <c r="E96">
        <v>-4383.5200000000004</v>
      </c>
      <c r="F96">
        <v>-0.89</v>
      </c>
      <c r="G96" t="s">
        <v>12</v>
      </c>
      <c r="I96" t="s">
        <v>13</v>
      </c>
    </row>
    <row r="97" spans="1:9" hidden="1" x14ac:dyDescent="0.25">
      <c r="A97" t="s">
        <v>46</v>
      </c>
      <c r="B97" t="s">
        <v>126</v>
      </c>
      <c r="C97" s="2">
        <f>HYPERLINK("https://cao.dolgi.msk.ru/account/1080031927/", 1080031927)</f>
        <v>1080031927</v>
      </c>
      <c r="D97" t="s">
        <v>127</v>
      </c>
      <c r="E97">
        <v>-8299.31</v>
      </c>
      <c r="F97">
        <v>-1.05</v>
      </c>
      <c r="G97" t="s">
        <v>12</v>
      </c>
      <c r="I97" t="s">
        <v>13</v>
      </c>
    </row>
    <row r="98" spans="1:9" hidden="1" x14ac:dyDescent="0.25">
      <c r="A98" t="s">
        <v>46</v>
      </c>
      <c r="B98" t="s">
        <v>128</v>
      </c>
      <c r="C98" s="2">
        <f>HYPERLINK("https://cao.dolgi.msk.ru/account/1080031935/", 1080031935)</f>
        <v>1080031935</v>
      </c>
      <c r="D98" t="s">
        <v>129</v>
      </c>
      <c r="E98">
        <v>0</v>
      </c>
      <c r="F98">
        <v>0</v>
      </c>
      <c r="G98" t="s">
        <v>12</v>
      </c>
      <c r="I98" t="s">
        <v>13</v>
      </c>
    </row>
    <row r="99" spans="1:9" hidden="1" x14ac:dyDescent="0.25">
      <c r="A99" t="s">
        <v>46</v>
      </c>
      <c r="B99" t="s">
        <v>130</v>
      </c>
      <c r="C99" s="2">
        <f>HYPERLINK("https://cao.dolgi.msk.ru/account/1080031943/", 1080031943)</f>
        <v>1080031943</v>
      </c>
      <c r="D99" t="s">
        <v>131</v>
      </c>
      <c r="E99">
        <v>-9798.24</v>
      </c>
      <c r="F99">
        <v>-1.05</v>
      </c>
      <c r="G99" t="s">
        <v>12</v>
      </c>
      <c r="I99" t="s">
        <v>13</v>
      </c>
    </row>
    <row r="100" spans="1:9" hidden="1" x14ac:dyDescent="0.25">
      <c r="A100" t="s">
        <v>46</v>
      </c>
      <c r="B100" t="s">
        <v>132</v>
      </c>
      <c r="C100" s="2">
        <f>HYPERLINK("https://cao.dolgi.msk.ru/account/1080031951/", 1080031951)</f>
        <v>1080031951</v>
      </c>
      <c r="D100" t="s">
        <v>15</v>
      </c>
      <c r="E100">
        <v>-4327.63</v>
      </c>
      <c r="F100">
        <v>-1.17</v>
      </c>
      <c r="G100" t="s">
        <v>12</v>
      </c>
      <c r="I100" t="s">
        <v>13</v>
      </c>
    </row>
    <row r="101" spans="1:9" hidden="1" x14ac:dyDescent="0.25">
      <c r="A101" t="s">
        <v>46</v>
      </c>
      <c r="B101" t="s">
        <v>133</v>
      </c>
      <c r="C101" s="2">
        <f>HYPERLINK("https://cao.dolgi.msk.ru/account/1080031978/", 1080031978)</f>
        <v>1080031978</v>
      </c>
      <c r="D101" t="s">
        <v>134</v>
      </c>
      <c r="E101">
        <v>-102.47</v>
      </c>
      <c r="F101">
        <v>-0.03</v>
      </c>
      <c r="G101" t="s">
        <v>12</v>
      </c>
      <c r="I101" t="s">
        <v>13</v>
      </c>
    </row>
    <row r="102" spans="1:9" hidden="1" x14ac:dyDescent="0.25">
      <c r="A102" t="s">
        <v>46</v>
      </c>
      <c r="B102" t="s">
        <v>135</v>
      </c>
      <c r="C102" s="2">
        <f>HYPERLINK("https://cao.dolgi.msk.ru/account/1080031986/", 1080031986)</f>
        <v>1080031986</v>
      </c>
      <c r="D102" t="s">
        <v>136</v>
      </c>
      <c r="E102">
        <v>-2789.44</v>
      </c>
      <c r="F102">
        <v>-1.1499999999999999</v>
      </c>
      <c r="G102" t="s">
        <v>12</v>
      </c>
      <c r="I102" t="s">
        <v>13</v>
      </c>
    </row>
    <row r="103" spans="1:9" hidden="1" x14ac:dyDescent="0.25">
      <c r="A103" t="s">
        <v>46</v>
      </c>
      <c r="B103" t="s">
        <v>137</v>
      </c>
      <c r="C103" s="2">
        <f>HYPERLINK("https://cao.dolgi.msk.ru/account/1080031994/", 1080031994)</f>
        <v>1080031994</v>
      </c>
      <c r="D103" t="s">
        <v>138</v>
      </c>
      <c r="E103">
        <v>-2415.38</v>
      </c>
      <c r="F103">
        <v>-0.31</v>
      </c>
      <c r="G103" t="s">
        <v>12</v>
      </c>
      <c r="I103" t="s">
        <v>13</v>
      </c>
    </row>
    <row r="104" spans="1:9" hidden="1" x14ac:dyDescent="0.25">
      <c r="A104" t="s">
        <v>46</v>
      </c>
      <c r="B104" t="s">
        <v>139</v>
      </c>
      <c r="C104" s="2">
        <f>HYPERLINK("https://cao.dolgi.msk.ru/account/1080032006/", 1080032006)</f>
        <v>1080032006</v>
      </c>
      <c r="D104" t="s">
        <v>140</v>
      </c>
      <c r="E104">
        <v>-999.63</v>
      </c>
      <c r="F104">
        <v>-0.27</v>
      </c>
      <c r="G104" t="s">
        <v>12</v>
      </c>
      <c r="I104" t="s">
        <v>13</v>
      </c>
    </row>
    <row r="105" spans="1:9" hidden="1" x14ac:dyDescent="0.25">
      <c r="A105" t="s">
        <v>46</v>
      </c>
      <c r="B105" t="s">
        <v>141</v>
      </c>
      <c r="C105" s="2">
        <f>HYPERLINK("https://cao.dolgi.msk.ru/account/1080032014/", 1080032014)</f>
        <v>1080032014</v>
      </c>
      <c r="D105" t="s">
        <v>142</v>
      </c>
      <c r="E105">
        <v>-71.98</v>
      </c>
      <c r="F105">
        <v>-0.01</v>
      </c>
      <c r="G105" t="s">
        <v>12</v>
      </c>
      <c r="I105" t="s">
        <v>13</v>
      </c>
    </row>
    <row r="106" spans="1:9" hidden="1" x14ac:dyDescent="0.25">
      <c r="A106" t="s">
        <v>46</v>
      </c>
      <c r="B106" t="s">
        <v>143</v>
      </c>
      <c r="C106" s="2">
        <f>HYPERLINK("https://cao.dolgi.msk.ru/account/1080032022/", 1080032022)</f>
        <v>1080032022</v>
      </c>
      <c r="D106" t="s">
        <v>144</v>
      </c>
      <c r="E106">
        <v>-9400.02</v>
      </c>
      <c r="F106">
        <v>-1.03</v>
      </c>
      <c r="G106" t="s">
        <v>12</v>
      </c>
      <c r="I106" t="s">
        <v>13</v>
      </c>
    </row>
    <row r="107" spans="1:9" hidden="1" x14ac:dyDescent="0.25">
      <c r="A107" t="s">
        <v>46</v>
      </c>
      <c r="B107" t="s">
        <v>145</v>
      </c>
      <c r="C107" s="2">
        <f>HYPERLINK("https://cao.dolgi.msk.ru/account/1080032049/", 1080032049)</f>
        <v>1080032049</v>
      </c>
      <c r="D107" t="s">
        <v>146</v>
      </c>
      <c r="E107">
        <v>-6361.39</v>
      </c>
      <c r="F107">
        <v>-1.26</v>
      </c>
      <c r="G107" t="s">
        <v>12</v>
      </c>
      <c r="I107" t="s">
        <v>13</v>
      </c>
    </row>
    <row r="108" spans="1:9" hidden="1" x14ac:dyDescent="0.25">
      <c r="A108" t="s">
        <v>46</v>
      </c>
      <c r="B108" t="s">
        <v>147</v>
      </c>
      <c r="C108" s="2">
        <f>HYPERLINK("https://cao.dolgi.msk.ru/account/1080032057/", 1080032057)</f>
        <v>1080032057</v>
      </c>
      <c r="D108" t="s">
        <v>148</v>
      </c>
      <c r="E108">
        <v>690.76</v>
      </c>
      <c r="F108">
        <v>0.11</v>
      </c>
      <c r="G108" t="s">
        <v>12</v>
      </c>
      <c r="I108" t="s">
        <v>13</v>
      </c>
    </row>
    <row r="109" spans="1:9" hidden="1" x14ac:dyDescent="0.25">
      <c r="A109" t="s">
        <v>46</v>
      </c>
      <c r="B109" t="s">
        <v>149</v>
      </c>
      <c r="C109" s="2">
        <f>HYPERLINK("https://cao.dolgi.msk.ru/account/1080032065/", 1080032065)</f>
        <v>1080032065</v>
      </c>
      <c r="D109" t="s">
        <v>150</v>
      </c>
      <c r="E109">
        <v>-6191.1</v>
      </c>
      <c r="F109">
        <v>-2.1</v>
      </c>
      <c r="G109" t="s">
        <v>12</v>
      </c>
      <c r="I109" t="s">
        <v>13</v>
      </c>
    </row>
    <row r="110" spans="1:9" hidden="1" x14ac:dyDescent="0.25">
      <c r="A110" t="s">
        <v>46</v>
      </c>
      <c r="B110" t="s">
        <v>151</v>
      </c>
      <c r="C110" s="2">
        <f>HYPERLINK("https://cao.dolgi.msk.ru/account/1080032073/", 1080032073)</f>
        <v>1080032073</v>
      </c>
      <c r="D110" t="s">
        <v>152</v>
      </c>
      <c r="E110">
        <v>-463.5</v>
      </c>
      <c r="F110">
        <v>-0.1</v>
      </c>
      <c r="G110" t="s">
        <v>12</v>
      </c>
      <c r="I110" t="s">
        <v>13</v>
      </c>
    </row>
    <row r="111" spans="1:9" x14ac:dyDescent="0.25">
      <c r="A111" t="s">
        <v>46</v>
      </c>
      <c r="B111" t="s">
        <v>153</v>
      </c>
      <c r="C111" s="2">
        <f>HYPERLINK("https://cao.dolgi.msk.ru/account/1080032081/", 1080032081)</f>
        <v>1080032081</v>
      </c>
      <c r="D111" t="s">
        <v>154</v>
      </c>
      <c r="E111">
        <v>14804.13</v>
      </c>
      <c r="F111">
        <v>3.25</v>
      </c>
      <c r="G111" t="s">
        <v>12</v>
      </c>
      <c r="I111" t="s">
        <v>13</v>
      </c>
    </row>
    <row r="112" spans="1:9" hidden="1" x14ac:dyDescent="0.25">
      <c r="A112" t="s">
        <v>46</v>
      </c>
      <c r="B112" t="s">
        <v>155</v>
      </c>
      <c r="C112" s="2">
        <f>HYPERLINK("https://cao.dolgi.msk.ru/account/1080032102/", 1080032102)</f>
        <v>1080032102</v>
      </c>
      <c r="D112" t="s">
        <v>156</v>
      </c>
      <c r="E112">
        <v>-3120.94</v>
      </c>
      <c r="F112">
        <v>-0.99</v>
      </c>
      <c r="G112" t="s">
        <v>12</v>
      </c>
      <c r="I112" t="s">
        <v>13</v>
      </c>
    </row>
    <row r="113" spans="1:9" hidden="1" x14ac:dyDescent="0.25">
      <c r="A113" t="s">
        <v>46</v>
      </c>
      <c r="B113" t="s">
        <v>157</v>
      </c>
      <c r="C113" s="2">
        <f>HYPERLINK("https://cao.dolgi.msk.ru/account/1080032129/", 1080032129)</f>
        <v>1080032129</v>
      </c>
      <c r="D113" t="s">
        <v>158</v>
      </c>
      <c r="E113">
        <v>-126.74</v>
      </c>
      <c r="F113">
        <v>-0.03</v>
      </c>
      <c r="G113" t="s">
        <v>12</v>
      </c>
      <c r="I113" t="s">
        <v>13</v>
      </c>
    </row>
    <row r="114" spans="1:9" x14ac:dyDescent="0.25">
      <c r="A114" t="s">
        <v>46</v>
      </c>
      <c r="B114" t="s">
        <v>159</v>
      </c>
      <c r="C114" s="2">
        <f>HYPERLINK("https://cao.dolgi.msk.ru/account/1080032137/", 1080032137)</f>
        <v>1080032137</v>
      </c>
      <c r="D114" t="s">
        <v>160</v>
      </c>
      <c r="E114">
        <v>10917.82</v>
      </c>
      <c r="F114">
        <v>3.43</v>
      </c>
      <c r="G114" t="s">
        <v>12</v>
      </c>
      <c r="I114" t="s">
        <v>13</v>
      </c>
    </row>
    <row r="115" spans="1:9" hidden="1" x14ac:dyDescent="0.25">
      <c r="A115" t="s">
        <v>46</v>
      </c>
      <c r="B115" t="s">
        <v>161</v>
      </c>
      <c r="C115" s="2">
        <f>HYPERLINK("https://cao.dolgi.msk.ru/account/1080032145/", 1080032145)</f>
        <v>1080032145</v>
      </c>
      <c r="D115" t="s">
        <v>162</v>
      </c>
      <c r="E115">
        <v>3353.82</v>
      </c>
      <c r="F115">
        <v>0.79</v>
      </c>
      <c r="G115" t="s">
        <v>12</v>
      </c>
      <c r="I115" t="s">
        <v>13</v>
      </c>
    </row>
    <row r="116" spans="1:9" hidden="1" x14ac:dyDescent="0.25">
      <c r="A116" t="s">
        <v>46</v>
      </c>
      <c r="B116" t="s">
        <v>163</v>
      </c>
      <c r="C116" s="2">
        <f>HYPERLINK("https://cao.dolgi.msk.ru/account/1080032153/", 1080032153)</f>
        <v>1080032153</v>
      </c>
      <c r="D116" t="s">
        <v>164</v>
      </c>
      <c r="E116">
        <v>1527.1</v>
      </c>
      <c r="F116">
        <v>0.76</v>
      </c>
      <c r="G116" t="s">
        <v>14</v>
      </c>
      <c r="I116" t="s">
        <v>13</v>
      </c>
    </row>
    <row r="117" spans="1:9" hidden="1" x14ac:dyDescent="0.25">
      <c r="A117" t="s">
        <v>46</v>
      </c>
      <c r="B117" t="s">
        <v>163</v>
      </c>
      <c r="C117" s="2">
        <f>HYPERLINK("https://cao.dolgi.msk.ru/account/1080032161/", 1080032161)</f>
        <v>1080032161</v>
      </c>
      <c r="D117" t="s">
        <v>165</v>
      </c>
      <c r="E117">
        <v>-5899.99</v>
      </c>
      <c r="F117">
        <v>-2.19</v>
      </c>
      <c r="G117" t="s">
        <v>12</v>
      </c>
      <c r="I117" t="s">
        <v>13</v>
      </c>
    </row>
    <row r="118" spans="1:9" hidden="1" x14ac:dyDescent="0.25">
      <c r="A118" t="s">
        <v>46</v>
      </c>
      <c r="B118" t="s">
        <v>163</v>
      </c>
      <c r="C118" s="2">
        <f>HYPERLINK("https://cao.dolgi.msk.ru/account/1080032188/", 1080032188)</f>
        <v>1080032188</v>
      </c>
      <c r="D118" t="s">
        <v>15</v>
      </c>
      <c r="E118">
        <v>1119.6099999999999</v>
      </c>
      <c r="F118">
        <v>0.69</v>
      </c>
      <c r="G118" t="s">
        <v>14</v>
      </c>
      <c r="I118" t="s">
        <v>13</v>
      </c>
    </row>
    <row r="119" spans="1:9" hidden="1" x14ac:dyDescent="0.25">
      <c r="A119" t="s">
        <v>166</v>
      </c>
      <c r="B119" t="s">
        <v>16</v>
      </c>
      <c r="C119" s="2">
        <f>HYPERLINK("https://cao.dolgi.msk.ru/account/1080030705/", 1080030705)</f>
        <v>1080030705</v>
      </c>
      <c r="D119" t="s">
        <v>167</v>
      </c>
      <c r="E119">
        <v>-529.16</v>
      </c>
      <c r="G119" t="s">
        <v>14</v>
      </c>
      <c r="I119" t="s">
        <v>13</v>
      </c>
    </row>
    <row r="120" spans="1:9" hidden="1" x14ac:dyDescent="0.25">
      <c r="A120" t="s">
        <v>166</v>
      </c>
      <c r="B120" t="s">
        <v>16</v>
      </c>
      <c r="C120" s="2">
        <f>HYPERLINK("https://cao.dolgi.msk.ru/account/1083383813/", 1083383813)</f>
        <v>1083383813</v>
      </c>
      <c r="D120" t="s">
        <v>168</v>
      </c>
      <c r="E120">
        <v>-5446.29</v>
      </c>
      <c r="F120">
        <v>-1.08</v>
      </c>
      <c r="G120" t="s">
        <v>12</v>
      </c>
      <c r="I120" t="s">
        <v>13</v>
      </c>
    </row>
    <row r="121" spans="1:9" hidden="1" x14ac:dyDescent="0.25">
      <c r="A121" t="s">
        <v>166</v>
      </c>
      <c r="B121" t="s">
        <v>18</v>
      </c>
      <c r="C121" s="2">
        <f>HYPERLINK("https://cao.dolgi.msk.ru/account/1080030713/", 1080030713)</f>
        <v>1080030713</v>
      </c>
      <c r="D121" t="s">
        <v>169</v>
      </c>
      <c r="E121">
        <v>0</v>
      </c>
      <c r="G121" t="s">
        <v>14</v>
      </c>
      <c r="I121" t="s">
        <v>13</v>
      </c>
    </row>
    <row r="122" spans="1:9" hidden="1" x14ac:dyDescent="0.25">
      <c r="A122" t="s">
        <v>166</v>
      </c>
      <c r="B122" t="s">
        <v>18</v>
      </c>
      <c r="C122" s="2">
        <f>HYPERLINK("https://cao.dolgi.msk.ru/account/1083383899/", 1083383899)</f>
        <v>1083383899</v>
      </c>
      <c r="D122" t="s">
        <v>169</v>
      </c>
      <c r="E122">
        <v>-8267.91</v>
      </c>
      <c r="F122">
        <v>-1.01</v>
      </c>
      <c r="G122" t="s">
        <v>12</v>
      </c>
      <c r="I122" t="s">
        <v>13</v>
      </c>
    </row>
    <row r="123" spans="1:9" hidden="1" x14ac:dyDescent="0.25">
      <c r="A123" t="s">
        <v>166</v>
      </c>
      <c r="B123" t="s">
        <v>20</v>
      </c>
      <c r="C123" s="2">
        <f>HYPERLINK("https://cao.dolgi.msk.ru/account/1080030721/", 1080030721)</f>
        <v>1080030721</v>
      </c>
      <c r="D123" t="s">
        <v>170</v>
      </c>
      <c r="E123">
        <v>250.3</v>
      </c>
      <c r="G123" t="s">
        <v>14</v>
      </c>
      <c r="I123" t="s">
        <v>13</v>
      </c>
    </row>
    <row r="124" spans="1:9" hidden="1" x14ac:dyDescent="0.25">
      <c r="A124" t="s">
        <v>166</v>
      </c>
      <c r="B124" t="s">
        <v>20</v>
      </c>
      <c r="C124" s="2">
        <f>HYPERLINK("https://cao.dolgi.msk.ru/account/1083383776/", 1083383776)</f>
        <v>1083383776</v>
      </c>
      <c r="D124" t="s">
        <v>170</v>
      </c>
      <c r="E124">
        <v>0</v>
      </c>
      <c r="F124">
        <v>0</v>
      </c>
      <c r="G124" t="s">
        <v>12</v>
      </c>
      <c r="I124" t="s">
        <v>13</v>
      </c>
    </row>
    <row r="125" spans="1:9" hidden="1" x14ac:dyDescent="0.25">
      <c r="A125" t="s">
        <v>166</v>
      </c>
      <c r="B125" t="s">
        <v>21</v>
      </c>
      <c r="C125" s="2">
        <f>HYPERLINK("https://cao.dolgi.msk.ru/account/1080030756/", 1080030756)</f>
        <v>1080030756</v>
      </c>
      <c r="D125" t="s">
        <v>171</v>
      </c>
      <c r="E125">
        <v>-853.43</v>
      </c>
      <c r="G125" t="s">
        <v>14</v>
      </c>
      <c r="I125" t="s">
        <v>13</v>
      </c>
    </row>
    <row r="126" spans="1:9" hidden="1" x14ac:dyDescent="0.25">
      <c r="A126" t="s">
        <v>166</v>
      </c>
      <c r="B126" t="s">
        <v>21</v>
      </c>
      <c r="C126" s="2">
        <f>HYPERLINK("https://cao.dolgi.msk.ru/account/1083383821/", 1083383821)</f>
        <v>1083383821</v>
      </c>
      <c r="D126" t="s">
        <v>171</v>
      </c>
      <c r="E126">
        <v>-5289.09</v>
      </c>
      <c r="F126">
        <v>-1.02</v>
      </c>
      <c r="G126" t="s">
        <v>12</v>
      </c>
      <c r="I126" t="s">
        <v>13</v>
      </c>
    </row>
    <row r="127" spans="1:9" hidden="1" x14ac:dyDescent="0.25">
      <c r="A127" t="s">
        <v>166</v>
      </c>
      <c r="B127" t="s">
        <v>22</v>
      </c>
      <c r="C127" s="2">
        <f>HYPERLINK("https://cao.dolgi.msk.ru/account/1080030764/", 1080030764)</f>
        <v>1080030764</v>
      </c>
      <c r="D127" t="s">
        <v>172</v>
      </c>
      <c r="E127">
        <v>137</v>
      </c>
      <c r="G127" t="s">
        <v>14</v>
      </c>
      <c r="I127" t="s">
        <v>13</v>
      </c>
    </row>
    <row r="128" spans="1:9" hidden="1" x14ac:dyDescent="0.25">
      <c r="A128" t="s">
        <v>166</v>
      </c>
      <c r="B128" t="s">
        <v>22</v>
      </c>
      <c r="C128" s="2">
        <f>HYPERLINK("https://cao.dolgi.msk.ru/account/1083383848/", 1083383848)</f>
        <v>1083383848</v>
      </c>
      <c r="D128" t="s">
        <v>172</v>
      </c>
      <c r="E128">
        <v>-16269.86</v>
      </c>
      <c r="F128">
        <v>-1.49</v>
      </c>
      <c r="G128" t="s">
        <v>12</v>
      </c>
      <c r="I128" t="s">
        <v>13</v>
      </c>
    </row>
    <row r="129" spans="1:9" hidden="1" x14ac:dyDescent="0.25">
      <c r="A129" t="s">
        <v>166</v>
      </c>
      <c r="B129" t="s">
        <v>173</v>
      </c>
      <c r="C129" s="2">
        <f>HYPERLINK("https://cao.dolgi.msk.ru/account/1080030772/", 1080030772)</f>
        <v>1080030772</v>
      </c>
      <c r="D129" t="s">
        <v>15</v>
      </c>
      <c r="E129">
        <v>-594.72</v>
      </c>
      <c r="F129">
        <v>-5.66</v>
      </c>
      <c r="G129" t="s">
        <v>14</v>
      </c>
      <c r="I129" t="s">
        <v>13</v>
      </c>
    </row>
    <row r="130" spans="1:9" hidden="1" x14ac:dyDescent="0.25">
      <c r="A130" t="s">
        <v>166</v>
      </c>
      <c r="B130" t="s">
        <v>173</v>
      </c>
      <c r="C130" s="2">
        <f>HYPERLINK("https://cao.dolgi.msk.ru/account/1083383805/", 1083383805)</f>
        <v>1083383805</v>
      </c>
      <c r="D130" t="s">
        <v>15</v>
      </c>
      <c r="E130">
        <v>-3143.63</v>
      </c>
      <c r="F130">
        <v>-1.06</v>
      </c>
      <c r="G130" t="s">
        <v>12</v>
      </c>
      <c r="I130" t="s">
        <v>13</v>
      </c>
    </row>
    <row r="131" spans="1:9" hidden="1" x14ac:dyDescent="0.25">
      <c r="A131" t="s">
        <v>166</v>
      </c>
      <c r="B131" t="s">
        <v>34</v>
      </c>
      <c r="C131" s="2">
        <f>HYPERLINK("https://cao.dolgi.msk.ru/account/1080030799/", 1080030799)</f>
        <v>1080030799</v>
      </c>
      <c r="D131" t="s">
        <v>174</v>
      </c>
      <c r="E131">
        <v>-2151.15</v>
      </c>
      <c r="G131" t="s">
        <v>14</v>
      </c>
      <c r="I131" t="s">
        <v>13</v>
      </c>
    </row>
    <row r="132" spans="1:9" hidden="1" x14ac:dyDescent="0.25">
      <c r="A132" t="s">
        <v>166</v>
      </c>
      <c r="B132" t="s">
        <v>34</v>
      </c>
      <c r="C132" s="2">
        <f>HYPERLINK("https://cao.dolgi.msk.ru/account/1080030801/", 1080030801)</f>
        <v>1080030801</v>
      </c>
      <c r="D132" t="s">
        <v>175</v>
      </c>
      <c r="E132">
        <v>-5077.84</v>
      </c>
      <c r="G132" t="s">
        <v>14</v>
      </c>
      <c r="I132" t="s">
        <v>13</v>
      </c>
    </row>
    <row r="133" spans="1:9" hidden="1" x14ac:dyDescent="0.25">
      <c r="A133" t="s">
        <v>166</v>
      </c>
      <c r="B133" t="s">
        <v>34</v>
      </c>
      <c r="C133" s="2">
        <f>HYPERLINK("https://cao.dolgi.msk.ru/account/1083383784/", 1083383784)</f>
        <v>1083383784</v>
      </c>
      <c r="D133" t="s">
        <v>174</v>
      </c>
      <c r="E133">
        <v>-4680.9799999999996</v>
      </c>
      <c r="F133">
        <v>-0.91</v>
      </c>
      <c r="G133" t="s">
        <v>12</v>
      </c>
      <c r="I133" t="s">
        <v>13</v>
      </c>
    </row>
    <row r="134" spans="1:9" hidden="1" x14ac:dyDescent="0.25">
      <c r="A134" t="s">
        <v>166</v>
      </c>
      <c r="B134" t="s">
        <v>34</v>
      </c>
      <c r="C134" s="2">
        <f>HYPERLINK("https://cao.dolgi.msk.ru/account/1083383856/", 1083383856)</f>
        <v>1083383856</v>
      </c>
      <c r="D134" t="s">
        <v>175</v>
      </c>
      <c r="E134">
        <v>-22.46</v>
      </c>
      <c r="F134">
        <v>0</v>
      </c>
      <c r="G134" t="s">
        <v>12</v>
      </c>
      <c r="I134" t="s">
        <v>13</v>
      </c>
    </row>
    <row r="135" spans="1:9" hidden="1" x14ac:dyDescent="0.25">
      <c r="A135" t="s">
        <v>166</v>
      </c>
      <c r="B135" t="s">
        <v>36</v>
      </c>
      <c r="C135" s="2">
        <f>HYPERLINK("https://cao.dolgi.msk.ru/account/1080030844/", 1080030844)</f>
        <v>1080030844</v>
      </c>
      <c r="D135" t="s">
        <v>176</v>
      </c>
      <c r="E135">
        <v>-2561.25</v>
      </c>
      <c r="G135" t="s">
        <v>14</v>
      </c>
      <c r="I135" t="s">
        <v>13</v>
      </c>
    </row>
    <row r="136" spans="1:9" hidden="1" x14ac:dyDescent="0.25">
      <c r="A136" t="s">
        <v>166</v>
      </c>
      <c r="B136" t="s">
        <v>36</v>
      </c>
      <c r="C136" s="2">
        <f>HYPERLINK("https://cao.dolgi.msk.ru/account/1083383792/", 1083383792)</f>
        <v>1083383792</v>
      </c>
      <c r="D136" t="s">
        <v>177</v>
      </c>
      <c r="E136">
        <v>-15499.06</v>
      </c>
      <c r="F136">
        <v>-1.01</v>
      </c>
      <c r="G136" t="s">
        <v>12</v>
      </c>
      <c r="I136" t="s">
        <v>13</v>
      </c>
    </row>
    <row r="137" spans="1:9" hidden="1" x14ac:dyDescent="0.25">
      <c r="A137" t="s">
        <v>166</v>
      </c>
      <c r="B137" t="s">
        <v>38</v>
      </c>
      <c r="C137" s="2">
        <f>HYPERLINK("https://cao.dolgi.msk.ru/account/1080030828/", 1080030828)</f>
        <v>1080030828</v>
      </c>
      <c r="D137" t="s">
        <v>178</v>
      </c>
      <c r="E137">
        <v>49.56</v>
      </c>
      <c r="G137" t="s">
        <v>14</v>
      </c>
      <c r="I137" t="s">
        <v>13</v>
      </c>
    </row>
    <row r="138" spans="1:9" hidden="1" x14ac:dyDescent="0.25">
      <c r="A138" t="s">
        <v>166</v>
      </c>
      <c r="B138" t="s">
        <v>38</v>
      </c>
      <c r="C138" s="2">
        <f>HYPERLINK("https://cao.dolgi.msk.ru/account/1083383864/", 1083383864)</f>
        <v>1083383864</v>
      </c>
      <c r="D138" t="s">
        <v>178</v>
      </c>
      <c r="E138">
        <v>-10918.29</v>
      </c>
      <c r="F138">
        <v>-1.02</v>
      </c>
      <c r="G138" t="s">
        <v>12</v>
      </c>
      <c r="I138" t="s">
        <v>13</v>
      </c>
    </row>
    <row r="139" spans="1:9" hidden="1" x14ac:dyDescent="0.25">
      <c r="A139" t="s">
        <v>166</v>
      </c>
      <c r="B139" t="s">
        <v>39</v>
      </c>
      <c r="C139" s="2">
        <f>HYPERLINK("https://cao.dolgi.msk.ru/account/1080030836/", 1080030836)</f>
        <v>1080030836</v>
      </c>
      <c r="D139" t="s">
        <v>179</v>
      </c>
      <c r="E139">
        <v>-4761.6499999999996</v>
      </c>
      <c r="G139" t="s">
        <v>14</v>
      </c>
      <c r="I139" t="s">
        <v>13</v>
      </c>
    </row>
    <row r="140" spans="1:9" hidden="1" x14ac:dyDescent="0.25">
      <c r="A140" t="s">
        <v>166</v>
      </c>
      <c r="B140" t="s">
        <v>39</v>
      </c>
      <c r="C140" s="2">
        <f>HYPERLINK("https://cao.dolgi.msk.ru/account/1083383872/", 1083383872)</f>
        <v>1083383872</v>
      </c>
      <c r="D140" t="s">
        <v>179</v>
      </c>
      <c r="E140">
        <v>-27976.13</v>
      </c>
      <c r="F140">
        <v>-1.02</v>
      </c>
      <c r="G140" t="s">
        <v>12</v>
      </c>
      <c r="I140" t="s">
        <v>13</v>
      </c>
    </row>
    <row r="141" spans="1:9" hidden="1" x14ac:dyDescent="0.25">
      <c r="A141" t="s">
        <v>180</v>
      </c>
      <c r="B141" t="s">
        <v>16</v>
      </c>
      <c r="C141" s="2">
        <f>HYPERLINK("https://cao.dolgi.msk.ru/account/1080031257/", 1080031257)</f>
        <v>1080031257</v>
      </c>
      <c r="D141" t="s">
        <v>181</v>
      </c>
      <c r="E141">
        <v>-757.03</v>
      </c>
      <c r="F141">
        <v>-0.15</v>
      </c>
      <c r="G141" t="s">
        <v>12</v>
      </c>
      <c r="I141" t="s">
        <v>13</v>
      </c>
    </row>
    <row r="142" spans="1:9" hidden="1" x14ac:dyDescent="0.25">
      <c r="A142" t="s">
        <v>180</v>
      </c>
      <c r="B142" t="s">
        <v>18</v>
      </c>
      <c r="C142" s="2">
        <f>HYPERLINK("https://cao.dolgi.msk.ru/account/1080030887/", 1080030887)</f>
        <v>1080030887</v>
      </c>
      <c r="D142" t="s">
        <v>182</v>
      </c>
      <c r="E142">
        <v>-6251.35</v>
      </c>
      <c r="F142">
        <v>-1.39</v>
      </c>
      <c r="G142" t="s">
        <v>12</v>
      </c>
      <c r="I142" t="s">
        <v>13</v>
      </c>
    </row>
    <row r="143" spans="1:9" hidden="1" x14ac:dyDescent="0.25">
      <c r="A143" t="s">
        <v>180</v>
      </c>
      <c r="B143" t="s">
        <v>20</v>
      </c>
      <c r="C143" s="2">
        <f>HYPERLINK("https://cao.dolgi.msk.ru/account/1080030895/", 1080030895)</f>
        <v>1080030895</v>
      </c>
      <c r="D143" t="s">
        <v>183</v>
      </c>
      <c r="E143">
        <v>-6250.4</v>
      </c>
      <c r="F143">
        <v>-1.28</v>
      </c>
      <c r="G143" t="s">
        <v>12</v>
      </c>
      <c r="I143" t="s">
        <v>13</v>
      </c>
    </row>
    <row r="144" spans="1:9" hidden="1" x14ac:dyDescent="0.25">
      <c r="A144" t="s">
        <v>180</v>
      </c>
      <c r="B144" t="s">
        <v>21</v>
      </c>
      <c r="C144" s="2">
        <f>HYPERLINK("https://cao.dolgi.msk.ru/account/1080030908/", 1080030908)</f>
        <v>1080030908</v>
      </c>
      <c r="D144" t="s">
        <v>15</v>
      </c>
      <c r="E144">
        <v>-715.48</v>
      </c>
      <c r="F144">
        <v>-0.13</v>
      </c>
      <c r="G144" t="s">
        <v>12</v>
      </c>
      <c r="I144" t="s">
        <v>13</v>
      </c>
    </row>
    <row r="145" spans="1:9" hidden="1" x14ac:dyDescent="0.25">
      <c r="A145" t="s">
        <v>180</v>
      </c>
      <c r="B145" t="s">
        <v>22</v>
      </c>
      <c r="C145" s="2">
        <f>HYPERLINK("https://cao.dolgi.msk.ru/account/1080030916/", 1080030916)</f>
        <v>1080030916</v>
      </c>
      <c r="D145" t="s">
        <v>184</v>
      </c>
      <c r="E145">
        <v>-6726.71</v>
      </c>
      <c r="F145">
        <v>-1.1599999999999999</v>
      </c>
      <c r="G145" t="s">
        <v>12</v>
      </c>
      <c r="I145" t="s">
        <v>13</v>
      </c>
    </row>
    <row r="146" spans="1:9" hidden="1" x14ac:dyDescent="0.25">
      <c r="A146" t="s">
        <v>180</v>
      </c>
      <c r="B146" t="s">
        <v>23</v>
      </c>
      <c r="C146" s="2">
        <f>HYPERLINK("https://cao.dolgi.msk.ru/account/1080030924/", 1080030924)</f>
        <v>1080030924</v>
      </c>
      <c r="D146" t="s">
        <v>185</v>
      </c>
      <c r="E146">
        <v>-3267.86</v>
      </c>
      <c r="F146">
        <v>-1.1100000000000001</v>
      </c>
      <c r="G146" t="s">
        <v>12</v>
      </c>
      <c r="I146" t="s">
        <v>13</v>
      </c>
    </row>
    <row r="147" spans="1:9" hidden="1" x14ac:dyDescent="0.25">
      <c r="A147" t="s">
        <v>180</v>
      </c>
      <c r="B147" t="s">
        <v>24</v>
      </c>
      <c r="C147" s="2">
        <f>HYPERLINK("https://cao.dolgi.msk.ru/account/1080030932/", 1080030932)</f>
        <v>1080030932</v>
      </c>
      <c r="D147" t="s">
        <v>186</v>
      </c>
      <c r="E147">
        <v>-6866.44</v>
      </c>
      <c r="F147">
        <v>-1.22</v>
      </c>
      <c r="G147" t="s">
        <v>12</v>
      </c>
      <c r="I147" t="s">
        <v>13</v>
      </c>
    </row>
    <row r="148" spans="1:9" hidden="1" x14ac:dyDescent="0.25">
      <c r="A148" t="s">
        <v>180</v>
      </c>
      <c r="B148" t="s">
        <v>27</v>
      </c>
      <c r="C148" s="2">
        <f>HYPERLINK("https://cao.dolgi.msk.ru/account/1080030959/", 1080030959)</f>
        <v>1080030959</v>
      </c>
      <c r="D148" t="s">
        <v>187</v>
      </c>
      <c r="E148">
        <v>-5540.61</v>
      </c>
      <c r="F148">
        <v>-1.26</v>
      </c>
      <c r="G148" t="s">
        <v>12</v>
      </c>
      <c r="I148" t="s">
        <v>13</v>
      </c>
    </row>
    <row r="149" spans="1:9" hidden="1" x14ac:dyDescent="0.25">
      <c r="A149" t="s">
        <v>180</v>
      </c>
      <c r="B149" t="s">
        <v>29</v>
      </c>
      <c r="C149" s="2">
        <f>HYPERLINK("https://cao.dolgi.msk.ru/account/1080030975/", 1080030975)</f>
        <v>1080030975</v>
      </c>
      <c r="D149" t="s">
        <v>188</v>
      </c>
      <c r="E149">
        <v>-4811.91</v>
      </c>
      <c r="F149">
        <v>-1.22</v>
      </c>
      <c r="G149" t="s">
        <v>12</v>
      </c>
      <c r="I149" t="s">
        <v>13</v>
      </c>
    </row>
    <row r="150" spans="1:9" hidden="1" x14ac:dyDescent="0.25">
      <c r="A150" t="s">
        <v>180</v>
      </c>
      <c r="B150" t="s">
        <v>29</v>
      </c>
      <c r="C150" s="2">
        <f>HYPERLINK("https://cao.dolgi.msk.ru/account/1083391741/", 1083391741)</f>
        <v>1083391741</v>
      </c>
      <c r="D150" t="s">
        <v>189</v>
      </c>
      <c r="E150">
        <v>-2193.7199999999998</v>
      </c>
      <c r="F150">
        <v>-1.24</v>
      </c>
      <c r="G150" t="s">
        <v>12</v>
      </c>
      <c r="I150" t="s">
        <v>13</v>
      </c>
    </row>
    <row r="151" spans="1:9" hidden="1" x14ac:dyDescent="0.25">
      <c r="A151" t="s">
        <v>180</v>
      </c>
      <c r="B151" t="s">
        <v>34</v>
      </c>
      <c r="C151" s="2">
        <f>HYPERLINK("https://cao.dolgi.msk.ru/account/1080030983/", 1080030983)</f>
        <v>1080030983</v>
      </c>
      <c r="D151" t="s">
        <v>190</v>
      </c>
      <c r="E151">
        <v>-8836.33</v>
      </c>
      <c r="F151">
        <v>-1.1399999999999999</v>
      </c>
      <c r="G151" t="s">
        <v>12</v>
      </c>
      <c r="I151" t="s">
        <v>13</v>
      </c>
    </row>
    <row r="152" spans="1:9" hidden="1" x14ac:dyDescent="0.25">
      <c r="A152" t="s">
        <v>180</v>
      </c>
      <c r="B152" t="s">
        <v>36</v>
      </c>
      <c r="C152" s="2">
        <f>HYPERLINK("https://cao.dolgi.msk.ru/account/1080030991/", 1080030991)</f>
        <v>1080030991</v>
      </c>
      <c r="D152" t="s">
        <v>191</v>
      </c>
      <c r="E152">
        <v>-7974.44</v>
      </c>
      <c r="F152">
        <v>-1.33</v>
      </c>
      <c r="G152" t="s">
        <v>12</v>
      </c>
      <c r="I152" t="s">
        <v>13</v>
      </c>
    </row>
    <row r="153" spans="1:9" hidden="1" x14ac:dyDescent="0.25">
      <c r="A153" t="s">
        <v>180</v>
      </c>
      <c r="B153" t="s">
        <v>38</v>
      </c>
      <c r="C153" s="2">
        <f>HYPERLINK("https://cao.dolgi.msk.ru/account/1080031003/", 1080031003)</f>
        <v>1080031003</v>
      </c>
      <c r="D153" t="s">
        <v>15</v>
      </c>
      <c r="E153">
        <v>0</v>
      </c>
      <c r="G153" t="s">
        <v>14</v>
      </c>
      <c r="I153" t="s">
        <v>13</v>
      </c>
    </row>
    <row r="154" spans="1:9" hidden="1" x14ac:dyDescent="0.25">
      <c r="A154" t="s">
        <v>180</v>
      </c>
      <c r="B154" t="s">
        <v>38</v>
      </c>
      <c r="C154" s="2">
        <f>HYPERLINK("https://cao.dolgi.msk.ru/account/1083389393/", 1083389393)</f>
        <v>1083389393</v>
      </c>
      <c r="D154" t="s">
        <v>189</v>
      </c>
      <c r="E154">
        <v>-8022.16</v>
      </c>
      <c r="F154">
        <v>-1.19</v>
      </c>
      <c r="G154" t="s">
        <v>12</v>
      </c>
      <c r="I154" t="s">
        <v>13</v>
      </c>
    </row>
    <row r="155" spans="1:9" hidden="1" x14ac:dyDescent="0.25">
      <c r="A155" t="s">
        <v>180</v>
      </c>
      <c r="B155" t="s">
        <v>39</v>
      </c>
      <c r="C155" s="2">
        <f>HYPERLINK("https://cao.dolgi.msk.ru/account/1080031011/", 1080031011)</f>
        <v>1080031011</v>
      </c>
      <c r="D155" t="s">
        <v>192</v>
      </c>
      <c r="E155">
        <v>130.19999999999999</v>
      </c>
      <c r="F155">
        <v>0.02</v>
      </c>
      <c r="G155" t="s">
        <v>12</v>
      </c>
      <c r="I155" t="s">
        <v>13</v>
      </c>
    </row>
    <row r="156" spans="1:9" hidden="1" x14ac:dyDescent="0.25">
      <c r="A156" t="s">
        <v>180</v>
      </c>
      <c r="B156" t="s">
        <v>40</v>
      </c>
      <c r="C156" s="2">
        <f>HYPERLINK("https://cao.dolgi.msk.ru/account/1080031038/", 1080031038)</f>
        <v>1080031038</v>
      </c>
      <c r="D156" t="s">
        <v>193</v>
      </c>
      <c r="E156">
        <v>-1415.9</v>
      </c>
      <c r="F156">
        <v>-0.21</v>
      </c>
      <c r="G156" t="s">
        <v>12</v>
      </c>
      <c r="I156" t="s">
        <v>13</v>
      </c>
    </row>
    <row r="157" spans="1:9" hidden="1" x14ac:dyDescent="0.25">
      <c r="A157" t="s">
        <v>180</v>
      </c>
      <c r="B157" t="s">
        <v>41</v>
      </c>
      <c r="C157" s="2">
        <f>HYPERLINK("https://cao.dolgi.msk.ru/account/1080031046/", 1080031046)</f>
        <v>1080031046</v>
      </c>
      <c r="D157" t="s">
        <v>194</v>
      </c>
      <c r="E157">
        <v>-8983.2199999999993</v>
      </c>
      <c r="F157">
        <v>-1.07</v>
      </c>
      <c r="G157" t="s">
        <v>12</v>
      </c>
      <c r="I157" t="s">
        <v>13</v>
      </c>
    </row>
    <row r="158" spans="1:9" hidden="1" x14ac:dyDescent="0.25">
      <c r="A158" t="s">
        <v>180</v>
      </c>
      <c r="B158" t="s">
        <v>42</v>
      </c>
      <c r="C158" s="2">
        <f>HYPERLINK("https://cao.dolgi.msk.ru/account/1080031054/", 1080031054)</f>
        <v>1080031054</v>
      </c>
      <c r="D158" t="s">
        <v>195</v>
      </c>
      <c r="E158">
        <v>-7325.75</v>
      </c>
      <c r="F158">
        <v>-1.21</v>
      </c>
      <c r="G158" t="s">
        <v>12</v>
      </c>
      <c r="I158" t="s">
        <v>13</v>
      </c>
    </row>
    <row r="159" spans="1:9" hidden="1" x14ac:dyDescent="0.25">
      <c r="A159" t="s">
        <v>180</v>
      </c>
      <c r="B159" t="s">
        <v>44</v>
      </c>
      <c r="C159" s="2">
        <f>HYPERLINK("https://cao.dolgi.msk.ru/account/1080031062/", 1080031062)</f>
        <v>1080031062</v>
      </c>
      <c r="D159" t="s">
        <v>196</v>
      </c>
      <c r="E159">
        <v>-6843.07</v>
      </c>
      <c r="F159">
        <v>-1.1200000000000001</v>
      </c>
      <c r="G159" t="s">
        <v>12</v>
      </c>
      <c r="I159" t="s">
        <v>13</v>
      </c>
    </row>
    <row r="160" spans="1:9" hidden="1" x14ac:dyDescent="0.25">
      <c r="A160" t="s">
        <v>180</v>
      </c>
      <c r="B160" t="s">
        <v>66</v>
      </c>
      <c r="C160" s="2">
        <f>HYPERLINK("https://cao.dolgi.msk.ru/account/1080031089/", 1080031089)</f>
        <v>1080031089</v>
      </c>
      <c r="D160" t="s">
        <v>197</v>
      </c>
      <c r="E160">
        <v>-4575.71</v>
      </c>
      <c r="F160">
        <v>-1.1100000000000001</v>
      </c>
      <c r="G160" t="s">
        <v>12</v>
      </c>
      <c r="I160" t="s">
        <v>13</v>
      </c>
    </row>
    <row r="161" spans="1:9" hidden="1" x14ac:dyDescent="0.25">
      <c r="A161" t="s">
        <v>180</v>
      </c>
      <c r="B161" t="s">
        <v>68</v>
      </c>
      <c r="C161" s="2">
        <f>HYPERLINK("https://cao.dolgi.msk.ru/account/1080030879/", 1080030879)</f>
        <v>1080030879</v>
      </c>
      <c r="D161" t="s">
        <v>62</v>
      </c>
      <c r="E161">
        <v>-5504.68</v>
      </c>
      <c r="F161">
        <v>-0.77</v>
      </c>
      <c r="G161" t="s">
        <v>12</v>
      </c>
      <c r="I161" t="s">
        <v>13</v>
      </c>
    </row>
    <row r="162" spans="1:9" hidden="1" x14ac:dyDescent="0.25">
      <c r="A162" t="s">
        <v>180</v>
      </c>
      <c r="B162" t="s">
        <v>74</v>
      </c>
      <c r="C162" s="2">
        <f>HYPERLINK("https://cao.dolgi.msk.ru/account/1080031097/", 1080031097)</f>
        <v>1080031097</v>
      </c>
      <c r="D162" t="s">
        <v>198</v>
      </c>
      <c r="E162">
        <v>-0.5</v>
      </c>
      <c r="F162">
        <v>0</v>
      </c>
      <c r="G162" t="s">
        <v>12</v>
      </c>
      <c r="I162" t="s">
        <v>13</v>
      </c>
    </row>
    <row r="163" spans="1:9" hidden="1" x14ac:dyDescent="0.25">
      <c r="A163" t="s">
        <v>180</v>
      </c>
      <c r="B163" t="s">
        <v>76</v>
      </c>
      <c r="C163" s="2">
        <f>HYPERLINK("https://cao.dolgi.msk.ru/account/1080031118/", 1080031118)</f>
        <v>1080031118</v>
      </c>
      <c r="D163" t="s">
        <v>199</v>
      </c>
      <c r="E163">
        <v>-9353.7199999999993</v>
      </c>
      <c r="F163">
        <v>-1.1100000000000001</v>
      </c>
      <c r="G163" t="s">
        <v>12</v>
      </c>
      <c r="I163" t="s">
        <v>13</v>
      </c>
    </row>
    <row r="164" spans="1:9" hidden="1" x14ac:dyDescent="0.25">
      <c r="A164" t="s">
        <v>180</v>
      </c>
      <c r="B164" t="s">
        <v>78</v>
      </c>
      <c r="C164" s="2">
        <f>HYPERLINK("https://cao.dolgi.msk.ru/account/1080030967/", 1080030967)</f>
        <v>1080030967</v>
      </c>
      <c r="D164" t="s">
        <v>200</v>
      </c>
      <c r="E164">
        <v>-6812.02</v>
      </c>
      <c r="F164">
        <v>-1.02</v>
      </c>
      <c r="G164" t="s">
        <v>12</v>
      </c>
      <c r="I164" t="s">
        <v>13</v>
      </c>
    </row>
    <row r="165" spans="1:9" hidden="1" x14ac:dyDescent="0.25">
      <c r="A165" t="s">
        <v>180</v>
      </c>
      <c r="B165" t="s">
        <v>80</v>
      </c>
      <c r="C165" s="2">
        <f>HYPERLINK("https://cao.dolgi.msk.ru/account/1080031126/", 1080031126)</f>
        <v>1080031126</v>
      </c>
      <c r="D165" t="s">
        <v>201</v>
      </c>
      <c r="E165">
        <v>9218.36</v>
      </c>
      <c r="F165">
        <v>0.94</v>
      </c>
      <c r="G165" t="s">
        <v>12</v>
      </c>
      <c r="I165" t="s">
        <v>13</v>
      </c>
    </row>
    <row r="166" spans="1:9" hidden="1" x14ac:dyDescent="0.25">
      <c r="A166" t="s">
        <v>180</v>
      </c>
      <c r="B166" t="s">
        <v>82</v>
      </c>
      <c r="C166" s="2">
        <f>HYPERLINK("https://cao.dolgi.msk.ru/account/1080031134/", 1080031134)</f>
        <v>1080031134</v>
      </c>
      <c r="D166" t="s">
        <v>202</v>
      </c>
      <c r="E166">
        <v>-8175.6</v>
      </c>
      <c r="F166">
        <v>-1.24</v>
      </c>
      <c r="G166" t="s">
        <v>12</v>
      </c>
      <c r="I166" t="s">
        <v>13</v>
      </c>
    </row>
    <row r="167" spans="1:9" hidden="1" x14ac:dyDescent="0.25">
      <c r="A167" t="s">
        <v>180</v>
      </c>
      <c r="B167" t="s">
        <v>84</v>
      </c>
      <c r="C167" s="2">
        <f>HYPERLINK("https://cao.dolgi.msk.ru/account/1080031142/", 1080031142)</f>
        <v>1080031142</v>
      </c>
      <c r="D167" t="s">
        <v>203</v>
      </c>
      <c r="E167">
        <v>-13081.9</v>
      </c>
      <c r="F167">
        <v>-1.88</v>
      </c>
      <c r="G167" t="s">
        <v>12</v>
      </c>
      <c r="I167" t="s">
        <v>13</v>
      </c>
    </row>
    <row r="168" spans="1:9" hidden="1" x14ac:dyDescent="0.25">
      <c r="A168" t="s">
        <v>180</v>
      </c>
      <c r="B168" t="s">
        <v>86</v>
      </c>
      <c r="C168" s="2">
        <f>HYPERLINK("https://cao.dolgi.msk.ru/account/1080031177/", 1080031177)</f>
        <v>1080031177</v>
      </c>
      <c r="D168" t="s">
        <v>204</v>
      </c>
      <c r="E168">
        <v>-784.56</v>
      </c>
      <c r="F168">
        <v>-0.11</v>
      </c>
      <c r="G168" t="s">
        <v>12</v>
      </c>
      <c r="I168" t="s">
        <v>13</v>
      </c>
    </row>
    <row r="169" spans="1:9" hidden="1" x14ac:dyDescent="0.25">
      <c r="A169" t="s">
        <v>180</v>
      </c>
      <c r="B169" t="s">
        <v>88</v>
      </c>
      <c r="C169" s="2">
        <f>HYPERLINK("https://cao.dolgi.msk.ru/account/1080031185/", 1080031185)</f>
        <v>1080031185</v>
      </c>
      <c r="D169" t="s">
        <v>205</v>
      </c>
      <c r="E169">
        <v>-7081.87</v>
      </c>
      <c r="F169">
        <v>-1.1599999999999999</v>
      </c>
      <c r="G169" t="s">
        <v>12</v>
      </c>
      <c r="I169" t="s">
        <v>13</v>
      </c>
    </row>
    <row r="170" spans="1:9" hidden="1" x14ac:dyDescent="0.25">
      <c r="A170" t="s">
        <v>180</v>
      </c>
      <c r="B170" t="s">
        <v>90</v>
      </c>
      <c r="C170" s="2">
        <f>HYPERLINK("https://cao.dolgi.msk.ru/account/1080031193/", 1080031193)</f>
        <v>1080031193</v>
      </c>
      <c r="D170" t="s">
        <v>15</v>
      </c>
      <c r="E170">
        <v>1279.32</v>
      </c>
      <c r="G170" t="s">
        <v>14</v>
      </c>
      <c r="I170" t="s">
        <v>13</v>
      </c>
    </row>
    <row r="171" spans="1:9" hidden="1" x14ac:dyDescent="0.25">
      <c r="A171" t="s">
        <v>180</v>
      </c>
      <c r="B171" t="s">
        <v>90</v>
      </c>
      <c r="C171" s="2">
        <f>HYPERLINK("https://cao.dolgi.msk.ru/account/1083391143/", 1083391143)</f>
        <v>1083391143</v>
      </c>
      <c r="D171" t="s">
        <v>189</v>
      </c>
      <c r="E171">
        <v>-12302.96</v>
      </c>
      <c r="F171">
        <v>-1.88</v>
      </c>
      <c r="G171" t="s">
        <v>12</v>
      </c>
      <c r="I171" t="s">
        <v>13</v>
      </c>
    </row>
    <row r="172" spans="1:9" hidden="1" x14ac:dyDescent="0.25">
      <c r="A172" t="s">
        <v>180</v>
      </c>
      <c r="B172" t="s">
        <v>92</v>
      </c>
      <c r="C172" s="2">
        <f>HYPERLINK("https://cao.dolgi.msk.ru/account/1080031206/", 1080031206)</f>
        <v>1080031206</v>
      </c>
      <c r="D172" t="s">
        <v>206</v>
      </c>
      <c r="E172">
        <v>-7314.04</v>
      </c>
      <c r="F172">
        <v>-1.4</v>
      </c>
      <c r="G172" t="s">
        <v>12</v>
      </c>
      <c r="I172" t="s">
        <v>13</v>
      </c>
    </row>
    <row r="173" spans="1:9" hidden="1" x14ac:dyDescent="0.25">
      <c r="A173" t="s">
        <v>180</v>
      </c>
      <c r="B173" t="s">
        <v>94</v>
      </c>
      <c r="C173" s="2">
        <f>HYPERLINK("https://cao.dolgi.msk.ru/account/1080031214/", 1080031214)</f>
        <v>1080031214</v>
      </c>
      <c r="D173" t="s">
        <v>207</v>
      </c>
      <c r="E173">
        <v>-4725.93</v>
      </c>
      <c r="G173" t="s">
        <v>14</v>
      </c>
      <c r="H173" t="s">
        <v>7</v>
      </c>
      <c r="I173" t="s">
        <v>13</v>
      </c>
    </row>
    <row r="174" spans="1:9" hidden="1" x14ac:dyDescent="0.25">
      <c r="A174" t="s">
        <v>180</v>
      </c>
      <c r="B174" t="s">
        <v>94</v>
      </c>
      <c r="C174" s="2">
        <f>HYPERLINK("https://cao.dolgi.msk.ru/account/1080031222/", 1080031222)</f>
        <v>1080031222</v>
      </c>
      <c r="D174" t="s">
        <v>208</v>
      </c>
      <c r="E174">
        <v>8201.7099999999991</v>
      </c>
      <c r="F174">
        <v>1</v>
      </c>
      <c r="G174" t="s">
        <v>12</v>
      </c>
      <c r="H174" t="s">
        <v>7</v>
      </c>
      <c r="I174" t="s">
        <v>13</v>
      </c>
    </row>
    <row r="175" spans="1:9" x14ac:dyDescent="0.25">
      <c r="A175" t="s">
        <v>180</v>
      </c>
      <c r="B175" t="s">
        <v>94</v>
      </c>
      <c r="C175" s="2">
        <f>HYPERLINK("https://cao.dolgi.msk.ru/account/1089130534/", 1089130534)</f>
        <v>1089130534</v>
      </c>
      <c r="D175" t="s">
        <v>15</v>
      </c>
      <c r="E175">
        <v>63896.91</v>
      </c>
      <c r="F175">
        <v>7.84</v>
      </c>
      <c r="G175" t="s">
        <v>12</v>
      </c>
      <c r="H175" t="s">
        <v>7</v>
      </c>
      <c r="I175" t="s">
        <v>13</v>
      </c>
    </row>
    <row r="176" spans="1:9" hidden="1" x14ac:dyDescent="0.25">
      <c r="A176" t="s">
        <v>180</v>
      </c>
      <c r="B176" t="s">
        <v>96</v>
      </c>
      <c r="C176" s="2">
        <f>HYPERLINK("https://cao.dolgi.msk.ru/account/1080031249/", 1080031249)</f>
        <v>1080031249</v>
      </c>
      <c r="D176" t="s">
        <v>209</v>
      </c>
      <c r="E176">
        <v>-8338.0400000000009</v>
      </c>
      <c r="F176">
        <v>-1.1299999999999999</v>
      </c>
      <c r="G176" t="s">
        <v>12</v>
      </c>
      <c r="I176" t="s">
        <v>13</v>
      </c>
    </row>
    <row r="177" spans="1:9" hidden="1" x14ac:dyDescent="0.25">
      <c r="A177" t="s">
        <v>210</v>
      </c>
      <c r="B177" t="s">
        <v>18</v>
      </c>
      <c r="C177" s="2">
        <f>HYPERLINK("https://cao.dolgi.msk.ru/account/1080016348/", 1080016348)</f>
        <v>1080016348</v>
      </c>
      <c r="D177" t="s">
        <v>211</v>
      </c>
      <c r="E177">
        <v>-42.62</v>
      </c>
      <c r="G177" t="s">
        <v>14</v>
      </c>
      <c r="I177" t="s">
        <v>13</v>
      </c>
    </row>
    <row r="178" spans="1:9" hidden="1" x14ac:dyDescent="0.25">
      <c r="A178" t="s">
        <v>210</v>
      </c>
      <c r="B178" t="s">
        <v>18</v>
      </c>
      <c r="C178" s="2">
        <f>HYPERLINK("https://cao.dolgi.msk.ru/account/1083384066/", 1083384066)</f>
        <v>1083384066</v>
      </c>
      <c r="D178" t="s">
        <v>211</v>
      </c>
      <c r="E178">
        <v>0</v>
      </c>
      <c r="F178">
        <v>0</v>
      </c>
      <c r="G178" t="s">
        <v>12</v>
      </c>
      <c r="I178" t="s">
        <v>13</v>
      </c>
    </row>
    <row r="179" spans="1:9" hidden="1" x14ac:dyDescent="0.25">
      <c r="A179" t="s">
        <v>210</v>
      </c>
      <c r="B179" t="s">
        <v>21</v>
      </c>
      <c r="C179" s="2">
        <f>HYPERLINK("https://cao.dolgi.msk.ru/account/1080016356/", 1080016356)</f>
        <v>1080016356</v>
      </c>
      <c r="D179" t="s">
        <v>212</v>
      </c>
      <c r="E179">
        <v>318.94</v>
      </c>
      <c r="G179" t="s">
        <v>14</v>
      </c>
      <c r="H179" t="s">
        <v>7</v>
      </c>
      <c r="I179" t="s">
        <v>13</v>
      </c>
    </row>
    <row r="180" spans="1:9" hidden="1" x14ac:dyDescent="0.25">
      <c r="A180" t="s">
        <v>210</v>
      </c>
      <c r="B180" t="s">
        <v>21</v>
      </c>
      <c r="C180" s="2">
        <f>HYPERLINK("https://cao.dolgi.msk.ru/account/1080016364/", 1080016364)</f>
        <v>1080016364</v>
      </c>
      <c r="D180" t="s">
        <v>212</v>
      </c>
      <c r="E180">
        <v>0</v>
      </c>
      <c r="G180" t="s">
        <v>14</v>
      </c>
      <c r="H180" t="s">
        <v>7</v>
      </c>
      <c r="I180" t="s">
        <v>13</v>
      </c>
    </row>
    <row r="181" spans="1:9" hidden="1" x14ac:dyDescent="0.25">
      <c r="A181" t="s">
        <v>210</v>
      </c>
      <c r="B181" t="s">
        <v>21</v>
      </c>
      <c r="C181" s="2">
        <f>HYPERLINK("https://cao.dolgi.msk.ru/account/1083383901/", 1083383901)</f>
        <v>1083383901</v>
      </c>
      <c r="D181" t="s">
        <v>213</v>
      </c>
      <c r="E181">
        <v>6353.54</v>
      </c>
      <c r="F181">
        <v>1</v>
      </c>
      <c r="G181" t="s">
        <v>12</v>
      </c>
      <c r="H181" t="s">
        <v>7</v>
      </c>
      <c r="I181" t="s">
        <v>13</v>
      </c>
    </row>
    <row r="182" spans="1:9" hidden="1" x14ac:dyDescent="0.25">
      <c r="A182" t="s">
        <v>210</v>
      </c>
      <c r="B182" t="s">
        <v>21</v>
      </c>
      <c r="C182" s="2">
        <f>HYPERLINK("https://cao.dolgi.msk.ru/account/1083383928/", 1083383928)</f>
        <v>1083383928</v>
      </c>
      <c r="D182" t="s">
        <v>212</v>
      </c>
      <c r="E182">
        <v>0</v>
      </c>
      <c r="G182" t="s">
        <v>12</v>
      </c>
      <c r="H182" t="s">
        <v>7</v>
      </c>
      <c r="I182" t="s">
        <v>13</v>
      </c>
    </row>
    <row r="183" spans="1:9" hidden="1" x14ac:dyDescent="0.25">
      <c r="A183" t="s">
        <v>210</v>
      </c>
      <c r="B183" t="s">
        <v>22</v>
      </c>
      <c r="C183" s="2">
        <f>HYPERLINK("https://cao.dolgi.msk.ru/account/1080016372/", 1080016372)</f>
        <v>1080016372</v>
      </c>
      <c r="D183" t="s">
        <v>214</v>
      </c>
      <c r="E183">
        <v>7.2</v>
      </c>
      <c r="G183" t="s">
        <v>14</v>
      </c>
      <c r="I183" t="s">
        <v>13</v>
      </c>
    </row>
    <row r="184" spans="1:9" hidden="1" x14ac:dyDescent="0.25">
      <c r="A184" t="s">
        <v>210</v>
      </c>
      <c r="B184" t="s">
        <v>22</v>
      </c>
      <c r="C184" s="2">
        <f>HYPERLINK("https://cao.dolgi.msk.ru/account/1083384007/", 1083384007)</f>
        <v>1083384007</v>
      </c>
      <c r="D184" t="s">
        <v>214</v>
      </c>
      <c r="E184">
        <v>0</v>
      </c>
      <c r="F184">
        <v>0</v>
      </c>
      <c r="G184" t="s">
        <v>12</v>
      </c>
      <c r="I184" t="s">
        <v>13</v>
      </c>
    </row>
    <row r="185" spans="1:9" hidden="1" x14ac:dyDescent="0.25">
      <c r="A185" t="s">
        <v>210</v>
      </c>
      <c r="B185" t="s">
        <v>23</v>
      </c>
      <c r="C185" s="2">
        <f>HYPERLINK("https://cao.dolgi.msk.ru/account/1080323778/", 1080323778)</f>
        <v>1080323778</v>
      </c>
      <c r="D185" t="s">
        <v>15</v>
      </c>
      <c r="E185">
        <v>-4504.38</v>
      </c>
      <c r="G185" t="s">
        <v>14</v>
      </c>
      <c r="I185" t="s">
        <v>13</v>
      </c>
    </row>
    <row r="186" spans="1:9" hidden="1" x14ac:dyDescent="0.25">
      <c r="A186" t="s">
        <v>210</v>
      </c>
      <c r="B186" t="s">
        <v>23</v>
      </c>
      <c r="C186" s="2">
        <f>HYPERLINK("https://cao.dolgi.msk.ru/account/1083383995/", 1083383995)</f>
        <v>1083383995</v>
      </c>
      <c r="D186" t="s">
        <v>15</v>
      </c>
      <c r="E186">
        <v>-4668.93</v>
      </c>
      <c r="F186">
        <v>-1.02</v>
      </c>
      <c r="G186" t="s">
        <v>12</v>
      </c>
      <c r="I186" t="s">
        <v>13</v>
      </c>
    </row>
    <row r="187" spans="1:9" hidden="1" x14ac:dyDescent="0.25">
      <c r="A187" t="s">
        <v>210</v>
      </c>
      <c r="B187" t="s">
        <v>24</v>
      </c>
      <c r="C187" s="2">
        <f>HYPERLINK("https://cao.dolgi.msk.ru/account/1080016401/", 1080016401)</f>
        <v>1080016401</v>
      </c>
      <c r="D187" t="s">
        <v>215</v>
      </c>
      <c r="E187">
        <v>291.83999999999997</v>
      </c>
      <c r="G187" t="s">
        <v>14</v>
      </c>
      <c r="I187" t="s">
        <v>13</v>
      </c>
    </row>
    <row r="188" spans="1:9" hidden="1" x14ac:dyDescent="0.25">
      <c r="A188" t="s">
        <v>210</v>
      </c>
      <c r="B188" t="s">
        <v>24</v>
      </c>
      <c r="C188" s="2">
        <f>HYPERLINK("https://cao.dolgi.msk.ru/account/1083384074/", 1083384074)</f>
        <v>1083384074</v>
      </c>
      <c r="D188" t="s">
        <v>215</v>
      </c>
      <c r="E188">
        <v>0</v>
      </c>
      <c r="F188">
        <v>0</v>
      </c>
      <c r="G188" t="s">
        <v>12</v>
      </c>
      <c r="I188" t="s">
        <v>13</v>
      </c>
    </row>
    <row r="189" spans="1:9" hidden="1" x14ac:dyDescent="0.25">
      <c r="A189" t="s">
        <v>210</v>
      </c>
      <c r="B189" t="s">
        <v>29</v>
      </c>
      <c r="C189" s="2">
        <f>HYPERLINK("https://cao.dolgi.msk.ru/account/1080016428/", 1080016428)</f>
        <v>1080016428</v>
      </c>
      <c r="D189" t="s">
        <v>216</v>
      </c>
      <c r="E189">
        <v>66.67</v>
      </c>
      <c r="G189" t="s">
        <v>14</v>
      </c>
      <c r="I189" t="s">
        <v>13</v>
      </c>
    </row>
    <row r="190" spans="1:9" hidden="1" x14ac:dyDescent="0.25">
      <c r="A190" t="s">
        <v>210</v>
      </c>
      <c r="B190" t="s">
        <v>29</v>
      </c>
      <c r="C190" s="2">
        <f>HYPERLINK("https://cao.dolgi.msk.ru/account/1083383936/", 1083383936)</f>
        <v>1083383936</v>
      </c>
      <c r="D190" t="s">
        <v>216</v>
      </c>
      <c r="E190">
        <v>-8669.69</v>
      </c>
      <c r="F190">
        <v>-1.01</v>
      </c>
      <c r="G190" t="s">
        <v>12</v>
      </c>
      <c r="I190" t="s">
        <v>13</v>
      </c>
    </row>
    <row r="191" spans="1:9" hidden="1" x14ac:dyDescent="0.25">
      <c r="A191" t="s">
        <v>210</v>
      </c>
      <c r="B191" t="s">
        <v>31</v>
      </c>
      <c r="C191" s="2">
        <f>HYPERLINK("https://cao.dolgi.msk.ru/account/1083383493/", 1083383493)</f>
        <v>1083383493</v>
      </c>
      <c r="D191" t="s">
        <v>217</v>
      </c>
      <c r="E191">
        <v>-8601.14</v>
      </c>
      <c r="F191">
        <v>-1.02</v>
      </c>
      <c r="G191" t="s">
        <v>12</v>
      </c>
      <c r="I191" t="s">
        <v>13</v>
      </c>
    </row>
    <row r="192" spans="1:9" hidden="1" x14ac:dyDescent="0.25">
      <c r="A192" t="s">
        <v>210</v>
      </c>
      <c r="B192" t="s">
        <v>33</v>
      </c>
      <c r="C192" s="2">
        <f>HYPERLINK("https://cao.dolgi.msk.ru/account/1080016452/", 1080016452)</f>
        <v>1080016452</v>
      </c>
      <c r="D192" t="s">
        <v>218</v>
      </c>
      <c r="E192">
        <v>-28.43</v>
      </c>
      <c r="G192" t="s">
        <v>14</v>
      </c>
      <c r="H192" t="s">
        <v>7</v>
      </c>
      <c r="I192" t="s">
        <v>13</v>
      </c>
    </row>
    <row r="193" spans="1:9" hidden="1" x14ac:dyDescent="0.25">
      <c r="A193" t="s">
        <v>210</v>
      </c>
      <c r="B193" t="s">
        <v>33</v>
      </c>
      <c r="C193" s="2">
        <f>HYPERLINK("https://cao.dolgi.msk.ru/account/1080016479/", 1080016479)</f>
        <v>1080016479</v>
      </c>
      <c r="D193" t="s">
        <v>218</v>
      </c>
      <c r="E193">
        <v>-12125.63</v>
      </c>
      <c r="G193" t="s">
        <v>14</v>
      </c>
      <c r="H193" t="s">
        <v>7</v>
      </c>
      <c r="I193" t="s">
        <v>13</v>
      </c>
    </row>
    <row r="194" spans="1:9" hidden="1" x14ac:dyDescent="0.25">
      <c r="A194" t="s">
        <v>210</v>
      </c>
      <c r="B194" t="s">
        <v>33</v>
      </c>
      <c r="C194" s="2">
        <f>HYPERLINK("https://cao.dolgi.msk.ru/account/1083383944/", 1083383944)</f>
        <v>1083383944</v>
      </c>
      <c r="D194" t="s">
        <v>218</v>
      </c>
      <c r="E194">
        <v>-4108.8100000000004</v>
      </c>
      <c r="F194">
        <v>-1.01</v>
      </c>
      <c r="G194" t="s">
        <v>12</v>
      </c>
      <c r="H194" t="s">
        <v>7</v>
      </c>
      <c r="I194" t="s">
        <v>13</v>
      </c>
    </row>
    <row r="195" spans="1:9" hidden="1" x14ac:dyDescent="0.25">
      <c r="A195" t="s">
        <v>210</v>
      </c>
      <c r="B195" t="s">
        <v>33</v>
      </c>
      <c r="C195" s="2">
        <f>HYPERLINK("https://cao.dolgi.msk.ru/account/1083384015/", 1083384015)</f>
        <v>1083384015</v>
      </c>
      <c r="D195" t="s">
        <v>219</v>
      </c>
      <c r="E195">
        <v>0</v>
      </c>
      <c r="G195" t="s">
        <v>12</v>
      </c>
      <c r="H195" t="s">
        <v>7</v>
      </c>
      <c r="I195" t="s">
        <v>13</v>
      </c>
    </row>
    <row r="196" spans="1:9" x14ac:dyDescent="0.25">
      <c r="A196" t="s">
        <v>210</v>
      </c>
      <c r="B196" t="s">
        <v>33</v>
      </c>
      <c r="C196" s="2">
        <f>HYPERLINK("https://cao.dolgi.msk.ru/account/1083384058/", 1083384058)</f>
        <v>1083384058</v>
      </c>
      <c r="D196" t="s">
        <v>218</v>
      </c>
      <c r="E196">
        <v>98246.42</v>
      </c>
      <c r="F196">
        <v>25.37</v>
      </c>
      <c r="G196" t="s">
        <v>12</v>
      </c>
      <c r="H196" t="s">
        <v>7</v>
      </c>
      <c r="I196" t="s">
        <v>13</v>
      </c>
    </row>
    <row r="197" spans="1:9" hidden="1" x14ac:dyDescent="0.25">
      <c r="A197" t="s">
        <v>210</v>
      </c>
      <c r="B197" t="s">
        <v>34</v>
      </c>
      <c r="C197" s="2">
        <f>HYPERLINK("https://cao.dolgi.msk.ru/account/1080016495/", 1080016495)</f>
        <v>1080016495</v>
      </c>
      <c r="D197" t="s">
        <v>220</v>
      </c>
      <c r="E197">
        <v>30.76</v>
      </c>
      <c r="G197" t="s">
        <v>14</v>
      </c>
      <c r="I197" t="s">
        <v>13</v>
      </c>
    </row>
    <row r="198" spans="1:9" hidden="1" x14ac:dyDescent="0.25">
      <c r="A198" t="s">
        <v>210</v>
      </c>
      <c r="B198" t="s">
        <v>34</v>
      </c>
      <c r="C198" s="2">
        <f>HYPERLINK("https://cao.dolgi.msk.ru/account/1083383979/", 1083383979)</f>
        <v>1083383979</v>
      </c>
      <c r="D198" t="s">
        <v>220</v>
      </c>
      <c r="E198">
        <v>-5755.64</v>
      </c>
      <c r="F198">
        <v>-1.02</v>
      </c>
      <c r="G198" t="s">
        <v>12</v>
      </c>
      <c r="I198" t="s">
        <v>13</v>
      </c>
    </row>
    <row r="199" spans="1:9" hidden="1" x14ac:dyDescent="0.25">
      <c r="A199" t="s">
        <v>210</v>
      </c>
      <c r="B199" t="s">
        <v>36</v>
      </c>
      <c r="C199" s="2">
        <f>HYPERLINK("https://cao.dolgi.msk.ru/account/1080016508/", 1080016508)</f>
        <v>1080016508</v>
      </c>
      <c r="D199" t="s">
        <v>221</v>
      </c>
      <c r="E199">
        <v>-28.43</v>
      </c>
      <c r="G199" t="s">
        <v>14</v>
      </c>
      <c r="I199" t="s">
        <v>13</v>
      </c>
    </row>
    <row r="200" spans="1:9" hidden="1" x14ac:dyDescent="0.25">
      <c r="A200" t="s">
        <v>210</v>
      </c>
      <c r="B200" t="s">
        <v>36</v>
      </c>
      <c r="C200" s="2">
        <f>HYPERLINK("https://cao.dolgi.msk.ru/account/1083384082/", 1083384082)</f>
        <v>1083384082</v>
      </c>
      <c r="D200" t="s">
        <v>221</v>
      </c>
      <c r="E200">
        <v>-3909.04</v>
      </c>
      <c r="F200">
        <v>-1.02</v>
      </c>
      <c r="G200" t="s">
        <v>12</v>
      </c>
      <c r="I200" t="s">
        <v>13</v>
      </c>
    </row>
    <row r="201" spans="1:9" hidden="1" x14ac:dyDescent="0.25">
      <c r="A201" t="s">
        <v>210</v>
      </c>
      <c r="B201" t="s">
        <v>38</v>
      </c>
      <c r="C201" s="2">
        <f>HYPERLINK("https://cao.dolgi.msk.ru/account/1080016516/", 1080016516)</f>
        <v>1080016516</v>
      </c>
      <c r="D201" t="s">
        <v>222</v>
      </c>
      <c r="E201">
        <v>26.38</v>
      </c>
      <c r="G201" t="s">
        <v>14</v>
      </c>
      <c r="I201" t="s">
        <v>13</v>
      </c>
    </row>
    <row r="202" spans="1:9" hidden="1" x14ac:dyDescent="0.25">
      <c r="A202" t="s">
        <v>210</v>
      </c>
      <c r="B202" t="s">
        <v>38</v>
      </c>
      <c r="C202" s="2">
        <f>HYPERLINK("https://cao.dolgi.msk.ru/account/1083383952/", 1083383952)</f>
        <v>1083383952</v>
      </c>
      <c r="D202" t="s">
        <v>222</v>
      </c>
      <c r="E202">
        <v>-4028.09</v>
      </c>
      <c r="F202">
        <v>-1.02</v>
      </c>
      <c r="G202" t="s">
        <v>12</v>
      </c>
      <c r="I202" t="s">
        <v>13</v>
      </c>
    </row>
    <row r="203" spans="1:9" hidden="1" x14ac:dyDescent="0.25">
      <c r="A203" t="s">
        <v>210</v>
      </c>
      <c r="B203" t="s">
        <v>39</v>
      </c>
      <c r="C203" s="2">
        <f>HYPERLINK("https://cao.dolgi.msk.ru/account/1080016524/", 1080016524)</f>
        <v>1080016524</v>
      </c>
      <c r="D203" t="s">
        <v>223</v>
      </c>
      <c r="E203">
        <v>651.69000000000005</v>
      </c>
      <c r="G203" t="s">
        <v>14</v>
      </c>
      <c r="I203" t="s">
        <v>13</v>
      </c>
    </row>
    <row r="204" spans="1:9" hidden="1" x14ac:dyDescent="0.25">
      <c r="A204" t="s">
        <v>210</v>
      </c>
      <c r="B204" t="s">
        <v>39</v>
      </c>
      <c r="C204" s="2">
        <f>HYPERLINK("https://cao.dolgi.msk.ru/account/1083384103/", 1083384103)</f>
        <v>1083384103</v>
      </c>
      <c r="D204" t="s">
        <v>223</v>
      </c>
      <c r="E204">
        <v>0</v>
      </c>
      <c r="F204">
        <v>0</v>
      </c>
      <c r="G204" t="s">
        <v>12</v>
      </c>
      <c r="I204" t="s">
        <v>13</v>
      </c>
    </row>
    <row r="205" spans="1:9" hidden="1" x14ac:dyDescent="0.25">
      <c r="A205" t="s">
        <v>210</v>
      </c>
      <c r="B205" t="s">
        <v>40</v>
      </c>
      <c r="C205" s="2">
        <f>HYPERLINK("https://cao.dolgi.msk.ru/account/1080016532/", 1080016532)</f>
        <v>1080016532</v>
      </c>
      <c r="D205" t="s">
        <v>224</v>
      </c>
      <c r="E205">
        <v>-13.39</v>
      </c>
      <c r="G205" t="s">
        <v>14</v>
      </c>
      <c r="I205" t="s">
        <v>13</v>
      </c>
    </row>
    <row r="206" spans="1:9" hidden="1" x14ac:dyDescent="0.25">
      <c r="A206" t="s">
        <v>210</v>
      </c>
      <c r="B206" t="s">
        <v>40</v>
      </c>
      <c r="C206" s="2">
        <f>HYPERLINK("https://cao.dolgi.msk.ru/account/1083384023/", 1083384023)</f>
        <v>1083384023</v>
      </c>
      <c r="D206" t="s">
        <v>224</v>
      </c>
      <c r="E206">
        <v>0</v>
      </c>
      <c r="F206">
        <v>0</v>
      </c>
      <c r="G206" t="s">
        <v>12</v>
      </c>
      <c r="I206" t="s">
        <v>13</v>
      </c>
    </row>
    <row r="207" spans="1:9" hidden="1" x14ac:dyDescent="0.25">
      <c r="A207" t="s">
        <v>210</v>
      </c>
      <c r="B207" t="s">
        <v>41</v>
      </c>
      <c r="C207" s="2">
        <f>HYPERLINK("https://cao.dolgi.msk.ru/account/1080016559/", 1080016559)</f>
        <v>1080016559</v>
      </c>
      <c r="D207" t="s">
        <v>225</v>
      </c>
      <c r="E207">
        <v>339.01</v>
      </c>
      <c r="G207" t="s">
        <v>14</v>
      </c>
      <c r="I207" t="s">
        <v>13</v>
      </c>
    </row>
    <row r="208" spans="1:9" hidden="1" x14ac:dyDescent="0.25">
      <c r="A208" t="s">
        <v>210</v>
      </c>
      <c r="B208" t="s">
        <v>41</v>
      </c>
      <c r="C208" s="2">
        <f>HYPERLINK("https://cao.dolgi.msk.ru/account/1083384111/", 1083384111)</f>
        <v>1083384111</v>
      </c>
      <c r="D208" t="s">
        <v>225</v>
      </c>
      <c r="E208">
        <v>-4519.67</v>
      </c>
      <c r="F208">
        <v>-0.95</v>
      </c>
      <c r="G208" t="s">
        <v>12</v>
      </c>
      <c r="I208" t="s">
        <v>13</v>
      </c>
    </row>
    <row r="209" spans="1:9" hidden="1" x14ac:dyDescent="0.25">
      <c r="A209" t="s">
        <v>210</v>
      </c>
      <c r="B209" t="s">
        <v>42</v>
      </c>
      <c r="C209" s="2">
        <f>HYPERLINK("https://cao.dolgi.msk.ru/account/1080016567/", 1080016567)</f>
        <v>1080016567</v>
      </c>
      <c r="D209" t="s">
        <v>226</v>
      </c>
      <c r="E209">
        <v>156.79</v>
      </c>
      <c r="G209" t="s">
        <v>14</v>
      </c>
      <c r="I209" t="s">
        <v>13</v>
      </c>
    </row>
    <row r="210" spans="1:9" hidden="1" x14ac:dyDescent="0.25">
      <c r="A210" t="s">
        <v>210</v>
      </c>
      <c r="B210" t="s">
        <v>42</v>
      </c>
      <c r="C210" s="2">
        <f>HYPERLINK("https://cao.dolgi.msk.ru/account/1083383987/", 1083383987)</f>
        <v>1083383987</v>
      </c>
      <c r="D210" t="s">
        <v>226</v>
      </c>
      <c r="E210">
        <v>-5229.72</v>
      </c>
      <c r="F210">
        <v>-1.02</v>
      </c>
      <c r="G210" t="s">
        <v>12</v>
      </c>
      <c r="I210" t="s">
        <v>13</v>
      </c>
    </row>
    <row r="211" spans="1:9" hidden="1" x14ac:dyDescent="0.25">
      <c r="A211" t="s">
        <v>210</v>
      </c>
      <c r="B211" t="s">
        <v>44</v>
      </c>
      <c r="C211" s="2">
        <f>HYPERLINK("https://cao.dolgi.msk.ru/account/1080016575/", 1080016575)</f>
        <v>1080016575</v>
      </c>
      <c r="D211" t="s">
        <v>227</v>
      </c>
      <c r="E211">
        <v>191</v>
      </c>
      <c r="G211" t="s">
        <v>14</v>
      </c>
      <c r="H211" t="s">
        <v>7</v>
      </c>
      <c r="I211" t="s">
        <v>13</v>
      </c>
    </row>
    <row r="212" spans="1:9" hidden="1" x14ac:dyDescent="0.25">
      <c r="A212" t="s">
        <v>210</v>
      </c>
      <c r="B212" t="s">
        <v>44</v>
      </c>
      <c r="C212" s="2">
        <f>HYPERLINK("https://cao.dolgi.msk.ru/account/1080016583/", 1080016583)</f>
        <v>1080016583</v>
      </c>
      <c r="D212" t="s">
        <v>227</v>
      </c>
      <c r="E212">
        <v>1484.09</v>
      </c>
      <c r="G212" t="s">
        <v>14</v>
      </c>
      <c r="H212" t="s">
        <v>7</v>
      </c>
      <c r="I212" t="s">
        <v>13</v>
      </c>
    </row>
    <row r="213" spans="1:9" x14ac:dyDescent="0.25">
      <c r="A213" t="s">
        <v>210</v>
      </c>
      <c r="B213" t="s">
        <v>44</v>
      </c>
      <c r="C213" s="2">
        <f>HYPERLINK("https://cao.dolgi.msk.ru/account/1083384031/", 1083384031)</f>
        <v>1083384031</v>
      </c>
      <c r="D213" t="s">
        <v>227</v>
      </c>
      <c r="E213">
        <v>43574.76</v>
      </c>
      <c r="F213">
        <v>10.050000000000001</v>
      </c>
      <c r="G213" t="s">
        <v>12</v>
      </c>
      <c r="H213" t="s">
        <v>7</v>
      </c>
      <c r="I213" t="s">
        <v>13</v>
      </c>
    </row>
    <row r="214" spans="1:9" hidden="1" x14ac:dyDescent="0.25">
      <c r="A214" t="s">
        <v>210</v>
      </c>
      <c r="B214" t="s">
        <v>44</v>
      </c>
      <c r="C214" s="2">
        <f>HYPERLINK("https://cao.dolgi.msk.ru/account/1083384138/", 1083384138)</f>
        <v>1083384138</v>
      </c>
      <c r="D214" t="s">
        <v>227</v>
      </c>
      <c r="E214">
        <v>-4524.7299999999996</v>
      </c>
      <c r="F214">
        <v>-1.19</v>
      </c>
      <c r="G214" t="s">
        <v>12</v>
      </c>
      <c r="H214" t="s">
        <v>7</v>
      </c>
      <c r="I214" t="s">
        <v>13</v>
      </c>
    </row>
    <row r="215" spans="1:9" hidden="1" x14ac:dyDescent="0.25">
      <c r="A215" t="s">
        <v>228</v>
      </c>
      <c r="B215" t="s">
        <v>10</v>
      </c>
      <c r="C215" s="2">
        <f>HYPERLINK("https://cao.dolgi.msk.ru/account/1080075153/", 1080075153)</f>
        <v>1080075153</v>
      </c>
      <c r="D215" t="s">
        <v>229</v>
      </c>
      <c r="E215">
        <v>-7042.89</v>
      </c>
      <c r="F215">
        <v>-0.96</v>
      </c>
      <c r="G215" t="s">
        <v>12</v>
      </c>
      <c r="I215" t="s">
        <v>230</v>
      </c>
    </row>
    <row r="216" spans="1:9" hidden="1" x14ac:dyDescent="0.25">
      <c r="A216" t="s">
        <v>228</v>
      </c>
      <c r="B216" t="s">
        <v>231</v>
      </c>
      <c r="C216" s="2">
        <f>HYPERLINK("https://cao.dolgi.msk.ru/account/1080075161/", 1080075161)</f>
        <v>1080075161</v>
      </c>
      <c r="D216" t="s">
        <v>232</v>
      </c>
      <c r="E216">
        <v>-7992</v>
      </c>
      <c r="F216">
        <v>-1.06</v>
      </c>
      <c r="G216" t="s">
        <v>12</v>
      </c>
      <c r="I216" t="s">
        <v>230</v>
      </c>
    </row>
    <row r="217" spans="1:9" hidden="1" x14ac:dyDescent="0.25">
      <c r="A217" t="s">
        <v>228</v>
      </c>
      <c r="B217" t="s">
        <v>16</v>
      </c>
      <c r="C217" s="2">
        <f>HYPERLINK("https://cao.dolgi.msk.ru/account/1080075196/", 1080075196)</f>
        <v>1080075196</v>
      </c>
      <c r="D217" t="s">
        <v>233</v>
      </c>
      <c r="E217">
        <v>83.5</v>
      </c>
      <c r="F217">
        <v>0.02</v>
      </c>
      <c r="G217" t="s">
        <v>12</v>
      </c>
      <c r="I217" t="s">
        <v>230</v>
      </c>
    </row>
    <row r="218" spans="1:9" hidden="1" x14ac:dyDescent="0.25">
      <c r="A218" t="s">
        <v>228</v>
      </c>
      <c r="B218" t="s">
        <v>234</v>
      </c>
      <c r="C218" s="2">
        <f>HYPERLINK("https://cao.dolgi.msk.ru/account/1080075209/", 1080075209)</f>
        <v>1080075209</v>
      </c>
      <c r="D218" t="s">
        <v>235</v>
      </c>
      <c r="E218">
        <v>-761.31</v>
      </c>
      <c r="F218">
        <v>-0.2</v>
      </c>
      <c r="G218" t="s">
        <v>12</v>
      </c>
      <c r="I218" t="s">
        <v>230</v>
      </c>
    </row>
    <row r="219" spans="1:9" hidden="1" x14ac:dyDescent="0.25">
      <c r="A219" t="s">
        <v>228</v>
      </c>
      <c r="B219" t="s">
        <v>18</v>
      </c>
      <c r="C219" s="2">
        <f>HYPERLINK("https://cao.dolgi.msk.ru/account/1080075217/", 1080075217)</f>
        <v>1080075217</v>
      </c>
      <c r="D219" t="s">
        <v>236</v>
      </c>
      <c r="E219">
        <v>-6787</v>
      </c>
      <c r="F219">
        <v>-0.57999999999999996</v>
      </c>
      <c r="G219" t="s">
        <v>12</v>
      </c>
      <c r="I219" t="s">
        <v>230</v>
      </c>
    </row>
    <row r="220" spans="1:9" hidden="1" x14ac:dyDescent="0.25">
      <c r="A220" t="s">
        <v>228</v>
      </c>
      <c r="B220" t="s">
        <v>237</v>
      </c>
      <c r="C220" s="2">
        <f>HYPERLINK("https://cao.dolgi.msk.ru/account/1080075225/", 1080075225)</f>
        <v>1080075225</v>
      </c>
      <c r="D220" t="s">
        <v>238</v>
      </c>
      <c r="E220">
        <v>-5363.57</v>
      </c>
      <c r="F220">
        <v>-1.0900000000000001</v>
      </c>
      <c r="G220" t="s">
        <v>12</v>
      </c>
      <c r="I220" t="s">
        <v>230</v>
      </c>
    </row>
    <row r="221" spans="1:9" hidden="1" x14ac:dyDescent="0.25">
      <c r="A221" t="s">
        <v>228</v>
      </c>
      <c r="B221" t="s">
        <v>20</v>
      </c>
      <c r="C221" s="2">
        <f>HYPERLINK("https://cao.dolgi.msk.ru/account/1080075233/", 1080075233)</f>
        <v>1080075233</v>
      </c>
      <c r="D221" t="s">
        <v>239</v>
      </c>
      <c r="E221">
        <v>-4802.4399999999996</v>
      </c>
      <c r="F221">
        <v>-0.94</v>
      </c>
      <c r="G221" t="s">
        <v>12</v>
      </c>
      <c r="I221" t="s">
        <v>230</v>
      </c>
    </row>
    <row r="222" spans="1:9" hidden="1" x14ac:dyDescent="0.25">
      <c r="A222" t="s">
        <v>228</v>
      </c>
      <c r="B222" t="s">
        <v>240</v>
      </c>
      <c r="C222" s="2">
        <f>HYPERLINK("https://cao.dolgi.msk.ru/account/1080075241/", 1080075241)</f>
        <v>1080075241</v>
      </c>
      <c r="D222" t="s">
        <v>62</v>
      </c>
      <c r="E222">
        <v>5470.1</v>
      </c>
      <c r="F222">
        <v>0.59</v>
      </c>
      <c r="G222" t="s">
        <v>12</v>
      </c>
      <c r="I222" t="s">
        <v>230</v>
      </c>
    </row>
    <row r="223" spans="1:9" hidden="1" x14ac:dyDescent="0.25">
      <c r="A223" t="s">
        <v>228</v>
      </c>
      <c r="B223" t="s">
        <v>21</v>
      </c>
      <c r="C223" s="2">
        <f>HYPERLINK("https://cao.dolgi.msk.ru/account/1080075268/", 1080075268)</f>
        <v>1080075268</v>
      </c>
      <c r="D223" t="s">
        <v>241</v>
      </c>
      <c r="E223">
        <v>-127.4</v>
      </c>
      <c r="F223">
        <v>-0.02</v>
      </c>
      <c r="G223" t="s">
        <v>12</v>
      </c>
      <c r="I223" t="s">
        <v>230</v>
      </c>
    </row>
    <row r="224" spans="1:9" hidden="1" x14ac:dyDescent="0.25">
      <c r="A224" t="s">
        <v>228</v>
      </c>
      <c r="B224" t="s">
        <v>21</v>
      </c>
      <c r="C224" s="2">
        <f>HYPERLINK("https://cao.dolgi.msk.ru/account/1080075276/", 1080075276)</f>
        <v>1080075276</v>
      </c>
      <c r="D224" t="s">
        <v>15</v>
      </c>
      <c r="G224" t="s">
        <v>14</v>
      </c>
      <c r="I224" t="s">
        <v>230</v>
      </c>
    </row>
    <row r="225" spans="1:9" hidden="1" x14ac:dyDescent="0.25">
      <c r="A225" t="s">
        <v>228</v>
      </c>
      <c r="B225" t="s">
        <v>242</v>
      </c>
      <c r="C225" s="2">
        <f>HYPERLINK("https://cao.dolgi.msk.ru/account/1080075284/", 1080075284)</f>
        <v>1080075284</v>
      </c>
      <c r="D225" t="s">
        <v>243</v>
      </c>
      <c r="E225">
        <v>-16882.8</v>
      </c>
      <c r="F225">
        <v>-3.58</v>
      </c>
      <c r="G225" t="s">
        <v>12</v>
      </c>
      <c r="I225" t="s">
        <v>230</v>
      </c>
    </row>
    <row r="226" spans="1:9" hidden="1" x14ac:dyDescent="0.25">
      <c r="A226" t="s">
        <v>228</v>
      </c>
      <c r="B226" t="s">
        <v>22</v>
      </c>
      <c r="C226" s="2">
        <f>HYPERLINK("https://cao.dolgi.msk.ru/account/1080075292/", 1080075292)</f>
        <v>1080075292</v>
      </c>
      <c r="D226" t="s">
        <v>244</v>
      </c>
      <c r="E226">
        <v>-4872.42</v>
      </c>
      <c r="F226">
        <v>-0.89</v>
      </c>
      <c r="G226" t="s">
        <v>12</v>
      </c>
      <c r="I226" t="s">
        <v>230</v>
      </c>
    </row>
    <row r="227" spans="1:9" hidden="1" x14ac:dyDescent="0.25">
      <c r="A227" t="s">
        <v>228</v>
      </c>
      <c r="B227" t="s">
        <v>245</v>
      </c>
      <c r="C227" s="2">
        <f>HYPERLINK("https://cao.dolgi.msk.ru/account/1080075305/", 1080075305)</f>
        <v>1080075305</v>
      </c>
      <c r="D227" t="s">
        <v>246</v>
      </c>
      <c r="E227">
        <v>-745.24</v>
      </c>
      <c r="F227">
        <v>-0.28000000000000003</v>
      </c>
      <c r="G227" t="s">
        <v>12</v>
      </c>
      <c r="I227" t="s">
        <v>230</v>
      </c>
    </row>
    <row r="228" spans="1:9" hidden="1" x14ac:dyDescent="0.25">
      <c r="A228" t="s">
        <v>228</v>
      </c>
      <c r="B228" t="s">
        <v>23</v>
      </c>
      <c r="C228" s="2">
        <f>HYPERLINK("https://cao.dolgi.msk.ru/account/1080075313/", 1080075313)</f>
        <v>1080075313</v>
      </c>
      <c r="D228" t="s">
        <v>247</v>
      </c>
      <c r="E228">
        <v>-8392.73</v>
      </c>
      <c r="F228">
        <v>-0.94</v>
      </c>
      <c r="G228" t="s">
        <v>12</v>
      </c>
      <c r="I228" t="s">
        <v>230</v>
      </c>
    </row>
    <row r="229" spans="1:9" hidden="1" x14ac:dyDescent="0.25">
      <c r="A229" t="s">
        <v>228</v>
      </c>
      <c r="B229" t="s">
        <v>248</v>
      </c>
      <c r="C229" s="2">
        <f>HYPERLINK("https://cao.dolgi.msk.ru/account/1080075348/", 1080075348)</f>
        <v>1080075348</v>
      </c>
      <c r="D229" t="s">
        <v>249</v>
      </c>
      <c r="E229">
        <v>-14839.14</v>
      </c>
      <c r="F229">
        <v>-2.73</v>
      </c>
      <c r="G229" t="s">
        <v>12</v>
      </c>
      <c r="I229" t="s">
        <v>230</v>
      </c>
    </row>
    <row r="230" spans="1:9" hidden="1" x14ac:dyDescent="0.25">
      <c r="A230" t="s">
        <v>228</v>
      </c>
      <c r="B230" t="s">
        <v>24</v>
      </c>
      <c r="C230" s="2">
        <f>HYPERLINK("https://cao.dolgi.msk.ru/account/1080075356/", 1080075356)</f>
        <v>1080075356</v>
      </c>
      <c r="D230" t="s">
        <v>250</v>
      </c>
      <c r="E230">
        <v>-4332.24</v>
      </c>
      <c r="F230">
        <v>-1.43</v>
      </c>
      <c r="G230" t="s">
        <v>12</v>
      </c>
      <c r="I230" t="s">
        <v>230</v>
      </c>
    </row>
    <row r="231" spans="1:9" hidden="1" x14ac:dyDescent="0.25">
      <c r="A231" t="s">
        <v>228</v>
      </c>
      <c r="B231" t="s">
        <v>251</v>
      </c>
      <c r="C231" s="2">
        <f>HYPERLINK("https://cao.dolgi.msk.ru/account/1080075364/", 1080075364)</f>
        <v>1080075364</v>
      </c>
      <c r="D231" t="s">
        <v>252</v>
      </c>
      <c r="E231">
        <v>-1881.51</v>
      </c>
      <c r="F231">
        <v>-1.06</v>
      </c>
      <c r="G231" t="s">
        <v>12</v>
      </c>
      <c r="I231" t="s">
        <v>230</v>
      </c>
    </row>
    <row r="232" spans="1:9" hidden="1" x14ac:dyDescent="0.25">
      <c r="A232" t="s">
        <v>228</v>
      </c>
      <c r="B232" t="s">
        <v>251</v>
      </c>
      <c r="C232" s="2">
        <f>HYPERLINK("https://cao.dolgi.msk.ru/account/1083271301/", 1083271301)</f>
        <v>1083271301</v>
      </c>
      <c r="D232" t="s">
        <v>15</v>
      </c>
      <c r="E232">
        <v>-2030.54</v>
      </c>
      <c r="F232">
        <v>-1.03</v>
      </c>
      <c r="G232" t="s">
        <v>12</v>
      </c>
      <c r="I232" t="s">
        <v>230</v>
      </c>
    </row>
    <row r="233" spans="1:9" hidden="1" x14ac:dyDescent="0.25">
      <c r="A233" t="s">
        <v>228</v>
      </c>
      <c r="B233" t="s">
        <v>27</v>
      </c>
      <c r="C233" s="2">
        <f>HYPERLINK("https://cao.dolgi.msk.ru/account/1080075399/", 1080075399)</f>
        <v>1080075399</v>
      </c>
      <c r="D233" t="s">
        <v>253</v>
      </c>
      <c r="E233">
        <v>-5794.92</v>
      </c>
      <c r="F233">
        <v>-1.02</v>
      </c>
      <c r="G233" t="s">
        <v>12</v>
      </c>
      <c r="I233" t="s">
        <v>230</v>
      </c>
    </row>
    <row r="234" spans="1:9" hidden="1" x14ac:dyDescent="0.25">
      <c r="A234" t="s">
        <v>228</v>
      </c>
      <c r="B234" t="s">
        <v>254</v>
      </c>
      <c r="C234" s="2">
        <f>HYPERLINK("https://cao.dolgi.msk.ru/account/1080075372/", 1080075372)</f>
        <v>1080075372</v>
      </c>
      <c r="D234" t="s">
        <v>62</v>
      </c>
      <c r="E234">
        <v>-8085.54</v>
      </c>
      <c r="F234">
        <v>-0.98</v>
      </c>
      <c r="G234" t="s">
        <v>12</v>
      </c>
      <c r="I234" t="s">
        <v>230</v>
      </c>
    </row>
    <row r="235" spans="1:9" hidden="1" x14ac:dyDescent="0.25">
      <c r="A235" t="s">
        <v>228</v>
      </c>
      <c r="B235" t="s">
        <v>29</v>
      </c>
      <c r="C235" s="2">
        <f>HYPERLINK("https://cao.dolgi.msk.ru/account/1080075401/", 1080075401)</f>
        <v>1080075401</v>
      </c>
      <c r="D235" t="s">
        <v>255</v>
      </c>
      <c r="E235">
        <v>64</v>
      </c>
      <c r="F235">
        <v>0.01</v>
      </c>
      <c r="G235" t="s">
        <v>12</v>
      </c>
      <c r="I235" t="s">
        <v>230</v>
      </c>
    </row>
    <row r="236" spans="1:9" hidden="1" x14ac:dyDescent="0.25">
      <c r="A236" t="s">
        <v>228</v>
      </c>
      <c r="B236" t="s">
        <v>256</v>
      </c>
      <c r="C236" s="2">
        <f>HYPERLINK("https://cao.dolgi.msk.ru/account/1080075428/", 1080075428)</f>
        <v>1080075428</v>
      </c>
      <c r="D236" t="s">
        <v>257</v>
      </c>
      <c r="E236">
        <v>-2292.27</v>
      </c>
      <c r="F236">
        <v>-1.04</v>
      </c>
      <c r="G236" t="s">
        <v>12</v>
      </c>
      <c r="H236" t="s">
        <v>7</v>
      </c>
      <c r="I236" t="s">
        <v>230</v>
      </c>
    </row>
    <row r="237" spans="1:9" hidden="1" x14ac:dyDescent="0.25">
      <c r="A237" t="s">
        <v>228</v>
      </c>
      <c r="B237" t="s">
        <v>256</v>
      </c>
      <c r="C237" s="2">
        <f>HYPERLINK("https://cao.dolgi.msk.ru/account/1080075436/", 1080075436)</f>
        <v>1080075436</v>
      </c>
      <c r="D237" t="s">
        <v>258</v>
      </c>
      <c r="E237">
        <v>-0.49</v>
      </c>
      <c r="F237">
        <v>0</v>
      </c>
      <c r="G237" t="s">
        <v>12</v>
      </c>
      <c r="H237" t="s">
        <v>7</v>
      </c>
      <c r="I237" t="s">
        <v>230</v>
      </c>
    </row>
    <row r="238" spans="1:9" hidden="1" x14ac:dyDescent="0.25">
      <c r="A238" t="s">
        <v>228</v>
      </c>
      <c r="B238" t="s">
        <v>31</v>
      </c>
      <c r="C238" s="2">
        <f>HYPERLINK("https://cao.dolgi.msk.ru/account/1080075444/", 1080075444)</f>
        <v>1080075444</v>
      </c>
      <c r="D238" t="s">
        <v>259</v>
      </c>
      <c r="E238">
        <v>-8230.06</v>
      </c>
      <c r="F238">
        <v>-1.21</v>
      </c>
      <c r="G238" t="s">
        <v>12</v>
      </c>
      <c r="I238" t="s">
        <v>230</v>
      </c>
    </row>
    <row r="239" spans="1:9" x14ac:dyDescent="0.25">
      <c r="A239" t="s">
        <v>228</v>
      </c>
      <c r="B239" t="s">
        <v>260</v>
      </c>
      <c r="C239" s="2">
        <f>HYPERLINK("https://cao.dolgi.msk.ru/account/1080075452/", 1080075452)</f>
        <v>1080075452</v>
      </c>
      <c r="D239" t="s">
        <v>261</v>
      </c>
      <c r="E239">
        <v>765783.31</v>
      </c>
      <c r="F239">
        <v>40.28</v>
      </c>
      <c r="G239" t="s">
        <v>12</v>
      </c>
      <c r="I239" t="s">
        <v>230</v>
      </c>
    </row>
    <row r="240" spans="1:9" hidden="1" x14ac:dyDescent="0.25">
      <c r="A240" t="s">
        <v>228</v>
      </c>
      <c r="B240" t="s">
        <v>33</v>
      </c>
      <c r="C240" s="2">
        <f>HYPERLINK("https://cao.dolgi.msk.ru/account/1080075479/", 1080075479)</f>
        <v>1080075479</v>
      </c>
      <c r="D240" t="s">
        <v>262</v>
      </c>
      <c r="E240">
        <v>-7074.57</v>
      </c>
      <c r="F240">
        <v>-1.08</v>
      </c>
      <c r="G240" t="s">
        <v>12</v>
      </c>
      <c r="I240" t="s">
        <v>230</v>
      </c>
    </row>
    <row r="241" spans="1:9" hidden="1" x14ac:dyDescent="0.25">
      <c r="A241" t="s">
        <v>228</v>
      </c>
      <c r="B241" t="s">
        <v>263</v>
      </c>
      <c r="C241" s="2">
        <f>HYPERLINK("https://cao.dolgi.msk.ru/account/1080075487/", 1080075487)</f>
        <v>1080075487</v>
      </c>
      <c r="D241" t="s">
        <v>264</v>
      </c>
      <c r="E241">
        <v>-3737.99</v>
      </c>
      <c r="F241">
        <v>-1</v>
      </c>
      <c r="G241" t="s">
        <v>12</v>
      </c>
      <c r="I241" t="s">
        <v>230</v>
      </c>
    </row>
    <row r="242" spans="1:9" hidden="1" x14ac:dyDescent="0.25">
      <c r="A242" t="s">
        <v>228</v>
      </c>
      <c r="B242" t="s">
        <v>38</v>
      </c>
      <c r="C242" s="2">
        <f>HYPERLINK("https://cao.dolgi.msk.ru/account/1080075495/", 1080075495)</f>
        <v>1080075495</v>
      </c>
      <c r="D242" t="s">
        <v>265</v>
      </c>
      <c r="E242">
        <v>-5265.87</v>
      </c>
      <c r="F242">
        <v>-1.04</v>
      </c>
      <c r="G242" t="s">
        <v>12</v>
      </c>
      <c r="I242" t="s">
        <v>230</v>
      </c>
    </row>
    <row r="243" spans="1:9" x14ac:dyDescent="0.25">
      <c r="A243" t="s">
        <v>228</v>
      </c>
      <c r="B243" t="s">
        <v>39</v>
      </c>
      <c r="C243" s="2">
        <f>HYPERLINK("https://cao.dolgi.msk.ru/account/1080075508/", 1080075508)</f>
        <v>1080075508</v>
      </c>
      <c r="D243" t="s">
        <v>266</v>
      </c>
      <c r="E243">
        <v>94977.39</v>
      </c>
      <c r="F243">
        <v>14.12</v>
      </c>
      <c r="G243" t="s">
        <v>12</v>
      </c>
      <c r="H243" t="s">
        <v>7</v>
      </c>
      <c r="I243" t="s">
        <v>230</v>
      </c>
    </row>
    <row r="244" spans="1:9" x14ac:dyDescent="0.25">
      <c r="A244" t="s">
        <v>228</v>
      </c>
      <c r="B244" t="s">
        <v>39</v>
      </c>
      <c r="C244" s="2">
        <f>HYPERLINK("https://cao.dolgi.msk.ru/account/1080075516/", 1080075516)</f>
        <v>1080075516</v>
      </c>
      <c r="D244" t="s">
        <v>267</v>
      </c>
      <c r="E244">
        <v>4077.87</v>
      </c>
      <c r="F244">
        <v>1.1100000000000001</v>
      </c>
      <c r="G244" t="s">
        <v>12</v>
      </c>
      <c r="H244" t="s">
        <v>7</v>
      </c>
      <c r="I244" t="s">
        <v>230</v>
      </c>
    </row>
    <row r="245" spans="1:9" hidden="1" x14ac:dyDescent="0.25">
      <c r="A245" t="s">
        <v>228</v>
      </c>
      <c r="B245" t="s">
        <v>40</v>
      </c>
      <c r="C245" s="2">
        <f>HYPERLINK("https://cao.dolgi.msk.ru/account/1080075524/", 1080075524)</f>
        <v>1080075524</v>
      </c>
      <c r="D245" t="s">
        <v>62</v>
      </c>
      <c r="E245">
        <v>2748.18</v>
      </c>
      <c r="F245">
        <v>0.88</v>
      </c>
      <c r="G245" t="s">
        <v>12</v>
      </c>
      <c r="I245" t="s">
        <v>230</v>
      </c>
    </row>
    <row r="246" spans="1:9" hidden="1" x14ac:dyDescent="0.25">
      <c r="A246" t="s">
        <v>228</v>
      </c>
      <c r="B246" t="s">
        <v>268</v>
      </c>
      <c r="C246" s="2">
        <f>HYPERLINK("https://cao.dolgi.msk.ru/account/1080075532/", 1080075532)</f>
        <v>1080075532</v>
      </c>
      <c r="D246" t="s">
        <v>269</v>
      </c>
      <c r="E246">
        <v>-6516.79</v>
      </c>
      <c r="F246">
        <v>-1.05</v>
      </c>
      <c r="G246" t="s">
        <v>12</v>
      </c>
      <c r="I246" t="s">
        <v>230</v>
      </c>
    </row>
    <row r="247" spans="1:9" hidden="1" x14ac:dyDescent="0.25">
      <c r="A247" t="s">
        <v>228</v>
      </c>
      <c r="B247" t="s">
        <v>41</v>
      </c>
      <c r="C247" s="2">
        <f>HYPERLINK("https://cao.dolgi.msk.ru/account/1080075559/", 1080075559)</f>
        <v>1080075559</v>
      </c>
      <c r="D247" t="s">
        <v>270</v>
      </c>
      <c r="E247">
        <v>-26943.81</v>
      </c>
      <c r="F247">
        <v>-3.47</v>
      </c>
      <c r="G247" t="s">
        <v>12</v>
      </c>
      <c r="I247" t="s">
        <v>230</v>
      </c>
    </row>
    <row r="248" spans="1:9" hidden="1" x14ac:dyDescent="0.25">
      <c r="A248" t="s">
        <v>228</v>
      </c>
      <c r="B248" t="s">
        <v>42</v>
      </c>
      <c r="C248" s="2">
        <f>HYPERLINK("https://cao.dolgi.msk.ru/account/1080075567/", 1080075567)</f>
        <v>1080075567</v>
      </c>
      <c r="D248" t="s">
        <v>271</v>
      </c>
      <c r="E248">
        <v>-5755.39</v>
      </c>
      <c r="F248">
        <v>-1.17</v>
      </c>
      <c r="G248" t="s">
        <v>12</v>
      </c>
      <c r="I248" t="s">
        <v>230</v>
      </c>
    </row>
    <row r="249" spans="1:9" hidden="1" x14ac:dyDescent="0.25">
      <c r="A249" t="s">
        <v>228</v>
      </c>
      <c r="B249" t="s">
        <v>272</v>
      </c>
      <c r="C249" s="2">
        <f>HYPERLINK("https://cao.dolgi.msk.ru/account/1080075575/", 1080075575)</f>
        <v>1080075575</v>
      </c>
      <c r="D249" t="s">
        <v>273</v>
      </c>
      <c r="E249">
        <v>-8045.96</v>
      </c>
      <c r="F249">
        <v>-1.1399999999999999</v>
      </c>
      <c r="G249" t="s">
        <v>12</v>
      </c>
      <c r="I249" t="s">
        <v>230</v>
      </c>
    </row>
    <row r="250" spans="1:9" hidden="1" x14ac:dyDescent="0.25">
      <c r="A250" t="s">
        <v>228</v>
      </c>
      <c r="B250" t="s">
        <v>274</v>
      </c>
      <c r="C250" s="2">
        <f>HYPERLINK("https://cao.dolgi.msk.ru/account/1080075583/", 1080075583)</f>
        <v>1080075583</v>
      </c>
      <c r="D250" t="s">
        <v>275</v>
      </c>
      <c r="E250">
        <v>-8180.38</v>
      </c>
      <c r="F250">
        <v>-1.2</v>
      </c>
      <c r="G250" t="s">
        <v>12</v>
      </c>
      <c r="I250" t="s">
        <v>230</v>
      </c>
    </row>
    <row r="251" spans="1:9" hidden="1" x14ac:dyDescent="0.25">
      <c r="A251" t="s">
        <v>228</v>
      </c>
      <c r="B251" t="s">
        <v>44</v>
      </c>
      <c r="C251" s="2">
        <f>HYPERLINK("https://cao.dolgi.msk.ru/account/1080075591/", 1080075591)</f>
        <v>1080075591</v>
      </c>
      <c r="D251" t="s">
        <v>276</v>
      </c>
      <c r="E251">
        <v>-3365.41</v>
      </c>
      <c r="F251">
        <v>-1.22</v>
      </c>
      <c r="G251" t="s">
        <v>12</v>
      </c>
      <c r="I251" t="s">
        <v>230</v>
      </c>
    </row>
    <row r="252" spans="1:9" hidden="1" x14ac:dyDescent="0.25">
      <c r="A252" t="s">
        <v>228</v>
      </c>
      <c r="B252" t="s">
        <v>277</v>
      </c>
      <c r="C252" s="2">
        <f>HYPERLINK("https://cao.dolgi.msk.ru/account/1080075604/", 1080075604)</f>
        <v>1080075604</v>
      </c>
      <c r="D252" t="s">
        <v>278</v>
      </c>
      <c r="E252">
        <v>-5821.12</v>
      </c>
      <c r="F252">
        <v>-1.1399999999999999</v>
      </c>
      <c r="G252" t="s">
        <v>12</v>
      </c>
      <c r="I252" t="s">
        <v>230</v>
      </c>
    </row>
    <row r="253" spans="1:9" hidden="1" x14ac:dyDescent="0.25">
      <c r="A253" t="s">
        <v>228</v>
      </c>
      <c r="B253" t="s">
        <v>279</v>
      </c>
      <c r="C253" s="2">
        <f>HYPERLINK("https://cao.dolgi.msk.ru/account/1080075612/", 1080075612)</f>
        <v>1080075612</v>
      </c>
      <c r="D253" t="s">
        <v>280</v>
      </c>
      <c r="E253">
        <v>1900.34</v>
      </c>
      <c r="F253">
        <v>0.27</v>
      </c>
      <c r="G253" t="s">
        <v>12</v>
      </c>
      <c r="I253" t="s">
        <v>230</v>
      </c>
    </row>
    <row r="254" spans="1:9" hidden="1" x14ac:dyDescent="0.25">
      <c r="A254" t="s">
        <v>228</v>
      </c>
      <c r="B254" t="s">
        <v>66</v>
      </c>
      <c r="C254" s="2">
        <f>HYPERLINK("https://cao.dolgi.msk.ru/account/1080075639/", 1080075639)</f>
        <v>1080075639</v>
      </c>
      <c r="D254" t="s">
        <v>281</v>
      </c>
      <c r="E254">
        <v>5577.65</v>
      </c>
      <c r="F254">
        <v>0.88</v>
      </c>
      <c r="G254" t="s">
        <v>12</v>
      </c>
      <c r="I254" t="s">
        <v>230</v>
      </c>
    </row>
    <row r="255" spans="1:9" hidden="1" x14ac:dyDescent="0.25">
      <c r="A255" t="s">
        <v>228</v>
      </c>
      <c r="B255" t="s">
        <v>282</v>
      </c>
      <c r="C255" s="2">
        <f>HYPERLINK("https://cao.dolgi.msk.ru/account/1080075647/", 1080075647)</f>
        <v>1080075647</v>
      </c>
      <c r="D255" t="s">
        <v>283</v>
      </c>
      <c r="E255">
        <v>-8449.7199999999993</v>
      </c>
      <c r="F255">
        <v>-1.1399999999999999</v>
      </c>
      <c r="G255" t="s">
        <v>12</v>
      </c>
      <c r="I255" t="s">
        <v>230</v>
      </c>
    </row>
    <row r="256" spans="1:9" hidden="1" x14ac:dyDescent="0.25">
      <c r="A256" t="s">
        <v>228</v>
      </c>
      <c r="B256" t="s">
        <v>68</v>
      </c>
      <c r="C256" s="2">
        <f>HYPERLINK("https://cao.dolgi.msk.ru/account/1080075655/", 1080075655)</f>
        <v>1080075655</v>
      </c>
      <c r="D256" t="s">
        <v>284</v>
      </c>
      <c r="E256">
        <v>75.81</v>
      </c>
      <c r="F256">
        <v>0.01</v>
      </c>
      <c r="G256" t="s">
        <v>12</v>
      </c>
      <c r="I256" t="s">
        <v>230</v>
      </c>
    </row>
    <row r="257" spans="1:9" hidden="1" x14ac:dyDescent="0.25">
      <c r="A257" t="s">
        <v>228</v>
      </c>
      <c r="B257" t="s">
        <v>70</v>
      </c>
      <c r="C257" s="2">
        <f>HYPERLINK("https://cao.dolgi.msk.ru/account/1080075663/", 1080075663)</f>
        <v>1080075663</v>
      </c>
      <c r="D257" t="s">
        <v>15</v>
      </c>
      <c r="E257">
        <v>-6036.22</v>
      </c>
      <c r="F257">
        <v>-1.42</v>
      </c>
      <c r="G257" t="s">
        <v>12</v>
      </c>
      <c r="I257" t="s">
        <v>230</v>
      </c>
    </row>
    <row r="258" spans="1:9" hidden="1" x14ac:dyDescent="0.25">
      <c r="A258" t="s">
        <v>228</v>
      </c>
      <c r="B258" t="s">
        <v>285</v>
      </c>
      <c r="C258" s="2">
        <f>HYPERLINK("https://cao.dolgi.msk.ru/account/1080075671/", 1080075671)</f>
        <v>1080075671</v>
      </c>
      <c r="D258" t="s">
        <v>286</v>
      </c>
      <c r="E258">
        <v>-5377.61</v>
      </c>
      <c r="F258">
        <v>-1.1299999999999999</v>
      </c>
      <c r="G258" t="s">
        <v>12</v>
      </c>
      <c r="I258" t="s">
        <v>230</v>
      </c>
    </row>
    <row r="259" spans="1:9" hidden="1" x14ac:dyDescent="0.25">
      <c r="A259" t="s">
        <v>228</v>
      </c>
      <c r="B259" t="s">
        <v>74</v>
      </c>
      <c r="C259" s="2">
        <f>HYPERLINK("https://cao.dolgi.msk.ru/account/1080075698/", 1080075698)</f>
        <v>1080075698</v>
      </c>
      <c r="D259" t="s">
        <v>287</v>
      </c>
      <c r="E259">
        <v>-2469.08</v>
      </c>
      <c r="F259">
        <v>-0.28000000000000003</v>
      </c>
      <c r="G259" t="s">
        <v>12</v>
      </c>
      <c r="I259" t="s">
        <v>230</v>
      </c>
    </row>
    <row r="260" spans="1:9" hidden="1" x14ac:dyDescent="0.25">
      <c r="A260" t="s">
        <v>288</v>
      </c>
      <c r="B260" t="s">
        <v>10</v>
      </c>
      <c r="C260" s="2">
        <f>HYPERLINK("https://cao.dolgi.msk.ru/account/1080074134/", 1080074134)</f>
        <v>1080074134</v>
      </c>
      <c r="D260" t="s">
        <v>289</v>
      </c>
      <c r="E260">
        <v>-2941.4</v>
      </c>
      <c r="F260">
        <v>-1.1100000000000001</v>
      </c>
      <c r="G260" t="s">
        <v>12</v>
      </c>
      <c r="I260" t="s">
        <v>230</v>
      </c>
    </row>
    <row r="261" spans="1:9" hidden="1" x14ac:dyDescent="0.25">
      <c r="A261" t="s">
        <v>288</v>
      </c>
      <c r="B261" t="s">
        <v>16</v>
      </c>
      <c r="C261" s="2">
        <f>HYPERLINK("https://cao.dolgi.msk.ru/account/1080074142/", 1080074142)</f>
        <v>1080074142</v>
      </c>
      <c r="D261" t="s">
        <v>290</v>
      </c>
      <c r="E261">
        <v>-39.07</v>
      </c>
      <c r="F261">
        <v>-0.01</v>
      </c>
      <c r="G261" t="s">
        <v>12</v>
      </c>
      <c r="I261" t="s">
        <v>230</v>
      </c>
    </row>
    <row r="262" spans="1:9" hidden="1" x14ac:dyDescent="0.25">
      <c r="A262" t="s">
        <v>288</v>
      </c>
      <c r="B262" t="s">
        <v>18</v>
      </c>
      <c r="C262" s="2">
        <f>HYPERLINK("https://cao.dolgi.msk.ru/account/1080074169/", 1080074169)</f>
        <v>1080074169</v>
      </c>
      <c r="D262" t="s">
        <v>291</v>
      </c>
      <c r="E262">
        <v>-5269.26</v>
      </c>
      <c r="F262">
        <v>-1.0900000000000001</v>
      </c>
      <c r="G262" t="s">
        <v>12</v>
      </c>
      <c r="I262" t="s">
        <v>230</v>
      </c>
    </row>
    <row r="263" spans="1:9" x14ac:dyDescent="0.25">
      <c r="A263" t="s">
        <v>288</v>
      </c>
      <c r="B263" t="s">
        <v>20</v>
      </c>
      <c r="C263" s="2">
        <f>HYPERLINK("https://cao.dolgi.msk.ru/account/1080074177/", 1080074177)</f>
        <v>1080074177</v>
      </c>
      <c r="D263" t="s">
        <v>292</v>
      </c>
      <c r="E263">
        <v>4390.99</v>
      </c>
      <c r="F263">
        <v>1.03</v>
      </c>
      <c r="G263" t="s">
        <v>12</v>
      </c>
      <c r="I263" t="s">
        <v>230</v>
      </c>
    </row>
    <row r="264" spans="1:9" hidden="1" x14ac:dyDescent="0.25">
      <c r="A264" t="s">
        <v>288</v>
      </c>
      <c r="B264" t="s">
        <v>21</v>
      </c>
      <c r="C264" s="2">
        <f>HYPERLINK("https://cao.dolgi.msk.ru/account/1080074185/", 1080074185)</f>
        <v>1080074185</v>
      </c>
      <c r="D264" t="s">
        <v>15</v>
      </c>
      <c r="E264">
        <v>-6372.83</v>
      </c>
      <c r="F264">
        <v>-1.87</v>
      </c>
      <c r="G264" t="s">
        <v>12</v>
      </c>
      <c r="I264" t="s">
        <v>230</v>
      </c>
    </row>
    <row r="265" spans="1:9" hidden="1" x14ac:dyDescent="0.25">
      <c r="A265" t="s">
        <v>288</v>
      </c>
      <c r="B265" t="s">
        <v>22</v>
      </c>
      <c r="C265" s="2">
        <f>HYPERLINK("https://cao.dolgi.msk.ru/account/1080074193/", 1080074193)</f>
        <v>1080074193</v>
      </c>
      <c r="D265" t="s">
        <v>293</v>
      </c>
      <c r="E265">
        <v>-3286.82</v>
      </c>
      <c r="F265">
        <v>-1.1100000000000001</v>
      </c>
      <c r="G265" t="s">
        <v>12</v>
      </c>
      <c r="I265" t="s">
        <v>230</v>
      </c>
    </row>
    <row r="266" spans="1:9" hidden="1" x14ac:dyDescent="0.25">
      <c r="A266" t="s">
        <v>288</v>
      </c>
      <c r="B266" t="s">
        <v>23</v>
      </c>
      <c r="C266" s="2">
        <f>HYPERLINK("https://cao.dolgi.msk.ru/account/1080074206/", 1080074206)</f>
        <v>1080074206</v>
      </c>
      <c r="D266" t="s">
        <v>294</v>
      </c>
      <c r="E266">
        <v>-2314.5700000000002</v>
      </c>
      <c r="G266" t="s">
        <v>12</v>
      </c>
      <c r="I266" t="s">
        <v>230</v>
      </c>
    </row>
    <row r="267" spans="1:9" hidden="1" x14ac:dyDescent="0.25">
      <c r="A267" t="s">
        <v>288</v>
      </c>
      <c r="B267" t="s">
        <v>24</v>
      </c>
      <c r="C267" s="2">
        <f>HYPERLINK("https://cao.dolgi.msk.ru/account/1080074214/", 1080074214)</f>
        <v>1080074214</v>
      </c>
      <c r="D267" t="s">
        <v>295</v>
      </c>
      <c r="E267">
        <v>-2859</v>
      </c>
      <c r="F267">
        <v>-1.07</v>
      </c>
      <c r="G267" t="s">
        <v>12</v>
      </c>
      <c r="I267" t="s">
        <v>230</v>
      </c>
    </row>
    <row r="268" spans="1:9" hidden="1" x14ac:dyDescent="0.25">
      <c r="A268" t="s">
        <v>288</v>
      </c>
      <c r="B268" t="s">
        <v>27</v>
      </c>
      <c r="C268" s="2">
        <f>HYPERLINK("https://cao.dolgi.msk.ru/account/1080074222/", 1080074222)</f>
        <v>1080074222</v>
      </c>
      <c r="D268" t="s">
        <v>296</v>
      </c>
      <c r="E268">
        <v>-3610.04</v>
      </c>
      <c r="F268">
        <v>-1.21</v>
      </c>
      <c r="G268" t="s">
        <v>12</v>
      </c>
      <c r="I268" t="s">
        <v>230</v>
      </c>
    </row>
    <row r="269" spans="1:9" hidden="1" x14ac:dyDescent="0.25">
      <c r="A269" t="s">
        <v>288</v>
      </c>
      <c r="B269" t="s">
        <v>29</v>
      </c>
      <c r="C269" s="2">
        <f>HYPERLINK("https://cao.dolgi.msk.ru/account/1080074249/", 1080074249)</f>
        <v>1080074249</v>
      </c>
      <c r="D269" t="s">
        <v>297</v>
      </c>
      <c r="E269">
        <v>-5329.08</v>
      </c>
      <c r="F269">
        <v>-1.17</v>
      </c>
      <c r="G269" t="s">
        <v>12</v>
      </c>
      <c r="I269" t="s">
        <v>230</v>
      </c>
    </row>
    <row r="270" spans="1:9" hidden="1" x14ac:dyDescent="0.25">
      <c r="A270" t="s">
        <v>288</v>
      </c>
      <c r="B270" t="s">
        <v>31</v>
      </c>
      <c r="C270" s="2">
        <f>HYPERLINK("https://cao.dolgi.msk.ru/account/1080074257/", 1080074257)</f>
        <v>1080074257</v>
      </c>
      <c r="D270" t="s">
        <v>298</v>
      </c>
      <c r="E270">
        <v>-4568.57</v>
      </c>
      <c r="F270">
        <v>-1.17</v>
      </c>
      <c r="G270" t="s">
        <v>12</v>
      </c>
      <c r="I270" t="s">
        <v>230</v>
      </c>
    </row>
    <row r="271" spans="1:9" hidden="1" x14ac:dyDescent="0.25">
      <c r="A271" t="s">
        <v>288</v>
      </c>
      <c r="B271" t="s">
        <v>33</v>
      </c>
      <c r="C271" s="2">
        <f>HYPERLINK("https://cao.dolgi.msk.ru/account/1080074265/", 1080074265)</f>
        <v>1080074265</v>
      </c>
      <c r="D271" t="s">
        <v>299</v>
      </c>
      <c r="E271">
        <v>0</v>
      </c>
      <c r="F271">
        <v>0</v>
      </c>
      <c r="G271" t="s">
        <v>12</v>
      </c>
      <c r="I271" t="s">
        <v>230</v>
      </c>
    </row>
    <row r="272" spans="1:9" hidden="1" x14ac:dyDescent="0.25">
      <c r="A272" t="s">
        <v>288</v>
      </c>
      <c r="B272" t="s">
        <v>34</v>
      </c>
      <c r="C272" s="2">
        <f>HYPERLINK("https://cao.dolgi.msk.ru/account/1080074273/", 1080074273)</f>
        <v>1080074273</v>
      </c>
      <c r="D272" t="s">
        <v>300</v>
      </c>
      <c r="E272">
        <v>-3038.3</v>
      </c>
      <c r="F272">
        <v>-1</v>
      </c>
      <c r="G272" t="s">
        <v>12</v>
      </c>
      <c r="I272" t="s">
        <v>230</v>
      </c>
    </row>
    <row r="273" spans="1:9" hidden="1" x14ac:dyDescent="0.25">
      <c r="A273" t="s">
        <v>288</v>
      </c>
      <c r="B273" t="s">
        <v>36</v>
      </c>
      <c r="C273" s="2">
        <f>HYPERLINK("https://cao.dolgi.msk.ru/account/1080074281/", 1080074281)</f>
        <v>1080074281</v>
      </c>
      <c r="D273" t="s">
        <v>301</v>
      </c>
      <c r="E273">
        <v>-2297.66</v>
      </c>
      <c r="F273">
        <v>-1.1399999999999999</v>
      </c>
      <c r="G273" t="s">
        <v>12</v>
      </c>
      <c r="I273" t="s">
        <v>230</v>
      </c>
    </row>
    <row r="274" spans="1:9" hidden="1" x14ac:dyDescent="0.25">
      <c r="A274" t="s">
        <v>288</v>
      </c>
      <c r="B274" t="s">
        <v>38</v>
      </c>
      <c r="C274" s="2">
        <f>HYPERLINK("https://cao.dolgi.msk.ru/account/1080074302/", 1080074302)</f>
        <v>1080074302</v>
      </c>
      <c r="D274" t="s">
        <v>302</v>
      </c>
      <c r="E274">
        <v>-3019.88</v>
      </c>
      <c r="F274">
        <v>-0.96</v>
      </c>
      <c r="G274" t="s">
        <v>12</v>
      </c>
      <c r="I274" t="s">
        <v>230</v>
      </c>
    </row>
    <row r="275" spans="1:9" hidden="1" x14ac:dyDescent="0.25">
      <c r="A275" t="s">
        <v>288</v>
      </c>
      <c r="B275" t="s">
        <v>39</v>
      </c>
      <c r="C275" s="2">
        <f>HYPERLINK("https://cao.dolgi.msk.ru/account/1080074329/", 1080074329)</f>
        <v>1080074329</v>
      </c>
      <c r="D275" t="s">
        <v>303</v>
      </c>
      <c r="E275">
        <v>-8537.92</v>
      </c>
      <c r="F275">
        <v>-2.39</v>
      </c>
      <c r="G275" t="s">
        <v>12</v>
      </c>
      <c r="I275" t="s">
        <v>230</v>
      </c>
    </row>
    <row r="276" spans="1:9" hidden="1" x14ac:dyDescent="0.25">
      <c r="A276" t="s">
        <v>288</v>
      </c>
      <c r="B276" t="s">
        <v>40</v>
      </c>
      <c r="C276" s="2">
        <f>HYPERLINK("https://cao.dolgi.msk.ru/account/1080074337/", 1080074337)</f>
        <v>1080074337</v>
      </c>
      <c r="D276" t="s">
        <v>62</v>
      </c>
      <c r="E276">
        <v>-4023.87</v>
      </c>
      <c r="F276">
        <v>-1.05</v>
      </c>
      <c r="G276" t="s">
        <v>12</v>
      </c>
      <c r="I276" t="s">
        <v>230</v>
      </c>
    </row>
    <row r="277" spans="1:9" hidden="1" x14ac:dyDescent="0.25">
      <c r="A277" t="s">
        <v>288</v>
      </c>
      <c r="B277" t="s">
        <v>41</v>
      </c>
      <c r="C277" s="2">
        <f>HYPERLINK("https://cao.dolgi.msk.ru/account/1080074345/", 1080074345)</f>
        <v>1080074345</v>
      </c>
      <c r="D277" t="s">
        <v>304</v>
      </c>
      <c r="E277">
        <v>-4057.33</v>
      </c>
      <c r="F277">
        <v>-1.1399999999999999</v>
      </c>
      <c r="G277" t="s">
        <v>12</v>
      </c>
      <c r="I277" t="s">
        <v>230</v>
      </c>
    </row>
    <row r="278" spans="1:9" hidden="1" x14ac:dyDescent="0.25">
      <c r="A278" t="s">
        <v>288</v>
      </c>
      <c r="B278" t="s">
        <v>42</v>
      </c>
      <c r="C278" s="2">
        <f>HYPERLINK("https://cao.dolgi.msk.ru/account/1080074353/", 1080074353)</f>
        <v>1080074353</v>
      </c>
      <c r="D278" t="s">
        <v>305</v>
      </c>
      <c r="E278">
        <v>-5329.18</v>
      </c>
      <c r="F278">
        <v>-0.91</v>
      </c>
      <c r="G278" t="s">
        <v>12</v>
      </c>
      <c r="I278" t="s">
        <v>230</v>
      </c>
    </row>
    <row r="279" spans="1:9" hidden="1" x14ac:dyDescent="0.25">
      <c r="A279" t="s">
        <v>288</v>
      </c>
      <c r="B279" t="s">
        <v>44</v>
      </c>
      <c r="C279" s="2">
        <f>HYPERLINK("https://cao.dolgi.msk.ru/account/1080074361/", 1080074361)</f>
        <v>1080074361</v>
      </c>
      <c r="D279" t="s">
        <v>306</v>
      </c>
      <c r="E279">
        <v>-4.28</v>
      </c>
      <c r="F279">
        <v>0</v>
      </c>
      <c r="G279" t="s">
        <v>12</v>
      </c>
      <c r="I279" t="s">
        <v>230</v>
      </c>
    </row>
    <row r="280" spans="1:9" hidden="1" x14ac:dyDescent="0.25">
      <c r="A280" t="s">
        <v>288</v>
      </c>
      <c r="B280" t="s">
        <v>66</v>
      </c>
      <c r="C280" s="2">
        <f>HYPERLINK("https://cao.dolgi.msk.ru/account/1080074847/", 1080074847)</f>
        <v>1080074847</v>
      </c>
      <c r="D280" t="s">
        <v>307</v>
      </c>
      <c r="E280">
        <v>-6366.76</v>
      </c>
      <c r="F280">
        <v>-0.96</v>
      </c>
      <c r="G280" t="s">
        <v>12</v>
      </c>
      <c r="I280" t="s">
        <v>230</v>
      </c>
    </row>
    <row r="281" spans="1:9" hidden="1" x14ac:dyDescent="0.25">
      <c r="A281" t="s">
        <v>288</v>
      </c>
      <c r="B281" t="s">
        <v>68</v>
      </c>
      <c r="C281" s="2">
        <f>HYPERLINK("https://cao.dolgi.msk.ru/account/1080074388/", 1080074388)</f>
        <v>1080074388</v>
      </c>
      <c r="D281" t="s">
        <v>308</v>
      </c>
      <c r="E281">
        <v>-4342.37</v>
      </c>
      <c r="F281">
        <v>-1.03</v>
      </c>
      <c r="G281" t="s">
        <v>12</v>
      </c>
      <c r="I281" t="s">
        <v>230</v>
      </c>
    </row>
    <row r="282" spans="1:9" hidden="1" x14ac:dyDescent="0.25">
      <c r="A282" t="s">
        <v>288</v>
      </c>
      <c r="B282" t="s">
        <v>70</v>
      </c>
      <c r="C282" s="2">
        <f>HYPERLINK("https://cao.dolgi.msk.ru/account/1080074396/", 1080074396)</f>
        <v>1080074396</v>
      </c>
      <c r="D282" t="s">
        <v>309</v>
      </c>
      <c r="E282">
        <v>-5708.91</v>
      </c>
      <c r="F282">
        <v>-1.08</v>
      </c>
      <c r="G282" t="s">
        <v>12</v>
      </c>
      <c r="I282" t="s">
        <v>230</v>
      </c>
    </row>
    <row r="283" spans="1:9" hidden="1" x14ac:dyDescent="0.25">
      <c r="A283" t="s">
        <v>288</v>
      </c>
      <c r="B283" t="s">
        <v>72</v>
      </c>
      <c r="C283" s="2">
        <f>HYPERLINK("https://cao.dolgi.msk.ru/account/1080074409/", 1080074409)</f>
        <v>1080074409</v>
      </c>
      <c r="D283" t="s">
        <v>310</v>
      </c>
      <c r="E283">
        <v>-5347.07</v>
      </c>
      <c r="F283">
        <v>-1.0900000000000001</v>
      </c>
      <c r="G283" t="s">
        <v>12</v>
      </c>
      <c r="I283" t="s">
        <v>230</v>
      </c>
    </row>
    <row r="284" spans="1:9" hidden="1" x14ac:dyDescent="0.25">
      <c r="A284" t="s">
        <v>288</v>
      </c>
      <c r="B284" t="s">
        <v>74</v>
      </c>
      <c r="C284" s="2">
        <f>HYPERLINK("https://cao.dolgi.msk.ru/account/1080074417/", 1080074417)</f>
        <v>1080074417</v>
      </c>
      <c r="D284" t="s">
        <v>311</v>
      </c>
      <c r="E284">
        <v>255.39</v>
      </c>
      <c r="F284">
        <v>0.06</v>
      </c>
      <c r="G284" t="s">
        <v>12</v>
      </c>
      <c r="I284" t="s">
        <v>230</v>
      </c>
    </row>
    <row r="285" spans="1:9" hidden="1" x14ac:dyDescent="0.25">
      <c r="A285" t="s">
        <v>288</v>
      </c>
      <c r="B285" t="s">
        <v>76</v>
      </c>
      <c r="C285" s="2">
        <f>HYPERLINK("https://cao.dolgi.msk.ru/account/1080074425/", 1080074425)</f>
        <v>1080074425</v>
      </c>
      <c r="D285" t="s">
        <v>312</v>
      </c>
      <c r="E285">
        <v>-4299.54</v>
      </c>
      <c r="F285">
        <v>-1.03</v>
      </c>
      <c r="G285" t="s">
        <v>12</v>
      </c>
      <c r="I285" t="s">
        <v>230</v>
      </c>
    </row>
    <row r="286" spans="1:9" hidden="1" x14ac:dyDescent="0.25">
      <c r="A286" t="s">
        <v>288</v>
      </c>
      <c r="B286" t="s">
        <v>78</v>
      </c>
      <c r="C286" s="2">
        <f>HYPERLINK("https://cao.dolgi.msk.ru/account/1080074433/", 1080074433)</f>
        <v>1080074433</v>
      </c>
      <c r="D286" t="s">
        <v>313</v>
      </c>
      <c r="E286">
        <v>-38.799999999999997</v>
      </c>
      <c r="F286">
        <v>-0.01</v>
      </c>
      <c r="G286" t="s">
        <v>12</v>
      </c>
      <c r="I286" t="s">
        <v>230</v>
      </c>
    </row>
    <row r="287" spans="1:9" hidden="1" x14ac:dyDescent="0.25">
      <c r="A287" t="s">
        <v>288</v>
      </c>
      <c r="B287" t="s">
        <v>80</v>
      </c>
      <c r="C287" s="2">
        <f>HYPERLINK("https://cao.dolgi.msk.ru/account/1080074441/", 1080074441)</f>
        <v>1080074441</v>
      </c>
      <c r="D287" t="s">
        <v>314</v>
      </c>
      <c r="E287">
        <v>-4397.5600000000004</v>
      </c>
      <c r="F287">
        <v>-0.99</v>
      </c>
      <c r="G287" t="s">
        <v>12</v>
      </c>
      <c r="I287" t="s">
        <v>230</v>
      </c>
    </row>
    <row r="288" spans="1:9" hidden="1" x14ac:dyDescent="0.25">
      <c r="A288" t="s">
        <v>288</v>
      </c>
      <c r="B288" t="s">
        <v>82</v>
      </c>
      <c r="C288" s="2">
        <f>HYPERLINK("https://cao.dolgi.msk.ru/account/1080074468/", 1080074468)</f>
        <v>1080074468</v>
      </c>
      <c r="D288" t="s">
        <v>315</v>
      </c>
      <c r="E288">
        <v>-5267.02</v>
      </c>
      <c r="F288">
        <v>-1.21</v>
      </c>
      <c r="G288" t="s">
        <v>12</v>
      </c>
      <c r="I288" t="s">
        <v>230</v>
      </c>
    </row>
    <row r="289" spans="1:9" hidden="1" x14ac:dyDescent="0.25">
      <c r="A289" t="s">
        <v>288</v>
      </c>
      <c r="B289" t="s">
        <v>84</v>
      </c>
      <c r="C289" s="2">
        <f>HYPERLINK("https://cao.dolgi.msk.ru/account/1080074476/", 1080074476)</f>
        <v>1080074476</v>
      </c>
      <c r="D289" t="s">
        <v>316</v>
      </c>
      <c r="E289">
        <v>-3467.53</v>
      </c>
      <c r="F289">
        <v>-1.1599999999999999</v>
      </c>
      <c r="G289" t="s">
        <v>12</v>
      </c>
      <c r="I289" t="s">
        <v>230</v>
      </c>
    </row>
    <row r="290" spans="1:9" hidden="1" x14ac:dyDescent="0.25">
      <c r="A290" t="s">
        <v>288</v>
      </c>
      <c r="B290" t="s">
        <v>86</v>
      </c>
      <c r="C290" s="2">
        <f>HYPERLINK("https://cao.dolgi.msk.ru/account/1080074484/", 1080074484)</f>
        <v>1080074484</v>
      </c>
      <c r="D290" t="s">
        <v>317</v>
      </c>
      <c r="E290">
        <v>-6203.57</v>
      </c>
      <c r="F290">
        <v>-0.9</v>
      </c>
      <c r="G290" t="s">
        <v>12</v>
      </c>
      <c r="I290" t="s">
        <v>230</v>
      </c>
    </row>
    <row r="291" spans="1:9" hidden="1" x14ac:dyDescent="0.25">
      <c r="A291" t="s">
        <v>288</v>
      </c>
      <c r="B291" t="s">
        <v>88</v>
      </c>
      <c r="C291" s="2">
        <f>HYPERLINK("https://cao.dolgi.msk.ru/account/1080074839/", 1080074839)</f>
        <v>1080074839</v>
      </c>
      <c r="D291" t="s">
        <v>318</v>
      </c>
      <c r="E291">
        <v>-4932.82</v>
      </c>
      <c r="F291">
        <v>-1.07</v>
      </c>
      <c r="G291" t="s">
        <v>12</v>
      </c>
      <c r="I291" t="s">
        <v>230</v>
      </c>
    </row>
    <row r="292" spans="1:9" hidden="1" x14ac:dyDescent="0.25">
      <c r="A292" t="s">
        <v>288</v>
      </c>
      <c r="B292" t="s">
        <v>90</v>
      </c>
      <c r="C292" s="2">
        <f>HYPERLINK("https://cao.dolgi.msk.ru/account/1080074492/", 1080074492)</f>
        <v>1080074492</v>
      </c>
      <c r="D292" t="s">
        <v>319</v>
      </c>
      <c r="E292">
        <v>-553.57000000000005</v>
      </c>
      <c r="F292">
        <v>-0.1</v>
      </c>
      <c r="G292" t="s">
        <v>12</v>
      </c>
      <c r="I292" t="s">
        <v>230</v>
      </c>
    </row>
    <row r="293" spans="1:9" hidden="1" x14ac:dyDescent="0.25">
      <c r="A293" t="s">
        <v>288</v>
      </c>
      <c r="B293" t="s">
        <v>92</v>
      </c>
      <c r="C293" s="2">
        <f>HYPERLINK("https://cao.dolgi.msk.ru/account/1080074505/", 1080074505)</f>
        <v>1080074505</v>
      </c>
      <c r="D293" t="s">
        <v>320</v>
      </c>
      <c r="E293">
        <v>127.56</v>
      </c>
      <c r="F293">
        <v>0.04</v>
      </c>
      <c r="G293" t="s">
        <v>12</v>
      </c>
      <c r="I293" t="s">
        <v>230</v>
      </c>
    </row>
    <row r="294" spans="1:9" hidden="1" x14ac:dyDescent="0.25">
      <c r="A294" t="s">
        <v>288</v>
      </c>
      <c r="B294" t="s">
        <v>94</v>
      </c>
      <c r="C294" s="2">
        <f>HYPERLINK("https://cao.dolgi.msk.ru/account/1080074513/", 1080074513)</f>
        <v>1080074513</v>
      </c>
      <c r="D294" t="s">
        <v>321</v>
      </c>
      <c r="E294">
        <v>-3733.92</v>
      </c>
      <c r="F294">
        <v>-1.07</v>
      </c>
      <c r="G294" t="s">
        <v>12</v>
      </c>
      <c r="I294" t="s">
        <v>230</v>
      </c>
    </row>
    <row r="295" spans="1:9" hidden="1" x14ac:dyDescent="0.25">
      <c r="A295" t="s">
        <v>288</v>
      </c>
      <c r="B295" t="s">
        <v>96</v>
      </c>
      <c r="C295" s="2">
        <f>HYPERLINK("https://cao.dolgi.msk.ru/account/1080074521/", 1080074521)</f>
        <v>1080074521</v>
      </c>
      <c r="D295" t="s">
        <v>322</v>
      </c>
      <c r="E295">
        <v>-7331.56</v>
      </c>
      <c r="F295">
        <v>-1.05</v>
      </c>
      <c r="G295" t="s">
        <v>12</v>
      </c>
      <c r="I295" t="s">
        <v>230</v>
      </c>
    </row>
    <row r="296" spans="1:9" hidden="1" x14ac:dyDescent="0.25">
      <c r="A296" t="s">
        <v>288</v>
      </c>
      <c r="B296" t="s">
        <v>98</v>
      </c>
      <c r="C296" s="2">
        <f>HYPERLINK("https://cao.dolgi.msk.ru/account/1080074548/", 1080074548)</f>
        <v>1080074548</v>
      </c>
      <c r="D296" t="s">
        <v>323</v>
      </c>
      <c r="E296">
        <v>-4088.74</v>
      </c>
      <c r="F296">
        <v>-1.1100000000000001</v>
      </c>
      <c r="G296" t="s">
        <v>12</v>
      </c>
      <c r="I296" t="s">
        <v>230</v>
      </c>
    </row>
    <row r="297" spans="1:9" hidden="1" x14ac:dyDescent="0.25">
      <c r="A297" t="s">
        <v>288</v>
      </c>
      <c r="B297" t="s">
        <v>100</v>
      </c>
      <c r="C297" s="2">
        <f>HYPERLINK("https://cao.dolgi.msk.ru/account/1080074556/", 1080074556)</f>
        <v>1080074556</v>
      </c>
      <c r="D297" t="s">
        <v>324</v>
      </c>
      <c r="E297">
        <v>-5960.37</v>
      </c>
      <c r="F297">
        <v>-1.1299999999999999</v>
      </c>
      <c r="G297" t="s">
        <v>12</v>
      </c>
      <c r="I297" t="s">
        <v>230</v>
      </c>
    </row>
    <row r="298" spans="1:9" hidden="1" x14ac:dyDescent="0.25">
      <c r="A298" t="s">
        <v>288</v>
      </c>
      <c r="B298" t="s">
        <v>102</v>
      </c>
      <c r="C298" s="2">
        <f>HYPERLINK("https://cao.dolgi.msk.ru/account/1080074564/", 1080074564)</f>
        <v>1080074564</v>
      </c>
      <c r="D298" t="s">
        <v>325</v>
      </c>
      <c r="E298">
        <v>0</v>
      </c>
      <c r="F298">
        <v>0</v>
      </c>
      <c r="G298" t="s">
        <v>12</v>
      </c>
      <c r="I298" t="s">
        <v>230</v>
      </c>
    </row>
    <row r="299" spans="1:9" hidden="1" x14ac:dyDescent="0.25">
      <c r="A299" t="s">
        <v>288</v>
      </c>
      <c r="B299" t="s">
        <v>104</v>
      </c>
      <c r="C299" s="2">
        <f>HYPERLINK("https://cao.dolgi.msk.ru/account/1080074572/", 1080074572)</f>
        <v>1080074572</v>
      </c>
      <c r="D299" t="s">
        <v>326</v>
      </c>
      <c r="E299">
        <v>-3515.39</v>
      </c>
      <c r="F299">
        <v>-0.86</v>
      </c>
      <c r="G299" t="s">
        <v>12</v>
      </c>
      <c r="I299" t="s">
        <v>230</v>
      </c>
    </row>
    <row r="300" spans="1:9" hidden="1" x14ac:dyDescent="0.25">
      <c r="A300" t="s">
        <v>288</v>
      </c>
      <c r="B300" t="s">
        <v>106</v>
      </c>
      <c r="C300" s="2">
        <f>HYPERLINK("https://cao.dolgi.msk.ru/account/1080074599/", 1080074599)</f>
        <v>1080074599</v>
      </c>
      <c r="D300" t="s">
        <v>327</v>
      </c>
      <c r="E300">
        <v>4827.3500000000004</v>
      </c>
      <c r="F300">
        <v>1</v>
      </c>
      <c r="G300" t="s">
        <v>12</v>
      </c>
      <c r="I300" t="s">
        <v>230</v>
      </c>
    </row>
    <row r="301" spans="1:9" hidden="1" x14ac:dyDescent="0.25">
      <c r="A301" t="s">
        <v>288</v>
      </c>
      <c r="B301" t="s">
        <v>108</v>
      </c>
      <c r="C301" s="2">
        <f>HYPERLINK("https://cao.dolgi.msk.ru/account/1080074601/", 1080074601)</f>
        <v>1080074601</v>
      </c>
      <c r="D301" t="s">
        <v>328</v>
      </c>
      <c r="G301" t="s">
        <v>14</v>
      </c>
      <c r="I301" t="s">
        <v>230</v>
      </c>
    </row>
    <row r="302" spans="1:9" hidden="1" x14ac:dyDescent="0.25">
      <c r="A302" t="s">
        <v>288</v>
      </c>
      <c r="B302" t="s">
        <v>110</v>
      </c>
      <c r="C302" s="2">
        <f>HYPERLINK("https://cao.dolgi.msk.ru/account/1080074628/", 1080074628)</f>
        <v>1080074628</v>
      </c>
      <c r="D302" t="s">
        <v>329</v>
      </c>
      <c r="E302">
        <v>-1849.51</v>
      </c>
      <c r="F302">
        <v>-0.97</v>
      </c>
      <c r="G302" t="s">
        <v>12</v>
      </c>
      <c r="I302" t="s">
        <v>230</v>
      </c>
    </row>
    <row r="303" spans="1:9" hidden="1" x14ac:dyDescent="0.25">
      <c r="A303" t="s">
        <v>288</v>
      </c>
      <c r="B303" t="s">
        <v>112</v>
      </c>
      <c r="C303" s="2">
        <f>HYPERLINK("https://cao.dolgi.msk.ru/account/1080074636/", 1080074636)</f>
        <v>1080074636</v>
      </c>
      <c r="D303" t="s">
        <v>330</v>
      </c>
      <c r="E303">
        <v>-2861.15</v>
      </c>
      <c r="F303">
        <v>-1.1100000000000001</v>
      </c>
      <c r="G303" t="s">
        <v>12</v>
      </c>
      <c r="I303" t="s">
        <v>230</v>
      </c>
    </row>
    <row r="304" spans="1:9" hidden="1" x14ac:dyDescent="0.25">
      <c r="A304" t="s">
        <v>288</v>
      </c>
      <c r="B304" t="s">
        <v>114</v>
      </c>
      <c r="C304" s="2">
        <f>HYPERLINK("https://cao.dolgi.msk.ru/account/1080074644/", 1080074644)</f>
        <v>1080074644</v>
      </c>
      <c r="D304" t="s">
        <v>331</v>
      </c>
      <c r="E304">
        <v>-4016.91</v>
      </c>
      <c r="F304">
        <v>-1.17</v>
      </c>
      <c r="G304" t="s">
        <v>12</v>
      </c>
      <c r="I304" t="s">
        <v>230</v>
      </c>
    </row>
    <row r="305" spans="1:9" hidden="1" x14ac:dyDescent="0.25">
      <c r="A305" t="s">
        <v>288</v>
      </c>
      <c r="B305" t="s">
        <v>116</v>
      </c>
      <c r="C305" s="2">
        <f>HYPERLINK("https://cao.dolgi.msk.ru/account/1080074652/", 1080074652)</f>
        <v>1080074652</v>
      </c>
      <c r="D305" t="s">
        <v>332</v>
      </c>
      <c r="E305">
        <v>-5824.42</v>
      </c>
      <c r="F305">
        <v>-1.24</v>
      </c>
      <c r="G305" t="s">
        <v>12</v>
      </c>
      <c r="I305" t="s">
        <v>230</v>
      </c>
    </row>
    <row r="306" spans="1:9" hidden="1" x14ac:dyDescent="0.25">
      <c r="A306" t="s">
        <v>288</v>
      </c>
      <c r="B306" t="s">
        <v>118</v>
      </c>
      <c r="C306" s="2">
        <f>HYPERLINK("https://cao.dolgi.msk.ru/account/1080074679/", 1080074679)</f>
        <v>1080074679</v>
      </c>
      <c r="D306" t="s">
        <v>333</v>
      </c>
      <c r="E306">
        <v>-4500.78</v>
      </c>
      <c r="F306">
        <v>-1.1599999999999999</v>
      </c>
      <c r="G306" t="s">
        <v>12</v>
      </c>
      <c r="I306" t="s">
        <v>230</v>
      </c>
    </row>
    <row r="307" spans="1:9" hidden="1" x14ac:dyDescent="0.25">
      <c r="A307" t="s">
        <v>288</v>
      </c>
      <c r="B307" t="s">
        <v>120</v>
      </c>
      <c r="C307" s="2">
        <f>HYPERLINK("https://cao.dolgi.msk.ru/account/1080074687/", 1080074687)</f>
        <v>1080074687</v>
      </c>
      <c r="D307" t="s">
        <v>334</v>
      </c>
      <c r="E307">
        <v>-4368.63</v>
      </c>
      <c r="F307">
        <v>-1</v>
      </c>
      <c r="G307" t="s">
        <v>12</v>
      </c>
      <c r="I307" t="s">
        <v>230</v>
      </c>
    </row>
    <row r="308" spans="1:9" hidden="1" x14ac:dyDescent="0.25">
      <c r="A308" t="s">
        <v>288</v>
      </c>
      <c r="B308" t="s">
        <v>122</v>
      </c>
      <c r="C308" s="2">
        <f>HYPERLINK("https://cao.dolgi.msk.ru/account/1080074695/", 1080074695)</f>
        <v>1080074695</v>
      </c>
      <c r="D308" t="s">
        <v>335</v>
      </c>
      <c r="E308">
        <v>-31.8</v>
      </c>
      <c r="F308">
        <v>0</v>
      </c>
      <c r="G308" t="s">
        <v>12</v>
      </c>
      <c r="I308" t="s">
        <v>230</v>
      </c>
    </row>
    <row r="309" spans="1:9" hidden="1" x14ac:dyDescent="0.25">
      <c r="A309" t="s">
        <v>288</v>
      </c>
      <c r="B309" t="s">
        <v>124</v>
      </c>
      <c r="C309" s="2">
        <f>HYPERLINK("https://cao.dolgi.msk.ru/account/1080074708/", 1080074708)</f>
        <v>1080074708</v>
      </c>
      <c r="D309" t="s">
        <v>336</v>
      </c>
      <c r="E309">
        <v>-70.84</v>
      </c>
      <c r="F309">
        <v>-0.03</v>
      </c>
      <c r="G309" t="s">
        <v>12</v>
      </c>
      <c r="I309" t="s">
        <v>230</v>
      </c>
    </row>
    <row r="310" spans="1:9" hidden="1" x14ac:dyDescent="0.25">
      <c r="A310" t="s">
        <v>288</v>
      </c>
      <c r="B310" t="s">
        <v>126</v>
      </c>
      <c r="C310" s="2">
        <f>HYPERLINK("https://cao.dolgi.msk.ru/account/1080074716/", 1080074716)</f>
        <v>1080074716</v>
      </c>
      <c r="D310" t="s">
        <v>337</v>
      </c>
      <c r="E310">
        <v>-2998.05</v>
      </c>
      <c r="F310">
        <v>-1.07</v>
      </c>
      <c r="G310" t="s">
        <v>12</v>
      </c>
      <c r="I310" t="s">
        <v>230</v>
      </c>
    </row>
    <row r="311" spans="1:9" hidden="1" x14ac:dyDescent="0.25">
      <c r="A311" t="s">
        <v>288</v>
      </c>
      <c r="B311" t="s">
        <v>128</v>
      </c>
      <c r="C311" s="2">
        <f>HYPERLINK("https://cao.dolgi.msk.ru/account/1080074724/", 1080074724)</f>
        <v>1080074724</v>
      </c>
      <c r="D311" t="s">
        <v>338</v>
      </c>
      <c r="E311">
        <v>-4497.8500000000004</v>
      </c>
      <c r="F311">
        <v>-1.33</v>
      </c>
      <c r="G311" t="s">
        <v>12</v>
      </c>
      <c r="I311" t="s">
        <v>230</v>
      </c>
    </row>
    <row r="312" spans="1:9" hidden="1" x14ac:dyDescent="0.25">
      <c r="A312" t="s">
        <v>288</v>
      </c>
      <c r="B312" t="s">
        <v>130</v>
      </c>
      <c r="C312" s="2">
        <f>HYPERLINK("https://cao.dolgi.msk.ru/account/1080074732/", 1080074732)</f>
        <v>1080074732</v>
      </c>
      <c r="D312" t="s">
        <v>339</v>
      </c>
      <c r="E312">
        <v>-8413.43</v>
      </c>
      <c r="F312">
        <v>-1.27</v>
      </c>
      <c r="G312" t="s">
        <v>12</v>
      </c>
      <c r="I312" t="s">
        <v>230</v>
      </c>
    </row>
    <row r="313" spans="1:9" hidden="1" x14ac:dyDescent="0.25">
      <c r="A313" t="s">
        <v>288</v>
      </c>
      <c r="B313" t="s">
        <v>132</v>
      </c>
      <c r="C313" s="2">
        <f>HYPERLINK("https://cao.dolgi.msk.ru/account/1080074759/", 1080074759)</f>
        <v>1080074759</v>
      </c>
      <c r="D313" t="s">
        <v>340</v>
      </c>
      <c r="E313">
        <v>36.15</v>
      </c>
      <c r="F313">
        <v>0.01</v>
      </c>
      <c r="G313" t="s">
        <v>12</v>
      </c>
      <c r="I313" t="s">
        <v>230</v>
      </c>
    </row>
    <row r="314" spans="1:9" hidden="1" x14ac:dyDescent="0.25">
      <c r="A314" t="s">
        <v>288</v>
      </c>
      <c r="B314" t="s">
        <v>133</v>
      </c>
      <c r="C314" s="2">
        <f>HYPERLINK("https://cao.dolgi.msk.ru/account/1080074767/", 1080074767)</f>
        <v>1080074767</v>
      </c>
      <c r="D314" t="s">
        <v>341</v>
      </c>
      <c r="E314">
        <v>-3960.64</v>
      </c>
      <c r="F314">
        <v>-1.58</v>
      </c>
      <c r="G314" t="s">
        <v>12</v>
      </c>
      <c r="I314" t="s">
        <v>230</v>
      </c>
    </row>
    <row r="315" spans="1:9" hidden="1" x14ac:dyDescent="0.25">
      <c r="A315" t="s">
        <v>288</v>
      </c>
      <c r="B315" t="s">
        <v>135</v>
      </c>
      <c r="C315" s="2">
        <f>HYPERLINK("https://cao.dolgi.msk.ru/account/1080074775/", 1080074775)</f>
        <v>1080074775</v>
      </c>
      <c r="D315" t="s">
        <v>342</v>
      </c>
      <c r="E315">
        <v>-3016.37</v>
      </c>
      <c r="F315">
        <v>-1.07</v>
      </c>
      <c r="G315" t="s">
        <v>12</v>
      </c>
      <c r="I315" t="s">
        <v>230</v>
      </c>
    </row>
    <row r="316" spans="1:9" hidden="1" x14ac:dyDescent="0.25">
      <c r="A316" t="s">
        <v>288</v>
      </c>
      <c r="B316" t="s">
        <v>137</v>
      </c>
      <c r="C316" s="2">
        <f>HYPERLINK("https://cao.dolgi.msk.ru/account/1080074783/", 1080074783)</f>
        <v>1080074783</v>
      </c>
      <c r="D316" t="s">
        <v>343</v>
      </c>
      <c r="E316">
        <v>0</v>
      </c>
      <c r="F316">
        <v>0</v>
      </c>
      <c r="G316" t="s">
        <v>12</v>
      </c>
      <c r="I316" t="s">
        <v>230</v>
      </c>
    </row>
    <row r="317" spans="1:9" hidden="1" x14ac:dyDescent="0.25">
      <c r="A317" t="s">
        <v>288</v>
      </c>
      <c r="B317" t="s">
        <v>139</v>
      </c>
      <c r="C317" s="2">
        <f>HYPERLINK("https://cao.dolgi.msk.ru/account/1080074791/", 1080074791)</f>
        <v>1080074791</v>
      </c>
      <c r="D317" t="s">
        <v>344</v>
      </c>
      <c r="E317">
        <v>-10</v>
      </c>
      <c r="F317">
        <v>0</v>
      </c>
      <c r="G317" t="s">
        <v>12</v>
      </c>
      <c r="I317" t="s">
        <v>230</v>
      </c>
    </row>
    <row r="318" spans="1:9" hidden="1" x14ac:dyDescent="0.25">
      <c r="A318" t="s">
        <v>288</v>
      </c>
      <c r="B318" t="s">
        <v>141</v>
      </c>
      <c r="C318" s="2">
        <f>HYPERLINK("https://cao.dolgi.msk.ru/account/1080074804/", 1080074804)</f>
        <v>1080074804</v>
      </c>
      <c r="D318" t="s">
        <v>345</v>
      </c>
      <c r="E318">
        <v>-4189.3900000000003</v>
      </c>
      <c r="F318">
        <v>-0.96</v>
      </c>
      <c r="G318" t="s">
        <v>12</v>
      </c>
      <c r="H318" t="s">
        <v>7</v>
      </c>
      <c r="I318" t="s">
        <v>230</v>
      </c>
    </row>
    <row r="319" spans="1:9" x14ac:dyDescent="0.25">
      <c r="A319" t="s">
        <v>288</v>
      </c>
      <c r="B319" t="s">
        <v>141</v>
      </c>
      <c r="C319" s="2">
        <f>HYPERLINK("https://cao.dolgi.msk.ru/account/1080321633/", 1080321633)</f>
        <v>1080321633</v>
      </c>
      <c r="D319" t="s">
        <v>345</v>
      </c>
      <c r="E319">
        <v>188224.74</v>
      </c>
      <c r="F319">
        <v>43.34</v>
      </c>
      <c r="G319" t="s">
        <v>12</v>
      </c>
      <c r="H319" t="s">
        <v>7</v>
      </c>
      <c r="I319" t="s">
        <v>230</v>
      </c>
    </row>
    <row r="320" spans="1:9" hidden="1" x14ac:dyDescent="0.25">
      <c r="A320" t="s">
        <v>288</v>
      </c>
      <c r="B320" t="s">
        <v>143</v>
      </c>
      <c r="C320" s="2">
        <f>HYPERLINK("https://cao.dolgi.msk.ru/account/1080074812/", 1080074812)</f>
        <v>1080074812</v>
      </c>
      <c r="D320" t="s">
        <v>346</v>
      </c>
      <c r="E320">
        <v>0</v>
      </c>
      <c r="F320">
        <v>0</v>
      </c>
      <c r="G320" t="s">
        <v>12</v>
      </c>
      <c r="I320" t="s">
        <v>230</v>
      </c>
    </row>
    <row r="321" spans="1:9" hidden="1" x14ac:dyDescent="0.25">
      <c r="A321" t="s">
        <v>347</v>
      </c>
      <c r="B321" t="s">
        <v>42</v>
      </c>
      <c r="C321" s="2">
        <f>HYPERLINK("https://cao.dolgi.msk.ru/account/1080073967/", 1080073967)</f>
        <v>1080073967</v>
      </c>
      <c r="D321" t="s">
        <v>348</v>
      </c>
      <c r="E321">
        <v>-6611.14</v>
      </c>
      <c r="F321">
        <v>-1.58</v>
      </c>
      <c r="G321" t="s">
        <v>12</v>
      </c>
      <c r="I321" t="s">
        <v>230</v>
      </c>
    </row>
    <row r="322" spans="1:9" hidden="1" x14ac:dyDescent="0.25">
      <c r="A322" t="s">
        <v>347</v>
      </c>
      <c r="B322" t="s">
        <v>44</v>
      </c>
      <c r="C322" s="2">
        <f>HYPERLINK("https://cao.dolgi.msk.ru/account/1080073975/", 1080073975)</f>
        <v>1080073975</v>
      </c>
      <c r="D322" t="s">
        <v>349</v>
      </c>
      <c r="E322">
        <v>-75.069999999999993</v>
      </c>
      <c r="F322">
        <v>-0.01</v>
      </c>
      <c r="G322" t="s">
        <v>12</v>
      </c>
      <c r="I322" t="s">
        <v>230</v>
      </c>
    </row>
    <row r="323" spans="1:9" hidden="1" x14ac:dyDescent="0.25">
      <c r="A323" t="s">
        <v>347</v>
      </c>
      <c r="B323" t="s">
        <v>66</v>
      </c>
      <c r="C323" s="2">
        <f>HYPERLINK("https://cao.dolgi.msk.ru/account/1080073983/", 1080073983)</f>
        <v>1080073983</v>
      </c>
      <c r="D323" t="s">
        <v>350</v>
      </c>
      <c r="E323">
        <v>-3957.98</v>
      </c>
      <c r="F323">
        <v>-1.22</v>
      </c>
      <c r="G323" t="s">
        <v>12</v>
      </c>
      <c r="I323" t="s">
        <v>230</v>
      </c>
    </row>
    <row r="324" spans="1:9" hidden="1" x14ac:dyDescent="0.25">
      <c r="A324" t="s">
        <v>347</v>
      </c>
      <c r="B324" t="s">
        <v>68</v>
      </c>
      <c r="C324" s="2">
        <f>HYPERLINK("https://cao.dolgi.msk.ru/account/1080073991/", 1080073991)</f>
        <v>1080073991</v>
      </c>
      <c r="D324" t="s">
        <v>15</v>
      </c>
      <c r="E324">
        <v>-5249.05</v>
      </c>
      <c r="F324">
        <v>-0.63</v>
      </c>
      <c r="G324" t="s">
        <v>12</v>
      </c>
      <c r="I324" t="s">
        <v>230</v>
      </c>
    </row>
    <row r="325" spans="1:9" hidden="1" x14ac:dyDescent="0.25">
      <c r="A325" t="s">
        <v>347</v>
      </c>
      <c r="B325" t="s">
        <v>70</v>
      </c>
      <c r="C325" s="2">
        <f>HYPERLINK("https://cao.dolgi.msk.ru/account/1080074003/", 1080074003)</f>
        <v>1080074003</v>
      </c>
      <c r="D325" t="s">
        <v>351</v>
      </c>
      <c r="E325">
        <v>-17716.7</v>
      </c>
      <c r="F325">
        <v>-1.59</v>
      </c>
      <c r="G325" t="s">
        <v>12</v>
      </c>
      <c r="I325" t="s">
        <v>230</v>
      </c>
    </row>
    <row r="326" spans="1:9" hidden="1" x14ac:dyDescent="0.25">
      <c r="A326" t="s">
        <v>347</v>
      </c>
      <c r="B326" t="s">
        <v>72</v>
      </c>
      <c r="C326" s="2">
        <f>HYPERLINK("https://cao.dolgi.msk.ru/account/1080074011/", 1080074011)</f>
        <v>1080074011</v>
      </c>
      <c r="D326" t="s">
        <v>352</v>
      </c>
      <c r="E326">
        <v>-2956.23</v>
      </c>
      <c r="F326">
        <v>-1.1299999999999999</v>
      </c>
      <c r="G326" t="s">
        <v>12</v>
      </c>
      <c r="I326" t="s">
        <v>230</v>
      </c>
    </row>
    <row r="327" spans="1:9" hidden="1" x14ac:dyDescent="0.25">
      <c r="A327" t="s">
        <v>347</v>
      </c>
      <c r="B327" t="s">
        <v>74</v>
      </c>
      <c r="C327" s="2">
        <f>HYPERLINK("https://cao.dolgi.msk.ru/account/1080074038/", 1080074038)</f>
        <v>1080074038</v>
      </c>
      <c r="D327" t="s">
        <v>353</v>
      </c>
      <c r="E327">
        <v>-12562.99</v>
      </c>
      <c r="F327">
        <v>-1.1399999999999999</v>
      </c>
      <c r="G327" t="s">
        <v>12</v>
      </c>
      <c r="I327" t="s">
        <v>230</v>
      </c>
    </row>
    <row r="328" spans="1:9" hidden="1" x14ac:dyDescent="0.25">
      <c r="A328" t="s">
        <v>347</v>
      </c>
      <c r="B328" t="s">
        <v>76</v>
      </c>
      <c r="C328" s="2">
        <f>HYPERLINK("https://cao.dolgi.msk.ru/account/1080074046/", 1080074046)</f>
        <v>1080074046</v>
      </c>
      <c r="D328" t="s">
        <v>354</v>
      </c>
      <c r="E328">
        <v>-29.04</v>
      </c>
      <c r="F328">
        <v>0</v>
      </c>
      <c r="G328" t="s">
        <v>12</v>
      </c>
      <c r="I328" t="s">
        <v>230</v>
      </c>
    </row>
    <row r="329" spans="1:9" hidden="1" x14ac:dyDescent="0.25">
      <c r="A329" t="s">
        <v>347</v>
      </c>
      <c r="B329" t="s">
        <v>78</v>
      </c>
      <c r="C329" s="2">
        <f>HYPERLINK("https://cao.dolgi.msk.ru/account/1080074054/", 1080074054)</f>
        <v>1080074054</v>
      </c>
      <c r="D329" t="s">
        <v>355</v>
      </c>
      <c r="E329">
        <v>-31.61</v>
      </c>
      <c r="F329">
        <v>0</v>
      </c>
      <c r="G329" t="s">
        <v>12</v>
      </c>
      <c r="I329" t="s">
        <v>230</v>
      </c>
    </row>
    <row r="330" spans="1:9" hidden="1" x14ac:dyDescent="0.25">
      <c r="A330" t="s">
        <v>347</v>
      </c>
      <c r="B330" t="s">
        <v>80</v>
      </c>
      <c r="C330" s="2">
        <f>HYPERLINK("https://cao.dolgi.msk.ru/account/1080074062/", 1080074062)</f>
        <v>1080074062</v>
      </c>
      <c r="D330" t="s">
        <v>356</v>
      </c>
      <c r="E330">
        <v>-10158.06</v>
      </c>
      <c r="F330">
        <v>-1.29</v>
      </c>
      <c r="G330" t="s">
        <v>12</v>
      </c>
      <c r="I330" t="s">
        <v>230</v>
      </c>
    </row>
    <row r="331" spans="1:9" hidden="1" x14ac:dyDescent="0.25">
      <c r="A331" t="s">
        <v>347</v>
      </c>
      <c r="B331" t="s">
        <v>82</v>
      </c>
      <c r="C331" s="2">
        <f>HYPERLINK("https://cao.dolgi.msk.ru/account/1080074089/", 1080074089)</f>
        <v>1080074089</v>
      </c>
      <c r="D331" t="s">
        <v>357</v>
      </c>
      <c r="E331">
        <v>-18356.21</v>
      </c>
      <c r="F331">
        <v>-1.35</v>
      </c>
      <c r="G331" t="s">
        <v>12</v>
      </c>
      <c r="I331" t="s">
        <v>230</v>
      </c>
    </row>
    <row r="332" spans="1:9" hidden="1" x14ac:dyDescent="0.25">
      <c r="A332" t="s">
        <v>347</v>
      </c>
      <c r="B332" t="s">
        <v>84</v>
      </c>
      <c r="C332" s="2">
        <f>HYPERLINK("https://cao.dolgi.msk.ru/account/1080074097/", 1080074097)</f>
        <v>1080074097</v>
      </c>
      <c r="D332" t="s">
        <v>358</v>
      </c>
      <c r="E332">
        <v>-3855.15</v>
      </c>
      <c r="F332">
        <v>-1.24</v>
      </c>
      <c r="G332" t="s">
        <v>12</v>
      </c>
      <c r="I332" t="s">
        <v>230</v>
      </c>
    </row>
    <row r="333" spans="1:9" hidden="1" x14ac:dyDescent="0.25">
      <c r="A333" t="s">
        <v>347</v>
      </c>
      <c r="B333" t="s">
        <v>86</v>
      </c>
      <c r="C333" s="2">
        <f>HYPERLINK("https://cao.dolgi.msk.ru/account/1080074118/", 1080074118)</f>
        <v>1080074118</v>
      </c>
      <c r="D333" t="s">
        <v>359</v>
      </c>
      <c r="E333">
        <v>-4967.1099999999997</v>
      </c>
      <c r="F333">
        <v>-0.65</v>
      </c>
      <c r="G333" t="s">
        <v>12</v>
      </c>
      <c r="I333" t="s">
        <v>230</v>
      </c>
    </row>
    <row r="334" spans="1:9" hidden="1" x14ac:dyDescent="0.25">
      <c r="A334" t="s">
        <v>347</v>
      </c>
      <c r="B334" t="s">
        <v>88</v>
      </c>
      <c r="C334" s="2">
        <f>HYPERLINK("https://cao.dolgi.msk.ru/account/1080074126/", 1080074126)</f>
        <v>1080074126</v>
      </c>
      <c r="D334" t="s">
        <v>360</v>
      </c>
      <c r="E334">
        <v>0</v>
      </c>
      <c r="F334">
        <v>0</v>
      </c>
      <c r="G334" t="s">
        <v>12</v>
      </c>
      <c r="I334" t="s">
        <v>230</v>
      </c>
    </row>
    <row r="335" spans="1:9" hidden="1" x14ac:dyDescent="0.25">
      <c r="A335" t="s">
        <v>361</v>
      </c>
      <c r="B335" t="s">
        <v>10</v>
      </c>
      <c r="C335" s="2">
        <f>HYPERLINK("https://cao.dolgi.msk.ru/account/1080077036/", 1080077036)</f>
        <v>1080077036</v>
      </c>
      <c r="D335" t="s">
        <v>362</v>
      </c>
      <c r="E335">
        <v>-159.31</v>
      </c>
      <c r="F335">
        <v>-0.02</v>
      </c>
      <c r="G335" t="s">
        <v>12</v>
      </c>
      <c r="I335" t="s">
        <v>230</v>
      </c>
    </row>
    <row r="336" spans="1:9" hidden="1" x14ac:dyDescent="0.25">
      <c r="A336" t="s">
        <v>361</v>
      </c>
      <c r="B336" t="s">
        <v>16</v>
      </c>
      <c r="C336" s="2">
        <f>HYPERLINK("https://cao.dolgi.msk.ru/account/1080077044/", 1080077044)</f>
        <v>1080077044</v>
      </c>
      <c r="D336" t="s">
        <v>363</v>
      </c>
      <c r="E336">
        <v>-288.05</v>
      </c>
      <c r="F336">
        <v>-0.03</v>
      </c>
      <c r="G336" t="s">
        <v>12</v>
      </c>
      <c r="I336" t="s">
        <v>230</v>
      </c>
    </row>
    <row r="337" spans="1:9" hidden="1" x14ac:dyDescent="0.25">
      <c r="A337" t="s">
        <v>361</v>
      </c>
      <c r="B337" t="s">
        <v>18</v>
      </c>
      <c r="C337" s="2">
        <f>HYPERLINK("https://cao.dolgi.msk.ru/account/1080077052/", 1080077052)</f>
        <v>1080077052</v>
      </c>
      <c r="D337" t="s">
        <v>364</v>
      </c>
      <c r="E337">
        <v>-8588.2900000000009</v>
      </c>
      <c r="F337">
        <v>-0.79</v>
      </c>
      <c r="G337" t="s">
        <v>12</v>
      </c>
      <c r="I337" t="s">
        <v>230</v>
      </c>
    </row>
    <row r="338" spans="1:9" hidden="1" x14ac:dyDescent="0.25">
      <c r="A338" t="s">
        <v>361</v>
      </c>
      <c r="B338" t="s">
        <v>20</v>
      </c>
      <c r="C338" s="2">
        <f>HYPERLINK("https://cao.dolgi.msk.ru/account/1080077079/", 1080077079)</f>
        <v>1080077079</v>
      </c>
      <c r="D338" t="s">
        <v>365</v>
      </c>
      <c r="E338">
        <v>-20248.28</v>
      </c>
      <c r="F338">
        <v>-2.1800000000000002</v>
      </c>
      <c r="G338" t="s">
        <v>12</v>
      </c>
      <c r="I338" t="s">
        <v>230</v>
      </c>
    </row>
    <row r="339" spans="1:9" hidden="1" x14ac:dyDescent="0.25">
      <c r="A339" t="s">
        <v>361</v>
      </c>
      <c r="B339" t="s">
        <v>21</v>
      </c>
      <c r="C339" s="2">
        <f>HYPERLINK("https://cao.dolgi.msk.ru/account/1080077087/", 1080077087)</f>
        <v>1080077087</v>
      </c>
      <c r="D339" t="s">
        <v>366</v>
      </c>
      <c r="E339">
        <v>-6300.64</v>
      </c>
      <c r="F339">
        <v>-1.05</v>
      </c>
      <c r="G339" t="s">
        <v>12</v>
      </c>
      <c r="I339" t="s">
        <v>230</v>
      </c>
    </row>
    <row r="340" spans="1:9" hidden="1" x14ac:dyDescent="0.25">
      <c r="A340" t="s">
        <v>361</v>
      </c>
      <c r="B340" t="s">
        <v>22</v>
      </c>
      <c r="C340" s="2">
        <f>HYPERLINK("https://cao.dolgi.msk.ru/account/1080077095/", 1080077095)</f>
        <v>1080077095</v>
      </c>
      <c r="D340" t="s">
        <v>367</v>
      </c>
      <c r="E340">
        <v>-11109.9</v>
      </c>
      <c r="F340">
        <v>-1.1599999999999999</v>
      </c>
      <c r="G340" t="s">
        <v>12</v>
      </c>
      <c r="I340" t="s">
        <v>230</v>
      </c>
    </row>
    <row r="341" spans="1:9" hidden="1" x14ac:dyDescent="0.25">
      <c r="A341" t="s">
        <v>361</v>
      </c>
      <c r="B341" t="s">
        <v>23</v>
      </c>
      <c r="C341" s="2">
        <f>HYPERLINK("https://cao.dolgi.msk.ru/account/1080077108/", 1080077108)</f>
        <v>1080077108</v>
      </c>
      <c r="D341" t="s">
        <v>368</v>
      </c>
      <c r="E341">
        <v>-8527.24</v>
      </c>
      <c r="F341">
        <v>-1.1599999999999999</v>
      </c>
      <c r="G341" t="s">
        <v>12</v>
      </c>
      <c r="I341" t="s">
        <v>230</v>
      </c>
    </row>
    <row r="342" spans="1:9" hidden="1" x14ac:dyDescent="0.25">
      <c r="A342" t="s">
        <v>361</v>
      </c>
      <c r="B342" t="s">
        <v>24</v>
      </c>
      <c r="C342" s="2">
        <f>HYPERLINK("https://cao.dolgi.msk.ru/account/1080077116/", 1080077116)</f>
        <v>1080077116</v>
      </c>
      <c r="D342" t="s">
        <v>62</v>
      </c>
      <c r="E342">
        <v>0</v>
      </c>
      <c r="F342">
        <v>0</v>
      </c>
      <c r="G342" t="s">
        <v>12</v>
      </c>
      <c r="I342" t="s">
        <v>230</v>
      </c>
    </row>
    <row r="343" spans="1:9" hidden="1" x14ac:dyDescent="0.25">
      <c r="A343" t="s">
        <v>361</v>
      </c>
      <c r="B343" t="s">
        <v>27</v>
      </c>
      <c r="C343" s="2">
        <f>HYPERLINK("https://cao.dolgi.msk.ru/account/1080077124/", 1080077124)</f>
        <v>1080077124</v>
      </c>
      <c r="D343" t="s">
        <v>15</v>
      </c>
      <c r="E343">
        <v>0</v>
      </c>
      <c r="F343">
        <v>0</v>
      </c>
      <c r="G343" t="s">
        <v>12</v>
      </c>
      <c r="I343" t="s">
        <v>230</v>
      </c>
    </row>
    <row r="344" spans="1:9" x14ac:dyDescent="0.25">
      <c r="A344" t="s">
        <v>361</v>
      </c>
      <c r="B344" t="s">
        <v>29</v>
      </c>
      <c r="C344" s="2">
        <f>HYPERLINK("https://cao.dolgi.msk.ru/account/1080077132/", 1080077132)</f>
        <v>1080077132</v>
      </c>
      <c r="D344" t="s">
        <v>62</v>
      </c>
      <c r="E344">
        <v>13727.66</v>
      </c>
      <c r="F344">
        <v>1.92</v>
      </c>
      <c r="G344" t="s">
        <v>12</v>
      </c>
      <c r="I344" t="s">
        <v>230</v>
      </c>
    </row>
    <row r="345" spans="1:9" hidden="1" x14ac:dyDescent="0.25">
      <c r="A345" t="s">
        <v>361</v>
      </c>
      <c r="B345" t="s">
        <v>31</v>
      </c>
      <c r="C345" s="2">
        <f>HYPERLINK("https://cao.dolgi.msk.ru/account/1080077159/", 1080077159)</f>
        <v>1080077159</v>
      </c>
      <c r="D345" t="s">
        <v>369</v>
      </c>
      <c r="E345">
        <v>-1615.22</v>
      </c>
      <c r="F345">
        <v>-0.19</v>
      </c>
      <c r="G345" t="s">
        <v>12</v>
      </c>
      <c r="I345" t="s">
        <v>230</v>
      </c>
    </row>
    <row r="346" spans="1:9" hidden="1" x14ac:dyDescent="0.25">
      <c r="A346" t="s">
        <v>361</v>
      </c>
      <c r="B346" t="s">
        <v>33</v>
      </c>
      <c r="C346" s="2">
        <f>HYPERLINK("https://cao.dolgi.msk.ru/account/1080077167/", 1080077167)</f>
        <v>1080077167</v>
      </c>
      <c r="D346" t="s">
        <v>370</v>
      </c>
      <c r="E346">
        <v>-9505.1200000000008</v>
      </c>
      <c r="F346">
        <v>-1.1499999999999999</v>
      </c>
      <c r="G346" t="s">
        <v>12</v>
      </c>
      <c r="I346" t="s">
        <v>230</v>
      </c>
    </row>
    <row r="347" spans="1:9" hidden="1" x14ac:dyDescent="0.25">
      <c r="A347" t="s">
        <v>361</v>
      </c>
      <c r="B347" t="s">
        <v>34</v>
      </c>
      <c r="C347" s="2">
        <f>HYPERLINK("https://cao.dolgi.msk.ru/account/1080077175/", 1080077175)</f>
        <v>1080077175</v>
      </c>
      <c r="D347" t="s">
        <v>371</v>
      </c>
      <c r="E347">
        <v>-5233.45</v>
      </c>
      <c r="F347">
        <v>-0.97</v>
      </c>
      <c r="G347" t="s">
        <v>12</v>
      </c>
      <c r="I347" t="s">
        <v>230</v>
      </c>
    </row>
    <row r="348" spans="1:9" hidden="1" x14ac:dyDescent="0.25">
      <c r="A348" t="s">
        <v>361</v>
      </c>
      <c r="B348" t="s">
        <v>36</v>
      </c>
      <c r="C348" s="2">
        <f>HYPERLINK("https://cao.dolgi.msk.ru/account/1080077183/", 1080077183)</f>
        <v>1080077183</v>
      </c>
      <c r="D348" t="s">
        <v>371</v>
      </c>
      <c r="E348">
        <v>-7533.43</v>
      </c>
      <c r="F348">
        <v>-1.38</v>
      </c>
      <c r="G348" t="s">
        <v>12</v>
      </c>
      <c r="I348" t="s">
        <v>230</v>
      </c>
    </row>
    <row r="349" spans="1:9" hidden="1" x14ac:dyDescent="0.25">
      <c r="A349" t="s">
        <v>361</v>
      </c>
      <c r="B349" t="s">
        <v>38</v>
      </c>
      <c r="C349" s="2">
        <f>HYPERLINK("https://cao.dolgi.msk.ru/account/1080077191/", 1080077191)</f>
        <v>1080077191</v>
      </c>
      <c r="D349" t="s">
        <v>372</v>
      </c>
      <c r="E349">
        <v>-6739.92</v>
      </c>
      <c r="F349">
        <v>-1.1499999999999999</v>
      </c>
      <c r="G349" t="s">
        <v>12</v>
      </c>
      <c r="I349" t="s">
        <v>230</v>
      </c>
    </row>
    <row r="350" spans="1:9" hidden="1" x14ac:dyDescent="0.25">
      <c r="A350" t="s">
        <v>361</v>
      </c>
      <c r="B350" t="s">
        <v>39</v>
      </c>
      <c r="C350" s="2">
        <f>HYPERLINK("https://cao.dolgi.msk.ru/account/1080077204/", 1080077204)</f>
        <v>1080077204</v>
      </c>
      <c r="D350" t="s">
        <v>15</v>
      </c>
      <c r="E350">
        <v>-2179.5300000000002</v>
      </c>
      <c r="F350">
        <v>-0.12</v>
      </c>
      <c r="G350" t="s">
        <v>12</v>
      </c>
      <c r="I350" t="s">
        <v>230</v>
      </c>
    </row>
    <row r="351" spans="1:9" hidden="1" x14ac:dyDescent="0.25">
      <c r="A351" t="s">
        <v>361</v>
      </c>
      <c r="B351" t="s">
        <v>40</v>
      </c>
      <c r="C351" s="2">
        <f>HYPERLINK("https://cao.dolgi.msk.ru/account/1080077212/", 1080077212)</f>
        <v>1080077212</v>
      </c>
      <c r="D351" t="s">
        <v>15</v>
      </c>
      <c r="E351">
        <v>-1352.85</v>
      </c>
      <c r="F351">
        <v>-7.0000000000000007E-2</v>
      </c>
      <c r="G351" t="s">
        <v>12</v>
      </c>
      <c r="I351" t="s">
        <v>230</v>
      </c>
    </row>
    <row r="352" spans="1:9" hidden="1" x14ac:dyDescent="0.25">
      <c r="A352" t="s">
        <v>361</v>
      </c>
      <c r="B352" t="s">
        <v>41</v>
      </c>
      <c r="C352" s="2">
        <f>HYPERLINK("https://cao.dolgi.msk.ru/account/1080077239/", 1080077239)</f>
        <v>1080077239</v>
      </c>
      <c r="D352" t="s">
        <v>62</v>
      </c>
      <c r="E352">
        <v>-5614.33</v>
      </c>
      <c r="F352">
        <v>-0.41</v>
      </c>
      <c r="G352" t="s">
        <v>12</v>
      </c>
      <c r="I352" t="s">
        <v>230</v>
      </c>
    </row>
    <row r="353" spans="1:9" hidden="1" x14ac:dyDescent="0.25">
      <c r="A353" t="s">
        <v>361</v>
      </c>
      <c r="B353" t="s">
        <v>42</v>
      </c>
      <c r="C353" s="2">
        <f>HYPERLINK("https://cao.dolgi.msk.ru/account/1080077247/", 1080077247)</f>
        <v>1080077247</v>
      </c>
      <c r="D353" t="s">
        <v>373</v>
      </c>
      <c r="E353">
        <v>-6812.57</v>
      </c>
      <c r="F353">
        <v>-1.1299999999999999</v>
      </c>
      <c r="G353" t="s">
        <v>12</v>
      </c>
      <c r="I353" t="s">
        <v>230</v>
      </c>
    </row>
    <row r="354" spans="1:9" hidden="1" x14ac:dyDescent="0.25">
      <c r="A354" t="s">
        <v>361</v>
      </c>
      <c r="B354" t="s">
        <v>44</v>
      </c>
      <c r="C354" s="2">
        <f>HYPERLINK("https://cao.dolgi.msk.ru/account/1080077255/", 1080077255)</f>
        <v>1080077255</v>
      </c>
      <c r="D354" t="s">
        <v>374</v>
      </c>
      <c r="E354">
        <v>-8948.24</v>
      </c>
      <c r="F354">
        <v>-0.9</v>
      </c>
      <c r="G354" t="s">
        <v>12</v>
      </c>
      <c r="I354" t="s">
        <v>230</v>
      </c>
    </row>
    <row r="355" spans="1:9" hidden="1" x14ac:dyDescent="0.25">
      <c r="A355" t="s">
        <v>361</v>
      </c>
      <c r="B355" t="s">
        <v>66</v>
      </c>
      <c r="C355" s="2">
        <f>HYPERLINK("https://cao.dolgi.msk.ru/account/1080077263/", 1080077263)</f>
        <v>1080077263</v>
      </c>
      <c r="D355" t="s">
        <v>15</v>
      </c>
      <c r="G355" t="s">
        <v>14</v>
      </c>
      <c r="I355" t="s">
        <v>230</v>
      </c>
    </row>
    <row r="356" spans="1:9" hidden="1" x14ac:dyDescent="0.25">
      <c r="A356" t="s">
        <v>361</v>
      </c>
      <c r="B356" t="s">
        <v>68</v>
      </c>
      <c r="C356" s="2">
        <f>HYPERLINK("https://cao.dolgi.msk.ru/account/1080077271/", 1080077271)</f>
        <v>1080077271</v>
      </c>
      <c r="D356" t="s">
        <v>15</v>
      </c>
      <c r="G356" t="s">
        <v>14</v>
      </c>
      <c r="I356" t="s">
        <v>230</v>
      </c>
    </row>
    <row r="357" spans="1:9" hidden="1" x14ac:dyDescent="0.25">
      <c r="A357" t="s">
        <v>361</v>
      </c>
      <c r="B357" t="s">
        <v>70</v>
      </c>
      <c r="C357" s="2">
        <f>HYPERLINK("https://cao.dolgi.msk.ru/account/1080077298/", 1080077298)</f>
        <v>1080077298</v>
      </c>
      <c r="D357" t="s">
        <v>375</v>
      </c>
      <c r="E357">
        <v>-3954.13</v>
      </c>
      <c r="F357">
        <v>-1.17</v>
      </c>
      <c r="G357" t="s">
        <v>12</v>
      </c>
      <c r="I357" t="s">
        <v>230</v>
      </c>
    </row>
    <row r="358" spans="1:9" hidden="1" x14ac:dyDescent="0.25">
      <c r="A358" t="s">
        <v>361</v>
      </c>
      <c r="B358" t="s">
        <v>72</v>
      </c>
      <c r="C358" s="2">
        <f>HYPERLINK("https://cao.dolgi.msk.ru/account/1080077319/", 1080077319)</f>
        <v>1080077319</v>
      </c>
      <c r="D358" t="s">
        <v>62</v>
      </c>
      <c r="E358">
        <v>-2720.87</v>
      </c>
      <c r="F358">
        <v>-0.69</v>
      </c>
      <c r="G358" t="s">
        <v>12</v>
      </c>
      <c r="I358" t="s">
        <v>230</v>
      </c>
    </row>
    <row r="359" spans="1:9" hidden="1" x14ac:dyDescent="0.25">
      <c r="A359" t="s">
        <v>361</v>
      </c>
      <c r="B359" t="s">
        <v>74</v>
      </c>
      <c r="C359" s="2">
        <f>HYPERLINK("https://cao.dolgi.msk.ru/account/1080077431/", 1080077431)</f>
        <v>1080077431</v>
      </c>
      <c r="D359" t="s">
        <v>376</v>
      </c>
      <c r="E359">
        <v>-8606.44</v>
      </c>
      <c r="F359">
        <v>-1.25</v>
      </c>
      <c r="G359" t="s">
        <v>12</v>
      </c>
      <c r="I359" t="s">
        <v>230</v>
      </c>
    </row>
    <row r="360" spans="1:9" hidden="1" x14ac:dyDescent="0.25">
      <c r="A360" t="s">
        <v>361</v>
      </c>
      <c r="B360" t="s">
        <v>76</v>
      </c>
      <c r="C360" s="2">
        <f>HYPERLINK("https://cao.dolgi.msk.ru/account/1080077327/", 1080077327)</f>
        <v>1080077327</v>
      </c>
      <c r="D360" t="s">
        <v>377</v>
      </c>
      <c r="E360">
        <v>2433.48</v>
      </c>
      <c r="F360">
        <v>0.46</v>
      </c>
      <c r="G360" t="s">
        <v>12</v>
      </c>
      <c r="I360" t="s">
        <v>230</v>
      </c>
    </row>
    <row r="361" spans="1:9" hidden="1" x14ac:dyDescent="0.25">
      <c r="A361" t="s">
        <v>361</v>
      </c>
      <c r="B361" t="s">
        <v>78</v>
      </c>
      <c r="C361" s="2">
        <f>HYPERLINK("https://cao.dolgi.msk.ru/account/1080077335/", 1080077335)</f>
        <v>1080077335</v>
      </c>
      <c r="D361" t="s">
        <v>62</v>
      </c>
      <c r="E361">
        <v>-5367.65</v>
      </c>
      <c r="F361">
        <v>-1.1299999999999999</v>
      </c>
      <c r="G361" t="s">
        <v>12</v>
      </c>
      <c r="I361" t="s">
        <v>230</v>
      </c>
    </row>
    <row r="362" spans="1:9" hidden="1" x14ac:dyDescent="0.25">
      <c r="A362" t="s">
        <v>361</v>
      </c>
      <c r="B362" t="s">
        <v>80</v>
      </c>
      <c r="C362" s="2">
        <f>HYPERLINK("https://cao.dolgi.msk.ru/account/1080077343/", 1080077343)</f>
        <v>1080077343</v>
      </c>
      <c r="D362" t="s">
        <v>62</v>
      </c>
      <c r="E362">
        <v>-7039.94</v>
      </c>
      <c r="F362">
        <v>-1.1599999999999999</v>
      </c>
      <c r="G362" t="s">
        <v>12</v>
      </c>
      <c r="I362" t="s">
        <v>230</v>
      </c>
    </row>
    <row r="363" spans="1:9" hidden="1" x14ac:dyDescent="0.25">
      <c r="A363" t="s">
        <v>361</v>
      </c>
      <c r="B363" t="s">
        <v>82</v>
      </c>
      <c r="C363" s="2">
        <f>HYPERLINK("https://cao.dolgi.msk.ru/account/1080077351/", 1080077351)</f>
        <v>1080077351</v>
      </c>
      <c r="D363" t="s">
        <v>378</v>
      </c>
      <c r="E363">
        <v>-431.6</v>
      </c>
      <c r="F363">
        <v>-0.06</v>
      </c>
      <c r="G363" t="s">
        <v>12</v>
      </c>
      <c r="I363" t="s">
        <v>230</v>
      </c>
    </row>
    <row r="364" spans="1:9" hidden="1" x14ac:dyDescent="0.25">
      <c r="A364" t="s">
        <v>361</v>
      </c>
      <c r="B364" t="s">
        <v>84</v>
      </c>
      <c r="C364" s="2">
        <f>HYPERLINK("https://cao.dolgi.msk.ru/account/1080077378/", 1080077378)</f>
        <v>1080077378</v>
      </c>
      <c r="D364" t="s">
        <v>379</v>
      </c>
      <c r="E364">
        <v>-18539.37</v>
      </c>
      <c r="F364">
        <v>-4.8099999999999996</v>
      </c>
      <c r="G364" t="s">
        <v>12</v>
      </c>
      <c r="I364" t="s">
        <v>230</v>
      </c>
    </row>
    <row r="365" spans="1:9" hidden="1" x14ac:dyDescent="0.25">
      <c r="A365" t="s">
        <v>361</v>
      </c>
      <c r="B365" t="s">
        <v>86</v>
      </c>
      <c r="C365" s="2">
        <f>HYPERLINK("https://cao.dolgi.msk.ru/account/1080077386/", 1080077386)</f>
        <v>1080077386</v>
      </c>
      <c r="D365" t="s">
        <v>380</v>
      </c>
      <c r="E365">
        <v>-4886.03</v>
      </c>
      <c r="F365">
        <v>-1.1499999999999999</v>
      </c>
      <c r="G365" t="s">
        <v>12</v>
      </c>
      <c r="I365" t="s">
        <v>230</v>
      </c>
    </row>
    <row r="366" spans="1:9" hidden="1" x14ac:dyDescent="0.25">
      <c r="A366" t="s">
        <v>361</v>
      </c>
      <c r="B366" t="s">
        <v>88</v>
      </c>
      <c r="C366" s="2">
        <f>HYPERLINK("https://cao.dolgi.msk.ru/account/1080077394/", 1080077394)</f>
        <v>1080077394</v>
      </c>
      <c r="D366" t="s">
        <v>15</v>
      </c>
      <c r="E366">
        <v>-8811.31</v>
      </c>
      <c r="F366">
        <v>-1.48</v>
      </c>
      <c r="G366" t="s">
        <v>12</v>
      </c>
      <c r="I366" t="s">
        <v>230</v>
      </c>
    </row>
    <row r="367" spans="1:9" hidden="1" x14ac:dyDescent="0.25">
      <c r="A367" t="s">
        <v>361</v>
      </c>
      <c r="B367" t="s">
        <v>381</v>
      </c>
      <c r="C367" s="2">
        <f>HYPERLINK("https://cao.dolgi.msk.ru/account/1080077407/", 1080077407)</f>
        <v>1080077407</v>
      </c>
      <c r="D367" t="s">
        <v>382</v>
      </c>
      <c r="E367">
        <v>-9322.4</v>
      </c>
      <c r="F367">
        <v>-1.05</v>
      </c>
      <c r="G367" t="s">
        <v>12</v>
      </c>
      <c r="I367" t="s">
        <v>230</v>
      </c>
    </row>
    <row r="368" spans="1:9" hidden="1" x14ac:dyDescent="0.25">
      <c r="A368" t="s">
        <v>361</v>
      </c>
      <c r="B368" t="s">
        <v>94</v>
      </c>
      <c r="C368" s="2">
        <f>HYPERLINK("https://cao.dolgi.msk.ru/account/1080077415/", 1080077415)</f>
        <v>1080077415</v>
      </c>
      <c r="D368" t="s">
        <v>383</v>
      </c>
      <c r="E368">
        <v>-15803.37</v>
      </c>
      <c r="F368">
        <v>-1.07</v>
      </c>
      <c r="G368" t="s">
        <v>12</v>
      </c>
      <c r="I368" t="s">
        <v>230</v>
      </c>
    </row>
    <row r="369" spans="1:9" hidden="1" x14ac:dyDescent="0.25">
      <c r="A369" t="s">
        <v>361</v>
      </c>
      <c r="B369" t="s">
        <v>384</v>
      </c>
      <c r="C369" s="2">
        <f>HYPERLINK("https://cao.dolgi.msk.ru/account/1080319808/", 1080319808)</f>
        <v>1080319808</v>
      </c>
      <c r="D369" t="s">
        <v>15</v>
      </c>
      <c r="E369">
        <v>-11557.39</v>
      </c>
      <c r="F369">
        <v>-1.0900000000000001</v>
      </c>
      <c r="G369" t="s">
        <v>12</v>
      </c>
      <c r="I369" t="s">
        <v>230</v>
      </c>
    </row>
    <row r="370" spans="1:9" hidden="1" x14ac:dyDescent="0.25">
      <c r="A370" t="s">
        <v>361</v>
      </c>
      <c r="B370" t="s">
        <v>96</v>
      </c>
      <c r="C370" s="2">
        <f>HYPERLINK("https://cao.dolgi.msk.ru/account/1080077423/", 1080077423)</f>
        <v>1080077423</v>
      </c>
      <c r="D370" t="s">
        <v>62</v>
      </c>
      <c r="E370">
        <v>-22572.38</v>
      </c>
      <c r="F370">
        <v>-1.1200000000000001</v>
      </c>
      <c r="G370" t="s">
        <v>12</v>
      </c>
      <c r="I370" t="s">
        <v>230</v>
      </c>
    </row>
    <row r="371" spans="1:9" hidden="1" x14ac:dyDescent="0.25">
      <c r="A371" t="s">
        <v>385</v>
      </c>
      <c r="B371" t="s">
        <v>68</v>
      </c>
      <c r="C371" s="2">
        <f>HYPERLINK("https://cao.dolgi.msk.ru/account/1080000821/", 1080000821)</f>
        <v>1080000821</v>
      </c>
      <c r="D371" t="s">
        <v>15</v>
      </c>
      <c r="E371">
        <v>0</v>
      </c>
      <c r="G371" t="s">
        <v>14</v>
      </c>
      <c r="H371" t="s">
        <v>7</v>
      </c>
    </row>
    <row r="372" spans="1:9" hidden="1" x14ac:dyDescent="0.25">
      <c r="A372" t="s">
        <v>386</v>
      </c>
      <c r="B372" t="s">
        <v>10</v>
      </c>
      <c r="C372" s="2">
        <f>HYPERLINK("https://cao.dolgi.msk.ru/account/1080013892/", 1080013892)</f>
        <v>1080013892</v>
      </c>
      <c r="D372" t="s">
        <v>15</v>
      </c>
      <c r="E372">
        <v>55214.080000000002</v>
      </c>
      <c r="G372" t="s">
        <v>12</v>
      </c>
    </row>
    <row r="373" spans="1:9" hidden="1" x14ac:dyDescent="0.25">
      <c r="A373" t="s">
        <v>386</v>
      </c>
      <c r="B373" t="s">
        <v>16</v>
      </c>
      <c r="C373" s="2">
        <f>HYPERLINK("https://cao.dolgi.msk.ru/account/1080000258/", 1080000258)</f>
        <v>1080000258</v>
      </c>
      <c r="D373" t="s">
        <v>62</v>
      </c>
      <c r="E373">
        <v>28261.599999999999</v>
      </c>
      <c r="G373" t="s">
        <v>12</v>
      </c>
    </row>
    <row r="374" spans="1:9" hidden="1" x14ac:dyDescent="0.25">
      <c r="A374" t="s">
        <v>386</v>
      </c>
      <c r="B374" t="s">
        <v>18</v>
      </c>
      <c r="C374" s="2">
        <f>HYPERLINK("https://cao.dolgi.msk.ru/account/1080000354/", 1080000354)</f>
        <v>1080000354</v>
      </c>
      <c r="D374" t="s">
        <v>387</v>
      </c>
      <c r="E374">
        <v>27607.040000000001</v>
      </c>
      <c r="G374" t="s">
        <v>12</v>
      </c>
    </row>
    <row r="375" spans="1:9" hidden="1" x14ac:dyDescent="0.25">
      <c r="A375" t="s">
        <v>386</v>
      </c>
      <c r="B375" t="s">
        <v>20</v>
      </c>
      <c r="C375" s="2">
        <f>HYPERLINK("https://cao.dolgi.msk.ru/account/1080000362/", 1080000362)</f>
        <v>1080000362</v>
      </c>
      <c r="D375" t="s">
        <v>388</v>
      </c>
      <c r="E375">
        <v>27280.880000000001</v>
      </c>
      <c r="G375" t="s">
        <v>12</v>
      </c>
    </row>
    <row r="376" spans="1:9" hidden="1" x14ac:dyDescent="0.25">
      <c r="A376" t="s">
        <v>386</v>
      </c>
      <c r="B376" t="s">
        <v>21</v>
      </c>
      <c r="C376" s="2">
        <f>HYPERLINK("https://cao.dolgi.msk.ru/account/1080000282/", 1080000282)</f>
        <v>1080000282</v>
      </c>
      <c r="D376" t="s">
        <v>389</v>
      </c>
      <c r="E376">
        <v>27114.81</v>
      </c>
      <c r="G376" t="s">
        <v>12</v>
      </c>
    </row>
    <row r="377" spans="1:9" hidden="1" x14ac:dyDescent="0.25">
      <c r="A377" t="s">
        <v>386</v>
      </c>
      <c r="B377" t="s">
        <v>22</v>
      </c>
      <c r="C377" s="2">
        <f>HYPERLINK("https://cao.dolgi.msk.ru/account/1080000389/", 1080000389)</f>
        <v>1080000389</v>
      </c>
      <c r="D377" t="s">
        <v>62</v>
      </c>
      <c r="E377">
        <v>23625.26</v>
      </c>
      <c r="G377" t="s">
        <v>12</v>
      </c>
    </row>
    <row r="378" spans="1:9" hidden="1" x14ac:dyDescent="0.25">
      <c r="A378" t="s">
        <v>386</v>
      </c>
      <c r="B378" t="s">
        <v>23</v>
      </c>
      <c r="C378" s="2">
        <f>HYPERLINK("https://cao.dolgi.msk.ru/account/1080008022/", 1080008022)</f>
        <v>1080008022</v>
      </c>
      <c r="D378" t="s">
        <v>387</v>
      </c>
      <c r="E378">
        <v>36145.74</v>
      </c>
      <c r="G378" t="s">
        <v>12</v>
      </c>
    </row>
    <row r="379" spans="1:9" hidden="1" x14ac:dyDescent="0.25">
      <c r="A379" t="s">
        <v>386</v>
      </c>
      <c r="B379" t="s">
        <v>24</v>
      </c>
      <c r="C379" s="2">
        <f>HYPERLINK("https://cao.dolgi.msk.ru/account/1080008049/", 1080008049)</f>
        <v>1080008049</v>
      </c>
      <c r="D379" t="s">
        <v>15</v>
      </c>
      <c r="E379">
        <v>6114.42</v>
      </c>
      <c r="G379" t="s">
        <v>12</v>
      </c>
      <c r="H379" t="s">
        <v>7</v>
      </c>
    </row>
    <row r="380" spans="1:9" hidden="1" x14ac:dyDescent="0.25">
      <c r="A380" t="s">
        <v>386</v>
      </c>
      <c r="B380" t="s">
        <v>27</v>
      </c>
      <c r="C380" s="2">
        <f>HYPERLINK("https://cao.dolgi.msk.ru/account/1080000397/", 1080000397)</f>
        <v>1080000397</v>
      </c>
      <c r="D380" t="s">
        <v>390</v>
      </c>
      <c r="E380">
        <v>24687.24</v>
      </c>
      <c r="G380" t="s">
        <v>12</v>
      </c>
    </row>
    <row r="381" spans="1:9" hidden="1" x14ac:dyDescent="0.25">
      <c r="A381" t="s">
        <v>386</v>
      </c>
      <c r="B381" t="s">
        <v>29</v>
      </c>
      <c r="C381" s="2">
        <f>HYPERLINK("https://cao.dolgi.msk.ru/account/1080000346/", 1080000346)</f>
        <v>1080000346</v>
      </c>
      <c r="D381" t="s">
        <v>391</v>
      </c>
      <c r="E381">
        <v>23934.94</v>
      </c>
      <c r="G381" t="s">
        <v>12</v>
      </c>
    </row>
    <row r="382" spans="1:9" hidden="1" x14ac:dyDescent="0.25">
      <c r="A382" t="s">
        <v>386</v>
      </c>
      <c r="B382" t="s">
        <v>31</v>
      </c>
      <c r="C382" s="2">
        <f>HYPERLINK("https://cao.dolgi.msk.ru/account/1080000338/", 1080000338)</f>
        <v>1080000338</v>
      </c>
      <c r="D382" t="s">
        <v>387</v>
      </c>
      <c r="E382">
        <v>36057.26</v>
      </c>
      <c r="G382" t="s">
        <v>12</v>
      </c>
    </row>
    <row r="383" spans="1:9" hidden="1" x14ac:dyDescent="0.25">
      <c r="A383" t="s">
        <v>392</v>
      </c>
      <c r="B383" t="s">
        <v>10</v>
      </c>
      <c r="C383" s="2">
        <f>HYPERLINK("https://cao.dolgi.msk.ru/account/1080035346/", 1080035346)</f>
        <v>1080035346</v>
      </c>
      <c r="D383" t="s">
        <v>393</v>
      </c>
      <c r="E383">
        <v>0</v>
      </c>
      <c r="G383" t="s">
        <v>14</v>
      </c>
      <c r="I383" t="s">
        <v>13</v>
      </c>
    </row>
    <row r="384" spans="1:9" hidden="1" x14ac:dyDescent="0.25">
      <c r="A384" t="s">
        <v>392</v>
      </c>
      <c r="B384" t="s">
        <v>10</v>
      </c>
      <c r="C384" s="2">
        <f>HYPERLINK("https://cao.dolgi.msk.ru/account/1083271141/", 1083271141)</f>
        <v>1083271141</v>
      </c>
      <c r="D384" t="s">
        <v>15</v>
      </c>
      <c r="E384">
        <v>107.61</v>
      </c>
      <c r="F384">
        <v>0.02</v>
      </c>
      <c r="G384" t="s">
        <v>12</v>
      </c>
      <c r="I384" t="s">
        <v>13</v>
      </c>
    </row>
    <row r="385" spans="1:9" hidden="1" x14ac:dyDescent="0.25">
      <c r="A385" t="s">
        <v>392</v>
      </c>
      <c r="B385" t="s">
        <v>16</v>
      </c>
      <c r="C385" s="2">
        <f>HYPERLINK("https://cao.dolgi.msk.ru/account/1080035557/", 1080035557)</f>
        <v>1080035557</v>
      </c>
      <c r="D385" t="s">
        <v>394</v>
      </c>
      <c r="E385">
        <v>-964.18</v>
      </c>
      <c r="F385">
        <v>-0.12</v>
      </c>
      <c r="G385" t="s">
        <v>12</v>
      </c>
      <c r="I385" t="s">
        <v>13</v>
      </c>
    </row>
    <row r="386" spans="1:9" hidden="1" x14ac:dyDescent="0.25">
      <c r="A386" t="s">
        <v>392</v>
      </c>
      <c r="B386" t="s">
        <v>18</v>
      </c>
      <c r="C386" s="2">
        <f>HYPERLINK("https://cao.dolgi.msk.ru/account/1080035223/", 1080035223)</f>
        <v>1080035223</v>
      </c>
      <c r="D386" t="s">
        <v>395</v>
      </c>
      <c r="E386">
        <v>-7371.43</v>
      </c>
      <c r="F386">
        <v>-1.32</v>
      </c>
      <c r="G386" t="s">
        <v>12</v>
      </c>
      <c r="I386" t="s">
        <v>13</v>
      </c>
    </row>
    <row r="387" spans="1:9" hidden="1" x14ac:dyDescent="0.25">
      <c r="A387" t="s">
        <v>392</v>
      </c>
      <c r="B387" t="s">
        <v>20</v>
      </c>
      <c r="C387" s="2">
        <f>HYPERLINK("https://cao.dolgi.msk.ru/account/1080035231/", 1080035231)</f>
        <v>1080035231</v>
      </c>
      <c r="D387" t="s">
        <v>396</v>
      </c>
      <c r="E387">
        <v>8236.61</v>
      </c>
      <c r="F387">
        <v>0.87</v>
      </c>
      <c r="G387" t="s">
        <v>12</v>
      </c>
      <c r="I387" t="s">
        <v>13</v>
      </c>
    </row>
    <row r="388" spans="1:9" hidden="1" x14ac:dyDescent="0.25">
      <c r="A388" t="s">
        <v>392</v>
      </c>
      <c r="B388" t="s">
        <v>21</v>
      </c>
      <c r="C388" s="2">
        <f>HYPERLINK("https://cao.dolgi.msk.ru/account/1080035258/", 1080035258)</f>
        <v>1080035258</v>
      </c>
      <c r="D388" t="s">
        <v>397</v>
      </c>
      <c r="E388">
        <v>-18490.09</v>
      </c>
      <c r="F388">
        <v>-2.0299999999999998</v>
      </c>
      <c r="G388" t="s">
        <v>12</v>
      </c>
      <c r="I388" t="s">
        <v>13</v>
      </c>
    </row>
    <row r="389" spans="1:9" hidden="1" x14ac:dyDescent="0.25">
      <c r="A389" t="s">
        <v>392</v>
      </c>
      <c r="B389" t="s">
        <v>22</v>
      </c>
      <c r="C389" s="2">
        <f>HYPERLINK("https://cao.dolgi.msk.ru/account/1080035266/", 1080035266)</f>
        <v>1080035266</v>
      </c>
      <c r="D389" t="s">
        <v>398</v>
      </c>
      <c r="E389">
        <v>-5297.75</v>
      </c>
      <c r="F389">
        <v>-1.01</v>
      </c>
      <c r="G389" t="s">
        <v>12</v>
      </c>
      <c r="I389" t="s">
        <v>13</v>
      </c>
    </row>
    <row r="390" spans="1:9" hidden="1" x14ac:dyDescent="0.25">
      <c r="A390" t="s">
        <v>392</v>
      </c>
      <c r="B390" t="s">
        <v>23</v>
      </c>
      <c r="C390" s="2">
        <f>HYPERLINK("https://cao.dolgi.msk.ru/account/1080035274/", 1080035274)</f>
        <v>1080035274</v>
      </c>
      <c r="D390" t="s">
        <v>399</v>
      </c>
      <c r="E390">
        <v>-8931.82</v>
      </c>
      <c r="F390">
        <v>-0.99</v>
      </c>
      <c r="G390" t="s">
        <v>12</v>
      </c>
      <c r="I390" t="s">
        <v>13</v>
      </c>
    </row>
    <row r="391" spans="1:9" hidden="1" x14ac:dyDescent="0.25">
      <c r="A391" t="s">
        <v>392</v>
      </c>
      <c r="B391" t="s">
        <v>24</v>
      </c>
      <c r="C391" s="2">
        <f>HYPERLINK("https://cao.dolgi.msk.ru/account/1080035282/", 1080035282)</f>
        <v>1080035282</v>
      </c>
      <c r="D391" t="s">
        <v>400</v>
      </c>
      <c r="E391">
        <v>-6484.93</v>
      </c>
      <c r="F391">
        <v>-1.01</v>
      </c>
      <c r="G391" t="s">
        <v>12</v>
      </c>
      <c r="I391" t="s">
        <v>13</v>
      </c>
    </row>
    <row r="392" spans="1:9" hidden="1" x14ac:dyDescent="0.25">
      <c r="A392" t="s">
        <v>392</v>
      </c>
      <c r="B392" t="s">
        <v>27</v>
      </c>
      <c r="C392" s="2">
        <f>HYPERLINK("https://cao.dolgi.msk.ru/account/1080035303/", 1080035303)</f>
        <v>1080035303</v>
      </c>
      <c r="D392" t="s">
        <v>401</v>
      </c>
      <c r="E392">
        <v>-9143.51</v>
      </c>
      <c r="F392">
        <v>-1.0900000000000001</v>
      </c>
      <c r="G392" t="s">
        <v>12</v>
      </c>
      <c r="I392" t="s">
        <v>13</v>
      </c>
    </row>
    <row r="393" spans="1:9" hidden="1" x14ac:dyDescent="0.25">
      <c r="A393" t="s">
        <v>392</v>
      </c>
      <c r="B393" t="s">
        <v>29</v>
      </c>
      <c r="C393" s="2">
        <f>HYPERLINK("https://cao.dolgi.msk.ru/account/1080035311/", 1080035311)</f>
        <v>1080035311</v>
      </c>
      <c r="D393" t="s">
        <v>402</v>
      </c>
      <c r="E393">
        <v>5172.83</v>
      </c>
      <c r="F393">
        <v>0.6</v>
      </c>
      <c r="G393" t="s">
        <v>12</v>
      </c>
      <c r="I393" t="s">
        <v>13</v>
      </c>
    </row>
    <row r="394" spans="1:9" hidden="1" x14ac:dyDescent="0.25">
      <c r="A394" t="s">
        <v>392</v>
      </c>
      <c r="B394" t="s">
        <v>31</v>
      </c>
      <c r="C394" s="2">
        <f>HYPERLINK("https://cao.dolgi.msk.ru/account/1080035338/", 1080035338)</f>
        <v>1080035338</v>
      </c>
      <c r="D394" t="s">
        <v>403</v>
      </c>
      <c r="E394">
        <v>-8592.6</v>
      </c>
      <c r="F394">
        <v>-0.99</v>
      </c>
      <c r="G394" t="s">
        <v>12</v>
      </c>
      <c r="I394" t="s">
        <v>13</v>
      </c>
    </row>
    <row r="395" spans="1:9" hidden="1" x14ac:dyDescent="0.25">
      <c r="A395" t="s">
        <v>392</v>
      </c>
      <c r="B395" t="s">
        <v>31</v>
      </c>
      <c r="C395" s="2">
        <f>HYPERLINK("https://cao.dolgi.msk.ru/account/1080035354/", 1080035354)</f>
        <v>1080035354</v>
      </c>
      <c r="D395" t="s">
        <v>403</v>
      </c>
      <c r="E395">
        <v>-487.81</v>
      </c>
      <c r="G395" t="s">
        <v>14</v>
      </c>
      <c r="I395" t="s">
        <v>13</v>
      </c>
    </row>
    <row r="396" spans="1:9" hidden="1" x14ac:dyDescent="0.25">
      <c r="A396" t="s">
        <v>392</v>
      </c>
      <c r="B396" t="s">
        <v>31</v>
      </c>
      <c r="C396" s="2">
        <f>HYPERLINK("https://cao.dolgi.msk.ru/account/1080035434/", 1080035434)</f>
        <v>1080035434</v>
      </c>
      <c r="D396" t="s">
        <v>404</v>
      </c>
      <c r="E396">
        <v>140.34</v>
      </c>
      <c r="G396" t="s">
        <v>14</v>
      </c>
      <c r="I396" t="s">
        <v>13</v>
      </c>
    </row>
    <row r="397" spans="1:9" hidden="1" x14ac:dyDescent="0.25">
      <c r="A397" t="s">
        <v>392</v>
      </c>
      <c r="B397" t="s">
        <v>33</v>
      </c>
      <c r="C397" s="2">
        <f>HYPERLINK("https://cao.dolgi.msk.ru/account/1080035362/", 1080035362)</f>
        <v>1080035362</v>
      </c>
      <c r="D397" t="s">
        <v>15</v>
      </c>
      <c r="E397">
        <v>-3395.58</v>
      </c>
      <c r="F397">
        <v>-1.04</v>
      </c>
      <c r="G397" t="s">
        <v>12</v>
      </c>
      <c r="I397" t="s">
        <v>13</v>
      </c>
    </row>
    <row r="398" spans="1:9" x14ac:dyDescent="0.25">
      <c r="A398" t="s">
        <v>392</v>
      </c>
      <c r="B398" t="s">
        <v>34</v>
      </c>
      <c r="C398" s="2">
        <f>HYPERLINK("https://cao.dolgi.msk.ru/account/1080035389/", 1080035389)</f>
        <v>1080035389</v>
      </c>
      <c r="D398" t="s">
        <v>405</v>
      </c>
      <c r="E398">
        <v>250381.17</v>
      </c>
      <c r="F398">
        <v>32.840000000000003</v>
      </c>
      <c r="G398" t="s">
        <v>12</v>
      </c>
      <c r="I398" t="s">
        <v>13</v>
      </c>
    </row>
    <row r="399" spans="1:9" hidden="1" x14ac:dyDescent="0.25">
      <c r="A399" t="s">
        <v>392</v>
      </c>
      <c r="B399" t="s">
        <v>36</v>
      </c>
      <c r="C399" s="2">
        <f>HYPERLINK("https://cao.dolgi.msk.ru/account/1080035397/", 1080035397)</f>
        <v>1080035397</v>
      </c>
      <c r="D399" t="s">
        <v>406</v>
      </c>
      <c r="E399">
        <v>-5730.33</v>
      </c>
      <c r="F399">
        <v>-0.95</v>
      </c>
      <c r="G399" t="s">
        <v>12</v>
      </c>
      <c r="I399" t="s">
        <v>13</v>
      </c>
    </row>
    <row r="400" spans="1:9" hidden="1" x14ac:dyDescent="0.25">
      <c r="A400" t="s">
        <v>392</v>
      </c>
      <c r="B400" t="s">
        <v>38</v>
      </c>
      <c r="C400" s="2">
        <f>HYPERLINK("https://cao.dolgi.msk.ru/account/1080035426/", 1080035426)</f>
        <v>1080035426</v>
      </c>
      <c r="D400" t="s">
        <v>407</v>
      </c>
      <c r="E400">
        <v>-1710.41</v>
      </c>
      <c r="F400">
        <v>-0.28000000000000003</v>
      </c>
      <c r="G400" t="s">
        <v>12</v>
      </c>
      <c r="I400" t="s">
        <v>13</v>
      </c>
    </row>
    <row r="401" spans="1:9" x14ac:dyDescent="0.25">
      <c r="A401" t="s">
        <v>392</v>
      </c>
      <c r="B401" t="s">
        <v>39</v>
      </c>
      <c r="C401" s="2">
        <f>HYPERLINK("https://cao.dolgi.msk.ru/account/1080035442/", 1080035442)</f>
        <v>1080035442</v>
      </c>
      <c r="D401" t="s">
        <v>62</v>
      </c>
      <c r="E401">
        <v>222063</v>
      </c>
      <c r="F401">
        <v>33.29</v>
      </c>
      <c r="G401" t="s">
        <v>12</v>
      </c>
      <c r="I401" t="s">
        <v>13</v>
      </c>
    </row>
    <row r="402" spans="1:9" hidden="1" x14ac:dyDescent="0.25">
      <c r="A402" t="s">
        <v>392</v>
      </c>
      <c r="B402" t="s">
        <v>40</v>
      </c>
      <c r="C402" s="2">
        <f>HYPERLINK("https://cao.dolgi.msk.ru/account/1080035469/", 1080035469)</f>
        <v>1080035469</v>
      </c>
      <c r="D402" t="s">
        <v>408</v>
      </c>
      <c r="E402">
        <v>-15.04</v>
      </c>
      <c r="F402">
        <v>-0.01</v>
      </c>
      <c r="G402" t="s">
        <v>12</v>
      </c>
      <c r="I402" t="s">
        <v>13</v>
      </c>
    </row>
    <row r="403" spans="1:9" hidden="1" x14ac:dyDescent="0.25">
      <c r="A403" t="s">
        <v>392</v>
      </c>
      <c r="B403" t="s">
        <v>41</v>
      </c>
      <c r="C403" s="2">
        <f>HYPERLINK("https://cao.dolgi.msk.ru/account/1080035477/", 1080035477)</f>
        <v>1080035477</v>
      </c>
      <c r="D403" t="s">
        <v>409</v>
      </c>
      <c r="E403">
        <v>6742.47</v>
      </c>
      <c r="F403">
        <v>0.86</v>
      </c>
      <c r="G403" t="s">
        <v>12</v>
      </c>
      <c r="I403" t="s">
        <v>13</v>
      </c>
    </row>
    <row r="404" spans="1:9" hidden="1" x14ac:dyDescent="0.25">
      <c r="A404" t="s">
        <v>392</v>
      </c>
      <c r="B404" t="s">
        <v>42</v>
      </c>
      <c r="C404" s="2">
        <f>HYPERLINK("https://cao.dolgi.msk.ru/account/1080035485/", 1080035485)</f>
        <v>1080035485</v>
      </c>
      <c r="D404" t="s">
        <v>410</v>
      </c>
      <c r="E404">
        <v>-13952.12</v>
      </c>
      <c r="F404">
        <v>-3.11</v>
      </c>
      <c r="G404" t="s">
        <v>12</v>
      </c>
      <c r="I404" t="s">
        <v>13</v>
      </c>
    </row>
    <row r="405" spans="1:9" hidden="1" x14ac:dyDescent="0.25">
      <c r="A405" t="s">
        <v>392</v>
      </c>
      <c r="B405" t="s">
        <v>44</v>
      </c>
      <c r="C405" s="2">
        <f>HYPERLINK("https://cao.dolgi.msk.ru/account/1080035493/", 1080035493)</f>
        <v>1080035493</v>
      </c>
      <c r="D405" t="s">
        <v>411</v>
      </c>
      <c r="E405">
        <v>-23310.41</v>
      </c>
      <c r="F405">
        <v>-3.21</v>
      </c>
      <c r="G405" t="s">
        <v>12</v>
      </c>
      <c r="I405" t="s">
        <v>13</v>
      </c>
    </row>
    <row r="406" spans="1:9" hidden="1" x14ac:dyDescent="0.25">
      <c r="A406" t="s">
        <v>392</v>
      </c>
      <c r="B406" t="s">
        <v>66</v>
      </c>
      <c r="C406" s="2">
        <f>HYPERLINK("https://cao.dolgi.msk.ru/account/1080035506/", 1080035506)</f>
        <v>1080035506</v>
      </c>
      <c r="D406" t="s">
        <v>412</v>
      </c>
      <c r="E406">
        <v>-7010.84</v>
      </c>
      <c r="F406">
        <v>-1</v>
      </c>
      <c r="G406" t="s">
        <v>12</v>
      </c>
      <c r="I406" t="s">
        <v>13</v>
      </c>
    </row>
    <row r="407" spans="1:9" hidden="1" x14ac:dyDescent="0.25">
      <c r="A407" t="s">
        <v>392</v>
      </c>
      <c r="B407" t="s">
        <v>68</v>
      </c>
      <c r="C407" s="2">
        <f>HYPERLINK("https://cao.dolgi.msk.ru/account/1080035514/", 1080035514)</f>
        <v>1080035514</v>
      </c>
      <c r="D407" t="s">
        <v>413</v>
      </c>
      <c r="E407">
        <v>-10157.790000000001</v>
      </c>
      <c r="F407">
        <v>-0.91</v>
      </c>
      <c r="G407" t="s">
        <v>12</v>
      </c>
      <c r="I407" t="s">
        <v>13</v>
      </c>
    </row>
    <row r="408" spans="1:9" hidden="1" x14ac:dyDescent="0.25">
      <c r="A408" t="s">
        <v>392</v>
      </c>
      <c r="B408" t="s">
        <v>70</v>
      </c>
      <c r="C408" s="2">
        <f>HYPERLINK("https://cao.dolgi.msk.ru/account/1080035522/", 1080035522)</f>
        <v>1080035522</v>
      </c>
      <c r="D408" t="s">
        <v>414</v>
      </c>
      <c r="E408">
        <v>-556.22</v>
      </c>
      <c r="F408">
        <v>-0.05</v>
      </c>
      <c r="G408" t="s">
        <v>12</v>
      </c>
      <c r="I408" t="s">
        <v>13</v>
      </c>
    </row>
    <row r="409" spans="1:9" hidden="1" x14ac:dyDescent="0.25">
      <c r="A409" t="s">
        <v>392</v>
      </c>
      <c r="B409" t="s">
        <v>72</v>
      </c>
      <c r="C409" s="2">
        <f>HYPERLINK("https://cao.dolgi.msk.ru/account/1080035549/", 1080035549)</f>
        <v>1080035549</v>
      </c>
      <c r="D409" t="s">
        <v>415</v>
      </c>
      <c r="E409">
        <v>-5155.3599999999997</v>
      </c>
      <c r="F409">
        <v>-1.01</v>
      </c>
      <c r="G409" t="s">
        <v>12</v>
      </c>
      <c r="I409" t="s">
        <v>13</v>
      </c>
    </row>
    <row r="410" spans="1:9" hidden="1" x14ac:dyDescent="0.25">
      <c r="A410" t="s">
        <v>416</v>
      </c>
      <c r="B410" t="s">
        <v>10</v>
      </c>
      <c r="C410" s="2">
        <f>HYPERLINK("https://cao.dolgi.msk.ru/account/1080034466/", 1080034466)</f>
        <v>1080034466</v>
      </c>
      <c r="D410" t="s">
        <v>417</v>
      </c>
      <c r="E410">
        <v>-8290.2000000000007</v>
      </c>
      <c r="F410">
        <v>-1.87</v>
      </c>
      <c r="G410" t="s">
        <v>12</v>
      </c>
      <c r="I410" t="s">
        <v>13</v>
      </c>
    </row>
    <row r="411" spans="1:9" x14ac:dyDescent="0.25">
      <c r="A411" t="s">
        <v>416</v>
      </c>
      <c r="B411" t="s">
        <v>16</v>
      </c>
      <c r="C411" s="2">
        <f>HYPERLINK("https://cao.dolgi.msk.ru/account/1080034474/", 1080034474)</f>
        <v>1080034474</v>
      </c>
      <c r="D411" t="s">
        <v>418</v>
      </c>
      <c r="E411">
        <v>12241.97</v>
      </c>
      <c r="F411">
        <v>2</v>
      </c>
      <c r="G411" t="s">
        <v>12</v>
      </c>
      <c r="I411" t="s">
        <v>13</v>
      </c>
    </row>
    <row r="412" spans="1:9" hidden="1" x14ac:dyDescent="0.25">
      <c r="A412" t="s">
        <v>416</v>
      </c>
      <c r="B412" t="s">
        <v>18</v>
      </c>
      <c r="C412" s="2">
        <f>HYPERLINK("https://cao.dolgi.msk.ru/account/1080034482/", 1080034482)</f>
        <v>1080034482</v>
      </c>
      <c r="D412" t="s">
        <v>419</v>
      </c>
      <c r="E412">
        <v>-11315.86</v>
      </c>
      <c r="F412">
        <v>-1.1399999999999999</v>
      </c>
      <c r="G412" t="s">
        <v>12</v>
      </c>
      <c r="I412" t="s">
        <v>13</v>
      </c>
    </row>
    <row r="413" spans="1:9" hidden="1" x14ac:dyDescent="0.25">
      <c r="A413" t="s">
        <v>416</v>
      </c>
      <c r="B413" t="s">
        <v>20</v>
      </c>
      <c r="C413" s="2">
        <f>HYPERLINK("https://cao.dolgi.msk.ru/account/1080034503/", 1080034503)</f>
        <v>1080034503</v>
      </c>
      <c r="D413" t="s">
        <v>420</v>
      </c>
      <c r="E413">
        <v>-6725.62</v>
      </c>
      <c r="F413">
        <v>-1.1299999999999999</v>
      </c>
      <c r="G413" t="s">
        <v>12</v>
      </c>
      <c r="I413" t="s">
        <v>13</v>
      </c>
    </row>
    <row r="414" spans="1:9" hidden="1" x14ac:dyDescent="0.25">
      <c r="A414" t="s">
        <v>416</v>
      </c>
      <c r="B414" t="s">
        <v>21</v>
      </c>
      <c r="C414" s="2">
        <f>HYPERLINK("https://cao.dolgi.msk.ru/account/1080034511/", 1080034511)</f>
        <v>1080034511</v>
      </c>
      <c r="D414" t="s">
        <v>421</v>
      </c>
      <c r="E414">
        <v>0</v>
      </c>
      <c r="F414">
        <v>0</v>
      </c>
      <c r="G414" t="s">
        <v>12</v>
      </c>
      <c r="I414" t="s">
        <v>13</v>
      </c>
    </row>
    <row r="415" spans="1:9" hidden="1" x14ac:dyDescent="0.25">
      <c r="A415" t="s">
        <v>416</v>
      </c>
      <c r="B415" t="s">
        <v>22</v>
      </c>
      <c r="C415" s="2">
        <f>HYPERLINK("https://cao.dolgi.msk.ru/account/1080034538/", 1080034538)</f>
        <v>1080034538</v>
      </c>
      <c r="D415" t="s">
        <v>422</v>
      </c>
      <c r="E415">
        <v>58.17</v>
      </c>
      <c r="F415">
        <v>0.01</v>
      </c>
      <c r="G415" t="s">
        <v>12</v>
      </c>
      <c r="I415" t="s">
        <v>13</v>
      </c>
    </row>
    <row r="416" spans="1:9" hidden="1" x14ac:dyDescent="0.25">
      <c r="A416" t="s">
        <v>416</v>
      </c>
      <c r="B416" t="s">
        <v>23</v>
      </c>
      <c r="C416" s="2">
        <f>HYPERLINK("https://cao.dolgi.msk.ru/account/1080034546/", 1080034546)</f>
        <v>1080034546</v>
      </c>
      <c r="D416" t="s">
        <v>423</v>
      </c>
      <c r="E416">
        <v>-7387.11</v>
      </c>
      <c r="F416">
        <v>-1.1100000000000001</v>
      </c>
      <c r="G416" t="s">
        <v>12</v>
      </c>
      <c r="I416" t="s">
        <v>13</v>
      </c>
    </row>
    <row r="417" spans="1:9" hidden="1" x14ac:dyDescent="0.25">
      <c r="A417" t="s">
        <v>416</v>
      </c>
      <c r="B417" t="s">
        <v>24</v>
      </c>
      <c r="C417" s="2">
        <f>HYPERLINK("https://cao.dolgi.msk.ru/account/1080034554/", 1080034554)</f>
        <v>1080034554</v>
      </c>
      <c r="D417" t="s">
        <v>424</v>
      </c>
      <c r="E417">
        <v>-3399.65</v>
      </c>
      <c r="F417">
        <v>-1.19</v>
      </c>
      <c r="G417" t="s">
        <v>12</v>
      </c>
      <c r="I417" t="s">
        <v>13</v>
      </c>
    </row>
    <row r="418" spans="1:9" hidden="1" x14ac:dyDescent="0.25">
      <c r="A418" t="s">
        <v>416</v>
      </c>
      <c r="B418" t="s">
        <v>27</v>
      </c>
      <c r="C418" s="2">
        <f>HYPERLINK("https://cao.dolgi.msk.ru/account/1080034562/", 1080034562)</f>
        <v>1080034562</v>
      </c>
      <c r="D418" t="s">
        <v>425</v>
      </c>
      <c r="E418">
        <v>-6789.58</v>
      </c>
      <c r="F418">
        <v>-1.2</v>
      </c>
      <c r="G418" t="s">
        <v>12</v>
      </c>
      <c r="I418" t="s">
        <v>13</v>
      </c>
    </row>
    <row r="419" spans="1:9" hidden="1" x14ac:dyDescent="0.25">
      <c r="A419" t="s">
        <v>416</v>
      </c>
      <c r="B419" t="s">
        <v>29</v>
      </c>
      <c r="C419" s="2">
        <f>HYPERLINK("https://cao.dolgi.msk.ru/account/1080034589/", 1080034589)</f>
        <v>1080034589</v>
      </c>
      <c r="D419" t="s">
        <v>426</v>
      </c>
      <c r="E419">
        <v>-7885.23</v>
      </c>
      <c r="F419">
        <v>-1.1499999999999999</v>
      </c>
      <c r="G419" t="s">
        <v>12</v>
      </c>
      <c r="I419" t="s">
        <v>13</v>
      </c>
    </row>
    <row r="420" spans="1:9" hidden="1" x14ac:dyDescent="0.25">
      <c r="A420" t="s">
        <v>416</v>
      </c>
      <c r="B420" t="s">
        <v>31</v>
      </c>
      <c r="C420" s="2">
        <f>HYPERLINK("https://cao.dolgi.msk.ru/account/1080034597/", 1080034597)</f>
        <v>1080034597</v>
      </c>
      <c r="D420" t="s">
        <v>427</v>
      </c>
      <c r="E420">
        <v>-8011.07</v>
      </c>
      <c r="F420">
        <v>-1.46</v>
      </c>
      <c r="G420" t="s">
        <v>12</v>
      </c>
      <c r="I420" t="s">
        <v>13</v>
      </c>
    </row>
    <row r="421" spans="1:9" hidden="1" x14ac:dyDescent="0.25">
      <c r="A421" t="s">
        <v>416</v>
      </c>
      <c r="B421" t="s">
        <v>33</v>
      </c>
      <c r="C421" s="2">
        <f>HYPERLINK("https://cao.dolgi.msk.ru/account/1080034618/", 1080034618)</f>
        <v>1080034618</v>
      </c>
      <c r="D421" t="s">
        <v>428</v>
      </c>
      <c r="E421">
        <v>-8706.36</v>
      </c>
      <c r="F421">
        <v>-1.1000000000000001</v>
      </c>
      <c r="G421" t="s">
        <v>12</v>
      </c>
      <c r="I421" t="s">
        <v>13</v>
      </c>
    </row>
    <row r="422" spans="1:9" hidden="1" x14ac:dyDescent="0.25">
      <c r="A422" t="s">
        <v>416</v>
      </c>
      <c r="B422" t="s">
        <v>33</v>
      </c>
      <c r="C422" s="2">
        <f>HYPERLINK("https://cao.dolgi.msk.ru/account/1089123799/", 1089123799)</f>
        <v>1089123799</v>
      </c>
      <c r="D422" t="s">
        <v>15</v>
      </c>
      <c r="E422">
        <v>95.42</v>
      </c>
      <c r="G422" t="s">
        <v>14</v>
      </c>
      <c r="I422" t="s">
        <v>13</v>
      </c>
    </row>
    <row r="423" spans="1:9" hidden="1" x14ac:dyDescent="0.25">
      <c r="A423" t="s">
        <v>416</v>
      </c>
      <c r="B423" t="s">
        <v>33</v>
      </c>
      <c r="C423" s="2">
        <f>HYPERLINK("https://cao.dolgi.msk.ru/account/1089124206/", 1089124206)</f>
        <v>1089124206</v>
      </c>
      <c r="D423" t="s">
        <v>15</v>
      </c>
      <c r="G423" t="s">
        <v>14</v>
      </c>
      <c r="I423" t="s">
        <v>13</v>
      </c>
    </row>
    <row r="424" spans="1:9" hidden="1" x14ac:dyDescent="0.25">
      <c r="A424" t="s">
        <v>416</v>
      </c>
      <c r="B424" t="s">
        <v>33</v>
      </c>
      <c r="C424" s="2">
        <f>HYPERLINK("https://cao.dolgi.msk.ru/account/1089124222/", 1089124222)</f>
        <v>1089124222</v>
      </c>
      <c r="D424" t="s">
        <v>429</v>
      </c>
      <c r="E424">
        <v>38.200000000000003</v>
      </c>
      <c r="G424" t="s">
        <v>14</v>
      </c>
      <c r="I424" t="s">
        <v>13</v>
      </c>
    </row>
    <row r="425" spans="1:9" hidden="1" x14ac:dyDescent="0.25">
      <c r="A425" t="s">
        <v>416</v>
      </c>
      <c r="B425" t="s">
        <v>34</v>
      </c>
      <c r="C425" s="2">
        <f>HYPERLINK("https://cao.dolgi.msk.ru/account/1080034626/", 1080034626)</f>
        <v>1080034626</v>
      </c>
      <c r="D425" t="s">
        <v>430</v>
      </c>
      <c r="E425">
        <v>-3803.4</v>
      </c>
      <c r="F425">
        <v>-0.91</v>
      </c>
      <c r="G425" t="s">
        <v>12</v>
      </c>
      <c r="I425" t="s">
        <v>13</v>
      </c>
    </row>
    <row r="426" spans="1:9" hidden="1" x14ac:dyDescent="0.25">
      <c r="A426" t="s">
        <v>416</v>
      </c>
      <c r="B426" t="s">
        <v>36</v>
      </c>
      <c r="C426" s="2">
        <f>HYPERLINK("https://cao.dolgi.msk.ru/account/1080034634/", 1080034634)</f>
        <v>1080034634</v>
      </c>
      <c r="D426" t="s">
        <v>431</v>
      </c>
      <c r="E426">
        <v>-4481.25</v>
      </c>
      <c r="F426">
        <v>-1.2</v>
      </c>
      <c r="G426" t="s">
        <v>12</v>
      </c>
      <c r="I426" t="s">
        <v>13</v>
      </c>
    </row>
    <row r="427" spans="1:9" hidden="1" x14ac:dyDescent="0.25">
      <c r="A427" t="s">
        <v>416</v>
      </c>
      <c r="B427" t="s">
        <v>38</v>
      </c>
      <c r="C427" s="2">
        <f>HYPERLINK("https://cao.dolgi.msk.ru/account/1080034642/", 1080034642)</f>
        <v>1080034642</v>
      </c>
      <c r="D427" t="s">
        <v>432</v>
      </c>
      <c r="E427">
        <v>0</v>
      </c>
      <c r="F427">
        <v>0</v>
      </c>
      <c r="G427" t="s">
        <v>12</v>
      </c>
      <c r="I427" t="s">
        <v>13</v>
      </c>
    </row>
    <row r="428" spans="1:9" hidden="1" x14ac:dyDescent="0.25">
      <c r="A428" t="s">
        <v>416</v>
      </c>
      <c r="B428" t="s">
        <v>39</v>
      </c>
      <c r="C428" s="2">
        <f>HYPERLINK("https://cao.dolgi.msk.ru/account/1080034669/", 1080034669)</f>
        <v>1080034669</v>
      </c>
      <c r="D428" t="s">
        <v>433</v>
      </c>
      <c r="E428">
        <v>-7566.86</v>
      </c>
      <c r="F428">
        <v>-1.23</v>
      </c>
      <c r="G428" t="s">
        <v>12</v>
      </c>
      <c r="I428" t="s">
        <v>13</v>
      </c>
    </row>
    <row r="429" spans="1:9" hidden="1" x14ac:dyDescent="0.25">
      <c r="A429" t="s">
        <v>416</v>
      </c>
      <c r="B429" t="s">
        <v>40</v>
      </c>
      <c r="C429" s="2">
        <f>HYPERLINK("https://cao.dolgi.msk.ru/account/1080034677/", 1080034677)</f>
        <v>1080034677</v>
      </c>
      <c r="D429" t="s">
        <v>434</v>
      </c>
      <c r="E429">
        <v>-7335.26</v>
      </c>
      <c r="F429">
        <v>-1.1499999999999999</v>
      </c>
      <c r="G429" t="s">
        <v>12</v>
      </c>
      <c r="I429" t="s">
        <v>13</v>
      </c>
    </row>
    <row r="430" spans="1:9" hidden="1" x14ac:dyDescent="0.25">
      <c r="A430" t="s">
        <v>416</v>
      </c>
      <c r="B430" t="s">
        <v>41</v>
      </c>
      <c r="C430" s="2">
        <f>HYPERLINK("https://cao.dolgi.msk.ru/account/1080034685/", 1080034685)</f>
        <v>1080034685</v>
      </c>
      <c r="D430" t="s">
        <v>435</v>
      </c>
      <c r="E430">
        <v>-27410.85</v>
      </c>
      <c r="F430">
        <v>-5.84</v>
      </c>
      <c r="G430" t="s">
        <v>12</v>
      </c>
      <c r="I430" t="s">
        <v>13</v>
      </c>
    </row>
    <row r="431" spans="1:9" hidden="1" x14ac:dyDescent="0.25">
      <c r="A431" t="s">
        <v>416</v>
      </c>
      <c r="B431" t="s">
        <v>42</v>
      </c>
      <c r="C431" s="2">
        <f>HYPERLINK("https://cao.dolgi.msk.ru/account/1080034693/", 1080034693)</f>
        <v>1080034693</v>
      </c>
      <c r="D431" t="s">
        <v>436</v>
      </c>
      <c r="E431">
        <v>-7176.39</v>
      </c>
      <c r="F431">
        <v>-1.17</v>
      </c>
      <c r="G431" t="s">
        <v>12</v>
      </c>
      <c r="I431" t="s">
        <v>13</v>
      </c>
    </row>
    <row r="432" spans="1:9" hidden="1" x14ac:dyDescent="0.25">
      <c r="A432" t="s">
        <v>416</v>
      </c>
      <c r="B432" t="s">
        <v>44</v>
      </c>
      <c r="C432" s="2">
        <f>HYPERLINK("https://cao.dolgi.msk.ru/account/1080034706/", 1080034706)</f>
        <v>1080034706</v>
      </c>
      <c r="D432" t="s">
        <v>437</v>
      </c>
      <c r="E432">
        <v>-169.81</v>
      </c>
      <c r="F432">
        <v>-0.04</v>
      </c>
      <c r="G432" t="s">
        <v>12</v>
      </c>
      <c r="I432" t="s">
        <v>13</v>
      </c>
    </row>
    <row r="433" spans="1:9" hidden="1" x14ac:dyDescent="0.25">
      <c r="A433" t="s">
        <v>416</v>
      </c>
      <c r="B433" t="s">
        <v>66</v>
      </c>
      <c r="C433" s="2">
        <f>HYPERLINK("https://cao.dolgi.msk.ru/account/1080034714/", 1080034714)</f>
        <v>1080034714</v>
      </c>
      <c r="D433" t="s">
        <v>438</v>
      </c>
      <c r="E433">
        <v>-7342.53</v>
      </c>
      <c r="F433">
        <v>-1.1599999999999999</v>
      </c>
      <c r="G433" t="s">
        <v>12</v>
      </c>
      <c r="I433" t="s">
        <v>13</v>
      </c>
    </row>
    <row r="434" spans="1:9" x14ac:dyDescent="0.25">
      <c r="A434" t="s">
        <v>416</v>
      </c>
      <c r="B434" t="s">
        <v>68</v>
      </c>
      <c r="C434" s="2">
        <f>HYPERLINK("https://cao.dolgi.msk.ru/account/1080034722/", 1080034722)</f>
        <v>1080034722</v>
      </c>
      <c r="D434" t="s">
        <v>439</v>
      </c>
      <c r="E434">
        <v>8078.3</v>
      </c>
      <c r="F434">
        <v>1.07</v>
      </c>
      <c r="G434" t="s">
        <v>12</v>
      </c>
      <c r="I434" t="s">
        <v>13</v>
      </c>
    </row>
    <row r="435" spans="1:9" hidden="1" x14ac:dyDescent="0.25">
      <c r="A435" t="s">
        <v>416</v>
      </c>
      <c r="B435" t="s">
        <v>70</v>
      </c>
      <c r="C435" s="2">
        <f>HYPERLINK("https://cao.dolgi.msk.ru/account/1080034749/", 1080034749)</f>
        <v>1080034749</v>
      </c>
      <c r="D435" t="s">
        <v>440</v>
      </c>
      <c r="E435">
        <v>-8872.08</v>
      </c>
      <c r="F435">
        <v>-1.32</v>
      </c>
      <c r="G435" t="s">
        <v>12</v>
      </c>
      <c r="I435" t="s">
        <v>13</v>
      </c>
    </row>
    <row r="436" spans="1:9" hidden="1" x14ac:dyDescent="0.25">
      <c r="A436" t="s">
        <v>416</v>
      </c>
      <c r="B436" t="s">
        <v>72</v>
      </c>
      <c r="C436" s="2">
        <f>HYPERLINK("https://cao.dolgi.msk.ru/account/1080034757/", 1080034757)</f>
        <v>1080034757</v>
      </c>
      <c r="D436" t="s">
        <v>441</v>
      </c>
      <c r="E436">
        <v>-13542.94</v>
      </c>
      <c r="F436">
        <v>-1.0900000000000001</v>
      </c>
      <c r="G436" t="s">
        <v>12</v>
      </c>
      <c r="I436" t="s">
        <v>13</v>
      </c>
    </row>
    <row r="437" spans="1:9" hidden="1" x14ac:dyDescent="0.25">
      <c r="A437" t="s">
        <v>416</v>
      </c>
      <c r="B437" t="s">
        <v>74</v>
      </c>
      <c r="C437" s="2">
        <f>HYPERLINK("https://cao.dolgi.msk.ru/account/1080034765/", 1080034765)</f>
        <v>1080034765</v>
      </c>
      <c r="D437" t="s">
        <v>442</v>
      </c>
      <c r="E437">
        <v>-18909.740000000002</v>
      </c>
      <c r="F437">
        <v>-2.36</v>
      </c>
      <c r="G437" t="s">
        <v>12</v>
      </c>
      <c r="I437" t="s">
        <v>13</v>
      </c>
    </row>
    <row r="438" spans="1:9" x14ac:dyDescent="0.25">
      <c r="A438" t="s">
        <v>416</v>
      </c>
      <c r="B438" t="s">
        <v>76</v>
      </c>
      <c r="C438" s="2">
        <f>HYPERLINK("https://cao.dolgi.msk.ru/account/1080034773/", 1080034773)</f>
        <v>1080034773</v>
      </c>
      <c r="D438" t="s">
        <v>443</v>
      </c>
      <c r="E438">
        <v>181489.08</v>
      </c>
      <c r="F438">
        <v>36.840000000000003</v>
      </c>
      <c r="G438" t="s">
        <v>12</v>
      </c>
      <c r="I438" t="s">
        <v>13</v>
      </c>
    </row>
    <row r="439" spans="1:9" hidden="1" x14ac:dyDescent="0.25">
      <c r="A439" t="s">
        <v>416</v>
      </c>
      <c r="B439" t="s">
        <v>78</v>
      </c>
      <c r="C439" s="2">
        <f>HYPERLINK("https://cao.dolgi.msk.ru/account/1080034781/", 1080034781)</f>
        <v>1080034781</v>
      </c>
      <c r="D439" t="s">
        <v>444</v>
      </c>
      <c r="E439">
        <v>-5470.86</v>
      </c>
      <c r="F439">
        <v>-0.94</v>
      </c>
      <c r="G439" t="s">
        <v>12</v>
      </c>
      <c r="I439" t="s">
        <v>13</v>
      </c>
    </row>
    <row r="440" spans="1:9" x14ac:dyDescent="0.25">
      <c r="A440" t="s">
        <v>416</v>
      </c>
      <c r="B440" t="s">
        <v>80</v>
      </c>
      <c r="C440" s="2">
        <f>HYPERLINK("https://cao.dolgi.msk.ru/account/1080034802/", 1080034802)</f>
        <v>1080034802</v>
      </c>
      <c r="D440" t="s">
        <v>445</v>
      </c>
      <c r="E440">
        <v>2746.08</v>
      </c>
      <c r="F440">
        <v>1.02</v>
      </c>
      <c r="G440" t="s">
        <v>12</v>
      </c>
      <c r="I440" t="s">
        <v>13</v>
      </c>
    </row>
    <row r="441" spans="1:9" hidden="1" x14ac:dyDescent="0.25">
      <c r="A441" t="s">
        <v>416</v>
      </c>
      <c r="B441" t="s">
        <v>82</v>
      </c>
      <c r="C441" s="2">
        <f>HYPERLINK("https://cao.dolgi.msk.ru/account/1080034829/", 1080034829)</f>
        <v>1080034829</v>
      </c>
      <c r="D441" t="s">
        <v>446</v>
      </c>
      <c r="E441">
        <v>0</v>
      </c>
      <c r="F441">
        <v>0</v>
      </c>
      <c r="G441" t="s">
        <v>12</v>
      </c>
      <c r="I441" t="s">
        <v>13</v>
      </c>
    </row>
    <row r="442" spans="1:9" hidden="1" x14ac:dyDescent="0.25">
      <c r="A442" t="s">
        <v>416</v>
      </c>
      <c r="B442" t="s">
        <v>84</v>
      </c>
      <c r="C442" s="2">
        <f>HYPERLINK("https://cao.dolgi.msk.ru/account/1080034837/", 1080034837)</f>
        <v>1080034837</v>
      </c>
      <c r="D442" t="s">
        <v>447</v>
      </c>
      <c r="E442">
        <v>-11641.17</v>
      </c>
      <c r="F442">
        <v>-2.95</v>
      </c>
      <c r="G442" t="s">
        <v>12</v>
      </c>
      <c r="I442" t="s">
        <v>13</v>
      </c>
    </row>
    <row r="443" spans="1:9" hidden="1" x14ac:dyDescent="0.25">
      <c r="A443" t="s">
        <v>416</v>
      </c>
      <c r="B443" t="s">
        <v>86</v>
      </c>
      <c r="C443" s="2">
        <f>HYPERLINK("https://cao.dolgi.msk.ru/account/1080034845/", 1080034845)</f>
        <v>1080034845</v>
      </c>
      <c r="D443" t="s">
        <v>448</v>
      </c>
      <c r="E443">
        <v>-2500.04</v>
      </c>
      <c r="F443">
        <v>-1.18</v>
      </c>
      <c r="G443" t="s">
        <v>12</v>
      </c>
      <c r="I443" t="s">
        <v>13</v>
      </c>
    </row>
    <row r="444" spans="1:9" hidden="1" x14ac:dyDescent="0.25">
      <c r="A444" t="s">
        <v>416</v>
      </c>
      <c r="B444" t="s">
        <v>88</v>
      </c>
      <c r="C444" s="2">
        <f>HYPERLINK("https://cao.dolgi.msk.ru/account/1080034853/", 1080034853)</f>
        <v>1080034853</v>
      </c>
      <c r="D444" t="s">
        <v>449</v>
      </c>
      <c r="E444">
        <v>18.079999999999998</v>
      </c>
      <c r="F444">
        <v>0</v>
      </c>
      <c r="G444" t="s">
        <v>12</v>
      </c>
      <c r="I444" t="s">
        <v>13</v>
      </c>
    </row>
    <row r="445" spans="1:9" hidden="1" x14ac:dyDescent="0.25">
      <c r="A445" t="s">
        <v>416</v>
      </c>
      <c r="B445" t="s">
        <v>90</v>
      </c>
      <c r="C445" s="2">
        <f>HYPERLINK("https://cao.dolgi.msk.ru/account/1080034861/", 1080034861)</f>
        <v>1080034861</v>
      </c>
      <c r="D445" t="s">
        <v>450</v>
      </c>
      <c r="E445">
        <v>-7607.91</v>
      </c>
      <c r="F445">
        <v>-1.01</v>
      </c>
      <c r="G445" t="s">
        <v>12</v>
      </c>
      <c r="I445" t="s">
        <v>13</v>
      </c>
    </row>
    <row r="446" spans="1:9" hidden="1" x14ac:dyDescent="0.25">
      <c r="A446" t="s">
        <v>416</v>
      </c>
      <c r="B446" t="s">
        <v>92</v>
      </c>
      <c r="C446" s="2">
        <f>HYPERLINK("https://cao.dolgi.msk.ru/account/1080034888/", 1080034888)</f>
        <v>1080034888</v>
      </c>
      <c r="D446" t="s">
        <v>451</v>
      </c>
      <c r="E446">
        <v>33.020000000000003</v>
      </c>
      <c r="F446">
        <v>0.01</v>
      </c>
      <c r="G446" t="s">
        <v>12</v>
      </c>
      <c r="I446" t="s">
        <v>13</v>
      </c>
    </row>
    <row r="447" spans="1:9" hidden="1" x14ac:dyDescent="0.25">
      <c r="A447" t="s">
        <v>416</v>
      </c>
      <c r="B447" t="s">
        <v>94</v>
      </c>
      <c r="C447" s="2">
        <f>HYPERLINK("https://cao.dolgi.msk.ru/account/1080034896/", 1080034896)</f>
        <v>1080034896</v>
      </c>
      <c r="D447" t="s">
        <v>452</v>
      </c>
      <c r="E447">
        <v>-5510.29</v>
      </c>
      <c r="F447">
        <v>-1.1200000000000001</v>
      </c>
      <c r="G447" t="s">
        <v>12</v>
      </c>
      <c r="I447" t="s">
        <v>13</v>
      </c>
    </row>
    <row r="448" spans="1:9" hidden="1" x14ac:dyDescent="0.25">
      <c r="A448" t="s">
        <v>416</v>
      </c>
      <c r="B448" t="s">
        <v>96</v>
      </c>
      <c r="C448" s="2">
        <f>HYPERLINK("https://cao.dolgi.msk.ru/account/1080034909/", 1080034909)</f>
        <v>1080034909</v>
      </c>
      <c r="D448" t="s">
        <v>453</v>
      </c>
      <c r="E448">
        <v>-3045.96</v>
      </c>
      <c r="F448">
        <v>-0.51</v>
      </c>
      <c r="G448" t="s">
        <v>12</v>
      </c>
      <c r="I448" t="s">
        <v>13</v>
      </c>
    </row>
    <row r="449" spans="1:9" hidden="1" x14ac:dyDescent="0.25">
      <c r="A449" t="s">
        <v>416</v>
      </c>
      <c r="B449" t="s">
        <v>98</v>
      </c>
      <c r="C449" s="2">
        <f>HYPERLINK("https://cao.dolgi.msk.ru/account/1080034917/", 1080034917)</f>
        <v>1080034917</v>
      </c>
      <c r="D449" t="s">
        <v>454</v>
      </c>
      <c r="E449">
        <v>3137.54</v>
      </c>
      <c r="F449">
        <v>0.95</v>
      </c>
      <c r="G449" t="s">
        <v>12</v>
      </c>
      <c r="I449" t="s">
        <v>13</v>
      </c>
    </row>
    <row r="450" spans="1:9" hidden="1" x14ac:dyDescent="0.25">
      <c r="A450" t="s">
        <v>416</v>
      </c>
      <c r="B450" t="s">
        <v>100</v>
      </c>
      <c r="C450" s="2">
        <f>HYPERLINK("https://cao.dolgi.msk.ru/account/1080034925/", 1080034925)</f>
        <v>1080034925</v>
      </c>
      <c r="D450" t="s">
        <v>15</v>
      </c>
      <c r="E450">
        <v>-3112.3</v>
      </c>
      <c r="F450">
        <v>-0.55000000000000004</v>
      </c>
      <c r="G450" t="s">
        <v>12</v>
      </c>
      <c r="I450" t="s">
        <v>13</v>
      </c>
    </row>
    <row r="451" spans="1:9" x14ac:dyDescent="0.25">
      <c r="A451" t="s">
        <v>416</v>
      </c>
      <c r="B451" t="s">
        <v>102</v>
      </c>
      <c r="C451" s="2">
        <f>HYPERLINK("https://cao.dolgi.msk.ru/account/1080034933/", 1080034933)</f>
        <v>1080034933</v>
      </c>
      <c r="D451" t="s">
        <v>455</v>
      </c>
      <c r="E451">
        <v>365834.97</v>
      </c>
      <c r="F451">
        <v>40.340000000000003</v>
      </c>
      <c r="G451" t="s">
        <v>12</v>
      </c>
      <c r="I451" t="s">
        <v>13</v>
      </c>
    </row>
    <row r="452" spans="1:9" hidden="1" x14ac:dyDescent="0.25">
      <c r="A452" t="s">
        <v>416</v>
      </c>
      <c r="B452" t="s">
        <v>104</v>
      </c>
      <c r="C452" s="2">
        <f>HYPERLINK("https://cao.dolgi.msk.ru/account/1080034941/", 1080034941)</f>
        <v>1080034941</v>
      </c>
      <c r="D452" t="s">
        <v>456</v>
      </c>
      <c r="E452">
        <v>-7561.76</v>
      </c>
      <c r="F452">
        <v>-1.1100000000000001</v>
      </c>
      <c r="G452" t="s">
        <v>12</v>
      </c>
      <c r="I452" t="s">
        <v>13</v>
      </c>
    </row>
    <row r="453" spans="1:9" hidden="1" x14ac:dyDescent="0.25">
      <c r="A453" t="s">
        <v>416</v>
      </c>
      <c r="B453" t="s">
        <v>106</v>
      </c>
      <c r="C453" s="2">
        <f>HYPERLINK("https://cao.dolgi.msk.ru/account/1080034968/", 1080034968)</f>
        <v>1080034968</v>
      </c>
      <c r="D453" t="s">
        <v>457</v>
      </c>
      <c r="E453">
        <v>-7810.2</v>
      </c>
      <c r="F453">
        <v>-1.19</v>
      </c>
      <c r="G453" t="s">
        <v>12</v>
      </c>
      <c r="I453" t="s">
        <v>13</v>
      </c>
    </row>
    <row r="454" spans="1:9" hidden="1" x14ac:dyDescent="0.25">
      <c r="A454" t="s">
        <v>416</v>
      </c>
      <c r="B454" t="s">
        <v>108</v>
      </c>
      <c r="C454" s="2">
        <f>HYPERLINK("https://cao.dolgi.msk.ru/account/1080034976/", 1080034976)</f>
        <v>1080034976</v>
      </c>
      <c r="D454" t="s">
        <v>458</v>
      </c>
      <c r="E454">
        <v>-7145.66</v>
      </c>
      <c r="F454">
        <v>-1.1599999999999999</v>
      </c>
      <c r="G454" t="s">
        <v>12</v>
      </c>
      <c r="I454" t="s">
        <v>13</v>
      </c>
    </row>
    <row r="455" spans="1:9" hidden="1" x14ac:dyDescent="0.25">
      <c r="A455" t="s">
        <v>416</v>
      </c>
      <c r="B455" t="s">
        <v>110</v>
      </c>
      <c r="C455" s="2">
        <f>HYPERLINK("https://cao.dolgi.msk.ru/account/1080034984/", 1080034984)</f>
        <v>1080034984</v>
      </c>
      <c r="D455" t="s">
        <v>459</v>
      </c>
      <c r="E455">
        <v>-4507.63</v>
      </c>
      <c r="F455">
        <v>-1.24</v>
      </c>
      <c r="G455" t="s">
        <v>12</v>
      </c>
      <c r="I455" t="s">
        <v>13</v>
      </c>
    </row>
    <row r="456" spans="1:9" hidden="1" x14ac:dyDescent="0.25">
      <c r="A456" t="s">
        <v>416</v>
      </c>
      <c r="B456" t="s">
        <v>112</v>
      </c>
      <c r="C456" s="2">
        <f>HYPERLINK("https://cao.dolgi.msk.ru/account/1080034992/", 1080034992)</f>
        <v>1080034992</v>
      </c>
      <c r="D456" t="s">
        <v>460</v>
      </c>
      <c r="E456">
        <v>-7808.96</v>
      </c>
      <c r="F456">
        <v>-1.19</v>
      </c>
      <c r="G456" t="s">
        <v>12</v>
      </c>
      <c r="I456" t="s">
        <v>13</v>
      </c>
    </row>
    <row r="457" spans="1:9" hidden="1" x14ac:dyDescent="0.25">
      <c r="A457" t="s">
        <v>416</v>
      </c>
      <c r="B457" t="s">
        <v>114</v>
      </c>
      <c r="C457" s="2">
        <f>HYPERLINK("https://cao.dolgi.msk.ru/account/1080035004/", 1080035004)</f>
        <v>1080035004</v>
      </c>
      <c r="D457" t="s">
        <v>461</v>
      </c>
      <c r="E457">
        <v>-6965.28</v>
      </c>
      <c r="F457">
        <v>-1.1499999999999999</v>
      </c>
      <c r="G457" t="s">
        <v>12</v>
      </c>
      <c r="I457" t="s">
        <v>13</v>
      </c>
    </row>
    <row r="458" spans="1:9" hidden="1" x14ac:dyDescent="0.25">
      <c r="A458" t="s">
        <v>416</v>
      </c>
      <c r="B458" t="s">
        <v>116</v>
      </c>
      <c r="C458" s="2">
        <f>HYPERLINK("https://cao.dolgi.msk.ru/account/1080035012/", 1080035012)</f>
        <v>1080035012</v>
      </c>
      <c r="D458" t="s">
        <v>462</v>
      </c>
      <c r="E458">
        <v>-6645.84</v>
      </c>
      <c r="F458">
        <v>-1.1499999999999999</v>
      </c>
      <c r="G458" t="s">
        <v>12</v>
      </c>
      <c r="I458" t="s">
        <v>13</v>
      </c>
    </row>
    <row r="459" spans="1:9" hidden="1" x14ac:dyDescent="0.25">
      <c r="A459" t="s">
        <v>416</v>
      </c>
      <c r="B459" t="s">
        <v>118</v>
      </c>
      <c r="C459" s="2">
        <f>HYPERLINK("https://cao.dolgi.msk.ru/account/1080035039/", 1080035039)</f>
        <v>1080035039</v>
      </c>
      <c r="D459" t="s">
        <v>463</v>
      </c>
      <c r="E459">
        <v>-7012.47</v>
      </c>
      <c r="F459">
        <v>-1.17</v>
      </c>
      <c r="G459" t="s">
        <v>12</v>
      </c>
      <c r="I459" t="s">
        <v>13</v>
      </c>
    </row>
    <row r="460" spans="1:9" hidden="1" x14ac:dyDescent="0.25">
      <c r="A460" t="s">
        <v>416</v>
      </c>
      <c r="B460" t="s">
        <v>120</v>
      </c>
      <c r="C460" s="2">
        <f>HYPERLINK("https://cao.dolgi.msk.ru/account/1080035047/", 1080035047)</f>
        <v>1080035047</v>
      </c>
      <c r="D460" t="s">
        <v>464</v>
      </c>
      <c r="E460">
        <v>-7628.24</v>
      </c>
      <c r="F460">
        <v>-1.1599999999999999</v>
      </c>
      <c r="G460" t="s">
        <v>12</v>
      </c>
      <c r="I460" t="s">
        <v>13</v>
      </c>
    </row>
    <row r="461" spans="1:9" hidden="1" x14ac:dyDescent="0.25">
      <c r="A461" t="s">
        <v>416</v>
      </c>
      <c r="B461" t="s">
        <v>122</v>
      </c>
      <c r="C461" s="2">
        <f>HYPERLINK("https://cao.dolgi.msk.ru/account/1080035055/", 1080035055)</f>
        <v>1080035055</v>
      </c>
      <c r="D461" t="s">
        <v>465</v>
      </c>
      <c r="E461">
        <v>-5504.03</v>
      </c>
      <c r="F461">
        <v>-1.23</v>
      </c>
      <c r="G461" t="s">
        <v>12</v>
      </c>
      <c r="I461" t="s">
        <v>13</v>
      </c>
    </row>
    <row r="462" spans="1:9" hidden="1" x14ac:dyDescent="0.25">
      <c r="A462" t="s">
        <v>416</v>
      </c>
      <c r="B462" t="s">
        <v>124</v>
      </c>
      <c r="C462" s="2">
        <f>HYPERLINK("https://cao.dolgi.msk.ru/account/1080035063/", 1080035063)</f>
        <v>1080035063</v>
      </c>
      <c r="D462" t="s">
        <v>466</v>
      </c>
      <c r="E462">
        <v>3.5</v>
      </c>
      <c r="F462">
        <v>0</v>
      </c>
      <c r="G462" t="s">
        <v>12</v>
      </c>
      <c r="I462" t="s">
        <v>13</v>
      </c>
    </row>
    <row r="463" spans="1:9" x14ac:dyDescent="0.25">
      <c r="A463" t="s">
        <v>416</v>
      </c>
      <c r="B463" t="s">
        <v>126</v>
      </c>
      <c r="C463" s="2">
        <f>HYPERLINK("https://cao.dolgi.msk.ru/account/1080035071/", 1080035071)</f>
        <v>1080035071</v>
      </c>
      <c r="D463" t="s">
        <v>467</v>
      </c>
      <c r="E463">
        <v>10212.17</v>
      </c>
      <c r="F463">
        <v>2.06</v>
      </c>
      <c r="G463" t="s">
        <v>12</v>
      </c>
      <c r="I463" t="s">
        <v>13</v>
      </c>
    </row>
    <row r="464" spans="1:9" hidden="1" x14ac:dyDescent="0.25">
      <c r="A464" t="s">
        <v>416</v>
      </c>
      <c r="B464" t="s">
        <v>128</v>
      </c>
      <c r="C464" s="2">
        <f>HYPERLINK("https://cao.dolgi.msk.ru/account/1080035098/", 1080035098)</f>
        <v>1080035098</v>
      </c>
      <c r="D464" t="s">
        <v>468</v>
      </c>
      <c r="E464">
        <v>-6569</v>
      </c>
      <c r="F464">
        <v>-1.1499999999999999</v>
      </c>
      <c r="G464" t="s">
        <v>12</v>
      </c>
      <c r="I464" t="s">
        <v>13</v>
      </c>
    </row>
    <row r="465" spans="1:9" x14ac:dyDescent="0.25">
      <c r="A465" t="s">
        <v>469</v>
      </c>
      <c r="B465" t="s">
        <v>84</v>
      </c>
      <c r="C465" s="2">
        <f>HYPERLINK("https://cao.dolgi.msk.ru/account/1083391987/", 1083391987)</f>
        <v>1083391987</v>
      </c>
      <c r="D465" t="s">
        <v>189</v>
      </c>
      <c r="E465">
        <v>11462.62</v>
      </c>
      <c r="F465">
        <v>3.14</v>
      </c>
      <c r="G465" t="s">
        <v>12</v>
      </c>
      <c r="I465" t="s">
        <v>13</v>
      </c>
    </row>
    <row r="466" spans="1:9" x14ac:dyDescent="0.25">
      <c r="A466" t="s">
        <v>469</v>
      </c>
      <c r="B466" t="s">
        <v>86</v>
      </c>
      <c r="C466" s="2">
        <f>HYPERLINK("https://cao.dolgi.msk.ru/account/1083391995/", 1083391995)</f>
        <v>1083391995</v>
      </c>
      <c r="D466" t="s">
        <v>189</v>
      </c>
      <c r="E466">
        <v>11376.05</v>
      </c>
      <c r="F466">
        <v>3.14</v>
      </c>
      <c r="G466" t="s">
        <v>12</v>
      </c>
      <c r="I466" t="s">
        <v>13</v>
      </c>
    </row>
    <row r="467" spans="1:9" hidden="1" x14ac:dyDescent="0.25">
      <c r="A467" t="s">
        <v>469</v>
      </c>
      <c r="B467" t="s">
        <v>98</v>
      </c>
      <c r="C467" s="2">
        <f>HYPERLINK("https://cao.dolgi.msk.ru/account/1080035135/", 1080035135)</f>
        <v>1080035135</v>
      </c>
      <c r="D467" t="s">
        <v>62</v>
      </c>
      <c r="E467">
        <v>-426.18</v>
      </c>
      <c r="F467">
        <v>-0.08</v>
      </c>
      <c r="G467" t="s">
        <v>12</v>
      </c>
      <c r="I467" t="s">
        <v>13</v>
      </c>
    </row>
    <row r="468" spans="1:9" hidden="1" x14ac:dyDescent="0.25">
      <c r="A468" t="s">
        <v>470</v>
      </c>
      <c r="B468" t="s">
        <v>10</v>
      </c>
      <c r="C468" s="2">
        <f>HYPERLINK("https://cao.dolgi.msk.ru/account/1080035565/", 1080035565)</f>
        <v>1080035565</v>
      </c>
      <c r="D468" t="s">
        <v>471</v>
      </c>
      <c r="E468">
        <v>154.24</v>
      </c>
      <c r="F468">
        <v>0.09</v>
      </c>
      <c r="G468" t="s">
        <v>14</v>
      </c>
      <c r="I468" t="s">
        <v>13</v>
      </c>
    </row>
    <row r="469" spans="1:9" hidden="1" x14ac:dyDescent="0.25">
      <c r="A469" t="s">
        <v>470</v>
      </c>
      <c r="B469" t="s">
        <v>10</v>
      </c>
      <c r="C469" s="2">
        <f>HYPERLINK("https://cao.dolgi.msk.ru/account/1083384146/", 1083384146)</f>
        <v>1083384146</v>
      </c>
      <c r="D469" t="s">
        <v>471</v>
      </c>
      <c r="E469">
        <v>-8704.73</v>
      </c>
      <c r="F469">
        <v>-1.01</v>
      </c>
      <c r="G469" t="s">
        <v>12</v>
      </c>
      <c r="I469" t="s">
        <v>13</v>
      </c>
    </row>
    <row r="470" spans="1:9" hidden="1" x14ac:dyDescent="0.25">
      <c r="A470" t="s">
        <v>470</v>
      </c>
      <c r="B470" t="s">
        <v>16</v>
      </c>
      <c r="C470" s="2">
        <f>HYPERLINK("https://cao.dolgi.msk.ru/account/1080035573/", 1080035573)</f>
        <v>1080035573</v>
      </c>
      <c r="D470" t="s">
        <v>472</v>
      </c>
      <c r="E470">
        <v>130.94999999999999</v>
      </c>
      <c r="G470" t="s">
        <v>14</v>
      </c>
      <c r="I470" t="s">
        <v>13</v>
      </c>
    </row>
    <row r="471" spans="1:9" hidden="1" x14ac:dyDescent="0.25">
      <c r="A471" t="s">
        <v>470</v>
      </c>
      <c r="B471" t="s">
        <v>16</v>
      </c>
      <c r="C471" s="2">
        <f>HYPERLINK("https://cao.dolgi.msk.ru/account/1083384621/", 1083384621)</f>
        <v>1083384621</v>
      </c>
      <c r="D471" t="s">
        <v>472</v>
      </c>
      <c r="E471">
        <v>-8274.0499999999993</v>
      </c>
      <c r="F471">
        <v>-1.1000000000000001</v>
      </c>
      <c r="G471" t="s">
        <v>12</v>
      </c>
      <c r="I471" t="s">
        <v>13</v>
      </c>
    </row>
    <row r="472" spans="1:9" hidden="1" x14ac:dyDescent="0.25">
      <c r="A472" t="s">
        <v>470</v>
      </c>
      <c r="B472" t="s">
        <v>18</v>
      </c>
      <c r="C472" s="2">
        <f>HYPERLINK("https://cao.dolgi.msk.ru/account/1080035581/", 1080035581)</f>
        <v>1080035581</v>
      </c>
      <c r="D472" t="s">
        <v>473</v>
      </c>
      <c r="E472">
        <v>153.29</v>
      </c>
      <c r="G472" t="s">
        <v>14</v>
      </c>
      <c r="I472" t="s">
        <v>13</v>
      </c>
    </row>
    <row r="473" spans="1:9" hidden="1" x14ac:dyDescent="0.25">
      <c r="A473" t="s">
        <v>470</v>
      </c>
      <c r="B473" t="s">
        <v>18</v>
      </c>
      <c r="C473" s="2">
        <f>HYPERLINK("https://cao.dolgi.msk.ru/account/1083384242/", 1083384242)</f>
        <v>1083384242</v>
      </c>
      <c r="D473" t="s">
        <v>473</v>
      </c>
      <c r="E473">
        <v>-9402.2199999999993</v>
      </c>
      <c r="F473">
        <v>-1.21</v>
      </c>
      <c r="G473" t="s">
        <v>12</v>
      </c>
      <c r="I473" t="s">
        <v>13</v>
      </c>
    </row>
    <row r="474" spans="1:9" hidden="1" x14ac:dyDescent="0.25">
      <c r="A474" t="s">
        <v>470</v>
      </c>
      <c r="B474" t="s">
        <v>20</v>
      </c>
      <c r="C474" s="2">
        <f>HYPERLINK("https://cao.dolgi.msk.ru/account/1080035602/", 1080035602)</f>
        <v>1080035602</v>
      </c>
      <c r="D474" t="s">
        <v>474</v>
      </c>
      <c r="E474">
        <v>169.6</v>
      </c>
      <c r="G474" t="s">
        <v>14</v>
      </c>
      <c r="I474" t="s">
        <v>13</v>
      </c>
    </row>
    <row r="475" spans="1:9" hidden="1" x14ac:dyDescent="0.25">
      <c r="A475" t="s">
        <v>470</v>
      </c>
      <c r="B475" t="s">
        <v>20</v>
      </c>
      <c r="C475" s="2">
        <f>HYPERLINK("https://cao.dolgi.msk.ru/account/1083384453/", 1083384453)</f>
        <v>1083384453</v>
      </c>
      <c r="D475" t="s">
        <v>474</v>
      </c>
      <c r="E475">
        <v>-755.45</v>
      </c>
      <c r="F475">
        <v>-0.09</v>
      </c>
      <c r="G475" t="s">
        <v>12</v>
      </c>
      <c r="I475" t="s">
        <v>13</v>
      </c>
    </row>
    <row r="476" spans="1:9" hidden="1" x14ac:dyDescent="0.25">
      <c r="A476" t="s">
        <v>470</v>
      </c>
      <c r="B476" t="s">
        <v>21</v>
      </c>
      <c r="C476" s="2">
        <f>HYPERLINK("https://cao.dolgi.msk.ru/account/1080035629/", 1080035629)</f>
        <v>1080035629</v>
      </c>
      <c r="D476" t="s">
        <v>475</v>
      </c>
      <c r="E476">
        <v>412.47</v>
      </c>
      <c r="G476" t="s">
        <v>14</v>
      </c>
      <c r="I476" t="s">
        <v>13</v>
      </c>
    </row>
    <row r="477" spans="1:9" hidden="1" x14ac:dyDescent="0.25">
      <c r="A477" t="s">
        <v>470</v>
      </c>
      <c r="B477" t="s">
        <v>21</v>
      </c>
      <c r="C477" s="2">
        <f>HYPERLINK("https://cao.dolgi.msk.ru/account/1083384728/", 1083384728)</f>
        <v>1083384728</v>
      </c>
      <c r="D477" t="s">
        <v>475</v>
      </c>
      <c r="E477">
        <v>0</v>
      </c>
      <c r="F477">
        <v>0</v>
      </c>
      <c r="G477" t="s">
        <v>12</v>
      </c>
      <c r="I477" t="s">
        <v>13</v>
      </c>
    </row>
    <row r="478" spans="1:9" hidden="1" x14ac:dyDescent="0.25">
      <c r="A478" t="s">
        <v>470</v>
      </c>
      <c r="B478" t="s">
        <v>22</v>
      </c>
      <c r="C478" s="2">
        <f>HYPERLINK("https://cao.dolgi.msk.ru/account/1080035637/", 1080035637)</f>
        <v>1080035637</v>
      </c>
      <c r="D478" t="s">
        <v>476</v>
      </c>
      <c r="E478">
        <v>1936.76</v>
      </c>
      <c r="G478" t="s">
        <v>14</v>
      </c>
      <c r="I478" t="s">
        <v>13</v>
      </c>
    </row>
    <row r="479" spans="1:9" hidden="1" x14ac:dyDescent="0.25">
      <c r="A479" t="s">
        <v>470</v>
      </c>
      <c r="B479" t="s">
        <v>22</v>
      </c>
      <c r="C479" s="2">
        <f>HYPERLINK("https://cao.dolgi.msk.ru/account/1083384269/", 1083384269)</f>
        <v>1083384269</v>
      </c>
      <c r="D479" t="s">
        <v>476</v>
      </c>
      <c r="E479">
        <v>-10766.24</v>
      </c>
      <c r="F479">
        <v>-1.0900000000000001</v>
      </c>
      <c r="G479" t="s">
        <v>12</v>
      </c>
      <c r="I479" t="s">
        <v>13</v>
      </c>
    </row>
    <row r="480" spans="1:9" hidden="1" x14ac:dyDescent="0.25">
      <c r="A480" t="s">
        <v>470</v>
      </c>
      <c r="B480" t="s">
        <v>23</v>
      </c>
      <c r="C480" s="2">
        <f>HYPERLINK("https://cao.dolgi.msk.ru/account/1080035645/", 1080035645)</f>
        <v>1080035645</v>
      </c>
      <c r="D480" t="s">
        <v>477</v>
      </c>
      <c r="E480">
        <v>1152.46</v>
      </c>
      <c r="F480">
        <v>1.1000000000000001</v>
      </c>
      <c r="G480" t="s">
        <v>14</v>
      </c>
      <c r="I480" t="s">
        <v>13</v>
      </c>
    </row>
    <row r="481" spans="1:9" hidden="1" x14ac:dyDescent="0.25">
      <c r="A481" t="s">
        <v>470</v>
      </c>
      <c r="B481" t="s">
        <v>23</v>
      </c>
      <c r="C481" s="2">
        <f>HYPERLINK("https://cao.dolgi.msk.ru/account/1083384154/", 1083384154)</f>
        <v>1083384154</v>
      </c>
      <c r="D481" t="s">
        <v>477</v>
      </c>
      <c r="E481">
        <v>0</v>
      </c>
      <c r="F481">
        <v>0</v>
      </c>
      <c r="G481" t="s">
        <v>12</v>
      </c>
      <c r="I481" t="s">
        <v>13</v>
      </c>
    </row>
    <row r="482" spans="1:9" hidden="1" x14ac:dyDescent="0.25">
      <c r="A482" t="s">
        <v>470</v>
      </c>
      <c r="B482" t="s">
        <v>24</v>
      </c>
      <c r="C482" s="2">
        <f>HYPERLINK("https://cao.dolgi.msk.ru/account/1080035653/", 1080035653)</f>
        <v>1080035653</v>
      </c>
      <c r="D482" t="s">
        <v>478</v>
      </c>
      <c r="E482">
        <v>-15784.79</v>
      </c>
      <c r="G482" t="s">
        <v>14</v>
      </c>
      <c r="I482" t="s">
        <v>13</v>
      </c>
    </row>
    <row r="483" spans="1:9" hidden="1" x14ac:dyDescent="0.25">
      <c r="A483" t="s">
        <v>470</v>
      </c>
      <c r="B483" t="s">
        <v>24</v>
      </c>
      <c r="C483" s="2">
        <f>HYPERLINK("https://cao.dolgi.msk.ru/account/1083384648/", 1083384648)</f>
        <v>1083384648</v>
      </c>
      <c r="D483" t="s">
        <v>478</v>
      </c>
      <c r="E483">
        <v>6157.31</v>
      </c>
      <c r="F483">
        <v>0.82</v>
      </c>
      <c r="G483" t="s">
        <v>12</v>
      </c>
      <c r="I483" t="s">
        <v>13</v>
      </c>
    </row>
    <row r="484" spans="1:9" hidden="1" x14ac:dyDescent="0.25">
      <c r="A484" t="s">
        <v>470</v>
      </c>
      <c r="B484" t="s">
        <v>27</v>
      </c>
      <c r="C484" s="2">
        <f>HYPERLINK("https://cao.dolgi.msk.ru/account/1080035661/", 1080035661)</f>
        <v>1080035661</v>
      </c>
      <c r="D484" t="s">
        <v>15</v>
      </c>
      <c r="E484">
        <v>52.74</v>
      </c>
      <c r="F484">
        <v>0.35</v>
      </c>
      <c r="G484" t="s">
        <v>14</v>
      </c>
      <c r="I484" t="s">
        <v>13</v>
      </c>
    </row>
    <row r="485" spans="1:9" hidden="1" x14ac:dyDescent="0.25">
      <c r="A485" t="s">
        <v>470</v>
      </c>
      <c r="B485" t="s">
        <v>27</v>
      </c>
      <c r="C485" s="2">
        <f>HYPERLINK("https://cao.dolgi.msk.ru/account/1083384461/", 1083384461)</f>
        <v>1083384461</v>
      </c>
      <c r="D485" t="s">
        <v>15</v>
      </c>
      <c r="E485">
        <v>-12745.78</v>
      </c>
      <c r="F485">
        <v>-1.1000000000000001</v>
      </c>
      <c r="G485" t="s">
        <v>12</v>
      </c>
      <c r="I485" t="s">
        <v>13</v>
      </c>
    </row>
    <row r="486" spans="1:9" hidden="1" x14ac:dyDescent="0.25">
      <c r="A486" t="s">
        <v>470</v>
      </c>
      <c r="B486" t="s">
        <v>29</v>
      </c>
      <c r="C486" s="2">
        <f>HYPERLINK("https://cao.dolgi.msk.ru/account/1080035688/", 1080035688)</f>
        <v>1080035688</v>
      </c>
      <c r="D486" t="s">
        <v>479</v>
      </c>
      <c r="E486">
        <v>164.57</v>
      </c>
      <c r="F486">
        <v>0.19</v>
      </c>
      <c r="G486" t="s">
        <v>14</v>
      </c>
      <c r="I486" t="s">
        <v>13</v>
      </c>
    </row>
    <row r="487" spans="1:9" hidden="1" x14ac:dyDescent="0.25">
      <c r="A487" t="s">
        <v>470</v>
      </c>
      <c r="B487" t="s">
        <v>29</v>
      </c>
      <c r="C487" s="2">
        <f>HYPERLINK("https://cao.dolgi.msk.ru/account/1083384656/", 1083384656)</f>
        <v>1083384656</v>
      </c>
      <c r="D487" t="s">
        <v>479</v>
      </c>
      <c r="E487">
        <v>-8274.0300000000007</v>
      </c>
      <c r="F487">
        <v>-1.08</v>
      </c>
      <c r="G487" t="s">
        <v>12</v>
      </c>
      <c r="I487" t="s">
        <v>13</v>
      </c>
    </row>
    <row r="488" spans="1:9" hidden="1" x14ac:dyDescent="0.25">
      <c r="A488" t="s">
        <v>470</v>
      </c>
      <c r="B488" t="s">
        <v>31</v>
      </c>
      <c r="C488" s="2">
        <f>HYPERLINK("https://cao.dolgi.msk.ru/account/1080035696/", 1080035696)</f>
        <v>1080035696</v>
      </c>
      <c r="D488" t="s">
        <v>480</v>
      </c>
      <c r="E488">
        <v>-1088.5999999999999</v>
      </c>
      <c r="G488" t="s">
        <v>14</v>
      </c>
      <c r="I488" t="s">
        <v>13</v>
      </c>
    </row>
    <row r="489" spans="1:9" hidden="1" x14ac:dyDescent="0.25">
      <c r="A489" t="s">
        <v>470</v>
      </c>
      <c r="B489" t="s">
        <v>31</v>
      </c>
      <c r="C489" s="2">
        <f>HYPERLINK("https://cao.dolgi.msk.ru/account/1083384162/", 1083384162)</f>
        <v>1083384162</v>
      </c>
      <c r="D489" t="s">
        <v>480</v>
      </c>
      <c r="E489">
        <v>-5660.53</v>
      </c>
      <c r="F489">
        <v>-0.64</v>
      </c>
      <c r="G489" t="s">
        <v>12</v>
      </c>
      <c r="I489" t="s">
        <v>13</v>
      </c>
    </row>
    <row r="490" spans="1:9" hidden="1" x14ac:dyDescent="0.25">
      <c r="A490" t="s">
        <v>470</v>
      </c>
      <c r="B490" t="s">
        <v>33</v>
      </c>
      <c r="C490" s="2">
        <f>HYPERLINK("https://cao.dolgi.msk.ru/account/1080035709/", 1080035709)</f>
        <v>1080035709</v>
      </c>
      <c r="D490" t="s">
        <v>481</v>
      </c>
      <c r="E490">
        <v>3016.83</v>
      </c>
      <c r="F490">
        <v>1.02</v>
      </c>
      <c r="G490" t="s">
        <v>14</v>
      </c>
      <c r="I490" t="s">
        <v>13</v>
      </c>
    </row>
    <row r="491" spans="1:9" hidden="1" x14ac:dyDescent="0.25">
      <c r="A491" t="s">
        <v>470</v>
      </c>
      <c r="B491" t="s">
        <v>33</v>
      </c>
      <c r="C491" s="2">
        <f>HYPERLINK("https://cao.dolgi.msk.ru/account/1083384322/", 1083384322)</f>
        <v>1083384322</v>
      </c>
      <c r="D491" t="s">
        <v>481</v>
      </c>
      <c r="E491">
        <v>-8191.06</v>
      </c>
      <c r="F491">
        <v>-1.1299999999999999</v>
      </c>
      <c r="G491" t="s">
        <v>12</v>
      </c>
      <c r="I491" t="s">
        <v>13</v>
      </c>
    </row>
    <row r="492" spans="1:9" hidden="1" x14ac:dyDescent="0.25">
      <c r="A492" t="s">
        <v>470</v>
      </c>
      <c r="B492" t="s">
        <v>34</v>
      </c>
      <c r="C492" s="2">
        <f>HYPERLINK("https://cao.dolgi.msk.ru/account/1080035717/", 1080035717)</f>
        <v>1080035717</v>
      </c>
      <c r="D492" t="s">
        <v>482</v>
      </c>
      <c r="E492">
        <v>-13.5</v>
      </c>
      <c r="G492" t="s">
        <v>14</v>
      </c>
      <c r="I492" t="s">
        <v>13</v>
      </c>
    </row>
    <row r="493" spans="1:9" hidden="1" x14ac:dyDescent="0.25">
      <c r="A493" t="s">
        <v>470</v>
      </c>
      <c r="B493" t="s">
        <v>34</v>
      </c>
      <c r="C493" s="2">
        <f>HYPERLINK("https://cao.dolgi.msk.ru/account/1083384488/", 1083384488)</f>
        <v>1083384488</v>
      </c>
      <c r="D493" t="s">
        <v>482</v>
      </c>
      <c r="E493">
        <v>-8928.35</v>
      </c>
      <c r="F493">
        <v>-1.04</v>
      </c>
      <c r="G493" t="s">
        <v>12</v>
      </c>
      <c r="I493" t="s">
        <v>13</v>
      </c>
    </row>
    <row r="494" spans="1:9" hidden="1" x14ac:dyDescent="0.25">
      <c r="A494" t="s">
        <v>470</v>
      </c>
      <c r="B494" t="s">
        <v>36</v>
      </c>
      <c r="C494" s="2">
        <f>HYPERLINK("https://cao.dolgi.msk.ru/account/1080035725/", 1080035725)</f>
        <v>1080035725</v>
      </c>
      <c r="D494" t="s">
        <v>483</v>
      </c>
      <c r="E494">
        <v>-4601.28</v>
      </c>
      <c r="G494" t="s">
        <v>14</v>
      </c>
      <c r="I494" t="s">
        <v>13</v>
      </c>
    </row>
    <row r="495" spans="1:9" x14ac:dyDescent="0.25">
      <c r="A495" t="s">
        <v>470</v>
      </c>
      <c r="B495" t="s">
        <v>36</v>
      </c>
      <c r="C495" s="2">
        <f>HYPERLINK("https://cao.dolgi.msk.ru/account/1083384736/", 1083384736)</f>
        <v>1083384736</v>
      </c>
      <c r="D495" t="s">
        <v>483</v>
      </c>
      <c r="E495">
        <v>12569.83</v>
      </c>
      <c r="F495">
        <v>1.67</v>
      </c>
      <c r="G495" t="s">
        <v>12</v>
      </c>
      <c r="I495" t="s">
        <v>13</v>
      </c>
    </row>
    <row r="496" spans="1:9" hidden="1" x14ac:dyDescent="0.25">
      <c r="A496" t="s">
        <v>470</v>
      </c>
      <c r="B496" t="s">
        <v>38</v>
      </c>
      <c r="C496" s="2">
        <f>HYPERLINK("https://cao.dolgi.msk.ru/account/1080035733/", 1080035733)</f>
        <v>1080035733</v>
      </c>
      <c r="D496" t="s">
        <v>484</v>
      </c>
      <c r="E496">
        <v>24730.79</v>
      </c>
      <c r="G496" t="s">
        <v>14</v>
      </c>
      <c r="I496" t="s">
        <v>13</v>
      </c>
    </row>
    <row r="497" spans="1:9" hidden="1" x14ac:dyDescent="0.25">
      <c r="A497" t="s">
        <v>470</v>
      </c>
      <c r="B497" t="s">
        <v>38</v>
      </c>
      <c r="C497" s="2">
        <f>HYPERLINK("https://cao.dolgi.msk.ru/account/1083384744/", 1083384744)</f>
        <v>1083384744</v>
      </c>
      <c r="D497" t="s">
        <v>484</v>
      </c>
      <c r="E497">
        <v>-11052.78</v>
      </c>
      <c r="F497">
        <v>-0.96</v>
      </c>
      <c r="G497" t="s">
        <v>12</v>
      </c>
      <c r="I497" t="s">
        <v>13</v>
      </c>
    </row>
    <row r="498" spans="1:9" hidden="1" x14ac:dyDescent="0.25">
      <c r="A498" t="s">
        <v>470</v>
      </c>
      <c r="B498" t="s">
        <v>39</v>
      </c>
      <c r="C498" s="2">
        <f>HYPERLINK("https://cao.dolgi.msk.ru/account/1080035741/", 1080035741)</f>
        <v>1080035741</v>
      </c>
      <c r="D498" t="s">
        <v>485</v>
      </c>
      <c r="E498">
        <v>13990.19</v>
      </c>
      <c r="G498" t="s">
        <v>14</v>
      </c>
      <c r="I498" t="s">
        <v>13</v>
      </c>
    </row>
    <row r="499" spans="1:9" hidden="1" x14ac:dyDescent="0.25">
      <c r="A499" t="s">
        <v>470</v>
      </c>
      <c r="B499" t="s">
        <v>39</v>
      </c>
      <c r="C499" s="2">
        <f>HYPERLINK("https://cao.dolgi.msk.ru/account/1083384752/", 1083384752)</f>
        <v>1083384752</v>
      </c>
      <c r="D499" t="s">
        <v>485</v>
      </c>
      <c r="E499">
        <v>-8036.91</v>
      </c>
      <c r="F499">
        <v>-1.08</v>
      </c>
      <c r="G499" t="s">
        <v>12</v>
      </c>
      <c r="I499" t="s">
        <v>13</v>
      </c>
    </row>
    <row r="500" spans="1:9" hidden="1" x14ac:dyDescent="0.25">
      <c r="A500" t="s">
        <v>470</v>
      </c>
      <c r="B500" t="s">
        <v>40</v>
      </c>
      <c r="C500" s="2">
        <f>HYPERLINK("https://cao.dolgi.msk.ru/account/1080035768/", 1080035768)</f>
        <v>1080035768</v>
      </c>
      <c r="D500" t="s">
        <v>486</v>
      </c>
      <c r="E500">
        <v>116.86</v>
      </c>
      <c r="F500">
        <v>0.12</v>
      </c>
      <c r="G500" t="s">
        <v>14</v>
      </c>
      <c r="I500" t="s">
        <v>13</v>
      </c>
    </row>
    <row r="501" spans="1:9" hidden="1" x14ac:dyDescent="0.25">
      <c r="A501" t="s">
        <v>470</v>
      </c>
      <c r="B501" t="s">
        <v>40</v>
      </c>
      <c r="C501" s="2">
        <f>HYPERLINK("https://cao.dolgi.msk.ru/account/1083384496/", 1083384496)</f>
        <v>1083384496</v>
      </c>
      <c r="D501" t="s">
        <v>486</v>
      </c>
      <c r="E501">
        <v>-8418.49</v>
      </c>
      <c r="F501">
        <v>-1.05</v>
      </c>
      <c r="G501" t="s">
        <v>12</v>
      </c>
      <c r="I501" t="s">
        <v>13</v>
      </c>
    </row>
    <row r="502" spans="1:9" hidden="1" x14ac:dyDescent="0.25">
      <c r="A502" t="s">
        <v>470</v>
      </c>
      <c r="B502" t="s">
        <v>41</v>
      </c>
      <c r="C502" s="2">
        <f>HYPERLINK("https://cao.dolgi.msk.ru/account/1080035776/", 1080035776)</f>
        <v>1080035776</v>
      </c>
      <c r="D502" t="s">
        <v>487</v>
      </c>
      <c r="E502">
        <v>27354.799999999999</v>
      </c>
      <c r="G502" t="s">
        <v>14</v>
      </c>
      <c r="I502" t="s">
        <v>13</v>
      </c>
    </row>
    <row r="503" spans="1:9" hidden="1" x14ac:dyDescent="0.25">
      <c r="A503" t="s">
        <v>470</v>
      </c>
      <c r="B503" t="s">
        <v>41</v>
      </c>
      <c r="C503" s="2">
        <f>HYPERLINK("https://cao.dolgi.msk.ru/account/1083384509/", 1083384509)</f>
        <v>1083384509</v>
      </c>
      <c r="D503" t="s">
        <v>487</v>
      </c>
      <c r="E503">
        <v>0.02</v>
      </c>
      <c r="F503">
        <v>0</v>
      </c>
      <c r="G503" t="s">
        <v>12</v>
      </c>
      <c r="I503" t="s">
        <v>13</v>
      </c>
    </row>
    <row r="504" spans="1:9" hidden="1" x14ac:dyDescent="0.25">
      <c r="A504" t="s">
        <v>470</v>
      </c>
      <c r="B504" t="s">
        <v>42</v>
      </c>
      <c r="C504" s="2">
        <f>HYPERLINK("https://cao.dolgi.msk.ru/account/1080035784/", 1080035784)</f>
        <v>1080035784</v>
      </c>
      <c r="D504" t="s">
        <v>488</v>
      </c>
      <c r="E504">
        <v>52.74</v>
      </c>
      <c r="G504" t="s">
        <v>14</v>
      </c>
      <c r="I504" t="s">
        <v>13</v>
      </c>
    </row>
    <row r="505" spans="1:9" hidden="1" x14ac:dyDescent="0.25">
      <c r="A505" t="s">
        <v>470</v>
      </c>
      <c r="B505" t="s">
        <v>42</v>
      </c>
      <c r="C505" s="2">
        <f>HYPERLINK("https://cao.dolgi.msk.ru/account/1083384517/", 1083384517)</f>
        <v>1083384517</v>
      </c>
      <c r="D505" t="s">
        <v>488</v>
      </c>
      <c r="E505">
        <v>-5269.69</v>
      </c>
      <c r="F505">
        <v>-1.0900000000000001</v>
      </c>
      <c r="G505" t="s">
        <v>12</v>
      </c>
      <c r="I505" t="s">
        <v>13</v>
      </c>
    </row>
    <row r="506" spans="1:9" hidden="1" x14ac:dyDescent="0.25">
      <c r="A506" t="s">
        <v>470</v>
      </c>
      <c r="B506" t="s">
        <v>44</v>
      </c>
      <c r="C506" s="2">
        <f>HYPERLINK("https://cao.dolgi.msk.ru/account/1080035792/", 1080035792)</f>
        <v>1080035792</v>
      </c>
      <c r="D506" t="s">
        <v>489</v>
      </c>
      <c r="E506">
        <v>6471.47</v>
      </c>
      <c r="G506" t="s">
        <v>14</v>
      </c>
      <c r="I506" t="s">
        <v>13</v>
      </c>
    </row>
    <row r="507" spans="1:9" hidden="1" x14ac:dyDescent="0.25">
      <c r="A507" t="s">
        <v>470</v>
      </c>
      <c r="B507" t="s">
        <v>44</v>
      </c>
      <c r="C507" s="2">
        <f>HYPERLINK("https://cao.dolgi.msk.ru/account/1083384277/", 1083384277)</f>
        <v>1083384277</v>
      </c>
      <c r="D507" t="s">
        <v>489</v>
      </c>
      <c r="E507">
        <v>-6.05</v>
      </c>
      <c r="F507">
        <v>0</v>
      </c>
      <c r="G507" t="s">
        <v>12</v>
      </c>
      <c r="I507" t="s">
        <v>13</v>
      </c>
    </row>
    <row r="508" spans="1:9" hidden="1" x14ac:dyDescent="0.25">
      <c r="A508" t="s">
        <v>470</v>
      </c>
      <c r="B508" t="s">
        <v>66</v>
      </c>
      <c r="C508" s="2">
        <f>HYPERLINK("https://cao.dolgi.msk.ru/account/1080035805/", 1080035805)</f>
        <v>1080035805</v>
      </c>
      <c r="D508" t="s">
        <v>490</v>
      </c>
      <c r="E508">
        <v>197.76</v>
      </c>
      <c r="G508" t="s">
        <v>14</v>
      </c>
      <c r="I508" t="s">
        <v>13</v>
      </c>
    </row>
    <row r="509" spans="1:9" hidden="1" x14ac:dyDescent="0.25">
      <c r="A509" t="s">
        <v>470</v>
      </c>
      <c r="B509" t="s">
        <v>66</v>
      </c>
      <c r="C509" s="2">
        <f>HYPERLINK("https://cao.dolgi.msk.ru/account/1083384664/", 1083384664)</f>
        <v>1083384664</v>
      </c>
      <c r="D509" t="s">
        <v>490</v>
      </c>
      <c r="E509">
        <v>1785.25</v>
      </c>
      <c r="F509">
        <v>0.17</v>
      </c>
      <c r="G509" t="s">
        <v>12</v>
      </c>
      <c r="I509" t="s">
        <v>13</v>
      </c>
    </row>
    <row r="510" spans="1:9" hidden="1" x14ac:dyDescent="0.25">
      <c r="A510" t="s">
        <v>470</v>
      </c>
      <c r="B510" t="s">
        <v>68</v>
      </c>
      <c r="C510" s="2">
        <f>HYPERLINK("https://cao.dolgi.msk.ru/account/1080035813/", 1080035813)</f>
        <v>1080035813</v>
      </c>
      <c r="D510" t="s">
        <v>491</v>
      </c>
      <c r="E510">
        <v>3025.97</v>
      </c>
      <c r="F510">
        <v>1.18</v>
      </c>
      <c r="G510" t="s">
        <v>14</v>
      </c>
      <c r="I510" t="s">
        <v>13</v>
      </c>
    </row>
    <row r="511" spans="1:9" hidden="1" x14ac:dyDescent="0.25">
      <c r="A511" t="s">
        <v>470</v>
      </c>
      <c r="B511" t="s">
        <v>68</v>
      </c>
      <c r="C511" s="2">
        <f>HYPERLINK("https://cao.dolgi.msk.ru/account/1083384779/", 1083384779)</f>
        <v>1083384779</v>
      </c>
      <c r="D511" t="s">
        <v>491</v>
      </c>
      <c r="E511">
        <v>-13126.71</v>
      </c>
      <c r="F511">
        <v>-1.06</v>
      </c>
      <c r="G511" t="s">
        <v>12</v>
      </c>
      <c r="I511" t="s">
        <v>13</v>
      </c>
    </row>
    <row r="512" spans="1:9" hidden="1" x14ac:dyDescent="0.25">
      <c r="A512" t="s">
        <v>470</v>
      </c>
      <c r="B512" t="s">
        <v>70</v>
      </c>
      <c r="C512" s="2">
        <f>HYPERLINK("https://cao.dolgi.msk.ru/account/1080035821/", 1080035821)</f>
        <v>1080035821</v>
      </c>
      <c r="D512" t="s">
        <v>492</v>
      </c>
      <c r="E512">
        <v>180.77</v>
      </c>
      <c r="F512">
        <v>0.19</v>
      </c>
      <c r="G512" t="s">
        <v>14</v>
      </c>
      <c r="I512" t="s">
        <v>13</v>
      </c>
    </row>
    <row r="513" spans="1:9" hidden="1" x14ac:dyDescent="0.25">
      <c r="A513" t="s">
        <v>470</v>
      </c>
      <c r="B513" t="s">
        <v>70</v>
      </c>
      <c r="C513" s="2">
        <f>HYPERLINK("https://cao.dolgi.msk.ru/account/1083384373/", 1083384373)</f>
        <v>1083384373</v>
      </c>
      <c r="D513" t="s">
        <v>492</v>
      </c>
      <c r="E513">
        <v>-9051.64</v>
      </c>
      <c r="F513">
        <v>-1</v>
      </c>
      <c r="G513" t="s">
        <v>12</v>
      </c>
      <c r="I513" t="s">
        <v>13</v>
      </c>
    </row>
    <row r="514" spans="1:9" hidden="1" x14ac:dyDescent="0.25">
      <c r="A514" t="s">
        <v>470</v>
      </c>
      <c r="B514" t="s">
        <v>72</v>
      </c>
      <c r="C514" s="2">
        <f>HYPERLINK("https://cao.dolgi.msk.ru/account/1080035848/", 1080035848)</f>
        <v>1080035848</v>
      </c>
      <c r="D514" t="s">
        <v>493</v>
      </c>
      <c r="E514">
        <v>55.47</v>
      </c>
      <c r="G514" t="s">
        <v>14</v>
      </c>
      <c r="I514" t="s">
        <v>13</v>
      </c>
    </row>
    <row r="515" spans="1:9" hidden="1" x14ac:dyDescent="0.25">
      <c r="A515" t="s">
        <v>470</v>
      </c>
      <c r="B515" t="s">
        <v>72</v>
      </c>
      <c r="C515" s="2">
        <f>HYPERLINK("https://cao.dolgi.msk.ru/account/1083384381/", 1083384381)</f>
        <v>1083384381</v>
      </c>
      <c r="D515" t="s">
        <v>493</v>
      </c>
      <c r="E515">
        <v>-5470.62</v>
      </c>
      <c r="F515">
        <v>-0.99</v>
      </c>
      <c r="G515" t="s">
        <v>12</v>
      </c>
      <c r="I515" t="s">
        <v>13</v>
      </c>
    </row>
    <row r="516" spans="1:9" hidden="1" x14ac:dyDescent="0.25">
      <c r="A516" t="s">
        <v>470</v>
      </c>
      <c r="B516" t="s">
        <v>74</v>
      </c>
      <c r="C516" s="2">
        <f>HYPERLINK("https://cao.dolgi.msk.ru/account/1080035856/", 1080035856)</f>
        <v>1080035856</v>
      </c>
      <c r="D516" t="s">
        <v>494</v>
      </c>
      <c r="E516">
        <v>-706.04</v>
      </c>
      <c r="G516" t="s">
        <v>14</v>
      </c>
      <c r="I516" t="s">
        <v>13</v>
      </c>
    </row>
    <row r="517" spans="1:9" hidden="1" x14ac:dyDescent="0.25">
      <c r="A517" t="s">
        <v>470</v>
      </c>
      <c r="B517" t="s">
        <v>74</v>
      </c>
      <c r="C517" s="2">
        <f>HYPERLINK("https://cao.dolgi.msk.ru/account/1083384787/", 1083384787)</f>
        <v>1083384787</v>
      </c>
      <c r="D517" t="s">
        <v>494</v>
      </c>
      <c r="E517">
        <v>-9235.07</v>
      </c>
      <c r="F517">
        <v>-1.08</v>
      </c>
      <c r="G517" t="s">
        <v>12</v>
      </c>
      <c r="I517" t="s">
        <v>13</v>
      </c>
    </row>
    <row r="518" spans="1:9" hidden="1" x14ac:dyDescent="0.25">
      <c r="A518" t="s">
        <v>470</v>
      </c>
      <c r="B518" t="s">
        <v>76</v>
      </c>
      <c r="C518" s="2">
        <f>HYPERLINK("https://cao.dolgi.msk.ru/account/1080035864/", 1080035864)</f>
        <v>1080035864</v>
      </c>
      <c r="D518" t="s">
        <v>495</v>
      </c>
      <c r="E518">
        <v>-10686.85</v>
      </c>
      <c r="F518">
        <v>-24.41</v>
      </c>
      <c r="G518" t="s">
        <v>14</v>
      </c>
      <c r="I518" t="s">
        <v>13</v>
      </c>
    </row>
    <row r="519" spans="1:9" hidden="1" x14ac:dyDescent="0.25">
      <c r="A519" t="s">
        <v>470</v>
      </c>
      <c r="B519" t="s">
        <v>76</v>
      </c>
      <c r="C519" s="2">
        <f>HYPERLINK("https://cao.dolgi.msk.ru/account/1083384795/", 1083384795)</f>
        <v>1083384795</v>
      </c>
      <c r="D519" t="s">
        <v>495</v>
      </c>
      <c r="E519">
        <v>-7366.94</v>
      </c>
      <c r="F519">
        <v>-1.0900000000000001</v>
      </c>
      <c r="G519" t="s">
        <v>12</v>
      </c>
      <c r="I519" t="s">
        <v>13</v>
      </c>
    </row>
    <row r="520" spans="1:9" hidden="1" x14ac:dyDescent="0.25">
      <c r="A520" t="s">
        <v>470</v>
      </c>
      <c r="B520" t="s">
        <v>78</v>
      </c>
      <c r="C520" s="2">
        <f>HYPERLINK("https://cao.dolgi.msk.ru/account/1080035872/", 1080035872)</f>
        <v>1080035872</v>
      </c>
      <c r="D520" t="s">
        <v>496</v>
      </c>
      <c r="E520">
        <v>111.05</v>
      </c>
      <c r="F520">
        <v>0.04</v>
      </c>
      <c r="G520" t="s">
        <v>14</v>
      </c>
      <c r="I520" t="s">
        <v>13</v>
      </c>
    </row>
    <row r="521" spans="1:9" hidden="1" x14ac:dyDescent="0.25">
      <c r="A521" t="s">
        <v>470</v>
      </c>
      <c r="B521" t="s">
        <v>78</v>
      </c>
      <c r="C521" s="2">
        <f>HYPERLINK("https://cao.dolgi.msk.ru/account/1083384576/", 1083384576)</f>
        <v>1083384576</v>
      </c>
      <c r="D521" t="s">
        <v>496</v>
      </c>
      <c r="E521">
        <v>-11100.17</v>
      </c>
      <c r="F521">
        <v>-1.25</v>
      </c>
      <c r="G521" t="s">
        <v>12</v>
      </c>
      <c r="I521" t="s">
        <v>13</v>
      </c>
    </row>
    <row r="522" spans="1:9" hidden="1" x14ac:dyDescent="0.25">
      <c r="A522" t="s">
        <v>470</v>
      </c>
      <c r="B522" t="s">
        <v>80</v>
      </c>
      <c r="C522" s="2">
        <f>HYPERLINK("https://cao.dolgi.msk.ru/account/1080035899/", 1080035899)</f>
        <v>1080035899</v>
      </c>
      <c r="D522" t="s">
        <v>497</v>
      </c>
      <c r="E522">
        <v>37435.07</v>
      </c>
      <c r="G522" t="s">
        <v>14</v>
      </c>
      <c r="I522" t="s">
        <v>13</v>
      </c>
    </row>
    <row r="523" spans="1:9" hidden="1" x14ac:dyDescent="0.25">
      <c r="A523" t="s">
        <v>470</v>
      </c>
      <c r="B523" t="s">
        <v>80</v>
      </c>
      <c r="C523" s="2">
        <f>HYPERLINK("https://cao.dolgi.msk.ru/account/1083384672/", 1083384672)</f>
        <v>1083384672</v>
      </c>
      <c r="D523" t="s">
        <v>497</v>
      </c>
      <c r="E523">
        <v>-5897.02</v>
      </c>
      <c r="F523">
        <v>-0.81</v>
      </c>
      <c r="G523" t="s">
        <v>12</v>
      </c>
      <c r="I523" t="s">
        <v>13</v>
      </c>
    </row>
    <row r="524" spans="1:9" hidden="1" x14ac:dyDescent="0.25">
      <c r="A524" t="s">
        <v>470</v>
      </c>
      <c r="B524" t="s">
        <v>82</v>
      </c>
      <c r="C524" s="2">
        <f>HYPERLINK("https://cao.dolgi.msk.ru/account/1080035901/", 1080035901)</f>
        <v>1080035901</v>
      </c>
      <c r="D524" t="s">
        <v>498</v>
      </c>
      <c r="E524">
        <v>65.260000000000005</v>
      </c>
      <c r="F524">
        <v>0.05</v>
      </c>
      <c r="G524" t="s">
        <v>14</v>
      </c>
      <c r="I524" t="s">
        <v>13</v>
      </c>
    </row>
    <row r="525" spans="1:9" hidden="1" x14ac:dyDescent="0.25">
      <c r="A525" t="s">
        <v>470</v>
      </c>
      <c r="B525" t="s">
        <v>82</v>
      </c>
      <c r="C525" s="2">
        <f>HYPERLINK("https://cao.dolgi.msk.ru/account/1083384584/", 1083384584)</f>
        <v>1083384584</v>
      </c>
      <c r="D525" t="s">
        <v>498</v>
      </c>
      <c r="E525">
        <v>-13793.11</v>
      </c>
      <c r="F525">
        <v>-1.81</v>
      </c>
      <c r="G525" t="s">
        <v>12</v>
      </c>
      <c r="I525" t="s">
        <v>13</v>
      </c>
    </row>
    <row r="526" spans="1:9" hidden="1" x14ac:dyDescent="0.25">
      <c r="A526" t="s">
        <v>470</v>
      </c>
      <c r="B526" t="s">
        <v>84</v>
      </c>
      <c r="C526" s="2">
        <f>HYPERLINK("https://cao.dolgi.msk.ru/account/1080035928/", 1080035928)</f>
        <v>1080035928</v>
      </c>
      <c r="D526" t="s">
        <v>499</v>
      </c>
      <c r="E526">
        <v>-127.29</v>
      </c>
      <c r="G526" t="s">
        <v>14</v>
      </c>
      <c r="I526" t="s">
        <v>13</v>
      </c>
    </row>
    <row r="527" spans="1:9" hidden="1" x14ac:dyDescent="0.25">
      <c r="A527" t="s">
        <v>470</v>
      </c>
      <c r="B527" t="s">
        <v>84</v>
      </c>
      <c r="C527" s="2">
        <f>HYPERLINK("https://cao.dolgi.msk.ru/account/1083384808/", 1083384808)</f>
        <v>1083384808</v>
      </c>
      <c r="D527" t="s">
        <v>499</v>
      </c>
      <c r="E527">
        <v>-15026.1</v>
      </c>
      <c r="F527">
        <v>-0.76</v>
      </c>
      <c r="G527" t="s">
        <v>12</v>
      </c>
      <c r="I527" t="s">
        <v>13</v>
      </c>
    </row>
    <row r="528" spans="1:9" hidden="1" x14ac:dyDescent="0.25">
      <c r="A528" t="s">
        <v>470</v>
      </c>
      <c r="B528" t="s">
        <v>86</v>
      </c>
      <c r="C528" s="2">
        <f>HYPERLINK("https://cao.dolgi.msk.ru/account/1080035936/", 1080035936)</f>
        <v>1080035936</v>
      </c>
      <c r="D528" t="s">
        <v>500</v>
      </c>
      <c r="G528" t="s">
        <v>14</v>
      </c>
      <c r="I528" t="s">
        <v>13</v>
      </c>
    </row>
    <row r="529" spans="1:9" hidden="1" x14ac:dyDescent="0.25">
      <c r="A529" t="s">
        <v>470</v>
      </c>
      <c r="B529" t="s">
        <v>86</v>
      </c>
      <c r="C529" s="2">
        <f>HYPERLINK("https://cao.dolgi.msk.ru/account/1083384445/", 1083384445)</f>
        <v>1083384445</v>
      </c>
      <c r="D529" t="s">
        <v>501</v>
      </c>
      <c r="E529">
        <v>-9408</v>
      </c>
      <c r="F529">
        <v>-0.97</v>
      </c>
      <c r="G529" t="s">
        <v>12</v>
      </c>
      <c r="I529" t="s">
        <v>13</v>
      </c>
    </row>
    <row r="530" spans="1:9" hidden="1" x14ac:dyDescent="0.25">
      <c r="A530" t="s">
        <v>470</v>
      </c>
      <c r="B530" t="s">
        <v>86</v>
      </c>
      <c r="C530" s="2">
        <f>HYPERLINK("https://cao.dolgi.msk.ru/account/1089126535/", 1089126535)</f>
        <v>1089126535</v>
      </c>
      <c r="D530" t="s">
        <v>501</v>
      </c>
      <c r="E530">
        <v>111.15</v>
      </c>
      <c r="G530" t="s">
        <v>14</v>
      </c>
      <c r="I530" t="s">
        <v>13</v>
      </c>
    </row>
    <row r="531" spans="1:9" hidden="1" x14ac:dyDescent="0.25">
      <c r="A531" t="s">
        <v>470</v>
      </c>
      <c r="B531" t="s">
        <v>88</v>
      </c>
      <c r="C531" s="2">
        <f>HYPERLINK("https://cao.dolgi.msk.ru/account/1080035944/", 1080035944)</f>
        <v>1080035944</v>
      </c>
      <c r="D531" t="s">
        <v>502</v>
      </c>
      <c r="E531">
        <v>59.32</v>
      </c>
      <c r="G531" t="s">
        <v>14</v>
      </c>
      <c r="I531" t="s">
        <v>13</v>
      </c>
    </row>
    <row r="532" spans="1:9" hidden="1" x14ac:dyDescent="0.25">
      <c r="A532" t="s">
        <v>470</v>
      </c>
      <c r="B532" t="s">
        <v>88</v>
      </c>
      <c r="C532" s="2">
        <f>HYPERLINK("https://cao.dolgi.msk.ru/account/1083384525/", 1083384525)</f>
        <v>1083384525</v>
      </c>
      <c r="D532" t="s">
        <v>502</v>
      </c>
      <c r="E532">
        <v>-5275.45</v>
      </c>
      <c r="F532">
        <v>-1.04</v>
      </c>
      <c r="G532" t="s">
        <v>12</v>
      </c>
      <c r="I532" t="s">
        <v>13</v>
      </c>
    </row>
    <row r="533" spans="1:9" hidden="1" x14ac:dyDescent="0.25">
      <c r="A533" t="s">
        <v>470</v>
      </c>
      <c r="B533" t="s">
        <v>90</v>
      </c>
      <c r="C533" s="2">
        <f>HYPERLINK("https://cao.dolgi.msk.ru/account/1080035952/", 1080035952)</f>
        <v>1080035952</v>
      </c>
      <c r="D533" t="s">
        <v>503</v>
      </c>
      <c r="E533">
        <v>-126.34</v>
      </c>
      <c r="G533" t="s">
        <v>14</v>
      </c>
      <c r="I533" t="s">
        <v>13</v>
      </c>
    </row>
    <row r="534" spans="1:9" hidden="1" x14ac:dyDescent="0.25">
      <c r="A534" t="s">
        <v>470</v>
      </c>
      <c r="B534" t="s">
        <v>90</v>
      </c>
      <c r="C534" s="2">
        <f>HYPERLINK("https://cao.dolgi.msk.ru/account/1083384285/", 1083384285)</f>
        <v>1083384285</v>
      </c>
      <c r="D534" t="s">
        <v>503</v>
      </c>
      <c r="E534">
        <v>0</v>
      </c>
      <c r="F534">
        <v>0</v>
      </c>
      <c r="G534" t="s">
        <v>12</v>
      </c>
      <c r="I534" t="s">
        <v>13</v>
      </c>
    </row>
    <row r="535" spans="1:9" hidden="1" x14ac:dyDescent="0.25">
      <c r="A535" t="s">
        <v>470</v>
      </c>
      <c r="B535" t="s">
        <v>92</v>
      </c>
      <c r="C535" s="2">
        <f>HYPERLINK("https://cao.dolgi.msk.ru/account/1080035979/", 1080035979)</f>
        <v>1080035979</v>
      </c>
      <c r="D535" t="s">
        <v>504</v>
      </c>
      <c r="E535">
        <v>5640.46</v>
      </c>
      <c r="G535" t="s">
        <v>14</v>
      </c>
      <c r="I535" t="s">
        <v>13</v>
      </c>
    </row>
    <row r="536" spans="1:9" hidden="1" x14ac:dyDescent="0.25">
      <c r="A536" t="s">
        <v>470</v>
      </c>
      <c r="B536" t="s">
        <v>92</v>
      </c>
      <c r="C536" s="2">
        <f>HYPERLINK("https://cao.dolgi.msk.ru/account/1083384293/", 1083384293)</f>
        <v>1083384293</v>
      </c>
      <c r="D536" t="s">
        <v>504</v>
      </c>
      <c r="E536">
        <v>-9031.31</v>
      </c>
      <c r="F536">
        <v>-1.07</v>
      </c>
      <c r="G536" t="s">
        <v>12</v>
      </c>
      <c r="I536" t="s">
        <v>13</v>
      </c>
    </row>
    <row r="537" spans="1:9" hidden="1" x14ac:dyDescent="0.25">
      <c r="A537" t="s">
        <v>470</v>
      </c>
      <c r="B537" t="s">
        <v>94</v>
      </c>
      <c r="C537" s="2">
        <f>HYPERLINK("https://cao.dolgi.msk.ru/account/1080035987/", 1080035987)</f>
        <v>1080035987</v>
      </c>
      <c r="D537" t="s">
        <v>505</v>
      </c>
      <c r="E537">
        <v>-387.9</v>
      </c>
      <c r="G537" t="s">
        <v>14</v>
      </c>
      <c r="I537" t="s">
        <v>13</v>
      </c>
    </row>
    <row r="538" spans="1:9" hidden="1" x14ac:dyDescent="0.25">
      <c r="A538" t="s">
        <v>470</v>
      </c>
      <c r="B538" t="s">
        <v>94</v>
      </c>
      <c r="C538" s="2">
        <f>HYPERLINK("https://cao.dolgi.msk.ru/account/1083384189/", 1083384189)</f>
        <v>1083384189</v>
      </c>
      <c r="D538" t="s">
        <v>506</v>
      </c>
      <c r="E538">
        <v>-8703.35</v>
      </c>
      <c r="F538">
        <v>-1.1000000000000001</v>
      </c>
      <c r="G538" t="s">
        <v>12</v>
      </c>
      <c r="I538" t="s">
        <v>13</v>
      </c>
    </row>
    <row r="539" spans="1:9" hidden="1" x14ac:dyDescent="0.25">
      <c r="A539" t="s">
        <v>470</v>
      </c>
      <c r="B539" t="s">
        <v>96</v>
      </c>
      <c r="C539" s="2">
        <f>HYPERLINK("https://cao.dolgi.msk.ru/account/1080035995/", 1080035995)</f>
        <v>1080035995</v>
      </c>
      <c r="D539" t="s">
        <v>507</v>
      </c>
      <c r="E539">
        <v>0</v>
      </c>
      <c r="G539" t="s">
        <v>14</v>
      </c>
      <c r="I539" t="s">
        <v>13</v>
      </c>
    </row>
    <row r="540" spans="1:9" hidden="1" x14ac:dyDescent="0.25">
      <c r="A540" t="s">
        <v>470</v>
      </c>
      <c r="B540" t="s">
        <v>96</v>
      </c>
      <c r="C540" s="2">
        <f>HYPERLINK("https://cao.dolgi.msk.ru/account/1083384533/", 1083384533)</f>
        <v>1083384533</v>
      </c>
      <c r="D540" t="s">
        <v>507</v>
      </c>
      <c r="E540">
        <v>0</v>
      </c>
      <c r="F540">
        <v>0</v>
      </c>
      <c r="G540" t="s">
        <v>12</v>
      </c>
      <c r="I540" t="s">
        <v>13</v>
      </c>
    </row>
    <row r="541" spans="1:9" hidden="1" x14ac:dyDescent="0.25">
      <c r="A541" t="s">
        <v>470</v>
      </c>
      <c r="B541" t="s">
        <v>98</v>
      </c>
      <c r="C541" s="2">
        <f>HYPERLINK("https://cao.dolgi.msk.ru/account/1080036007/", 1080036007)</f>
        <v>1080036007</v>
      </c>
      <c r="D541" t="s">
        <v>508</v>
      </c>
      <c r="E541">
        <v>552.61</v>
      </c>
      <c r="G541" t="s">
        <v>14</v>
      </c>
      <c r="I541" t="s">
        <v>13</v>
      </c>
    </row>
    <row r="542" spans="1:9" hidden="1" x14ac:dyDescent="0.25">
      <c r="A542" t="s">
        <v>470</v>
      </c>
      <c r="B542" t="s">
        <v>98</v>
      </c>
      <c r="C542" s="2">
        <f>HYPERLINK("https://cao.dolgi.msk.ru/account/1083384197/", 1083384197)</f>
        <v>1083384197</v>
      </c>
      <c r="D542" t="s">
        <v>508</v>
      </c>
      <c r="E542">
        <v>-19944.22</v>
      </c>
      <c r="F542">
        <v>-2.5099999999999998</v>
      </c>
      <c r="G542" t="s">
        <v>12</v>
      </c>
      <c r="I542" t="s">
        <v>13</v>
      </c>
    </row>
    <row r="543" spans="1:9" hidden="1" x14ac:dyDescent="0.25">
      <c r="A543" t="s">
        <v>470</v>
      </c>
      <c r="B543" t="s">
        <v>100</v>
      </c>
      <c r="C543" s="2">
        <f>HYPERLINK("https://cao.dolgi.msk.ru/account/1080036015/", 1080036015)</f>
        <v>1080036015</v>
      </c>
      <c r="D543" t="s">
        <v>509</v>
      </c>
      <c r="E543">
        <v>-360.28</v>
      </c>
      <c r="G543" t="s">
        <v>14</v>
      </c>
      <c r="I543" t="s">
        <v>13</v>
      </c>
    </row>
    <row r="544" spans="1:9" hidden="1" x14ac:dyDescent="0.25">
      <c r="A544" t="s">
        <v>470</v>
      </c>
      <c r="B544" t="s">
        <v>100</v>
      </c>
      <c r="C544" s="2">
        <f>HYPERLINK("https://cao.dolgi.msk.ru/account/1083384592/", 1083384592)</f>
        <v>1083384592</v>
      </c>
      <c r="D544" t="s">
        <v>509</v>
      </c>
      <c r="E544">
        <v>-10171.41</v>
      </c>
      <c r="F544">
        <v>-1.41</v>
      </c>
      <c r="G544" t="s">
        <v>12</v>
      </c>
      <c r="I544" t="s">
        <v>13</v>
      </c>
    </row>
    <row r="545" spans="1:9" hidden="1" x14ac:dyDescent="0.25">
      <c r="A545" t="s">
        <v>470</v>
      </c>
      <c r="B545" t="s">
        <v>102</v>
      </c>
      <c r="C545" s="2">
        <f>HYPERLINK("https://cao.dolgi.msk.ru/account/1080036023/", 1080036023)</f>
        <v>1080036023</v>
      </c>
      <c r="D545" t="s">
        <v>510</v>
      </c>
      <c r="E545">
        <v>41.42</v>
      </c>
      <c r="F545">
        <v>0.02</v>
      </c>
      <c r="G545" t="s">
        <v>14</v>
      </c>
      <c r="I545" t="s">
        <v>13</v>
      </c>
    </row>
    <row r="546" spans="1:9" hidden="1" x14ac:dyDescent="0.25">
      <c r="A546" t="s">
        <v>470</v>
      </c>
      <c r="B546" t="s">
        <v>102</v>
      </c>
      <c r="C546" s="2">
        <f>HYPERLINK("https://cao.dolgi.msk.ru/account/1083384402/", 1083384402)</f>
        <v>1083384402</v>
      </c>
      <c r="D546" t="s">
        <v>510</v>
      </c>
      <c r="E546">
        <v>-3614.18</v>
      </c>
      <c r="F546">
        <v>-0.39</v>
      </c>
      <c r="G546" t="s">
        <v>12</v>
      </c>
      <c r="I546" t="s">
        <v>13</v>
      </c>
    </row>
    <row r="547" spans="1:9" hidden="1" x14ac:dyDescent="0.25">
      <c r="A547" t="s">
        <v>470</v>
      </c>
      <c r="B547" t="s">
        <v>104</v>
      </c>
      <c r="C547" s="2">
        <f>HYPERLINK("https://cao.dolgi.msk.ru/account/1080036031/", 1080036031)</f>
        <v>1080036031</v>
      </c>
      <c r="D547" t="s">
        <v>511</v>
      </c>
      <c r="E547">
        <v>14659.92</v>
      </c>
      <c r="G547" t="s">
        <v>14</v>
      </c>
      <c r="I547" t="s">
        <v>13</v>
      </c>
    </row>
    <row r="548" spans="1:9" hidden="1" x14ac:dyDescent="0.25">
      <c r="A548" t="s">
        <v>470</v>
      </c>
      <c r="B548" t="s">
        <v>104</v>
      </c>
      <c r="C548" s="2">
        <f>HYPERLINK("https://cao.dolgi.msk.ru/account/1083384218/", 1083384218)</f>
        <v>1083384218</v>
      </c>
      <c r="D548" t="s">
        <v>511</v>
      </c>
      <c r="E548">
        <v>-19.12</v>
      </c>
      <c r="F548">
        <v>0</v>
      </c>
      <c r="G548" t="s">
        <v>12</v>
      </c>
      <c r="I548" t="s">
        <v>13</v>
      </c>
    </row>
    <row r="549" spans="1:9" hidden="1" x14ac:dyDescent="0.25">
      <c r="A549" t="s">
        <v>470</v>
      </c>
      <c r="B549" t="s">
        <v>106</v>
      </c>
      <c r="C549" s="2">
        <f>HYPERLINK("https://cao.dolgi.msk.ru/account/1080036058/", 1080036058)</f>
        <v>1080036058</v>
      </c>
      <c r="D549" t="s">
        <v>512</v>
      </c>
      <c r="E549">
        <v>5282.77</v>
      </c>
      <c r="G549" t="s">
        <v>14</v>
      </c>
      <c r="I549" t="s">
        <v>13</v>
      </c>
    </row>
    <row r="550" spans="1:9" hidden="1" x14ac:dyDescent="0.25">
      <c r="A550" t="s">
        <v>470</v>
      </c>
      <c r="B550" t="s">
        <v>106</v>
      </c>
      <c r="C550" s="2">
        <f>HYPERLINK("https://cao.dolgi.msk.ru/account/1083384699/", 1083384699)</f>
        <v>1083384699</v>
      </c>
      <c r="D550" t="s">
        <v>512</v>
      </c>
      <c r="E550">
        <v>-8746.35</v>
      </c>
      <c r="F550">
        <v>-1.08</v>
      </c>
      <c r="G550" t="s">
        <v>12</v>
      </c>
      <c r="I550" t="s">
        <v>13</v>
      </c>
    </row>
    <row r="551" spans="1:9" hidden="1" x14ac:dyDescent="0.25">
      <c r="A551" t="s">
        <v>470</v>
      </c>
      <c r="B551" t="s">
        <v>108</v>
      </c>
      <c r="C551" s="2">
        <f>HYPERLINK("https://cao.dolgi.msk.ru/account/1080036066/", 1080036066)</f>
        <v>1080036066</v>
      </c>
      <c r="D551" t="s">
        <v>513</v>
      </c>
      <c r="E551">
        <v>139.13999999999999</v>
      </c>
      <c r="G551" t="s">
        <v>14</v>
      </c>
      <c r="I551" t="s">
        <v>13</v>
      </c>
    </row>
    <row r="552" spans="1:9" hidden="1" x14ac:dyDescent="0.25">
      <c r="A552" t="s">
        <v>470</v>
      </c>
      <c r="B552" t="s">
        <v>108</v>
      </c>
      <c r="C552" s="2">
        <f>HYPERLINK("https://cao.dolgi.msk.ru/account/1083384541/", 1083384541)</f>
        <v>1083384541</v>
      </c>
      <c r="D552" t="s">
        <v>513</v>
      </c>
      <c r="E552">
        <v>-9721.48</v>
      </c>
      <c r="F552">
        <v>-1.1200000000000001</v>
      </c>
      <c r="G552" t="s">
        <v>12</v>
      </c>
      <c r="I552" t="s">
        <v>13</v>
      </c>
    </row>
    <row r="553" spans="1:9" hidden="1" x14ac:dyDescent="0.25">
      <c r="A553" t="s">
        <v>470</v>
      </c>
      <c r="B553" t="s">
        <v>110</v>
      </c>
      <c r="C553" s="2">
        <f>HYPERLINK("https://cao.dolgi.msk.ru/account/1080036074/", 1080036074)</f>
        <v>1080036074</v>
      </c>
      <c r="D553" t="s">
        <v>514</v>
      </c>
      <c r="E553">
        <v>212.84</v>
      </c>
      <c r="G553" t="s">
        <v>14</v>
      </c>
      <c r="I553" t="s">
        <v>13</v>
      </c>
    </row>
    <row r="554" spans="1:9" hidden="1" x14ac:dyDescent="0.25">
      <c r="A554" t="s">
        <v>470</v>
      </c>
      <c r="B554" t="s">
        <v>110</v>
      </c>
      <c r="C554" s="2">
        <f>HYPERLINK("https://cao.dolgi.msk.ru/account/1083384701/", 1083384701)</f>
        <v>1083384701</v>
      </c>
      <c r="D554" t="s">
        <v>514</v>
      </c>
      <c r="E554">
        <v>-6470.03</v>
      </c>
      <c r="F554">
        <v>-1.06</v>
      </c>
      <c r="G554" t="s">
        <v>12</v>
      </c>
      <c r="I554" t="s">
        <v>13</v>
      </c>
    </row>
    <row r="555" spans="1:9" hidden="1" x14ac:dyDescent="0.25">
      <c r="A555" t="s">
        <v>470</v>
      </c>
      <c r="B555" t="s">
        <v>112</v>
      </c>
      <c r="C555" s="2">
        <f>HYPERLINK("https://cao.dolgi.msk.ru/account/1080036082/", 1080036082)</f>
        <v>1080036082</v>
      </c>
      <c r="D555" t="s">
        <v>515</v>
      </c>
      <c r="E555">
        <v>11897.59</v>
      </c>
      <c r="G555" t="s">
        <v>14</v>
      </c>
      <c r="I555" t="s">
        <v>13</v>
      </c>
    </row>
    <row r="556" spans="1:9" hidden="1" x14ac:dyDescent="0.25">
      <c r="A556" t="s">
        <v>470</v>
      </c>
      <c r="B556" t="s">
        <v>112</v>
      </c>
      <c r="C556" s="2">
        <f>HYPERLINK("https://cao.dolgi.msk.ru/account/1083384306/", 1083384306)</f>
        <v>1083384306</v>
      </c>
      <c r="D556" t="s">
        <v>515</v>
      </c>
      <c r="E556">
        <v>-6230.19</v>
      </c>
      <c r="F556">
        <v>-1.06</v>
      </c>
      <c r="G556" t="s">
        <v>12</v>
      </c>
      <c r="I556" t="s">
        <v>13</v>
      </c>
    </row>
    <row r="557" spans="1:9" hidden="1" x14ac:dyDescent="0.25">
      <c r="A557" t="s">
        <v>470</v>
      </c>
      <c r="B557" t="s">
        <v>114</v>
      </c>
      <c r="C557" s="2">
        <f>HYPERLINK("https://cao.dolgi.msk.ru/account/1080036103/", 1080036103)</f>
        <v>1080036103</v>
      </c>
      <c r="D557" t="s">
        <v>516</v>
      </c>
      <c r="E557">
        <v>-58.2</v>
      </c>
      <c r="G557" t="s">
        <v>14</v>
      </c>
      <c r="I557" t="s">
        <v>13</v>
      </c>
    </row>
    <row r="558" spans="1:9" hidden="1" x14ac:dyDescent="0.25">
      <c r="A558" t="s">
        <v>470</v>
      </c>
      <c r="B558" t="s">
        <v>114</v>
      </c>
      <c r="C558" s="2">
        <f>HYPERLINK("https://cao.dolgi.msk.ru/account/1083384226/", 1083384226)</f>
        <v>1083384226</v>
      </c>
      <c r="D558" t="s">
        <v>516</v>
      </c>
      <c r="E558">
        <v>-9350.43</v>
      </c>
      <c r="F558">
        <v>-1.1100000000000001</v>
      </c>
      <c r="G558" t="s">
        <v>12</v>
      </c>
      <c r="I558" t="s">
        <v>13</v>
      </c>
    </row>
    <row r="559" spans="1:9" hidden="1" x14ac:dyDescent="0.25">
      <c r="A559" t="s">
        <v>470</v>
      </c>
      <c r="B559" t="s">
        <v>116</v>
      </c>
      <c r="C559" s="2">
        <f>HYPERLINK("https://cao.dolgi.msk.ru/account/1080036111/", 1080036111)</f>
        <v>1080036111</v>
      </c>
      <c r="D559" t="s">
        <v>517</v>
      </c>
      <c r="E559">
        <v>-5238.55</v>
      </c>
      <c r="G559" t="s">
        <v>14</v>
      </c>
      <c r="I559" t="s">
        <v>13</v>
      </c>
    </row>
    <row r="560" spans="1:9" hidden="1" x14ac:dyDescent="0.25">
      <c r="A560" t="s">
        <v>470</v>
      </c>
      <c r="B560" t="s">
        <v>116</v>
      </c>
      <c r="C560" s="2">
        <f>HYPERLINK("https://cao.dolgi.msk.ru/account/1083384605/", 1083384605)</f>
        <v>1083384605</v>
      </c>
      <c r="D560" t="s">
        <v>517</v>
      </c>
      <c r="E560">
        <v>16300.01</v>
      </c>
      <c r="F560">
        <v>0.94</v>
      </c>
      <c r="G560" t="s">
        <v>12</v>
      </c>
      <c r="I560" t="s">
        <v>13</v>
      </c>
    </row>
    <row r="561" spans="1:9" hidden="1" x14ac:dyDescent="0.25">
      <c r="A561" t="s">
        <v>470</v>
      </c>
      <c r="B561" t="s">
        <v>118</v>
      </c>
      <c r="C561" s="2">
        <f>HYPERLINK("https://cao.dolgi.msk.ru/account/1080036138/", 1080036138)</f>
        <v>1080036138</v>
      </c>
      <c r="D561" t="s">
        <v>518</v>
      </c>
      <c r="E561">
        <v>31058.25</v>
      </c>
      <c r="G561" t="s">
        <v>14</v>
      </c>
      <c r="I561" t="s">
        <v>13</v>
      </c>
    </row>
    <row r="562" spans="1:9" x14ac:dyDescent="0.25">
      <c r="A562" t="s">
        <v>470</v>
      </c>
      <c r="B562" t="s">
        <v>118</v>
      </c>
      <c r="C562" s="2">
        <f>HYPERLINK("https://cao.dolgi.msk.ru/account/1083384349/", 1083384349)</f>
        <v>1083384349</v>
      </c>
      <c r="D562" t="s">
        <v>518</v>
      </c>
      <c r="E562">
        <v>16371.19</v>
      </c>
      <c r="F562">
        <v>1.85</v>
      </c>
      <c r="G562" t="s">
        <v>12</v>
      </c>
      <c r="I562" t="s">
        <v>13</v>
      </c>
    </row>
    <row r="563" spans="1:9" hidden="1" x14ac:dyDescent="0.25">
      <c r="A563" t="s">
        <v>470</v>
      </c>
      <c r="B563" t="s">
        <v>120</v>
      </c>
      <c r="C563" s="2">
        <f>HYPERLINK("https://cao.dolgi.msk.ru/account/1080036146/", 1080036146)</f>
        <v>1080036146</v>
      </c>
      <c r="D563" t="s">
        <v>519</v>
      </c>
      <c r="E563">
        <v>44.16</v>
      </c>
      <c r="G563" t="s">
        <v>14</v>
      </c>
      <c r="I563" t="s">
        <v>13</v>
      </c>
    </row>
    <row r="564" spans="1:9" hidden="1" x14ac:dyDescent="0.25">
      <c r="A564" t="s">
        <v>470</v>
      </c>
      <c r="B564" t="s">
        <v>120</v>
      </c>
      <c r="C564" s="2">
        <f>HYPERLINK("https://cao.dolgi.msk.ru/account/1083384816/", 1083384816)</f>
        <v>1083384816</v>
      </c>
      <c r="D564" t="s">
        <v>519</v>
      </c>
      <c r="E564">
        <v>-8283.7099999999991</v>
      </c>
      <c r="F564">
        <v>-1.18</v>
      </c>
      <c r="G564" t="s">
        <v>12</v>
      </c>
      <c r="I564" t="s">
        <v>13</v>
      </c>
    </row>
    <row r="565" spans="1:9" hidden="1" x14ac:dyDescent="0.25">
      <c r="A565" t="s">
        <v>470</v>
      </c>
      <c r="B565" t="s">
        <v>122</v>
      </c>
      <c r="C565" s="2">
        <f>HYPERLINK("https://cao.dolgi.msk.ru/account/1080036154/", 1080036154)</f>
        <v>1080036154</v>
      </c>
      <c r="D565" t="s">
        <v>520</v>
      </c>
      <c r="E565">
        <v>-5702.92</v>
      </c>
      <c r="G565" t="s">
        <v>14</v>
      </c>
      <c r="I565" t="s">
        <v>13</v>
      </c>
    </row>
    <row r="566" spans="1:9" hidden="1" x14ac:dyDescent="0.25">
      <c r="A566" t="s">
        <v>470</v>
      </c>
      <c r="B566" t="s">
        <v>122</v>
      </c>
      <c r="C566" s="2">
        <f>HYPERLINK("https://cao.dolgi.msk.ru/account/1083384314/", 1083384314)</f>
        <v>1083384314</v>
      </c>
      <c r="D566" t="s">
        <v>520</v>
      </c>
      <c r="E566">
        <v>770.72</v>
      </c>
      <c r="F566">
        <v>0.09</v>
      </c>
      <c r="G566" t="s">
        <v>12</v>
      </c>
      <c r="I566" t="s">
        <v>13</v>
      </c>
    </row>
    <row r="567" spans="1:9" hidden="1" x14ac:dyDescent="0.25">
      <c r="A567" t="s">
        <v>470</v>
      </c>
      <c r="B567" t="s">
        <v>124</v>
      </c>
      <c r="C567" s="2">
        <f>HYPERLINK("https://cao.dolgi.msk.ru/account/1080036162/", 1080036162)</f>
        <v>1080036162</v>
      </c>
      <c r="D567" t="s">
        <v>521</v>
      </c>
      <c r="E567">
        <v>-116.51</v>
      </c>
      <c r="G567" t="s">
        <v>14</v>
      </c>
      <c r="I567" t="s">
        <v>13</v>
      </c>
    </row>
    <row r="568" spans="1:9" hidden="1" x14ac:dyDescent="0.25">
      <c r="A568" t="s">
        <v>470</v>
      </c>
      <c r="B568" t="s">
        <v>124</v>
      </c>
      <c r="C568" s="2">
        <f>HYPERLINK("https://cao.dolgi.msk.ru/account/1083384568/", 1083384568)</f>
        <v>1083384568</v>
      </c>
      <c r="D568" t="s">
        <v>521</v>
      </c>
      <c r="E568">
        <v>-11202.61</v>
      </c>
      <c r="F568">
        <v>-0.72</v>
      </c>
      <c r="G568" t="s">
        <v>12</v>
      </c>
      <c r="I568" t="s">
        <v>13</v>
      </c>
    </row>
    <row r="569" spans="1:9" hidden="1" x14ac:dyDescent="0.25">
      <c r="A569" t="s">
        <v>470</v>
      </c>
      <c r="B569" t="s">
        <v>126</v>
      </c>
      <c r="C569" s="2">
        <f>HYPERLINK("https://cao.dolgi.msk.ru/account/1080036189/", 1080036189)</f>
        <v>1080036189</v>
      </c>
      <c r="D569" t="s">
        <v>522</v>
      </c>
      <c r="E569">
        <v>176.75</v>
      </c>
      <c r="F569">
        <v>0.32</v>
      </c>
      <c r="G569" t="s">
        <v>14</v>
      </c>
      <c r="I569" t="s">
        <v>13</v>
      </c>
    </row>
    <row r="570" spans="1:9" hidden="1" x14ac:dyDescent="0.25">
      <c r="A570" t="s">
        <v>470</v>
      </c>
      <c r="B570" t="s">
        <v>126</v>
      </c>
      <c r="C570" s="2">
        <f>HYPERLINK("https://cao.dolgi.msk.ru/account/1083384613/", 1083384613)</f>
        <v>1083384613</v>
      </c>
      <c r="D570" t="s">
        <v>522</v>
      </c>
      <c r="E570">
        <v>-8559.74</v>
      </c>
      <c r="F570">
        <v>-1.07</v>
      </c>
      <c r="G570" t="s">
        <v>12</v>
      </c>
      <c r="I570" t="s">
        <v>13</v>
      </c>
    </row>
    <row r="571" spans="1:9" hidden="1" x14ac:dyDescent="0.25">
      <c r="A571" t="s">
        <v>470</v>
      </c>
      <c r="B571" t="s">
        <v>128</v>
      </c>
      <c r="C571" s="2">
        <f>HYPERLINK("https://cao.dolgi.msk.ru/account/1080036197/", 1080036197)</f>
        <v>1080036197</v>
      </c>
      <c r="D571" t="s">
        <v>15</v>
      </c>
      <c r="E571">
        <v>121258.76</v>
      </c>
      <c r="G571" t="s">
        <v>14</v>
      </c>
      <c r="I571" t="s">
        <v>13</v>
      </c>
    </row>
    <row r="572" spans="1:9" hidden="1" x14ac:dyDescent="0.25">
      <c r="A572" t="s">
        <v>470</v>
      </c>
      <c r="B572" t="s">
        <v>128</v>
      </c>
      <c r="C572" s="2">
        <f>HYPERLINK("https://cao.dolgi.msk.ru/account/1083273913/", 1083273913)</f>
        <v>1083273913</v>
      </c>
      <c r="D572" t="s">
        <v>15</v>
      </c>
      <c r="E572">
        <v>13296.1</v>
      </c>
      <c r="G572" t="s">
        <v>14</v>
      </c>
      <c r="I572" t="s">
        <v>13</v>
      </c>
    </row>
    <row r="573" spans="1:9" hidden="1" x14ac:dyDescent="0.25">
      <c r="A573" t="s">
        <v>470</v>
      </c>
      <c r="B573" t="s">
        <v>128</v>
      </c>
      <c r="C573" s="2">
        <f>HYPERLINK("https://cao.dolgi.msk.ru/account/1083383274/", 1083383274)</f>
        <v>1083383274</v>
      </c>
      <c r="D573" t="s">
        <v>15</v>
      </c>
      <c r="E573">
        <v>-1373.87</v>
      </c>
      <c r="G573" t="s">
        <v>14</v>
      </c>
      <c r="I573" t="s">
        <v>13</v>
      </c>
    </row>
    <row r="574" spans="1:9" hidden="1" x14ac:dyDescent="0.25">
      <c r="A574" t="s">
        <v>470</v>
      </c>
      <c r="B574" t="s">
        <v>128</v>
      </c>
      <c r="C574" s="2">
        <f>HYPERLINK("https://cao.dolgi.msk.ru/account/1083384365/", 1083384365)</f>
        <v>1083384365</v>
      </c>
      <c r="D574" t="s">
        <v>15</v>
      </c>
      <c r="E574">
        <v>-9729.01</v>
      </c>
      <c r="F574">
        <v>-1.04</v>
      </c>
      <c r="G574" t="s">
        <v>12</v>
      </c>
      <c r="I574" t="s">
        <v>13</v>
      </c>
    </row>
    <row r="575" spans="1:9" hidden="1" x14ac:dyDescent="0.25">
      <c r="A575" t="s">
        <v>470</v>
      </c>
      <c r="B575" t="s">
        <v>130</v>
      </c>
      <c r="C575" s="2">
        <f>HYPERLINK("https://cao.dolgi.msk.ru/account/1080036218/", 1080036218)</f>
        <v>1080036218</v>
      </c>
      <c r="D575" t="s">
        <v>523</v>
      </c>
      <c r="E575">
        <v>5.81</v>
      </c>
      <c r="G575" t="s">
        <v>14</v>
      </c>
      <c r="I575" t="s">
        <v>13</v>
      </c>
    </row>
    <row r="576" spans="1:9" hidden="1" x14ac:dyDescent="0.25">
      <c r="A576" t="s">
        <v>470</v>
      </c>
      <c r="B576" t="s">
        <v>130</v>
      </c>
      <c r="C576" s="2">
        <f>HYPERLINK("https://cao.dolgi.msk.ru/account/1083384234/", 1083384234)</f>
        <v>1083384234</v>
      </c>
      <c r="D576" t="s">
        <v>523</v>
      </c>
      <c r="E576">
        <v>-8408.4500000000007</v>
      </c>
      <c r="F576">
        <v>-1.08</v>
      </c>
      <c r="G576" t="s">
        <v>12</v>
      </c>
      <c r="I576" t="s">
        <v>13</v>
      </c>
    </row>
    <row r="577" spans="1:9" hidden="1" x14ac:dyDescent="0.25">
      <c r="A577" t="s">
        <v>470</v>
      </c>
      <c r="B577" t="s">
        <v>132</v>
      </c>
      <c r="C577" s="2">
        <f>HYPERLINK("https://cao.dolgi.msk.ru/account/1080036226/", 1080036226)</f>
        <v>1080036226</v>
      </c>
      <c r="D577" t="s">
        <v>524</v>
      </c>
      <c r="E577">
        <v>-399.08</v>
      </c>
      <c r="G577" t="s">
        <v>14</v>
      </c>
      <c r="I577" t="s">
        <v>13</v>
      </c>
    </row>
    <row r="578" spans="1:9" hidden="1" x14ac:dyDescent="0.25">
      <c r="A578" t="s">
        <v>470</v>
      </c>
      <c r="B578" t="s">
        <v>132</v>
      </c>
      <c r="C578" s="2">
        <f>HYPERLINK("https://cao.dolgi.msk.ru/account/1083384429/", 1083384429)</f>
        <v>1083384429</v>
      </c>
      <c r="D578" t="s">
        <v>524</v>
      </c>
      <c r="E578">
        <v>-11256.95</v>
      </c>
      <c r="F578">
        <v>-1.08</v>
      </c>
      <c r="G578" t="s">
        <v>12</v>
      </c>
      <c r="I578" t="s">
        <v>13</v>
      </c>
    </row>
    <row r="579" spans="1:9" hidden="1" x14ac:dyDescent="0.25">
      <c r="A579" t="s">
        <v>470</v>
      </c>
      <c r="B579" t="s">
        <v>133</v>
      </c>
      <c r="C579" s="2">
        <f>HYPERLINK("https://cao.dolgi.msk.ru/account/1080036234/", 1080036234)</f>
        <v>1080036234</v>
      </c>
      <c r="D579" t="s">
        <v>525</v>
      </c>
      <c r="E579">
        <v>1389.39</v>
      </c>
      <c r="F579">
        <v>1.0900000000000001</v>
      </c>
      <c r="G579" t="s">
        <v>14</v>
      </c>
      <c r="I579" t="s">
        <v>13</v>
      </c>
    </row>
    <row r="580" spans="1:9" hidden="1" x14ac:dyDescent="0.25">
      <c r="A580" t="s">
        <v>470</v>
      </c>
      <c r="B580" t="s">
        <v>133</v>
      </c>
      <c r="C580" s="2">
        <f>HYPERLINK("https://cao.dolgi.msk.ru/account/1083384357/", 1083384357)</f>
        <v>1083384357</v>
      </c>
      <c r="D580" t="s">
        <v>525</v>
      </c>
      <c r="E580">
        <v>-11854.58</v>
      </c>
      <c r="F580">
        <v>-1.36</v>
      </c>
      <c r="G580" t="s">
        <v>12</v>
      </c>
      <c r="I580" t="s">
        <v>13</v>
      </c>
    </row>
    <row r="581" spans="1:9" hidden="1" x14ac:dyDescent="0.25">
      <c r="A581" t="s">
        <v>470</v>
      </c>
      <c r="B581" t="s">
        <v>135</v>
      </c>
      <c r="C581" s="2">
        <f>HYPERLINK("https://cao.dolgi.msk.ru/account/1080036242/", 1080036242)</f>
        <v>1080036242</v>
      </c>
      <c r="D581" t="s">
        <v>526</v>
      </c>
      <c r="E581">
        <v>155.91999999999999</v>
      </c>
      <c r="G581" t="s">
        <v>14</v>
      </c>
      <c r="I581" t="s">
        <v>13</v>
      </c>
    </row>
    <row r="582" spans="1:9" hidden="1" x14ac:dyDescent="0.25">
      <c r="A582" t="s">
        <v>470</v>
      </c>
      <c r="B582" t="s">
        <v>135</v>
      </c>
      <c r="C582" s="2">
        <f>HYPERLINK("https://cao.dolgi.msk.ru/account/1083384437/", 1083384437)</f>
        <v>1083384437</v>
      </c>
      <c r="D582" t="s">
        <v>526</v>
      </c>
      <c r="E582">
        <v>-6804.41</v>
      </c>
      <c r="F582">
        <v>-1.1000000000000001</v>
      </c>
      <c r="G582" t="s">
        <v>12</v>
      </c>
      <c r="I582" t="s">
        <v>13</v>
      </c>
    </row>
    <row r="583" spans="1:9" hidden="1" x14ac:dyDescent="0.25">
      <c r="A583" t="s">
        <v>527</v>
      </c>
      <c r="B583" t="s">
        <v>528</v>
      </c>
      <c r="C583" s="2">
        <f>HYPERLINK("https://cao.dolgi.msk.ru/account/1080006545/", 1080006545)</f>
        <v>1080006545</v>
      </c>
      <c r="D583" t="s">
        <v>529</v>
      </c>
      <c r="E583">
        <v>-11996.38</v>
      </c>
      <c r="F583">
        <v>-1.1399999999999999</v>
      </c>
      <c r="G583" t="s">
        <v>12</v>
      </c>
      <c r="I583" t="s">
        <v>13</v>
      </c>
    </row>
    <row r="584" spans="1:9" hidden="1" x14ac:dyDescent="0.25">
      <c r="A584" t="s">
        <v>527</v>
      </c>
      <c r="B584" t="s">
        <v>530</v>
      </c>
      <c r="C584" s="2">
        <f>HYPERLINK("https://cao.dolgi.msk.ru/account/1080006588/", 1080006588)</f>
        <v>1080006588</v>
      </c>
      <c r="D584" t="s">
        <v>531</v>
      </c>
      <c r="E584">
        <v>-7065.17</v>
      </c>
      <c r="F584">
        <v>-1.21</v>
      </c>
      <c r="G584" t="s">
        <v>12</v>
      </c>
      <c r="I584" t="s">
        <v>13</v>
      </c>
    </row>
    <row r="585" spans="1:9" hidden="1" x14ac:dyDescent="0.25">
      <c r="A585" t="s">
        <v>527</v>
      </c>
      <c r="B585" t="s">
        <v>532</v>
      </c>
      <c r="C585" s="2">
        <f>HYPERLINK("https://cao.dolgi.msk.ru/account/1080006553/", 1080006553)</f>
        <v>1080006553</v>
      </c>
      <c r="D585" t="s">
        <v>533</v>
      </c>
      <c r="E585">
        <v>-77.88</v>
      </c>
      <c r="F585">
        <v>-0.01</v>
      </c>
      <c r="G585" t="s">
        <v>12</v>
      </c>
      <c r="I585" t="s">
        <v>13</v>
      </c>
    </row>
    <row r="586" spans="1:9" hidden="1" x14ac:dyDescent="0.25">
      <c r="A586" t="s">
        <v>527</v>
      </c>
      <c r="B586" t="s">
        <v>534</v>
      </c>
      <c r="C586" s="2">
        <f>HYPERLINK("https://cao.dolgi.msk.ru/account/1080006617/", 1080006617)</f>
        <v>1080006617</v>
      </c>
      <c r="D586" t="s">
        <v>535</v>
      </c>
      <c r="E586">
        <v>-3389.67</v>
      </c>
      <c r="F586">
        <v>-1.24</v>
      </c>
      <c r="G586" t="s">
        <v>12</v>
      </c>
      <c r="H586" t="s">
        <v>7</v>
      </c>
      <c r="I586" t="s">
        <v>13</v>
      </c>
    </row>
    <row r="587" spans="1:9" hidden="1" x14ac:dyDescent="0.25">
      <c r="A587" t="s">
        <v>527</v>
      </c>
      <c r="B587" t="s">
        <v>534</v>
      </c>
      <c r="C587" s="2">
        <f>HYPERLINK("https://cao.dolgi.msk.ru/account/1080006641/", 1080006641)</f>
        <v>1080006641</v>
      </c>
      <c r="D587" t="s">
        <v>535</v>
      </c>
      <c r="E587">
        <v>-2458.38</v>
      </c>
      <c r="F587">
        <v>-1.29</v>
      </c>
      <c r="G587" t="s">
        <v>12</v>
      </c>
      <c r="H587" t="s">
        <v>7</v>
      </c>
      <c r="I587" t="s">
        <v>13</v>
      </c>
    </row>
    <row r="588" spans="1:9" hidden="1" x14ac:dyDescent="0.25">
      <c r="A588" t="s">
        <v>527</v>
      </c>
      <c r="B588" t="s">
        <v>534</v>
      </c>
      <c r="C588" s="2">
        <f>HYPERLINK("https://cao.dolgi.msk.ru/account/1080006705/", 1080006705)</f>
        <v>1080006705</v>
      </c>
      <c r="D588" t="s">
        <v>535</v>
      </c>
      <c r="E588">
        <v>89.19</v>
      </c>
      <c r="F588">
        <v>0.05</v>
      </c>
      <c r="G588" t="s">
        <v>12</v>
      </c>
      <c r="H588" t="s">
        <v>7</v>
      </c>
      <c r="I588" t="s">
        <v>13</v>
      </c>
    </row>
    <row r="589" spans="1:9" hidden="1" x14ac:dyDescent="0.25">
      <c r="A589" t="s">
        <v>527</v>
      </c>
      <c r="B589" t="s">
        <v>536</v>
      </c>
      <c r="C589" s="2">
        <f>HYPERLINK("https://cao.dolgi.msk.ru/account/1080006633/", 1080006633)</f>
        <v>1080006633</v>
      </c>
      <c r="D589" t="s">
        <v>537</v>
      </c>
      <c r="E589">
        <v>-817.98</v>
      </c>
      <c r="F589">
        <v>-0.15</v>
      </c>
      <c r="G589" t="s">
        <v>12</v>
      </c>
      <c r="I589" t="s">
        <v>13</v>
      </c>
    </row>
    <row r="590" spans="1:9" hidden="1" x14ac:dyDescent="0.25">
      <c r="A590" t="s">
        <v>527</v>
      </c>
      <c r="B590" t="s">
        <v>538</v>
      </c>
      <c r="C590" s="2">
        <f>HYPERLINK("https://cao.dolgi.msk.ru/account/1080006596/", 1080006596)</f>
        <v>1080006596</v>
      </c>
      <c r="D590" t="s">
        <v>15</v>
      </c>
      <c r="E590">
        <v>0</v>
      </c>
      <c r="G590" t="s">
        <v>14</v>
      </c>
      <c r="I590" t="s">
        <v>13</v>
      </c>
    </row>
    <row r="591" spans="1:9" hidden="1" x14ac:dyDescent="0.25">
      <c r="A591" t="s">
        <v>527</v>
      </c>
      <c r="B591" t="s">
        <v>539</v>
      </c>
      <c r="C591" s="2">
        <f>HYPERLINK("https://cao.dolgi.msk.ru/account/1080006668/", 1080006668)</f>
        <v>1080006668</v>
      </c>
      <c r="D591" t="s">
        <v>540</v>
      </c>
      <c r="E591">
        <v>-9639.5300000000007</v>
      </c>
      <c r="F591">
        <v>-1.1299999999999999</v>
      </c>
      <c r="G591" t="s">
        <v>12</v>
      </c>
      <c r="I591" t="s">
        <v>13</v>
      </c>
    </row>
    <row r="592" spans="1:9" hidden="1" x14ac:dyDescent="0.25">
      <c r="A592" t="s">
        <v>527</v>
      </c>
      <c r="B592" t="s">
        <v>541</v>
      </c>
      <c r="C592" s="2">
        <f>HYPERLINK("https://cao.dolgi.msk.ru/account/1080006676/", 1080006676)</f>
        <v>1080006676</v>
      </c>
      <c r="D592" t="s">
        <v>542</v>
      </c>
      <c r="E592">
        <v>-7244.01</v>
      </c>
      <c r="F592">
        <v>-1</v>
      </c>
      <c r="G592" t="s">
        <v>12</v>
      </c>
      <c r="I592" t="s">
        <v>13</v>
      </c>
    </row>
    <row r="593" spans="1:9" hidden="1" x14ac:dyDescent="0.25">
      <c r="A593" t="s">
        <v>527</v>
      </c>
      <c r="B593" t="s">
        <v>543</v>
      </c>
      <c r="C593" s="2">
        <f>HYPERLINK("https://cao.dolgi.msk.ru/account/1080006684/", 1080006684)</f>
        <v>1080006684</v>
      </c>
      <c r="D593" t="s">
        <v>544</v>
      </c>
      <c r="E593">
        <v>-319.83</v>
      </c>
      <c r="F593">
        <v>-0.16</v>
      </c>
      <c r="G593" t="s">
        <v>12</v>
      </c>
      <c r="H593" t="s">
        <v>7</v>
      </c>
      <c r="I593" t="s">
        <v>13</v>
      </c>
    </row>
    <row r="594" spans="1:9" hidden="1" x14ac:dyDescent="0.25">
      <c r="A594" t="s">
        <v>527</v>
      </c>
      <c r="B594" t="s">
        <v>543</v>
      </c>
      <c r="C594" s="2">
        <f>HYPERLINK("https://cao.dolgi.msk.ru/account/1080006692/", 1080006692)</f>
        <v>1080006692</v>
      </c>
      <c r="D594" t="s">
        <v>62</v>
      </c>
      <c r="E594">
        <v>-35710</v>
      </c>
      <c r="G594" t="s">
        <v>12</v>
      </c>
      <c r="H594" t="s">
        <v>7</v>
      </c>
      <c r="I594" t="s">
        <v>13</v>
      </c>
    </row>
    <row r="595" spans="1:9" hidden="1" x14ac:dyDescent="0.25">
      <c r="A595" t="s">
        <v>527</v>
      </c>
      <c r="B595" t="s">
        <v>545</v>
      </c>
      <c r="C595" s="2">
        <f>HYPERLINK("https://cao.dolgi.msk.ru/account/1080006713/", 1080006713)</f>
        <v>1080006713</v>
      </c>
      <c r="D595" t="s">
        <v>15</v>
      </c>
      <c r="E595">
        <v>-8270.4</v>
      </c>
      <c r="F595">
        <v>-1.39</v>
      </c>
      <c r="G595" t="s">
        <v>12</v>
      </c>
      <c r="I595" t="s">
        <v>13</v>
      </c>
    </row>
    <row r="596" spans="1:9" hidden="1" x14ac:dyDescent="0.25">
      <c r="A596" t="s">
        <v>527</v>
      </c>
      <c r="B596" t="s">
        <v>546</v>
      </c>
      <c r="C596" s="2">
        <f>HYPERLINK("https://cao.dolgi.msk.ru/account/1080006721/", 1080006721)</f>
        <v>1080006721</v>
      </c>
      <c r="D596" t="s">
        <v>547</v>
      </c>
      <c r="E596">
        <v>-192.81</v>
      </c>
      <c r="F596">
        <v>-0.03</v>
      </c>
      <c r="G596" t="s">
        <v>12</v>
      </c>
      <c r="I596" t="s">
        <v>13</v>
      </c>
    </row>
    <row r="597" spans="1:9" hidden="1" x14ac:dyDescent="0.25">
      <c r="A597" t="s">
        <v>527</v>
      </c>
      <c r="B597" t="s">
        <v>548</v>
      </c>
      <c r="C597" s="2">
        <f>HYPERLINK("https://cao.dolgi.msk.ru/account/1080006748/", 1080006748)</f>
        <v>1080006748</v>
      </c>
      <c r="D597" t="s">
        <v>549</v>
      </c>
      <c r="E597">
        <v>-169.54</v>
      </c>
      <c r="F597">
        <v>-0.15</v>
      </c>
      <c r="G597" t="s">
        <v>12</v>
      </c>
      <c r="H597" t="s">
        <v>7</v>
      </c>
      <c r="I597" t="s">
        <v>13</v>
      </c>
    </row>
    <row r="598" spans="1:9" x14ac:dyDescent="0.25">
      <c r="A598" t="s">
        <v>527</v>
      </c>
      <c r="B598" t="s">
        <v>548</v>
      </c>
      <c r="C598" s="2">
        <f>HYPERLINK("https://cao.dolgi.msk.ru/account/1080006756/", 1080006756)</f>
        <v>1080006756</v>
      </c>
      <c r="D598" t="s">
        <v>550</v>
      </c>
      <c r="E598">
        <v>19580.78</v>
      </c>
      <c r="F598">
        <v>1.58</v>
      </c>
      <c r="G598" t="s">
        <v>12</v>
      </c>
      <c r="H598" t="s">
        <v>7</v>
      </c>
      <c r="I598" t="s">
        <v>13</v>
      </c>
    </row>
    <row r="599" spans="1:9" hidden="1" x14ac:dyDescent="0.25">
      <c r="A599" t="s">
        <v>527</v>
      </c>
      <c r="B599" t="s">
        <v>551</v>
      </c>
      <c r="C599" s="2">
        <f>HYPERLINK("https://cao.dolgi.msk.ru/account/1080006772/", 1080006772)</f>
        <v>1080006772</v>
      </c>
      <c r="D599" t="s">
        <v>552</v>
      </c>
      <c r="E599">
        <v>-266.95</v>
      </c>
      <c r="F599">
        <v>-0.05</v>
      </c>
      <c r="G599" t="s">
        <v>12</v>
      </c>
      <c r="I599" t="s">
        <v>13</v>
      </c>
    </row>
    <row r="600" spans="1:9" hidden="1" x14ac:dyDescent="0.25">
      <c r="A600" t="s">
        <v>527</v>
      </c>
      <c r="B600" t="s">
        <v>553</v>
      </c>
      <c r="C600" s="2">
        <f>HYPERLINK("https://cao.dolgi.msk.ru/account/1080006799/", 1080006799)</f>
        <v>1080006799</v>
      </c>
      <c r="D600" t="s">
        <v>554</v>
      </c>
      <c r="E600">
        <v>-446.81</v>
      </c>
      <c r="F600">
        <v>-0.13</v>
      </c>
      <c r="G600" t="s">
        <v>12</v>
      </c>
      <c r="H600" t="s">
        <v>7</v>
      </c>
      <c r="I600" t="s">
        <v>13</v>
      </c>
    </row>
    <row r="601" spans="1:9" hidden="1" x14ac:dyDescent="0.25">
      <c r="A601" t="s">
        <v>527</v>
      </c>
      <c r="B601" t="s">
        <v>553</v>
      </c>
      <c r="C601" s="2">
        <f>HYPERLINK("https://cao.dolgi.msk.ru/account/1080006801/", 1080006801)</f>
        <v>1080006801</v>
      </c>
      <c r="D601" t="s">
        <v>554</v>
      </c>
      <c r="E601">
        <v>-2427.56</v>
      </c>
      <c r="F601">
        <v>-1.1000000000000001</v>
      </c>
      <c r="G601" t="s">
        <v>12</v>
      </c>
      <c r="H601" t="s">
        <v>7</v>
      </c>
      <c r="I601" t="s">
        <v>13</v>
      </c>
    </row>
    <row r="602" spans="1:9" hidden="1" x14ac:dyDescent="0.25">
      <c r="A602" t="s">
        <v>527</v>
      </c>
      <c r="B602" t="s">
        <v>553</v>
      </c>
      <c r="C602" s="2">
        <f>HYPERLINK("https://cao.dolgi.msk.ru/account/1080006828/", 1080006828)</f>
        <v>1080006828</v>
      </c>
      <c r="D602" t="s">
        <v>554</v>
      </c>
      <c r="E602">
        <v>-5346.92</v>
      </c>
      <c r="F602">
        <v>-1.06</v>
      </c>
      <c r="G602" t="s">
        <v>12</v>
      </c>
      <c r="H602" t="s">
        <v>7</v>
      </c>
      <c r="I602" t="s">
        <v>13</v>
      </c>
    </row>
    <row r="603" spans="1:9" hidden="1" x14ac:dyDescent="0.25">
      <c r="A603" t="s">
        <v>527</v>
      </c>
      <c r="B603" t="s">
        <v>555</v>
      </c>
      <c r="C603" s="2">
        <f>HYPERLINK("https://cao.dolgi.msk.ru/account/1080006879/", 1080006879)</f>
        <v>1080006879</v>
      </c>
      <c r="D603" t="s">
        <v>556</v>
      </c>
      <c r="E603">
        <v>-8887.58</v>
      </c>
      <c r="F603">
        <v>-3.9</v>
      </c>
      <c r="G603" t="s">
        <v>12</v>
      </c>
      <c r="H603" t="s">
        <v>7</v>
      </c>
      <c r="I603" t="s">
        <v>13</v>
      </c>
    </row>
    <row r="604" spans="1:9" hidden="1" x14ac:dyDescent="0.25">
      <c r="A604" t="s">
        <v>527</v>
      </c>
      <c r="B604" t="s">
        <v>557</v>
      </c>
      <c r="C604" s="2">
        <f>HYPERLINK("https://cao.dolgi.msk.ru/account/1080006836/", 1080006836)</f>
        <v>1080006836</v>
      </c>
      <c r="D604" t="s">
        <v>15</v>
      </c>
      <c r="E604">
        <v>-22535.41</v>
      </c>
      <c r="F604">
        <v>-1.03</v>
      </c>
      <c r="G604" t="s">
        <v>12</v>
      </c>
      <c r="I604" t="s">
        <v>13</v>
      </c>
    </row>
    <row r="605" spans="1:9" hidden="1" x14ac:dyDescent="0.25">
      <c r="A605" t="s">
        <v>527</v>
      </c>
      <c r="B605" t="s">
        <v>558</v>
      </c>
      <c r="C605" s="2">
        <f>HYPERLINK("https://cao.dolgi.msk.ru/account/1080006895/", 1080006895)</f>
        <v>1080006895</v>
      </c>
      <c r="D605" t="s">
        <v>559</v>
      </c>
      <c r="E605">
        <v>-7746.15</v>
      </c>
      <c r="F605">
        <v>-1.1599999999999999</v>
      </c>
      <c r="G605" t="s">
        <v>12</v>
      </c>
      <c r="I605" t="s">
        <v>13</v>
      </c>
    </row>
    <row r="606" spans="1:9" hidden="1" x14ac:dyDescent="0.25">
      <c r="A606" t="s">
        <v>560</v>
      </c>
      <c r="B606" t="s">
        <v>157</v>
      </c>
      <c r="C606" s="2">
        <f>HYPERLINK("https://cao.dolgi.msk.ru/account/1080007695/", 1080007695)</f>
        <v>1080007695</v>
      </c>
      <c r="D606" t="s">
        <v>561</v>
      </c>
      <c r="E606">
        <v>-99.12</v>
      </c>
      <c r="F606">
        <v>-0.02</v>
      </c>
      <c r="G606" t="s">
        <v>12</v>
      </c>
      <c r="I606" t="s">
        <v>13</v>
      </c>
    </row>
    <row r="607" spans="1:9" hidden="1" x14ac:dyDescent="0.25">
      <c r="A607" t="s">
        <v>560</v>
      </c>
      <c r="B607" t="s">
        <v>159</v>
      </c>
      <c r="C607" s="2">
        <f>HYPERLINK("https://cao.dolgi.msk.ru/account/1080006318/", 1080006318)</f>
        <v>1080006318</v>
      </c>
      <c r="D607" t="s">
        <v>15</v>
      </c>
      <c r="E607">
        <v>-6693.46</v>
      </c>
      <c r="F607">
        <v>-2.3199999999999998</v>
      </c>
      <c r="G607" t="s">
        <v>12</v>
      </c>
      <c r="I607" t="s">
        <v>13</v>
      </c>
    </row>
    <row r="608" spans="1:9" x14ac:dyDescent="0.25">
      <c r="A608" t="s">
        <v>560</v>
      </c>
      <c r="B608" t="s">
        <v>562</v>
      </c>
      <c r="C608" s="2">
        <f>HYPERLINK("https://cao.dolgi.msk.ru/account/1080007708/", 1080007708)</f>
        <v>1080007708</v>
      </c>
      <c r="D608" t="s">
        <v>15</v>
      </c>
      <c r="E608">
        <v>97821.43</v>
      </c>
      <c r="F608">
        <v>26.59</v>
      </c>
      <c r="G608" t="s">
        <v>12</v>
      </c>
      <c r="I608" t="s">
        <v>13</v>
      </c>
    </row>
    <row r="609" spans="1:9" hidden="1" x14ac:dyDescent="0.25">
      <c r="A609" t="s">
        <v>560</v>
      </c>
      <c r="B609" t="s">
        <v>563</v>
      </c>
      <c r="C609" s="2">
        <f>HYPERLINK("https://cao.dolgi.msk.ru/account/1080007716/", 1080007716)</f>
        <v>1080007716</v>
      </c>
      <c r="D609" t="s">
        <v>564</v>
      </c>
      <c r="E609">
        <v>-1390.48</v>
      </c>
      <c r="F609">
        <v>-1.74</v>
      </c>
      <c r="G609" t="s">
        <v>12</v>
      </c>
      <c r="I609" t="s">
        <v>13</v>
      </c>
    </row>
    <row r="610" spans="1:9" hidden="1" x14ac:dyDescent="0.25">
      <c r="A610" t="s">
        <v>560</v>
      </c>
      <c r="B610" t="s">
        <v>161</v>
      </c>
      <c r="C610" s="2">
        <f>HYPERLINK("https://cao.dolgi.msk.ru/account/1080007724/", 1080007724)</f>
        <v>1080007724</v>
      </c>
      <c r="D610" t="s">
        <v>565</v>
      </c>
      <c r="E610">
        <v>-6108.44</v>
      </c>
      <c r="F610">
        <v>-1</v>
      </c>
      <c r="G610" t="s">
        <v>12</v>
      </c>
      <c r="I610" t="s">
        <v>13</v>
      </c>
    </row>
    <row r="611" spans="1:9" hidden="1" x14ac:dyDescent="0.25">
      <c r="A611" t="s">
        <v>560</v>
      </c>
      <c r="B611" t="s">
        <v>566</v>
      </c>
      <c r="C611" s="2">
        <f>HYPERLINK("https://cao.dolgi.msk.ru/account/1080007839/", 1080007839)</f>
        <v>1080007839</v>
      </c>
      <c r="D611" t="s">
        <v>62</v>
      </c>
      <c r="E611">
        <v>-987.91</v>
      </c>
      <c r="F611">
        <v>-0.35</v>
      </c>
      <c r="G611" t="s">
        <v>12</v>
      </c>
      <c r="I611" t="s">
        <v>13</v>
      </c>
    </row>
    <row r="612" spans="1:9" hidden="1" x14ac:dyDescent="0.25">
      <c r="A612" t="s">
        <v>560</v>
      </c>
      <c r="B612" t="s">
        <v>567</v>
      </c>
      <c r="C612" s="2">
        <f>HYPERLINK("https://cao.dolgi.msk.ru/account/1080007812/", 1080007812)</f>
        <v>1080007812</v>
      </c>
      <c r="D612" t="s">
        <v>568</v>
      </c>
      <c r="E612">
        <v>107.81</v>
      </c>
      <c r="F612">
        <v>0.02</v>
      </c>
      <c r="G612" t="s">
        <v>12</v>
      </c>
      <c r="I612" t="s">
        <v>13</v>
      </c>
    </row>
    <row r="613" spans="1:9" hidden="1" x14ac:dyDescent="0.25">
      <c r="A613" t="s">
        <v>560</v>
      </c>
      <c r="B613" t="s">
        <v>569</v>
      </c>
      <c r="C613" s="2">
        <f>HYPERLINK("https://cao.dolgi.msk.ru/account/1080007804/", 1080007804)</f>
        <v>1080007804</v>
      </c>
      <c r="D613" t="s">
        <v>570</v>
      </c>
      <c r="E613">
        <v>1476.99</v>
      </c>
      <c r="F613">
        <v>0.56000000000000005</v>
      </c>
      <c r="G613" t="s">
        <v>12</v>
      </c>
      <c r="I613" t="s">
        <v>13</v>
      </c>
    </row>
    <row r="614" spans="1:9" hidden="1" x14ac:dyDescent="0.25">
      <c r="A614" t="s">
        <v>560</v>
      </c>
      <c r="B614" t="s">
        <v>571</v>
      </c>
      <c r="C614" s="2">
        <f>HYPERLINK("https://cao.dolgi.msk.ru/account/1080006262/", 1080006262)</f>
        <v>1080006262</v>
      </c>
      <c r="D614" t="s">
        <v>572</v>
      </c>
      <c r="E614">
        <v>-232.24</v>
      </c>
      <c r="F614">
        <v>-0.03</v>
      </c>
      <c r="G614" t="s">
        <v>12</v>
      </c>
      <c r="I614" t="s">
        <v>13</v>
      </c>
    </row>
    <row r="615" spans="1:9" hidden="1" x14ac:dyDescent="0.25">
      <c r="A615" t="s">
        <v>560</v>
      </c>
      <c r="B615" t="s">
        <v>573</v>
      </c>
      <c r="C615" s="2">
        <f>HYPERLINK("https://cao.dolgi.msk.ru/account/1080007791/", 1080007791)</f>
        <v>1080007791</v>
      </c>
      <c r="D615" t="s">
        <v>574</v>
      </c>
      <c r="E615">
        <v>-7278.18</v>
      </c>
      <c r="F615">
        <v>-1</v>
      </c>
      <c r="G615" t="s">
        <v>12</v>
      </c>
      <c r="I615" t="s">
        <v>13</v>
      </c>
    </row>
    <row r="616" spans="1:9" hidden="1" x14ac:dyDescent="0.25">
      <c r="A616" t="s">
        <v>560</v>
      </c>
      <c r="B616" t="s">
        <v>575</v>
      </c>
      <c r="C616" s="2">
        <f>HYPERLINK("https://cao.dolgi.msk.ru/account/1080007783/", 1080007783)</f>
        <v>1080007783</v>
      </c>
      <c r="D616" t="s">
        <v>576</v>
      </c>
      <c r="E616">
        <v>-3798.85</v>
      </c>
      <c r="F616">
        <v>-0.99</v>
      </c>
      <c r="G616" t="s">
        <v>12</v>
      </c>
      <c r="I616" t="s">
        <v>13</v>
      </c>
    </row>
    <row r="617" spans="1:9" hidden="1" x14ac:dyDescent="0.25">
      <c r="A617" t="s">
        <v>560</v>
      </c>
      <c r="B617" t="s">
        <v>577</v>
      </c>
      <c r="C617" s="2">
        <f>HYPERLINK("https://cao.dolgi.msk.ru/account/1080007775/", 1080007775)</f>
        <v>1080007775</v>
      </c>
      <c r="D617" t="s">
        <v>15</v>
      </c>
      <c r="E617">
        <v>-1969.48</v>
      </c>
      <c r="F617">
        <v>-0.97</v>
      </c>
      <c r="G617" t="s">
        <v>12</v>
      </c>
      <c r="I617" t="s">
        <v>13</v>
      </c>
    </row>
    <row r="618" spans="1:9" hidden="1" x14ac:dyDescent="0.25">
      <c r="A618" t="s">
        <v>560</v>
      </c>
      <c r="B618" t="s">
        <v>578</v>
      </c>
      <c r="C618" s="2">
        <f>HYPERLINK("https://cao.dolgi.msk.ru/account/1080007732/", 1080007732)</f>
        <v>1080007732</v>
      </c>
      <c r="D618" t="s">
        <v>579</v>
      </c>
      <c r="E618">
        <v>-1542.68</v>
      </c>
      <c r="F618">
        <v>-1.03</v>
      </c>
      <c r="G618" t="s">
        <v>12</v>
      </c>
      <c r="H618" t="s">
        <v>7</v>
      </c>
      <c r="I618" t="s">
        <v>13</v>
      </c>
    </row>
    <row r="619" spans="1:9" x14ac:dyDescent="0.25">
      <c r="A619" t="s">
        <v>560</v>
      </c>
      <c r="B619" t="s">
        <v>578</v>
      </c>
      <c r="C619" s="2">
        <f>HYPERLINK("https://cao.dolgi.msk.ru/account/1080007759/", 1080007759)</f>
        <v>1080007759</v>
      </c>
      <c r="D619" t="s">
        <v>579</v>
      </c>
      <c r="E619">
        <v>39978.69</v>
      </c>
      <c r="F619">
        <v>25.9</v>
      </c>
      <c r="G619" t="s">
        <v>12</v>
      </c>
      <c r="H619" t="s">
        <v>7</v>
      </c>
      <c r="I619" t="s">
        <v>13</v>
      </c>
    </row>
    <row r="620" spans="1:9" hidden="1" x14ac:dyDescent="0.25">
      <c r="A620" t="s">
        <v>560</v>
      </c>
      <c r="B620" t="s">
        <v>578</v>
      </c>
      <c r="C620" s="2">
        <f>HYPERLINK("https://cao.dolgi.msk.ru/account/1080007767/", 1080007767)</f>
        <v>1080007767</v>
      </c>
      <c r="D620" t="s">
        <v>579</v>
      </c>
      <c r="E620">
        <v>-4239.34</v>
      </c>
      <c r="F620">
        <v>-1.63</v>
      </c>
      <c r="G620" t="s">
        <v>12</v>
      </c>
      <c r="H620" t="s">
        <v>7</v>
      </c>
      <c r="I620" t="s">
        <v>13</v>
      </c>
    </row>
    <row r="621" spans="1:9" x14ac:dyDescent="0.25">
      <c r="A621" t="s">
        <v>560</v>
      </c>
      <c r="B621" t="s">
        <v>578</v>
      </c>
      <c r="C621" s="2">
        <f>HYPERLINK("https://cao.dolgi.msk.ru/account/1083383303/", 1083383303)</f>
        <v>1083383303</v>
      </c>
      <c r="D621" t="s">
        <v>15</v>
      </c>
      <c r="E621">
        <v>478.5</v>
      </c>
      <c r="F621">
        <v>1.08</v>
      </c>
      <c r="G621" t="s">
        <v>12</v>
      </c>
      <c r="H621" t="s">
        <v>7</v>
      </c>
      <c r="I621" t="s">
        <v>13</v>
      </c>
    </row>
    <row r="622" spans="1:9" hidden="1" x14ac:dyDescent="0.25">
      <c r="A622" t="s">
        <v>560</v>
      </c>
      <c r="B622" t="s">
        <v>580</v>
      </c>
      <c r="C622" s="2">
        <f>HYPERLINK("https://cao.dolgi.msk.ru/account/1080006422/", 1080006422)</f>
        <v>1080006422</v>
      </c>
      <c r="D622" t="s">
        <v>581</v>
      </c>
      <c r="E622">
        <v>-2671.8</v>
      </c>
      <c r="F622">
        <v>-0.99</v>
      </c>
      <c r="G622" t="s">
        <v>12</v>
      </c>
      <c r="I622" t="s">
        <v>13</v>
      </c>
    </row>
    <row r="623" spans="1:9" hidden="1" x14ac:dyDescent="0.25">
      <c r="A623" t="s">
        <v>560</v>
      </c>
      <c r="B623" t="s">
        <v>582</v>
      </c>
      <c r="C623" s="2">
        <f>HYPERLINK("https://cao.dolgi.msk.ru/account/1080006326/", 1080006326)</f>
        <v>1080006326</v>
      </c>
      <c r="D623" t="s">
        <v>583</v>
      </c>
      <c r="E623">
        <v>-51965.55</v>
      </c>
      <c r="F623">
        <v>-9.5399999999999991</v>
      </c>
      <c r="G623" t="s">
        <v>12</v>
      </c>
      <c r="I623" t="s">
        <v>13</v>
      </c>
    </row>
    <row r="624" spans="1:9" hidden="1" x14ac:dyDescent="0.25">
      <c r="A624" t="s">
        <v>560</v>
      </c>
      <c r="B624" t="s">
        <v>582</v>
      </c>
      <c r="C624" s="2">
        <f>HYPERLINK("https://cao.dolgi.msk.ru/account/1089125153/", 1089125153)</f>
        <v>1089125153</v>
      </c>
      <c r="D624" t="s">
        <v>15</v>
      </c>
      <c r="G624" t="s">
        <v>14</v>
      </c>
      <c r="I624" t="s">
        <v>13</v>
      </c>
    </row>
    <row r="625" spans="1:9" x14ac:dyDescent="0.25">
      <c r="A625" t="s">
        <v>560</v>
      </c>
      <c r="B625" t="s">
        <v>584</v>
      </c>
      <c r="C625" s="2">
        <f>HYPERLINK("https://cao.dolgi.msk.ru/account/1080006342/", 1080006342)</f>
        <v>1080006342</v>
      </c>
      <c r="D625" t="s">
        <v>585</v>
      </c>
      <c r="E625">
        <v>29201.61</v>
      </c>
      <c r="F625">
        <v>4.3899999999999997</v>
      </c>
      <c r="G625" t="s">
        <v>12</v>
      </c>
      <c r="I625" t="s">
        <v>13</v>
      </c>
    </row>
    <row r="626" spans="1:9" hidden="1" x14ac:dyDescent="0.25">
      <c r="A626" t="s">
        <v>560</v>
      </c>
      <c r="B626" t="s">
        <v>586</v>
      </c>
      <c r="C626" s="2">
        <f>HYPERLINK("https://cao.dolgi.msk.ru/account/1080006334/", 1080006334)</f>
        <v>1080006334</v>
      </c>
      <c r="D626" t="s">
        <v>587</v>
      </c>
      <c r="E626">
        <v>-1818.67</v>
      </c>
      <c r="F626">
        <v>-0.99</v>
      </c>
      <c r="G626" t="s">
        <v>12</v>
      </c>
      <c r="H626" t="s">
        <v>7</v>
      </c>
      <c r="I626" t="s">
        <v>13</v>
      </c>
    </row>
    <row r="627" spans="1:9" hidden="1" x14ac:dyDescent="0.25">
      <c r="A627" t="s">
        <v>560</v>
      </c>
      <c r="B627" t="s">
        <v>586</v>
      </c>
      <c r="C627" s="2">
        <f>HYPERLINK("https://cao.dolgi.msk.ru/account/1080006369/", 1080006369)</f>
        <v>1080006369</v>
      </c>
      <c r="D627" t="s">
        <v>15</v>
      </c>
      <c r="E627">
        <v>-2429.7800000000002</v>
      </c>
      <c r="F627">
        <v>-0.99</v>
      </c>
      <c r="G627" t="s">
        <v>12</v>
      </c>
      <c r="H627" t="s">
        <v>7</v>
      </c>
      <c r="I627" t="s">
        <v>13</v>
      </c>
    </row>
    <row r="628" spans="1:9" hidden="1" x14ac:dyDescent="0.25">
      <c r="A628" t="s">
        <v>560</v>
      </c>
      <c r="B628" t="s">
        <v>586</v>
      </c>
      <c r="C628" s="2">
        <f>HYPERLINK("https://cao.dolgi.msk.ru/account/1080006385/", 1080006385)</f>
        <v>1080006385</v>
      </c>
      <c r="D628" t="s">
        <v>15</v>
      </c>
      <c r="E628">
        <v>-2322.13</v>
      </c>
      <c r="F628">
        <v>-0.94</v>
      </c>
      <c r="G628" t="s">
        <v>12</v>
      </c>
      <c r="H628" t="s">
        <v>7</v>
      </c>
      <c r="I628" t="s">
        <v>13</v>
      </c>
    </row>
    <row r="629" spans="1:9" hidden="1" x14ac:dyDescent="0.25">
      <c r="A629" t="s">
        <v>560</v>
      </c>
      <c r="B629" t="s">
        <v>588</v>
      </c>
      <c r="C629" s="2">
        <f>HYPERLINK("https://cao.dolgi.msk.ru/account/1080006537/", 1080006537)</f>
        <v>1080006537</v>
      </c>
      <c r="D629" t="s">
        <v>589</v>
      </c>
      <c r="E629">
        <v>584.4</v>
      </c>
      <c r="F629">
        <v>0.09</v>
      </c>
      <c r="G629" t="s">
        <v>12</v>
      </c>
      <c r="I629" t="s">
        <v>13</v>
      </c>
    </row>
    <row r="630" spans="1:9" hidden="1" x14ac:dyDescent="0.25">
      <c r="A630" t="s">
        <v>560</v>
      </c>
      <c r="B630" t="s">
        <v>590</v>
      </c>
      <c r="C630" s="2">
        <f>HYPERLINK("https://cao.dolgi.msk.ru/account/1080006393/", 1080006393)</f>
        <v>1080006393</v>
      </c>
      <c r="D630" t="s">
        <v>591</v>
      </c>
      <c r="E630">
        <v>-6375.54</v>
      </c>
      <c r="F630">
        <v>-0.97</v>
      </c>
      <c r="G630" t="s">
        <v>12</v>
      </c>
      <c r="I630" t="s">
        <v>13</v>
      </c>
    </row>
    <row r="631" spans="1:9" hidden="1" x14ac:dyDescent="0.25">
      <c r="A631" t="s">
        <v>592</v>
      </c>
      <c r="B631" t="s">
        <v>10</v>
      </c>
      <c r="C631" s="2">
        <f>HYPERLINK("https://cao.dolgi.msk.ru/account/1080006916/", 1080006916)</f>
        <v>1080006916</v>
      </c>
      <c r="D631" t="s">
        <v>593</v>
      </c>
      <c r="E631">
        <v>482.01</v>
      </c>
      <c r="G631" t="s">
        <v>14</v>
      </c>
      <c r="I631" t="s">
        <v>13</v>
      </c>
    </row>
    <row r="632" spans="1:9" hidden="1" x14ac:dyDescent="0.25">
      <c r="A632" t="s">
        <v>592</v>
      </c>
      <c r="B632" t="s">
        <v>10</v>
      </c>
      <c r="C632" s="2">
        <f>HYPERLINK("https://cao.dolgi.msk.ru/account/1083384824/", 1083384824)</f>
        <v>1083384824</v>
      </c>
      <c r="D632" t="s">
        <v>593</v>
      </c>
      <c r="E632">
        <v>0</v>
      </c>
      <c r="F632">
        <v>0</v>
      </c>
      <c r="G632" t="s">
        <v>12</v>
      </c>
      <c r="I632" t="s">
        <v>13</v>
      </c>
    </row>
    <row r="633" spans="1:9" hidden="1" x14ac:dyDescent="0.25">
      <c r="A633" t="s">
        <v>592</v>
      </c>
      <c r="B633" t="s">
        <v>16</v>
      </c>
      <c r="C633" s="2">
        <f>HYPERLINK("https://cao.dolgi.msk.ru/account/1080006924/", 1080006924)</f>
        <v>1080006924</v>
      </c>
      <c r="D633" t="s">
        <v>15</v>
      </c>
      <c r="E633">
        <v>39.799999999999997</v>
      </c>
      <c r="G633" t="s">
        <v>14</v>
      </c>
      <c r="H633" t="s">
        <v>7</v>
      </c>
      <c r="I633" t="s">
        <v>13</v>
      </c>
    </row>
    <row r="634" spans="1:9" hidden="1" x14ac:dyDescent="0.25">
      <c r="A634" t="s">
        <v>592</v>
      </c>
      <c r="B634" t="s">
        <v>16</v>
      </c>
      <c r="C634" s="2">
        <f>HYPERLINK("https://cao.dolgi.msk.ru/account/1080006932/", 1080006932)</f>
        <v>1080006932</v>
      </c>
      <c r="D634" t="s">
        <v>15</v>
      </c>
      <c r="E634">
        <v>0</v>
      </c>
      <c r="G634" t="s">
        <v>14</v>
      </c>
      <c r="H634" t="s">
        <v>7</v>
      </c>
      <c r="I634" t="s">
        <v>13</v>
      </c>
    </row>
    <row r="635" spans="1:9" hidden="1" x14ac:dyDescent="0.25">
      <c r="A635" t="s">
        <v>592</v>
      </c>
      <c r="B635" t="s">
        <v>16</v>
      </c>
      <c r="C635" s="2">
        <f>HYPERLINK("https://cao.dolgi.msk.ru/account/1080007046/", 1080007046)</f>
        <v>1080007046</v>
      </c>
      <c r="D635" t="s">
        <v>15</v>
      </c>
      <c r="E635">
        <v>140</v>
      </c>
      <c r="G635" t="s">
        <v>14</v>
      </c>
      <c r="H635" t="s">
        <v>7</v>
      </c>
      <c r="I635" t="s">
        <v>13</v>
      </c>
    </row>
    <row r="636" spans="1:9" hidden="1" x14ac:dyDescent="0.25">
      <c r="A636" t="s">
        <v>592</v>
      </c>
      <c r="B636" t="s">
        <v>16</v>
      </c>
      <c r="C636" s="2">
        <f>HYPERLINK("https://cao.dolgi.msk.ru/account/1083384832/", 1083384832)</f>
        <v>1083384832</v>
      </c>
      <c r="D636" t="s">
        <v>15</v>
      </c>
      <c r="E636">
        <v>-5429.74</v>
      </c>
      <c r="F636">
        <v>-1.02</v>
      </c>
      <c r="G636" t="s">
        <v>12</v>
      </c>
      <c r="H636" t="s">
        <v>7</v>
      </c>
      <c r="I636" t="s">
        <v>13</v>
      </c>
    </row>
    <row r="637" spans="1:9" hidden="1" x14ac:dyDescent="0.25">
      <c r="A637" t="s">
        <v>592</v>
      </c>
      <c r="B637" t="s">
        <v>16</v>
      </c>
      <c r="C637" s="2">
        <f>HYPERLINK("https://cao.dolgi.msk.ru/account/1083384859/", 1083384859)</f>
        <v>1083384859</v>
      </c>
      <c r="D637" t="s">
        <v>15</v>
      </c>
      <c r="E637">
        <v>-3184</v>
      </c>
      <c r="F637">
        <v>-1.01</v>
      </c>
      <c r="G637" t="s">
        <v>12</v>
      </c>
      <c r="H637" t="s">
        <v>7</v>
      </c>
      <c r="I637" t="s">
        <v>13</v>
      </c>
    </row>
    <row r="638" spans="1:9" hidden="1" x14ac:dyDescent="0.25">
      <c r="A638" t="s">
        <v>592</v>
      </c>
      <c r="B638" t="s">
        <v>16</v>
      </c>
      <c r="C638" s="2">
        <f>HYPERLINK("https://cao.dolgi.msk.ru/account/1083384904/", 1083384904)</f>
        <v>1083384904</v>
      </c>
      <c r="D638" t="s">
        <v>15</v>
      </c>
      <c r="E638">
        <v>-6501.81</v>
      </c>
      <c r="F638">
        <v>-1.02</v>
      </c>
      <c r="G638" t="s">
        <v>12</v>
      </c>
      <c r="H638" t="s">
        <v>7</v>
      </c>
      <c r="I638" t="s">
        <v>13</v>
      </c>
    </row>
    <row r="639" spans="1:9" hidden="1" x14ac:dyDescent="0.25">
      <c r="A639" t="s">
        <v>592</v>
      </c>
      <c r="B639" t="s">
        <v>18</v>
      </c>
      <c r="C639" s="2">
        <f>HYPERLINK("https://cao.dolgi.msk.ru/account/1080007003/", 1080007003)</f>
        <v>1080007003</v>
      </c>
      <c r="D639" t="s">
        <v>15</v>
      </c>
      <c r="G639" t="s">
        <v>14</v>
      </c>
      <c r="I639" t="s">
        <v>13</v>
      </c>
    </row>
    <row r="640" spans="1:9" hidden="1" x14ac:dyDescent="0.25">
      <c r="A640" t="s">
        <v>592</v>
      </c>
      <c r="B640" t="s">
        <v>20</v>
      </c>
      <c r="C640" s="2">
        <f>HYPERLINK("https://cao.dolgi.msk.ru/account/1080007011/", 1080007011)</f>
        <v>1080007011</v>
      </c>
      <c r="D640" t="s">
        <v>594</v>
      </c>
      <c r="G640" t="s">
        <v>14</v>
      </c>
      <c r="I640" t="s">
        <v>13</v>
      </c>
    </row>
    <row r="641" spans="1:9" hidden="1" x14ac:dyDescent="0.25">
      <c r="A641" t="s">
        <v>592</v>
      </c>
      <c r="B641" t="s">
        <v>20</v>
      </c>
      <c r="C641" s="2">
        <f>HYPERLINK("https://cao.dolgi.msk.ru/account/1080007038/", 1080007038)</f>
        <v>1080007038</v>
      </c>
      <c r="D641" t="s">
        <v>594</v>
      </c>
      <c r="G641" t="s">
        <v>14</v>
      </c>
      <c r="I641" t="s">
        <v>13</v>
      </c>
    </row>
    <row r="642" spans="1:9" hidden="1" x14ac:dyDescent="0.25">
      <c r="A642" t="s">
        <v>592</v>
      </c>
      <c r="B642" t="s">
        <v>20</v>
      </c>
      <c r="C642" s="2">
        <f>HYPERLINK("https://cao.dolgi.msk.ru/account/1080007054/", 1080007054)</f>
        <v>1080007054</v>
      </c>
      <c r="D642" t="s">
        <v>595</v>
      </c>
      <c r="E642">
        <v>0</v>
      </c>
      <c r="G642" t="s">
        <v>14</v>
      </c>
      <c r="I642" t="s">
        <v>13</v>
      </c>
    </row>
    <row r="643" spans="1:9" hidden="1" x14ac:dyDescent="0.25">
      <c r="A643" t="s">
        <v>592</v>
      </c>
      <c r="B643" t="s">
        <v>20</v>
      </c>
      <c r="C643" s="2">
        <f>HYPERLINK("https://cao.dolgi.msk.ru/account/1080323583/", 1080323583)</f>
        <v>1080323583</v>
      </c>
      <c r="D643" t="s">
        <v>15</v>
      </c>
      <c r="G643" t="s">
        <v>14</v>
      </c>
      <c r="I643" t="s">
        <v>13</v>
      </c>
    </row>
    <row r="644" spans="1:9" hidden="1" x14ac:dyDescent="0.25">
      <c r="A644" t="s">
        <v>592</v>
      </c>
      <c r="B644" t="s">
        <v>20</v>
      </c>
      <c r="C644" s="2">
        <f>HYPERLINK("https://cao.dolgi.msk.ru/account/1083384867/", 1083384867)</f>
        <v>1083384867</v>
      </c>
      <c r="D644" t="s">
        <v>595</v>
      </c>
      <c r="E644">
        <v>0</v>
      </c>
      <c r="F644">
        <v>0</v>
      </c>
      <c r="G644" t="s">
        <v>12</v>
      </c>
      <c r="I644" t="s">
        <v>13</v>
      </c>
    </row>
    <row r="645" spans="1:9" hidden="1" x14ac:dyDescent="0.25">
      <c r="A645" t="s">
        <v>592</v>
      </c>
      <c r="B645" t="s">
        <v>21</v>
      </c>
      <c r="C645" s="2">
        <f>HYPERLINK("https://cao.dolgi.msk.ru/account/1080007062/", 1080007062)</f>
        <v>1080007062</v>
      </c>
      <c r="D645" t="s">
        <v>62</v>
      </c>
      <c r="E645">
        <v>0</v>
      </c>
      <c r="G645" t="s">
        <v>14</v>
      </c>
      <c r="I645" t="s">
        <v>13</v>
      </c>
    </row>
    <row r="646" spans="1:9" hidden="1" x14ac:dyDescent="0.25">
      <c r="A646" t="s">
        <v>592</v>
      </c>
      <c r="B646" t="s">
        <v>21</v>
      </c>
      <c r="C646" s="2">
        <f>HYPERLINK("https://cao.dolgi.msk.ru/account/1083384891/", 1083384891)</f>
        <v>1083384891</v>
      </c>
      <c r="D646" t="s">
        <v>62</v>
      </c>
      <c r="E646">
        <v>-25723.54</v>
      </c>
      <c r="F646">
        <v>-1.02</v>
      </c>
      <c r="G646" t="s">
        <v>12</v>
      </c>
      <c r="I646" t="s">
        <v>13</v>
      </c>
    </row>
    <row r="647" spans="1:9" hidden="1" x14ac:dyDescent="0.25">
      <c r="A647" t="s">
        <v>592</v>
      </c>
      <c r="B647" t="s">
        <v>22</v>
      </c>
      <c r="C647" s="2">
        <f>HYPERLINK("https://cao.dolgi.msk.ru/account/1080007089/", 1080007089)</f>
        <v>1080007089</v>
      </c>
      <c r="D647" t="s">
        <v>596</v>
      </c>
      <c r="E647">
        <v>69.760000000000005</v>
      </c>
      <c r="G647" t="s">
        <v>14</v>
      </c>
      <c r="I647" t="s">
        <v>13</v>
      </c>
    </row>
    <row r="648" spans="1:9" hidden="1" x14ac:dyDescent="0.25">
      <c r="A648" t="s">
        <v>592</v>
      </c>
      <c r="B648" t="s">
        <v>22</v>
      </c>
      <c r="C648" s="2">
        <f>HYPERLINK("https://cao.dolgi.msk.ru/account/1083384947/", 1083384947)</f>
        <v>1083384947</v>
      </c>
      <c r="D648" t="s">
        <v>596</v>
      </c>
      <c r="E648">
        <v>-11918.39</v>
      </c>
      <c r="F648">
        <v>-1.02</v>
      </c>
      <c r="G648" t="s">
        <v>12</v>
      </c>
      <c r="I648" t="s">
        <v>13</v>
      </c>
    </row>
    <row r="649" spans="1:9" hidden="1" x14ac:dyDescent="0.25">
      <c r="A649" t="s">
        <v>592</v>
      </c>
      <c r="B649" t="s">
        <v>23</v>
      </c>
      <c r="C649" s="2">
        <f>HYPERLINK("https://cao.dolgi.msk.ru/account/1080007097/", 1080007097)</f>
        <v>1080007097</v>
      </c>
      <c r="D649" t="s">
        <v>597</v>
      </c>
      <c r="E649">
        <v>-4391.37</v>
      </c>
      <c r="G649" t="s">
        <v>14</v>
      </c>
      <c r="I649" t="s">
        <v>13</v>
      </c>
    </row>
    <row r="650" spans="1:9" hidden="1" x14ac:dyDescent="0.25">
      <c r="A650" t="s">
        <v>592</v>
      </c>
      <c r="B650" t="s">
        <v>23</v>
      </c>
      <c r="C650" s="2">
        <f>HYPERLINK("https://cao.dolgi.msk.ru/account/1080007169/", 1080007169)</f>
        <v>1080007169</v>
      </c>
      <c r="D650" t="s">
        <v>597</v>
      </c>
      <c r="E650">
        <v>175.45</v>
      </c>
      <c r="F650">
        <v>0.13</v>
      </c>
      <c r="G650" t="s">
        <v>14</v>
      </c>
      <c r="I650" t="s">
        <v>13</v>
      </c>
    </row>
    <row r="651" spans="1:9" hidden="1" x14ac:dyDescent="0.25">
      <c r="A651" t="s">
        <v>592</v>
      </c>
      <c r="B651" t="s">
        <v>23</v>
      </c>
      <c r="C651" s="2">
        <f>HYPERLINK("https://cao.dolgi.msk.ru/account/1083384875/", 1083384875)</f>
        <v>1083384875</v>
      </c>
      <c r="D651" t="s">
        <v>597</v>
      </c>
      <c r="E651">
        <v>-14070.11</v>
      </c>
      <c r="F651">
        <v>-1.18</v>
      </c>
      <c r="G651" t="s">
        <v>12</v>
      </c>
      <c r="I651" t="s">
        <v>13</v>
      </c>
    </row>
    <row r="652" spans="1:9" hidden="1" x14ac:dyDescent="0.25">
      <c r="A652" t="s">
        <v>592</v>
      </c>
      <c r="B652" t="s">
        <v>23</v>
      </c>
      <c r="C652" s="2">
        <f>HYPERLINK("https://cao.dolgi.msk.ru/account/1083384883/", 1083384883)</f>
        <v>1083384883</v>
      </c>
      <c r="D652" t="s">
        <v>15</v>
      </c>
      <c r="E652">
        <v>-585.02</v>
      </c>
      <c r="G652" t="s">
        <v>14</v>
      </c>
      <c r="I652" t="s">
        <v>13</v>
      </c>
    </row>
    <row r="653" spans="1:9" hidden="1" x14ac:dyDescent="0.25">
      <c r="A653" t="s">
        <v>592</v>
      </c>
      <c r="B653" t="s">
        <v>24</v>
      </c>
      <c r="C653" s="2">
        <f>HYPERLINK("https://cao.dolgi.msk.ru/account/1080007118/", 1080007118)</f>
        <v>1080007118</v>
      </c>
      <c r="D653" t="s">
        <v>598</v>
      </c>
      <c r="E653">
        <v>-8980.5499999999993</v>
      </c>
      <c r="G653" t="s">
        <v>14</v>
      </c>
      <c r="I653" t="s">
        <v>13</v>
      </c>
    </row>
    <row r="654" spans="1:9" hidden="1" x14ac:dyDescent="0.25">
      <c r="A654" t="s">
        <v>592</v>
      </c>
      <c r="B654" t="s">
        <v>24</v>
      </c>
      <c r="C654" s="2">
        <f>HYPERLINK("https://cao.dolgi.msk.ru/account/1083384912/", 1083384912)</f>
        <v>1083384912</v>
      </c>
      <c r="D654" t="s">
        <v>598</v>
      </c>
      <c r="E654">
        <v>-12861.12</v>
      </c>
      <c r="F654">
        <v>-1.02</v>
      </c>
      <c r="G654" t="s">
        <v>12</v>
      </c>
      <c r="I654" t="s">
        <v>13</v>
      </c>
    </row>
    <row r="655" spans="1:9" hidden="1" x14ac:dyDescent="0.25">
      <c r="A655" t="s">
        <v>592</v>
      </c>
      <c r="B655" t="s">
        <v>27</v>
      </c>
      <c r="C655" s="2">
        <f>HYPERLINK("https://cao.dolgi.msk.ru/account/1080007126/", 1080007126)</f>
        <v>1080007126</v>
      </c>
      <c r="D655" t="s">
        <v>599</v>
      </c>
      <c r="E655">
        <v>0</v>
      </c>
      <c r="G655" t="s">
        <v>14</v>
      </c>
      <c r="I655" t="s">
        <v>13</v>
      </c>
    </row>
    <row r="656" spans="1:9" hidden="1" x14ac:dyDescent="0.25">
      <c r="A656" t="s">
        <v>592</v>
      </c>
      <c r="B656" t="s">
        <v>27</v>
      </c>
      <c r="C656" s="2">
        <f>HYPERLINK("https://cao.dolgi.msk.ru/account/1083384939/", 1083384939)</f>
        <v>1083384939</v>
      </c>
      <c r="D656" t="s">
        <v>15</v>
      </c>
      <c r="E656">
        <v>-13160.78</v>
      </c>
      <c r="F656">
        <v>-1.02</v>
      </c>
      <c r="G656" t="s">
        <v>12</v>
      </c>
      <c r="I656" t="s">
        <v>13</v>
      </c>
    </row>
    <row r="657" spans="1:9" hidden="1" x14ac:dyDescent="0.25">
      <c r="A657" t="s">
        <v>600</v>
      </c>
      <c r="B657" t="s">
        <v>33</v>
      </c>
      <c r="C657" s="2">
        <f>HYPERLINK("https://cao.dolgi.msk.ru/account/1080007521/", 1080007521)</f>
        <v>1080007521</v>
      </c>
      <c r="D657" t="s">
        <v>601</v>
      </c>
      <c r="E657">
        <v>-19851.150000000001</v>
      </c>
      <c r="F657">
        <v>-1.02</v>
      </c>
      <c r="G657" t="s">
        <v>12</v>
      </c>
      <c r="I657" t="s">
        <v>13</v>
      </c>
    </row>
    <row r="658" spans="1:9" hidden="1" x14ac:dyDescent="0.25">
      <c r="A658" t="s">
        <v>600</v>
      </c>
      <c r="B658" t="s">
        <v>33</v>
      </c>
      <c r="C658" s="2">
        <f>HYPERLINK("https://cao.dolgi.msk.ru/account/1080007556/", 1080007556)</f>
        <v>1080007556</v>
      </c>
      <c r="D658" t="s">
        <v>15</v>
      </c>
      <c r="G658" t="s">
        <v>14</v>
      </c>
      <c r="I658" t="s">
        <v>13</v>
      </c>
    </row>
    <row r="659" spans="1:9" hidden="1" x14ac:dyDescent="0.25">
      <c r="A659" t="s">
        <v>600</v>
      </c>
      <c r="B659" t="s">
        <v>33</v>
      </c>
      <c r="C659" s="2">
        <f>HYPERLINK("https://cao.dolgi.msk.ru/account/1080007572/", 1080007572)</f>
        <v>1080007572</v>
      </c>
      <c r="D659" t="s">
        <v>15</v>
      </c>
      <c r="E659">
        <v>0</v>
      </c>
      <c r="G659" t="s">
        <v>14</v>
      </c>
      <c r="I659" t="s">
        <v>13</v>
      </c>
    </row>
    <row r="660" spans="1:9" hidden="1" x14ac:dyDescent="0.25">
      <c r="A660" t="s">
        <v>600</v>
      </c>
      <c r="B660" t="s">
        <v>34</v>
      </c>
      <c r="C660" s="2">
        <f>HYPERLINK("https://cao.dolgi.msk.ru/account/1080007628/", 1080007628)</f>
        <v>1080007628</v>
      </c>
      <c r="D660" t="s">
        <v>601</v>
      </c>
      <c r="E660">
        <v>-17803.830000000002</v>
      </c>
      <c r="F660">
        <v>-1.02</v>
      </c>
      <c r="G660" t="s">
        <v>12</v>
      </c>
      <c r="I660" t="s">
        <v>13</v>
      </c>
    </row>
    <row r="661" spans="1:9" hidden="1" x14ac:dyDescent="0.25">
      <c r="A661" t="s">
        <v>600</v>
      </c>
      <c r="B661" t="s">
        <v>36</v>
      </c>
      <c r="C661" s="2">
        <f>HYPERLINK("https://cao.dolgi.msk.ru/account/1080007636/", 1080007636)</f>
        <v>1080007636</v>
      </c>
      <c r="D661" t="s">
        <v>602</v>
      </c>
      <c r="E661">
        <v>-19798.060000000001</v>
      </c>
      <c r="F661">
        <v>-1.02</v>
      </c>
      <c r="G661" t="s">
        <v>12</v>
      </c>
      <c r="I661" t="s">
        <v>13</v>
      </c>
    </row>
    <row r="662" spans="1:9" hidden="1" x14ac:dyDescent="0.25">
      <c r="A662" t="s">
        <v>600</v>
      </c>
      <c r="B662" t="s">
        <v>36</v>
      </c>
      <c r="C662" s="2">
        <f>HYPERLINK("https://cao.dolgi.msk.ru/account/1080007652/", 1080007652)</f>
        <v>1080007652</v>
      </c>
      <c r="D662" t="s">
        <v>15</v>
      </c>
      <c r="G662" t="s">
        <v>14</v>
      </c>
      <c r="I662" t="s">
        <v>13</v>
      </c>
    </row>
    <row r="663" spans="1:9" hidden="1" x14ac:dyDescent="0.25">
      <c r="A663" t="s">
        <v>600</v>
      </c>
      <c r="B663" t="s">
        <v>38</v>
      </c>
      <c r="C663" s="2">
        <f>HYPERLINK("https://cao.dolgi.msk.ru/account/1080007687/", 1080007687)</f>
        <v>1080007687</v>
      </c>
      <c r="D663" t="s">
        <v>603</v>
      </c>
      <c r="E663">
        <v>-18139.96</v>
      </c>
      <c r="F663">
        <v>-1.02</v>
      </c>
      <c r="G663" t="s">
        <v>12</v>
      </c>
      <c r="I663" t="s">
        <v>13</v>
      </c>
    </row>
    <row r="664" spans="1:9" hidden="1" x14ac:dyDescent="0.25">
      <c r="A664" t="s">
        <v>604</v>
      </c>
      <c r="B664" t="s">
        <v>23</v>
      </c>
      <c r="C664" s="2">
        <f>HYPERLINK("https://cao.dolgi.msk.ru/account/1080325669/", 1080325669)</f>
        <v>1080325669</v>
      </c>
      <c r="D664" t="s">
        <v>605</v>
      </c>
      <c r="E664">
        <v>-11290.54</v>
      </c>
      <c r="F664">
        <v>-1.78</v>
      </c>
      <c r="G664" t="s">
        <v>12</v>
      </c>
      <c r="I664" t="s">
        <v>13</v>
      </c>
    </row>
    <row r="665" spans="1:9" hidden="1" x14ac:dyDescent="0.25">
      <c r="A665" t="s">
        <v>604</v>
      </c>
      <c r="B665" t="s">
        <v>248</v>
      </c>
      <c r="C665" s="2">
        <f>HYPERLINK("https://cao.dolgi.msk.ru/account/1080007492/", 1080007492)</f>
        <v>1080007492</v>
      </c>
      <c r="D665" t="s">
        <v>606</v>
      </c>
      <c r="E665">
        <v>-6538.42</v>
      </c>
      <c r="F665">
        <v>-1.05</v>
      </c>
      <c r="G665" t="s">
        <v>12</v>
      </c>
      <c r="I665" t="s">
        <v>13</v>
      </c>
    </row>
    <row r="666" spans="1:9" hidden="1" x14ac:dyDescent="0.25">
      <c r="A666" t="s">
        <v>604</v>
      </c>
      <c r="B666" t="s">
        <v>24</v>
      </c>
      <c r="C666" s="2">
        <f>HYPERLINK("https://cao.dolgi.msk.ru/account/1080007505/", 1080007505)</f>
        <v>1080007505</v>
      </c>
      <c r="D666" t="s">
        <v>607</v>
      </c>
      <c r="E666">
        <v>-3534.21</v>
      </c>
      <c r="F666">
        <v>-1.06</v>
      </c>
      <c r="G666" t="s">
        <v>12</v>
      </c>
      <c r="I666" t="s">
        <v>13</v>
      </c>
    </row>
    <row r="667" spans="1:9" hidden="1" x14ac:dyDescent="0.25">
      <c r="A667" t="s">
        <v>604</v>
      </c>
      <c r="B667" t="s">
        <v>608</v>
      </c>
      <c r="C667" s="2">
        <f>HYPERLINK("https://cao.dolgi.msk.ru/account/1080007513/", 1080007513)</f>
        <v>1080007513</v>
      </c>
      <c r="D667" t="s">
        <v>609</v>
      </c>
      <c r="E667">
        <v>-10382.11</v>
      </c>
      <c r="F667">
        <v>-1.85</v>
      </c>
      <c r="G667" t="s">
        <v>12</v>
      </c>
      <c r="I667" t="s">
        <v>13</v>
      </c>
    </row>
    <row r="668" spans="1:9" hidden="1" x14ac:dyDescent="0.25">
      <c r="A668" t="s">
        <v>610</v>
      </c>
      <c r="B668" t="s">
        <v>10</v>
      </c>
      <c r="C668" s="2">
        <f>HYPERLINK("https://cao.dolgi.msk.ru/account/1080090556/", 1080090556)</f>
        <v>1080090556</v>
      </c>
      <c r="D668" t="s">
        <v>611</v>
      </c>
      <c r="E668">
        <v>-19.399999999999999</v>
      </c>
      <c r="F668">
        <v>0</v>
      </c>
      <c r="G668" t="s">
        <v>12</v>
      </c>
      <c r="I668" t="s">
        <v>230</v>
      </c>
    </row>
    <row r="669" spans="1:9" hidden="1" x14ac:dyDescent="0.25">
      <c r="A669" t="s">
        <v>610</v>
      </c>
      <c r="B669" t="s">
        <v>10</v>
      </c>
      <c r="C669" s="2">
        <f>HYPERLINK("https://cao.dolgi.msk.ru/account/1080322441/", 1080322441)</f>
        <v>1080322441</v>
      </c>
      <c r="D669" t="s">
        <v>15</v>
      </c>
      <c r="E669">
        <v>-1072048.58</v>
      </c>
      <c r="G669" t="s">
        <v>14</v>
      </c>
      <c r="I669" t="s">
        <v>230</v>
      </c>
    </row>
    <row r="670" spans="1:9" hidden="1" x14ac:dyDescent="0.25">
      <c r="A670" t="s">
        <v>610</v>
      </c>
      <c r="B670" t="s">
        <v>16</v>
      </c>
      <c r="C670" s="2">
        <f>HYPERLINK("https://cao.dolgi.msk.ru/account/1080088253/", 1080088253)</f>
        <v>1080088253</v>
      </c>
      <c r="D670" t="s">
        <v>612</v>
      </c>
      <c r="E670">
        <v>-38.799999999999997</v>
      </c>
      <c r="F670">
        <v>-0.01</v>
      </c>
      <c r="G670" t="s">
        <v>12</v>
      </c>
      <c r="I670" t="s">
        <v>230</v>
      </c>
    </row>
    <row r="671" spans="1:9" hidden="1" x14ac:dyDescent="0.25">
      <c r="A671" t="s">
        <v>610</v>
      </c>
      <c r="B671" t="s">
        <v>18</v>
      </c>
      <c r="C671" s="2">
        <f>HYPERLINK("https://cao.dolgi.msk.ru/account/1080088261/", 1080088261)</f>
        <v>1080088261</v>
      </c>
      <c r="D671" t="s">
        <v>613</v>
      </c>
      <c r="E671">
        <v>-5409.15</v>
      </c>
      <c r="F671">
        <v>-0.95</v>
      </c>
      <c r="G671" t="s">
        <v>12</v>
      </c>
      <c r="I671" t="s">
        <v>230</v>
      </c>
    </row>
    <row r="672" spans="1:9" hidden="1" x14ac:dyDescent="0.25">
      <c r="A672" t="s">
        <v>610</v>
      </c>
      <c r="B672" t="s">
        <v>20</v>
      </c>
      <c r="C672" s="2">
        <f>HYPERLINK("https://cao.dolgi.msk.ru/account/1080088288/", 1080088288)</f>
        <v>1080088288</v>
      </c>
      <c r="D672" t="s">
        <v>614</v>
      </c>
      <c r="E672">
        <v>0</v>
      </c>
      <c r="F672">
        <v>0</v>
      </c>
      <c r="G672" t="s">
        <v>12</v>
      </c>
      <c r="I672" t="s">
        <v>230</v>
      </c>
    </row>
    <row r="673" spans="1:9" hidden="1" x14ac:dyDescent="0.25">
      <c r="A673" t="s">
        <v>610</v>
      </c>
      <c r="B673" t="s">
        <v>21</v>
      </c>
      <c r="C673" s="2">
        <f>HYPERLINK("https://cao.dolgi.msk.ru/account/1080088296/", 1080088296)</f>
        <v>1080088296</v>
      </c>
      <c r="D673" t="s">
        <v>615</v>
      </c>
      <c r="E673">
        <v>-140.72</v>
      </c>
      <c r="F673">
        <v>-0.03</v>
      </c>
      <c r="G673" t="s">
        <v>12</v>
      </c>
      <c r="I673" t="s">
        <v>230</v>
      </c>
    </row>
    <row r="674" spans="1:9" hidden="1" x14ac:dyDescent="0.25">
      <c r="A674" t="s">
        <v>610</v>
      </c>
      <c r="B674" t="s">
        <v>22</v>
      </c>
      <c r="C674" s="2">
        <f>HYPERLINK("https://cao.dolgi.msk.ru/account/1080088309/", 1080088309)</f>
        <v>1080088309</v>
      </c>
      <c r="D674" t="s">
        <v>616</v>
      </c>
      <c r="E674">
        <v>19.37</v>
      </c>
      <c r="F674">
        <v>0</v>
      </c>
      <c r="G674" t="s">
        <v>12</v>
      </c>
      <c r="I674" t="s">
        <v>230</v>
      </c>
    </row>
    <row r="675" spans="1:9" hidden="1" x14ac:dyDescent="0.25">
      <c r="A675" t="s">
        <v>610</v>
      </c>
      <c r="B675" t="s">
        <v>23</v>
      </c>
      <c r="C675" s="2">
        <f>HYPERLINK("https://cao.dolgi.msk.ru/account/1080088317/", 1080088317)</f>
        <v>1080088317</v>
      </c>
      <c r="D675" t="s">
        <v>617</v>
      </c>
      <c r="E675">
        <v>-10603.13</v>
      </c>
      <c r="F675">
        <v>-1.78</v>
      </c>
      <c r="G675" t="s">
        <v>12</v>
      </c>
      <c r="I675" t="s">
        <v>230</v>
      </c>
    </row>
    <row r="676" spans="1:9" hidden="1" x14ac:dyDescent="0.25">
      <c r="A676" t="s">
        <v>610</v>
      </c>
      <c r="B676" t="s">
        <v>24</v>
      </c>
      <c r="C676" s="2">
        <f>HYPERLINK("https://cao.dolgi.msk.ru/account/1080088325/", 1080088325)</f>
        <v>1080088325</v>
      </c>
      <c r="D676" t="s">
        <v>618</v>
      </c>
      <c r="E676">
        <v>-5417.04</v>
      </c>
      <c r="F676">
        <v>-1.04</v>
      </c>
      <c r="G676" t="s">
        <v>12</v>
      </c>
      <c r="I676" t="s">
        <v>230</v>
      </c>
    </row>
    <row r="677" spans="1:9" hidden="1" x14ac:dyDescent="0.25">
      <c r="A677" t="s">
        <v>610</v>
      </c>
      <c r="B677" t="s">
        <v>27</v>
      </c>
      <c r="C677" s="2">
        <f>HYPERLINK("https://cao.dolgi.msk.ru/account/1080088333/", 1080088333)</f>
        <v>1080088333</v>
      </c>
      <c r="D677" t="s">
        <v>619</v>
      </c>
      <c r="E677">
        <v>-7327.47</v>
      </c>
      <c r="F677">
        <v>-1.0900000000000001</v>
      </c>
      <c r="G677" t="s">
        <v>12</v>
      </c>
      <c r="I677" t="s">
        <v>230</v>
      </c>
    </row>
    <row r="678" spans="1:9" hidden="1" x14ac:dyDescent="0.25">
      <c r="A678" t="s">
        <v>610</v>
      </c>
      <c r="B678" t="s">
        <v>29</v>
      </c>
      <c r="C678" s="2">
        <f>HYPERLINK("https://cao.dolgi.msk.ru/account/1080088341/", 1080088341)</f>
        <v>1080088341</v>
      </c>
      <c r="D678" t="s">
        <v>620</v>
      </c>
      <c r="E678">
        <v>-9244.73</v>
      </c>
      <c r="F678">
        <v>-1.1000000000000001</v>
      </c>
      <c r="G678" t="s">
        <v>12</v>
      </c>
      <c r="I678" t="s">
        <v>230</v>
      </c>
    </row>
    <row r="679" spans="1:9" hidden="1" x14ac:dyDescent="0.25">
      <c r="A679" t="s">
        <v>610</v>
      </c>
      <c r="B679" t="s">
        <v>31</v>
      </c>
      <c r="C679" s="2">
        <f>HYPERLINK("https://cao.dolgi.msk.ru/account/1080088368/", 1080088368)</f>
        <v>1080088368</v>
      </c>
      <c r="D679" t="s">
        <v>621</v>
      </c>
      <c r="E679">
        <v>-4466.75</v>
      </c>
      <c r="F679">
        <v>-1</v>
      </c>
      <c r="G679" t="s">
        <v>12</v>
      </c>
      <c r="I679" t="s">
        <v>230</v>
      </c>
    </row>
    <row r="680" spans="1:9" hidden="1" x14ac:dyDescent="0.25">
      <c r="A680" t="s">
        <v>610</v>
      </c>
      <c r="B680" t="s">
        <v>33</v>
      </c>
      <c r="C680" s="2">
        <f>HYPERLINK("https://cao.dolgi.msk.ru/account/1080088376/", 1080088376)</f>
        <v>1080088376</v>
      </c>
      <c r="D680" t="s">
        <v>622</v>
      </c>
      <c r="E680">
        <v>7223</v>
      </c>
      <c r="F680">
        <v>0.94</v>
      </c>
      <c r="G680" t="s">
        <v>12</v>
      </c>
      <c r="I680" t="s">
        <v>230</v>
      </c>
    </row>
    <row r="681" spans="1:9" hidden="1" x14ac:dyDescent="0.25">
      <c r="A681" t="s">
        <v>610</v>
      </c>
      <c r="B681" t="s">
        <v>34</v>
      </c>
      <c r="C681" s="2">
        <f>HYPERLINK("https://cao.dolgi.msk.ru/account/1080088384/", 1080088384)</f>
        <v>1080088384</v>
      </c>
      <c r="D681" t="s">
        <v>623</v>
      </c>
      <c r="E681">
        <v>-18093.86</v>
      </c>
      <c r="F681">
        <v>-1.07</v>
      </c>
      <c r="G681" t="s">
        <v>12</v>
      </c>
      <c r="I681" t="s">
        <v>230</v>
      </c>
    </row>
    <row r="682" spans="1:9" hidden="1" x14ac:dyDescent="0.25">
      <c r="A682" t="s">
        <v>610</v>
      </c>
      <c r="B682" t="s">
        <v>36</v>
      </c>
      <c r="C682" s="2">
        <f>HYPERLINK("https://cao.dolgi.msk.ru/account/1080088392/", 1080088392)</f>
        <v>1080088392</v>
      </c>
      <c r="D682" t="s">
        <v>624</v>
      </c>
      <c r="E682">
        <v>-584.16</v>
      </c>
      <c r="F682">
        <v>-0.08</v>
      </c>
      <c r="G682" t="s">
        <v>12</v>
      </c>
      <c r="I682" t="s">
        <v>230</v>
      </c>
    </row>
    <row r="683" spans="1:9" hidden="1" x14ac:dyDescent="0.25">
      <c r="A683" t="s">
        <v>610</v>
      </c>
      <c r="B683" t="s">
        <v>38</v>
      </c>
      <c r="C683" s="2">
        <f>HYPERLINK("https://cao.dolgi.msk.ru/account/1080088405/", 1080088405)</f>
        <v>1080088405</v>
      </c>
      <c r="D683" t="s">
        <v>625</v>
      </c>
      <c r="E683">
        <v>-8128.04</v>
      </c>
      <c r="F683">
        <v>-1.1299999999999999</v>
      </c>
      <c r="G683" t="s">
        <v>12</v>
      </c>
      <c r="I683" t="s">
        <v>230</v>
      </c>
    </row>
    <row r="684" spans="1:9" hidden="1" x14ac:dyDescent="0.25">
      <c r="A684" t="s">
        <v>610</v>
      </c>
      <c r="B684" t="s">
        <v>39</v>
      </c>
      <c r="C684" s="2">
        <f>HYPERLINK("https://cao.dolgi.msk.ru/account/1080088413/", 1080088413)</f>
        <v>1080088413</v>
      </c>
      <c r="D684" t="s">
        <v>626</v>
      </c>
      <c r="E684">
        <v>-10010.06</v>
      </c>
      <c r="F684">
        <v>-1.1299999999999999</v>
      </c>
      <c r="G684" t="s">
        <v>12</v>
      </c>
      <c r="I684" t="s">
        <v>230</v>
      </c>
    </row>
    <row r="685" spans="1:9" hidden="1" x14ac:dyDescent="0.25">
      <c r="A685" t="s">
        <v>610</v>
      </c>
      <c r="B685" t="s">
        <v>40</v>
      </c>
      <c r="C685" s="2">
        <f>HYPERLINK("https://cao.dolgi.msk.ru/account/1080088421/", 1080088421)</f>
        <v>1080088421</v>
      </c>
      <c r="D685" t="s">
        <v>627</v>
      </c>
      <c r="E685">
        <v>0</v>
      </c>
      <c r="F685">
        <v>0</v>
      </c>
      <c r="G685" t="s">
        <v>12</v>
      </c>
      <c r="I685" t="s">
        <v>230</v>
      </c>
    </row>
    <row r="686" spans="1:9" hidden="1" x14ac:dyDescent="0.25">
      <c r="A686" t="s">
        <v>610</v>
      </c>
      <c r="B686" t="s">
        <v>41</v>
      </c>
      <c r="C686" s="2">
        <f>HYPERLINK("https://cao.dolgi.msk.ru/account/1080088448/", 1080088448)</f>
        <v>1080088448</v>
      </c>
      <c r="D686" t="s">
        <v>628</v>
      </c>
      <c r="E686">
        <v>-13.01</v>
      </c>
      <c r="F686">
        <v>0</v>
      </c>
      <c r="G686" t="s">
        <v>12</v>
      </c>
      <c r="I686" t="s">
        <v>230</v>
      </c>
    </row>
    <row r="687" spans="1:9" hidden="1" x14ac:dyDescent="0.25">
      <c r="A687" t="s">
        <v>610</v>
      </c>
      <c r="B687" t="s">
        <v>42</v>
      </c>
      <c r="C687" s="2">
        <f>HYPERLINK("https://cao.dolgi.msk.ru/account/1080088456/", 1080088456)</f>
        <v>1080088456</v>
      </c>
      <c r="D687" t="s">
        <v>629</v>
      </c>
      <c r="E687">
        <v>-716.6</v>
      </c>
      <c r="F687">
        <v>-0.05</v>
      </c>
      <c r="G687" t="s">
        <v>12</v>
      </c>
      <c r="I687" t="s">
        <v>230</v>
      </c>
    </row>
    <row r="688" spans="1:9" hidden="1" x14ac:dyDescent="0.25">
      <c r="A688" t="s">
        <v>610</v>
      </c>
      <c r="B688" t="s">
        <v>44</v>
      </c>
      <c r="C688" s="2">
        <f>HYPERLINK("https://cao.dolgi.msk.ru/account/1080088464/", 1080088464)</f>
        <v>1080088464</v>
      </c>
      <c r="D688" t="s">
        <v>630</v>
      </c>
      <c r="E688">
        <v>-8221.4</v>
      </c>
      <c r="F688">
        <v>-1.0900000000000001</v>
      </c>
      <c r="G688" t="s">
        <v>12</v>
      </c>
      <c r="I688" t="s">
        <v>230</v>
      </c>
    </row>
    <row r="689" spans="1:9" hidden="1" x14ac:dyDescent="0.25">
      <c r="A689" t="s">
        <v>610</v>
      </c>
      <c r="B689" t="s">
        <v>66</v>
      </c>
      <c r="C689" s="2">
        <f>HYPERLINK("https://cao.dolgi.msk.ru/account/1080088472/", 1080088472)</f>
        <v>1080088472</v>
      </c>
      <c r="D689" t="s">
        <v>631</v>
      </c>
      <c r="E689">
        <v>-9623.77</v>
      </c>
      <c r="F689">
        <v>-1.1000000000000001</v>
      </c>
      <c r="G689" t="s">
        <v>12</v>
      </c>
      <c r="I689" t="s">
        <v>230</v>
      </c>
    </row>
    <row r="690" spans="1:9" hidden="1" x14ac:dyDescent="0.25">
      <c r="A690" t="s">
        <v>610</v>
      </c>
      <c r="B690" t="s">
        <v>68</v>
      </c>
      <c r="C690" s="2">
        <f>HYPERLINK("https://cao.dolgi.msk.ru/account/1080088499/", 1080088499)</f>
        <v>1080088499</v>
      </c>
      <c r="D690" t="s">
        <v>632</v>
      </c>
      <c r="E690">
        <v>245.39</v>
      </c>
      <c r="F690">
        <v>0.03</v>
      </c>
      <c r="G690" t="s">
        <v>12</v>
      </c>
      <c r="I690" t="s">
        <v>230</v>
      </c>
    </row>
    <row r="691" spans="1:9" hidden="1" x14ac:dyDescent="0.25">
      <c r="A691" t="s">
        <v>610</v>
      </c>
      <c r="B691" t="s">
        <v>70</v>
      </c>
      <c r="C691" s="2">
        <f>HYPERLINK("https://cao.dolgi.msk.ru/account/1080088501/", 1080088501)</f>
        <v>1080088501</v>
      </c>
      <c r="D691" t="s">
        <v>633</v>
      </c>
      <c r="E691">
        <v>-4255.63</v>
      </c>
      <c r="F691">
        <v>-0.75</v>
      </c>
      <c r="G691" t="s">
        <v>12</v>
      </c>
      <c r="I691" t="s">
        <v>230</v>
      </c>
    </row>
    <row r="692" spans="1:9" hidden="1" x14ac:dyDescent="0.25">
      <c r="A692" t="s">
        <v>610</v>
      </c>
      <c r="B692" t="s">
        <v>72</v>
      </c>
      <c r="C692" s="2">
        <f>HYPERLINK("https://cao.dolgi.msk.ru/account/1080088528/", 1080088528)</f>
        <v>1080088528</v>
      </c>
      <c r="D692" t="s">
        <v>634</v>
      </c>
      <c r="E692">
        <v>-7407.28</v>
      </c>
      <c r="F692">
        <v>-1.1399999999999999</v>
      </c>
      <c r="G692" t="s">
        <v>12</v>
      </c>
      <c r="I692" t="s">
        <v>230</v>
      </c>
    </row>
    <row r="693" spans="1:9" hidden="1" x14ac:dyDescent="0.25">
      <c r="A693" t="s">
        <v>610</v>
      </c>
      <c r="B693" t="s">
        <v>74</v>
      </c>
      <c r="C693" s="2">
        <f>HYPERLINK("https://cao.dolgi.msk.ru/account/1080088536/", 1080088536)</f>
        <v>1080088536</v>
      </c>
      <c r="D693" t="s">
        <v>62</v>
      </c>
      <c r="E693">
        <v>-7613.45</v>
      </c>
      <c r="F693">
        <v>-1.1100000000000001</v>
      </c>
      <c r="G693" t="s">
        <v>12</v>
      </c>
      <c r="I693" t="s">
        <v>230</v>
      </c>
    </row>
    <row r="694" spans="1:9" hidden="1" x14ac:dyDescent="0.25">
      <c r="A694" t="s">
        <v>610</v>
      </c>
      <c r="B694" t="s">
        <v>76</v>
      </c>
      <c r="C694" s="2">
        <f>HYPERLINK("https://cao.dolgi.msk.ru/account/1080088544/", 1080088544)</f>
        <v>1080088544</v>
      </c>
      <c r="D694" t="s">
        <v>635</v>
      </c>
      <c r="E694">
        <v>-2850.97</v>
      </c>
      <c r="F694">
        <v>-1.07</v>
      </c>
      <c r="G694" t="s">
        <v>12</v>
      </c>
      <c r="I694" t="s">
        <v>230</v>
      </c>
    </row>
    <row r="695" spans="1:9" hidden="1" x14ac:dyDescent="0.25">
      <c r="A695" t="s">
        <v>610</v>
      </c>
      <c r="B695" t="s">
        <v>76</v>
      </c>
      <c r="C695" s="2">
        <f>HYPERLINK("https://cao.dolgi.msk.ru/account/1083283337/", 1083283337)</f>
        <v>1083283337</v>
      </c>
      <c r="D695" t="s">
        <v>15</v>
      </c>
      <c r="E695">
        <v>-1826.77</v>
      </c>
      <c r="F695">
        <v>-1.42</v>
      </c>
      <c r="G695" t="s">
        <v>12</v>
      </c>
      <c r="I695" t="s">
        <v>230</v>
      </c>
    </row>
    <row r="696" spans="1:9" hidden="1" x14ac:dyDescent="0.25">
      <c r="A696" t="s">
        <v>610</v>
      </c>
      <c r="B696" t="s">
        <v>78</v>
      </c>
      <c r="C696" s="2">
        <f>HYPERLINK("https://cao.dolgi.msk.ru/account/1080088552/", 1080088552)</f>
        <v>1080088552</v>
      </c>
      <c r="D696" t="s">
        <v>636</v>
      </c>
      <c r="E696">
        <v>-5310.67</v>
      </c>
      <c r="F696">
        <v>-1.01</v>
      </c>
      <c r="G696" t="s">
        <v>12</v>
      </c>
      <c r="I696" t="s">
        <v>230</v>
      </c>
    </row>
    <row r="697" spans="1:9" hidden="1" x14ac:dyDescent="0.25">
      <c r="A697" t="s">
        <v>610</v>
      </c>
      <c r="B697" t="s">
        <v>80</v>
      </c>
      <c r="C697" s="2">
        <f>HYPERLINK("https://cao.dolgi.msk.ru/account/1080088579/", 1080088579)</f>
        <v>1080088579</v>
      </c>
      <c r="D697" t="s">
        <v>637</v>
      </c>
      <c r="E697">
        <v>-330.05</v>
      </c>
      <c r="F697">
        <v>-0.04</v>
      </c>
      <c r="G697" t="s">
        <v>12</v>
      </c>
      <c r="I697" t="s">
        <v>230</v>
      </c>
    </row>
    <row r="698" spans="1:9" hidden="1" x14ac:dyDescent="0.25">
      <c r="A698" t="s">
        <v>610</v>
      </c>
      <c r="B698" t="s">
        <v>82</v>
      </c>
      <c r="C698" s="2">
        <f>HYPERLINK("https://cao.dolgi.msk.ru/account/1080088587/", 1080088587)</f>
        <v>1080088587</v>
      </c>
      <c r="D698" t="s">
        <v>638</v>
      </c>
      <c r="E698">
        <v>-3980.86</v>
      </c>
      <c r="F698">
        <v>-1.04</v>
      </c>
      <c r="G698" t="s">
        <v>12</v>
      </c>
      <c r="I698" t="s">
        <v>230</v>
      </c>
    </row>
    <row r="699" spans="1:9" hidden="1" x14ac:dyDescent="0.25">
      <c r="A699" t="s">
        <v>610</v>
      </c>
      <c r="B699" t="s">
        <v>84</v>
      </c>
      <c r="C699" s="2">
        <f>HYPERLINK("https://cao.dolgi.msk.ru/account/1080088595/", 1080088595)</f>
        <v>1080088595</v>
      </c>
      <c r="D699" t="s">
        <v>639</v>
      </c>
      <c r="E699">
        <v>-2764.43</v>
      </c>
      <c r="F699">
        <v>-1.1299999999999999</v>
      </c>
      <c r="G699" t="s">
        <v>12</v>
      </c>
      <c r="I699" t="s">
        <v>230</v>
      </c>
    </row>
    <row r="700" spans="1:9" hidden="1" x14ac:dyDescent="0.25">
      <c r="A700" t="s">
        <v>610</v>
      </c>
      <c r="B700" t="s">
        <v>86</v>
      </c>
      <c r="C700" s="2">
        <f>HYPERLINK("https://cao.dolgi.msk.ru/account/1080088608/", 1080088608)</f>
        <v>1080088608</v>
      </c>
      <c r="D700" t="s">
        <v>640</v>
      </c>
      <c r="E700">
        <v>-6967.21</v>
      </c>
      <c r="F700">
        <v>-1.1599999999999999</v>
      </c>
      <c r="G700" t="s">
        <v>12</v>
      </c>
      <c r="I700" t="s">
        <v>230</v>
      </c>
    </row>
    <row r="701" spans="1:9" hidden="1" x14ac:dyDescent="0.25">
      <c r="A701" t="s">
        <v>610</v>
      </c>
      <c r="B701" t="s">
        <v>88</v>
      </c>
      <c r="C701" s="2">
        <f>HYPERLINK("https://cao.dolgi.msk.ru/account/1080088616/", 1080088616)</f>
        <v>1080088616</v>
      </c>
      <c r="D701" t="s">
        <v>641</v>
      </c>
      <c r="E701">
        <v>1194.02</v>
      </c>
      <c r="F701">
        <v>0.46</v>
      </c>
      <c r="G701" t="s">
        <v>12</v>
      </c>
      <c r="I701" t="s">
        <v>230</v>
      </c>
    </row>
    <row r="702" spans="1:9" hidden="1" x14ac:dyDescent="0.25">
      <c r="A702" t="s">
        <v>610</v>
      </c>
      <c r="B702" t="s">
        <v>90</v>
      </c>
      <c r="C702" s="2">
        <f>HYPERLINK("https://cao.dolgi.msk.ru/account/1080088624/", 1080088624)</f>
        <v>1080088624</v>
      </c>
      <c r="D702" t="s">
        <v>642</v>
      </c>
      <c r="E702">
        <v>-9687.7000000000007</v>
      </c>
      <c r="F702">
        <v>-1.06</v>
      </c>
      <c r="G702" t="s">
        <v>12</v>
      </c>
      <c r="I702" t="s">
        <v>230</v>
      </c>
    </row>
    <row r="703" spans="1:9" hidden="1" x14ac:dyDescent="0.25">
      <c r="A703" t="s">
        <v>610</v>
      </c>
      <c r="B703" t="s">
        <v>92</v>
      </c>
      <c r="C703" s="2">
        <f>HYPERLINK("https://cao.dolgi.msk.ru/account/1080088632/", 1080088632)</f>
        <v>1080088632</v>
      </c>
      <c r="D703" t="s">
        <v>643</v>
      </c>
      <c r="E703">
        <v>-8558.0400000000009</v>
      </c>
      <c r="F703">
        <v>-0.9</v>
      </c>
      <c r="G703" t="s">
        <v>12</v>
      </c>
      <c r="I703" t="s">
        <v>230</v>
      </c>
    </row>
    <row r="704" spans="1:9" hidden="1" x14ac:dyDescent="0.25">
      <c r="A704" t="s">
        <v>610</v>
      </c>
      <c r="B704" t="s">
        <v>94</v>
      </c>
      <c r="C704" s="2">
        <f>HYPERLINK("https://cao.dolgi.msk.ru/account/1080088659/", 1080088659)</f>
        <v>1080088659</v>
      </c>
      <c r="D704" t="s">
        <v>644</v>
      </c>
      <c r="E704">
        <v>-8552.67</v>
      </c>
      <c r="F704">
        <v>-1.08</v>
      </c>
      <c r="G704" t="s">
        <v>12</v>
      </c>
      <c r="I704" t="s">
        <v>230</v>
      </c>
    </row>
    <row r="705" spans="1:9" hidden="1" x14ac:dyDescent="0.25">
      <c r="A705" t="s">
        <v>610</v>
      </c>
      <c r="B705" t="s">
        <v>96</v>
      </c>
      <c r="C705" s="2">
        <f>HYPERLINK("https://cao.dolgi.msk.ru/account/1080088667/", 1080088667)</f>
        <v>1080088667</v>
      </c>
      <c r="D705" t="s">
        <v>645</v>
      </c>
      <c r="E705">
        <v>-4639.5600000000004</v>
      </c>
      <c r="F705">
        <v>-1.1499999999999999</v>
      </c>
      <c r="G705" t="s">
        <v>12</v>
      </c>
      <c r="I705" t="s">
        <v>230</v>
      </c>
    </row>
    <row r="706" spans="1:9" hidden="1" x14ac:dyDescent="0.25">
      <c r="A706" t="s">
        <v>610</v>
      </c>
      <c r="B706" t="s">
        <v>98</v>
      </c>
      <c r="C706" s="2">
        <f>HYPERLINK("https://cao.dolgi.msk.ru/account/1080088675/", 1080088675)</f>
        <v>1080088675</v>
      </c>
      <c r="D706" t="s">
        <v>646</v>
      </c>
      <c r="E706">
        <v>-7890.3</v>
      </c>
      <c r="F706">
        <v>-1.0900000000000001</v>
      </c>
      <c r="G706" t="s">
        <v>12</v>
      </c>
      <c r="I706" t="s">
        <v>230</v>
      </c>
    </row>
    <row r="707" spans="1:9" hidden="1" x14ac:dyDescent="0.25">
      <c r="A707" t="s">
        <v>610</v>
      </c>
      <c r="B707" t="s">
        <v>100</v>
      </c>
      <c r="C707" s="2">
        <f>HYPERLINK("https://cao.dolgi.msk.ru/account/1080088683/", 1080088683)</f>
        <v>1080088683</v>
      </c>
      <c r="D707" t="s">
        <v>647</v>
      </c>
      <c r="E707">
        <v>-4177.41</v>
      </c>
      <c r="F707">
        <v>-1.1399999999999999</v>
      </c>
      <c r="G707" t="s">
        <v>12</v>
      </c>
      <c r="I707" t="s">
        <v>230</v>
      </c>
    </row>
    <row r="708" spans="1:9" hidden="1" x14ac:dyDescent="0.25">
      <c r="A708" t="s">
        <v>610</v>
      </c>
      <c r="B708" t="s">
        <v>102</v>
      </c>
      <c r="C708" s="2">
        <f>HYPERLINK("https://cao.dolgi.msk.ru/account/1080088691/", 1080088691)</f>
        <v>1080088691</v>
      </c>
      <c r="D708" t="s">
        <v>648</v>
      </c>
      <c r="E708">
        <v>0</v>
      </c>
      <c r="F708">
        <v>0</v>
      </c>
      <c r="G708" t="s">
        <v>12</v>
      </c>
      <c r="I708" t="s">
        <v>230</v>
      </c>
    </row>
    <row r="709" spans="1:9" hidden="1" x14ac:dyDescent="0.25">
      <c r="A709" t="s">
        <v>610</v>
      </c>
      <c r="B709" t="s">
        <v>104</v>
      </c>
      <c r="C709" s="2">
        <f>HYPERLINK("https://cao.dolgi.msk.ru/account/1080088704/", 1080088704)</f>
        <v>1080088704</v>
      </c>
      <c r="D709" t="s">
        <v>649</v>
      </c>
      <c r="E709">
        <v>-7346.41</v>
      </c>
      <c r="F709">
        <v>-1.03</v>
      </c>
      <c r="G709" t="s">
        <v>12</v>
      </c>
      <c r="I709" t="s">
        <v>230</v>
      </c>
    </row>
    <row r="710" spans="1:9" hidden="1" x14ac:dyDescent="0.25">
      <c r="A710" t="s">
        <v>610</v>
      </c>
      <c r="B710" t="s">
        <v>106</v>
      </c>
      <c r="C710" s="2">
        <f>HYPERLINK("https://cao.dolgi.msk.ru/account/1080088712/", 1080088712)</f>
        <v>1080088712</v>
      </c>
      <c r="D710" t="s">
        <v>650</v>
      </c>
      <c r="E710">
        <v>-18.57</v>
      </c>
      <c r="F710">
        <v>0</v>
      </c>
      <c r="G710" t="s">
        <v>12</v>
      </c>
      <c r="I710" t="s">
        <v>230</v>
      </c>
    </row>
    <row r="711" spans="1:9" hidden="1" x14ac:dyDescent="0.25">
      <c r="A711" t="s">
        <v>610</v>
      </c>
      <c r="B711" t="s">
        <v>108</v>
      </c>
      <c r="C711" s="2">
        <f>HYPERLINK("https://cao.dolgi.msk.ru/account/1080088739/", 1080088739)</f>
        <v>1080088739</v>
      </c>
      <c r="D711" t="s">
        <v>651</v>
      </c>
      <c r="E711">
        <v>-2198.73</v>
      </c>
      <c r="F711">
        <v>-1.18</v>
      </c>
      <c r="G711" t="s">
        <v>12</v>
      </c>
      <c r="I711" t="s">
        <v>230</v>
      </c>
    </row>
    <row r="712" spans="1:9" hidden="1" x14ac:dyDescent="0.25">
      <c r="A712" t="s">
        <v>610</v>
      </c>
      <c r="B712" t="s">
        <v>108</v>
      </c>
      <c r="C712" s="2">
        <f>HYPERLINK("https://cao.dolgi.msk.ru/account/1083270026/", 1083270026)</f>
        <v>1083270026</v>
      </c>
      <c r="D712" t="s">
        <v>651</v>
      </c>
      <c r="E712">
        <v>-4812.6400000000003</v>
      </c>
      <c r="F712">
        <v>-1.06</v>
      </c>
      <c r="G712" t="s">
        <v>12</v>
      </c>
      <c r="I712" t="s">
        <v>230</v>
      </c>
    </row>
    <row r="713" spans="1:9" x14ac:dyDescent="0.25">
      <c r="A713" t="s">
        <v>610</v>
      </c>
      <c r="B713" t="s">
        <v>110</v>
      </c>
      <c r="C713" s="2">
        <f>HYPERLINK("https://cao.dolgi.msk.ru/account/1080088747/", 1080088747)</f>
        <v>1080088747</v>
      </c>
      <c r="D713" t="s">
        <v>652</v>
      </c>
      <c r="E713">
        <v>27014.58</v>
      </c>
      <c r="F713">
        <v>3</v>
      </c>
      <c r="G713" t="s">
        <v>12</v>
      </c>
      <c r="I713" t="s">
        <v>230</v>
      </c>
    </row>
    <row r="714" spans="1:9" hidden="1" x14ac:dyDescent="0.25">
      <c r="A714" t="s">
        <v>610</v>
      </c>
      <c r="B714" t="s">
        <v>112</v>
      </c>
      <c r="C714" s="2">
        <f>HYPERLINK("https://cao.dolgi.msk.ru/account/1080088755/", 1080088755)</f>
        <v>1080088755</v>
      </c>
      <c r="D714" t="s">
        <v>653</v>
      </c>
      <c r="E714">
        <v>-5178.82</v>
      </c>
      <c r="F714">
        <v>-1.1599999999999999</v>
      </c>
      <c r="G714" t="s">
        <v>12</v>
      </c>
      <c r="I714" t="s">
        <v>230</v>
      </c>
    </row>
    <row r="715" spans="1:9" hidden="1" x14ac:dyDescent="0.25">
      <c r="A715" t="s">
        <v>610</v>
      </c>
      <c r="B715" t="s">
        <v>114</v>
      </c>
      <c r="C715" s="2">
        <f>HYPERLINK("https://cao.dolgi.msk.ru/account/1080088763/", 1080088763)</f>
        <v>1080088763</v>
      </c>
      <c r="D715" t="s">
        <v>654</v>
      </c>
      <c r="E715">
        <v>-5360.74</v>
      </c>
      <c r="F715">
        <v>-1.28</v>
      </c>
      <c r="G715" t="s">
        <v>12</v>
      </c>
      <c r="I715" t="s">
        <v>230</v>
      </c>
    </row>
    <row r="716" spans="1:9" hidden="1" x14ac:dyDescent="0.25">
      <c r="A716" t="s">
        <v>610</v>
      </c>
      <c r="B716" t="s">
        <v>116</v>
      </c>
      <c r="C716" s="2">
        <f>HYPERLINK("https://cao.dolgi.msk.ru/account/1080088771/", 1080088771)</f>
        <v>1080088771</v>
      </c>
      <c r="D716" t="s">
        <v>655</v>
      </c>
      <c r="E716">
        <v>-5233.6000000000004</v>
      </c>
      <c r="F716">
        <v>-1.1499999999999999</v>
      </c>
      <c r="G716" t="s">
        <v>12</v>
      </c>
      <c r="I716" t="s">
        <v>230</v>
      </c>
    </row>
    <row r="717" spans="1:9" hidden="1" x14ac:dyDescent="0.25">
      <c r="A717" t="s">
        <v>610</v>
      </c>
      <c r="B717" t="s">
        <v>118</v>
      </c>
      <c r="C717" s="2">
        <f>HYPERLINK("https://cao.dolgi.msk.ru/account/1080088798/", 1080088798)</f>
        <v>1080088798</v>
      </c>
      <c r="D717" t="s">
        <v>656</v>
      </c>
      <c r="E717">
        <v>-5317.13</v>
      </c>
      <c r="F717">
        <v>-1.1399999999999999</v>
      </c>
      <c r="G717" t="s">
        <v>12</v>
      </c>
      <c r="I717" t="s">
        <v>230</v>
      </c>
    </row>
    <row r="718" spans="1:9" hidden="1" x14ac:dyDescent="0.25">
      <c r="A718" t="s">
        <v>610</v>
      </c>
      <c r="B718" t="s">
        <v>120</v>
      </c>
      <c r="C718" s="2">
        <f>HYPERLINK("https://cao.dolgi.msk.ru/account/1080088819/", 1080088819)</f>
        <v>1080088819</v>
      </c>
      <c r="D718" t="s">
        <v>657</v>
      </c>
      <c r="E718">
        <v>-5171.17</v>
      </c>
      <c r="F718">
        <v>-0.81</v>
      </c>
      <c r="G718" t="s">
        <v>12</v>
      </c>
      <c r="I718" t="s">
        <v>230</v>
      </c>
    </row>
    <row r="719" spans="1:9" hidden="1" x14ac:dyDescent="0.25">
      <c r="A719" t="s">
        <v>610</v>
      </c>
      <c r="B719" t="s">
        <v>122</v>
      </c>
      <c r="C719" s="2">
        <f>HYPERLINK("https://cao.dolgi.msk.ru/account/1080088827/", 1080088827)</f>
        <v>1080088827</v>
      </c>
      <c r="D719" t="s">
        <v>658</v>
      </c>
      <c r="E719">
        <v>-8511.16</v>
      </c>
      <c r="F719">
        <v>-0.89</v>
      </c>
      <c r="G719" t="s">
        <v>12</v>
      </c>
      <c r="I719" t="s">
        <v>230</v>
      </c>
    </row>
    <row r="720" spans="1:9" hidden="1" x14ac:dyDescent="0.25">
      <c r="A720" t="s">
        <v>610</v>
      </c>
      <c r="B720" t="s">
        <v>124</v>
      </c>
      <c r="C720" s="2">
        <f>HYPERLINK("https://cao.dolgi.msk.ru/account/1080088835/", 1080088835)</f>
        <v>1080088835</v>
      </c>
      <c r="D720" t="s">
        <v>659</v>
      </c>
      <c r="E720">
        <v>-6110.13</v>
      </c>
      <c r="F720">
        <v>-1.1100000000000001</v>
      </c>
      <c r="G720" t="s">
        <v>12</v>
      </c>
      <c r="I720" t="s">
        <v>230</v>
      </c>
    </row>
    <row r="721" spans="1:9" hidden="1" x14ac:dyDescent="0.25">
      <c r="A721" t="s">
        <v>610</v>
      </c>
      <c r="B721" t="s">
        <v>126</v>
      </c>
      <c r="C721" s="2">
        <f>HYPERLINK("https://cao.dolgi.msk.ru/account/1080088843/", 1080088843)</f>
        <v>1080088843</v>
      </c>
      <c r="D721" t="s">
        <v>660</v>
      </c>
      <c r="E721">
        <v>-5123.1899999999996</v>
      </c>
      <c r="F721">
        <v>-1.2</v>
      </c>
      <c r="G721" t="s">
        <v>12</v>
      </c>
      <c r="I721" t="s">
        <v>230</v>
      </c>
    </row>
    <row r="722" spans="1:9" hidden="1" x14ac:dyDescent="0.25">
      <c r="A722" t="s">
        <v>610</v>
      </c>
      <c r="B722" t="s">
        <v>128</v>
      </c>
      <c r="C722" s="2">
        <f>HYPERLINK("https://cao.dolgi.msk.ru/account/1080088851/", 1080088851)</f>
        <v>1080088851</v>
      </c>
      <c r="D722" t="s">
        <v>661</v>
      </c>
      <c r="E722">
        <v>-6394.11</v>
      </c>
      <c r="F722">
        <v>-1.1000000000000001</v>
      </c>
      <c r="G722" t="s">
        <v>12</v>
      </c>
      <c r="I722" t="s">
        <v>230</v>
      </c>
    </row>
    <row r="723" spans="1:9" hidden="1" x14ac:dyDescent="0.25">
      <c r="A723" t="s">
        <v>610</v>
      </c>
      <c r="B723" t="s">
        <v>130</v>
      </c>
      <c r="C723" s="2">
        <f>HYPERLINK("https://cao.dolgi.msk.ru/account/1080088878/", 1080088878)</f>
        <v>1080088878</v>
      </c>
      <c r="D723" t="s">
        <v>662</v>
      </c>
      <c r="E723">
        <v>-5351.07</v>
      </c>
      <c r="F723">
        <v>-1.1299999999999999</v>
      </c>
      <c r="G723" t="s">
        <v>12</v>
      </c>
      <c r="I723" t="s">
        <v>230</v>
      </c>
    </row>
    <row r="724" spans="1:9" hidden="1" x14ac:dyDescent="0.25">
      <c r="A724" t="s">
        <v>610</v>
      </c>
      <c r="B724" t="s">
        <v>132</v>
      </c>
      <c r="C724" s="2">
        <f>HYPERLINK("https://cao.dolgi.msk.ru/account/1080088886/", 1080088886)</f>
        <v>1080088886</v>
      </c>
      <c r="D724" t="s">
        <v>663</v>
      </c>
      <c r="E724">
        <v>-6298.98</v>
      </c>
      <c r="F724">
        <v>-1.1599999999999999</v>
      </c>
      <c r="G724" t="s">
        <v>12</v>
      </c>
      <c r="I724" t="s">
        <v>230</v>
      </c>
    </row>
    <row r="725" spans="1:9" x14ac:dyDescent="0.25">
      <c r="A725" t="s">
        <v>610</v>
      </c>
      <c r="B725" t="s">
        <v>133</v>
      </c>
      <c r="C725" s="2">
        <f>HYPERLINK("https://cao.dolgi.msk.ru/account/1080088894/", 1080088894)</f>
        <v>1080088894</v>
      </c>
      <c r="D725" t="s">
        <v>664</v>
      </c>
      <c r="E725">
        <v>6836.2</v>
      </c>
      <c r="F725">
        <v>1.01</v>
      </c>
      <c r="G725" t="s">
        <v>12</v>
      </c>
      <c r="I725" t="s">
        <v>230</v>
      </c>
    </row>
    <row r="726" spans="1:9" hidden="1" x14ac:dyDescent="0.25">
      <c r="A726" t="s">
        <v>610</v>
      </c>
      <c r="B726" t="s">
        <v>135</v>
      </c>
      <c r="C726" s="2">
        <f>HYPERLINK("https://cao.dolgi.msk.ru/account/1080088907/", 1080088907)</f>
        <v>1080088907</v>
      </c>
      <c r="D726" t="s">
        <v>665</v>
      </c>
      <c r="E726">
        <v>0</v>
      </c>
      <c r="F726">
        <v>0</v>
      </c>
      <c r="G726" t="s">
        <v>12</v>
      </c>
      <c r="I726" t="s">
        <v>230</v>
      </c>
    </row>
    <row r="727" spans="1:9" hidden="1" x14ac:dyDescent="0.25">
      <c r="A727" t="s">
        <v>610</v>
      </c>
      <c r="B727" t="s">
        <v>137</v>
      </c>
      <c r="C727" s="2">
        <f>HYPERLINK("https://cao.dolgi.msk.ru/account/1080088915/", 1080088915)</f>
        <v>1080088915</v>
      </c>
      <c r="D727" t="s">
        <v>666</v>
      </c>
      <c r="E727">
        <v>0</v>
      </c>
      <c r="F727">
        <v>0</v>
      </c>
      <c r="G727" t="s">
        <v>12</v>
      </c>
      <c r="I727" t="s">
        <v>230</v>
      </c>
    </row>
    <row r="728" spans="1:9" hidden="1" x14ac:dyDescent="0.25">
      <c r="A728" t="s">
        <v>610</v>
      </c>
      <c r="B728" t="s">
        <v>139</v>
      </c>
      <c r="C728" s="2">
        <f>HYPERLINK("https://cao.dolgi.msk.ru/account/1080088923/", 1080088923)</f>
        <v>1080088923</v>
      </c>
      <c r="D728" t="s">
        <v>667</v>
      </c>
      <c r="E728">
        <v>-7300.27</v>
      </c>
      <c r="F728">
        <v>-1.1599999999999999</v>
      </c>
      <c r="G728" t="s">
        <v>12</v>
      </c>
      <c r="I728" t="s">
        <v>230</v>
      </c>
    </row>
    <row r="729" spans="1:9" hidden="1" x14ac:dyDescent="0.25">
      <c r="A729" t="s">
        <v>610</v>
      </c>
      <c r="B729" t="s">
        <v>141</v>
      </c>
      <c r="C729" s="2">
        <f>HYPERLINK("https://cao.dolgi.msk.ru/account/1080088931/", 1080088931)</f>
        <v>1080088931</v>
      </c>
      <c r="D729" t="s">
        <v>668</v>
      </c>
      <c r="E729">
        <v>-6743.2</v>
      </c>
      <c r="F729">
        <v>-1.08</v>
      </c>
      <c r="G729" t="s">
        <v>12</v>
      </c>
      <c r="I729" t="s">
        <v>230</v>
      </c>
    </row>
    <row r="730" spans="1:9" hidden="1" x14ac:dyDescent="0.25">
      <c r="A730" t="s">
        <v>610</v>
      </c>
      <c r="B730" t="s">
        <v>143</v>
      </c>
      <c r="C730" s="2">
        <f>HYPERLINK("https://cao.dolgi.msk.ru/account/1080088958/", 1080088958)</f>
        <v>1080088958</v>
      </c>
      <c r="D730" t="s">
        <v>669</v>
      </c>
      <c r="E730">
        <v>-144</v>
      </c>
      <c r="F730">
        <v>-0.02</v>
      </c>
      <c r="G730" t="s">
        <v>12</v>
      </c>
      <c r="I730" t="s">
        <v>230</v>
      </c>
    </row>
    <row r="731" spans="1:9" hidden="1" x14ac:dyDescent="0.25">
      <c r="A731" t="s">
        <v>610</v>
      </c>
      <c r="B731" t="s">
        <v>145</v>
      </c>
      <c r="C731" s="2">
        <f>HYPERLINK("https://cao.dolgi.msk.ru/account/1080088966/", 1080088966)</f>
        <v>1080088966</v>
      </c>
      <c r="D731" t="s">
        <v>670</v>
      </c>
      <c r="E731">
        <v>-106.84</v>
      </c>
      <c r="F731">
        <v>-0.02</v>
      </c>
      <c r="G731" t="s">
        <v>12</v>
      </c>
      <c r="I731" t="s">
        <v>230</v>
      </c>
    </row>
    <row r="732" spans="1:9" hidden="1" x14ac:dyDescent="0.25">
      <c r="A732" t="s">
        <v>610</v>
      </c>
      <c r="B732" t="s">
        <v>147</v>
      </c>
      <c r="C732" s="2">
        <f>HYPERLINK("https://cao.dolgi.msk.ru/account/1080088974/", 1080088974)</f>
        <v>1080088974</v>
      </c>
      <c r="D732" t="s">
        <v>671</v>
      </c>
      <c r="E732">
        <v>-5283.4</v>
      </c>
      <c r="F732">
        <v>-1.1200000000000001</v>
      </c>
      <c r="G732" t="s">
        <v>12</v>
      </c>
      <c r="I732" t="s">
        <v>230</v>
      </c>
    </row>
    <row r="733" spans="1:9" hidden="1" x14ac:dyDescent="0.25">
      <c r="A733" t="s">
        <v>610</v>
      </c>
      <c r="B733" t="s">
        <v>149</v>
      </c>
      <c r="C733" s="2">
        <f>HYPERLINK("https://cao.dolgi.msk.ru/account/1080088982/", 1080088982)</f>
        <v>1080088982</v>
      </c>
      <c r="D733" t="s">
        <v>672</v>
      </c>
      <c r="E733">
        <v>-8042.7</v>
      </c>
      <c r="F733">
        <v>-1.01</v>
      </c>
      <c r="G733" t="s">
        <v>12</v>
      </c>
      <c r="I733" t="s">
        <v>230</v>
      </c>
    </row>
    <row r="734" spans="1:9" hidden="1" x14ac:dyDescent="0.25">
      <c r="A734" t="s">
        <v>610</v>
      </c>
      <c r="B734" t="s">
        <v>151</v>
      </c>
      <c r="C734" s="2">
        <f>HYPERLINK("https://cao.dolgi.msk.ru/account/1080089002/", 1080089002)</f>
        <v>1080089002</v>
      </c>
      <c r="D734" t="s">
        <v>673</v>
      </c>
      <c r="E734">
        <v>-6738.63</v>
      </c>
      <c r="F734">
        <v>-1.48</v>
      </c>
      <c r="G734" t="s">
        <v>12</v>
      </c>
      <c r="I734" t="s">
        <v>230</v>
      </c>
    </row>
    <row r="735" spans="1:9" hidden="1" x14ac:dyDescent="0.25">
      <c r="A735" t="s">
        <v>610</v>
      </c>
      <c r="B735" t="s">
        <v>153</v>
      </c>
      <c r="C735" s="2">
        <f>HYPERLINK("https://cao.dolgi.msk.ru/account/1080089029/", 1080089029)</f>
        <v>1080089029</v>
      </c>
      <c r="D735" t="s">
        <v>674</v>
      </c>
      <c r="E735">
        <v>-72.87</v>
      </c>
      <c r="F735">
        <v>-0.02</v>
      </c>
      <c r="G735" t="s">
        <v>12</v>
      </c>
      <c r="I735" t="s">
        <v>230</v>
      </c>
    </row>
    <row r="736" spans="1:9" hidden="1" x14ac:dyDescent="0.25">
      <c r="A736" t="s">
        <v>610</v>
      </c>
      <c r="B736" t="s">
        <v>155</v>
      </c>
      <c r="C736" s="2">
        <f>HYPERLINK("https://cao.dolgi.msk.ru/account/1080089037/", 1080089037)</f>
        <v>1080089037</v>
      </c>
      <c r="D736" t="s">
        <v>675</v>
      </c>
      <c r="E736">
        <v>-7707.23</v>
      </c>
      <c r="F736">
        <v>-0.98</v>
      </c>
      <c r="G736" t="s">
        <v>12</v>
      </c>
      <c r="I736" t="s">
        <v>230</v>
      </c>
    </row>
    <row r="737" spans="1:9" hidden="1" x14ac:dyDescent="0.25">
      <c r="A737" t="s">
        <v>610</v>
      </c>
      <c r="B737" t="s">
        <v>157</v>
      </c>
      <c r="C737" s="2">
        <f>HYPERLINK("https://cao.dolgi.msk.ru/account/1080089045/", 1080089045)</f>
        <v>1080089045</v>
      </c>
      <c r="D737" t="s">
        <v>676</v>
      </c>
      <c r="E737">
        <v>-7543.52</v>
      </c>
      <c r="F737">
        <v>-1.43</v>
      </c>
      <c r="G737" t="s">
        <v>12</v>
      </c>
      <c r="I737" t="s">
        <v>230</v>
      </c>
    </row>
    <row r="738" spans="1:9" hidden="1" x14ac:dyDescent="0.25">
      <c r="A738" t="s">
        <v>610</v>
      </c>
      <c r="B738" t="s">
        <v>159</v>
      </c>
      <c r="C738" s="2">
        <f>HYPERLINK("https://cao.dolgi.msk.ru/account/1080089053/", 1080089053)</f>
        <v>1080089053</v>
      </c>
      <c r="D738" t="s">
        <v>677</v>
      </c>
      <c r="E738">
        <v>6.49</v>
      </c>
      <c r="F738">
        <v>0</v>
      </c>
      <c r="G738" t="s">
        <v>12</v>
      </c>
      <c r="I738" t="s">
        <v>230</v>
      </c>
    </row>
    <row r="739" spans="1:9" x14ac:dyDescent="0.25">
      <c r="A739" t="s">
        <v>610</v>
      </c>
      <c r="B739" t="s">
        <v>161</v>
      </c>
      <c r="C739" s="2">
        <f>HYPERLINK("https://cao.dolgi.msk.ru/account/1080089061/", 1080089061)</f>
        <v>1080089061</v>
      </c>
      <c r="D739" t="s">
        <v>678</v>
      </c>
      <c r="E739">
        <v>17556.29</v>
      </c>
      <c r="F739">
        <v>2.91</v>
      </c>
      <c r="G739" t="s">
        <v>12</v>
      </c>
      <c r="I739" t="s">
        <v>230</v>
      </c>
    </row>
    <row r="740" spans="1:9" x14ac:dyDescent="0.25">
      <c r="A740" t="s">
        <v>610</v>
      </c>
      <c r="B740" t="s">
        <v>161</v>
      </c>
      <c r="C740" s="2">
        <f>HYPERLINK("https://cao.dolgi.msk.ru/account/1089131123/", 1089131123)</f>
        <v>1089131123</v>
      </c>
      <c r="D740" t="s">
        <v>679</v>
      </c>
      <c r="E740">
        <v>12050.57</v>
      </c>
      <c r="F740">
        <v>2</v>
      </c>
      <c r="G740" t="s">
        <v>12</v>
      </c>
      <c r="I740" t="s">
        <v>230</v>
      </c>
    </row>
    <row r="741" spans="1:9" hidden="1" x14ac:dyDescent="0.25">
      <c r="A741" t="s">
        <v>610</v>
      </c>
      <c r="B741" t="s">
        <v>163</v>
      </c>
      <c r="C741" s="2">
        <f>HYPERLINK("https://cao.dolgi.msk.ru/account/1080089088/", 1080089088)</f>
        <v>1080089088</v>
      </c>
      <c r="D741" t="s">
        <v>680</v>
      </c>
      <c r="E741">
        <v>0</v>
      </c>
      <c r="F741">
        <v>0</v>
      </c>
      <c r="G741" t="s">
        <v>12</v>
      </c>
      <c r="I741" t="s">
        <v>230</v>
      </c>
    </row>
    <row r="742" spans="1:9" hidden="1" x14ac:dyDescent="0.25">
      <c r="A742" t="s">
        <v>610</v>
      </c>
      <c r="B742" t="s">
        <v>571</v>
      </c>
      <c r="C742" s="2">
        <f>HYPERLINK("https://cao.dolgi.msk.ru/account/1080089096/", 1080089096)</f>
        <v>1080089096</v>
      </c>
      <c r="D742" t="s">
        <v>681</v>
      </c>
      <c r="E742">
        <v>-6937.05</v>
      </c>
      <c r="F742">
        <v>-1.1200000000000001</v>
      </c>
      <c r="G742" t="s">
        <v>12</v>
      </c>
      <c r="I742" t="s">
        <v>230</v>
      </c>
    </row>
    <row r="743" spans="1:9" hidden="1" x14ac:dyDescent="0.25">
      <c r="A743" t="s">
        <v>610</v>
      </c>
      <c r="B743" t="s">
        <v>682</v>
      </c>
      <c r="C743" s="2">
        <f>HYPERLINK("https://cao.dolgi.msk.ru/account/1080089109/", 1080089109)</f>
        <v>1080089109</v>
      </c>
      <c r="D743" t="s">
        <v>683</v>
      </c>
      <c r="E743">
        <v>-4637.67</v>
      </c>
      <c r="F743">
        <v>-1.1100000000000001</v>
      </c>
      <c r="G743" t="s">
        <v>12</v>
      </c>
      <c r="I743" t="s">
        <v>230</v>
      </c>
    </row>
    <row r="744" spans="1:9" hidden="1" x14ac:dyDescent="0.25">
      <c r="A744" t="s">
        <v>610</v>
      </c>
      <c r="B744" t="s">
        <v>578</v>
      </c>
      <c r="C744" s="2">
        <f>HYPERLINK("https://cao.dolgi.msk.ru/account/1080089117/", 1080089117)</f>
        <v>1080089117</v>
      </c>
      <c r="D744" t="s">
        <v>684</v>
      </c>
      <c r="E744">
        <v>-8554.49</v>
      </c>
      <c r="F744">
        <v>-1.1399999999999999</v>
      </c>
      <c r="G744" t="s">
        <v>12</v>
      </c>
      <c r="I744" t="s">
        <v>230</v>
      </c>
    </row>
    <row r="745" spans="1:9" hidden="1" x14ac:dyDescent="0.25">
      <c r="A745" t="s">
        <v>610</v>
      </c>
      <c r="B745" t="s">
        <v>580</v>
      </c>
      <c r="C745" s="2">
        <f>HYPERLINK("https://cao.dolgi.msk.ru/account/1080089125/", 1080089125)</f>
        <v>1080089125</v>
      </c>
      <c r="D745" t="s">
        <v>685</v>
      </c>
      <c r="E745">
        <v>34.729999999999997</v>
      </c>
      <c r="F745">
        <v>0.01</v>
      </c>
      <c r="G745" t="s">
        <v>12</v>
      </c>
      <c r="I745" t="s">
        <v>230</v>
      </c>
    </row>
    <row r="746" spans="1:9" hidden="1" x14ac:dyDescent="0.25">
      <c r="A746" t="s">
        <v>610</v>
      </c>
      <c r="B746" t="s">
        <v>686</v>
      </c>
      <c r="C746" s="2">
        <f>HYPERLINK("https://cao.dolgi.msk.ru/account/1080089133/", 1080089133)</f>
        <v>1080089133</v>
      </c>
      <c r="D746" t="s">
        <v>687</v>
      </c>
      <c r="E746">
        <v>-52.36</v>
      </c>
      <c r="F746">
        <v>-0.01</v>
      </c>
      <c r="G746" t="s">
        <v>12</v>
      </c>
      <c r="I746" t="s">
        <v>230</v>
      </c>
    </row>
    <row r="747" spans="1:9" hidden="1" x14ac:dyDescent="0.25">
      <c r="A747" t="s">
        <v>610</v>
      </c>
      <c r="B747" t="s">
        <v>582</v>
      </c>
      <c r="C747" s="2">
        <f>HYPERLINK("https://cao.dolgi.msk.ru/account/1080089141/", 1080089141)</f>
        <v>1080089141</v>
      </c>
      <c r="D747" t="s">
        <v>688</v>
      </c>
      <c r="E747">
        <v>-5170.24</v>
      </c>
      <c r="F747">
        <v>-1.17</v>
      </c>
      <c r="G747" t="s">
        <v>12</v>
      </c>
      <c r="I747" t="s">
        <v>230</v>
      </c>
    </row>
    <row r="748" spans="1:9" hidden="1" x14ac:dyDescent="0.25">
      <c r="A748" t="s">
        <v>610</v>
      </c>
      <c r="B748" t="s">
        <v>584</v>
      </c>
      <c r="C748" s="2">
        <f>HYPERLINK("https://cao.dolgi.msk.ru/account/1080089168/", 1080089168)</f>
        <v>1080089168</v>
      </c>
      <c r="D748" t="s">
        <v>689</v>
      </c>
      <c r="E748">
        <v>-5228.7700000000004</v>
      </c>
      <c r="F748">
        <v>-1.1399999999999999</v>
      </c>
      <c r="G748" t="s">
        <v>12</v>
      </c>
      <c r="I748" t="s">
        <v>230</v>
      </c>
    </row>
    <row r="749" spans="1:9" hidden="1" x14ac:dyDescent="0.25">
      <c r="A749" t="s">
        <v>610</v>
      </c>
      <c r="B749" t="s">
        <v>586</v>
      </c>
      <c r="C749" s="2">
        <f>HYPERLINK("https://cao.dolgi.msk.ru/account/1080089176/", 1080089176)</f>
        <v>1080089176</v>
      </c>
      <c r="D749" t="s">
        <v>690</v>
      </c>
      <c r="E749">
        <v>-5130.82</v>
      </c>
      <c r="F749">
        <v>-1.0900000000000001</v>
      </c>
      <c r="G749" t="s">
        <v>12</v>
      </c>
      <c r="I749" t="s">
        <v>230</v>
      </c>
    </row>
    <row r="750" spans="1:9" hidden="1" x14ac:dyDescent="0.25">
      <c r="A750" t="s">
        <v>610</v>
      </c>
      <c r="B750" t="s">
        <v>588</v>
      </c>
      <c r="C750" s="2">
        <f>HYPERLINK("https://cao.dolgi.msk.ru/account/1080089184/", 1080089184)</f>
        <v>1080089184</v>
      </c>
      <c r="D750" t="s">
        <v>691</v>
      </c>
      <c r="E750">
        <v>4572.28</v>
      </c>
      <c r="F750">
        <v>0.77</v>
      </c>
      <c r="G750" t="s">
        <v>12</v>
      </c>
      <c r="I750" t="s">
        <v>230</v>
      </c>
    </row>
    <row r="751" spans="1:9" hidden="1" x14ac:dyDescent="0.25">
      <c r="A751" t="s">
        <v>610</v>
      </c>
      <c r="B751" t="s">
        <v>590</v>
      </c>
      <c r="C751" s="2">
        <f>HYPERLINK("https://cao.dolgi.msk.ru/account/1080089192/", 1080089192)</f>
        <v>1080089192</v>
      </c>
      <c r="D751" t="s">
        <v>692</v>
      </c>
      <c r="E751">
        <v>-3002.31</v>
      </c>
      <c r="F751">
        <v>-1.53</v>
      </c>
      <c r="G751" t="s">
        <v>12</v>
      </c>
      <c r="I751" t="s">
        <v>230</v>
      </c>
    </row>
    <row r="752" spans="1:9" hidden="1" x14ac:dyDescent="0.25">
      <c r="A752" t="s">
        <v>610</v>
      </c>
      <c r="B752" t="s">
        <v>693</v>
      </c>
      <c r="C752" s="2">
        <f>HYPERLINK("https://cao.dolgi.msk.ru/account/1080089205/", 1080089205)</f>
        <v>1080089205</v>
      </c>
      <c r="D752" t="s">
        <v>62</v>
      </c>
      <c r="E752">
        <v>-8207.67</v>
      </c>
      <c r="F752">
        <v>-1.1100000000000001</v>
      </c>
      <c r="G752" t="s">
        <v>12</v>
      </c>
      <c r="I752" t="s">
        <v>230</v>
      </c>
    </row>
    <row r="753" spans="1:9" hidden="1" x14ac:dyDescent="0.25">
      <c r="A753" t="s">
        <v>610</v>
      </c>
      <c r="B753" t="s">
        <v>694</v>
      </c>
      <c r="C753" s="2">
        <f>HYPERLINK("https://cao.dolgi.msk.ru/account/1080089213/", 1080089213)</f>
        <v>1080089213</v>
      </c>
      <c r="D753" t="s">
        <v>695</v>
      </c>
      <c r="E753">
        <v>-5273.63</v>
      </c>
      <c r="F753">
        <v>-1.1499999999999999</v>
      </c>
      <c r="G753" t="s">
        <v>12</v>
      </c>
      <c r="I753" t="s">
        <v>230</v>
      </c>
    </row>
    <row r="754" spans="1:9" hidden="1" x14ac:dyDescent="0.25">
      <c r="A754" t="s">
        <v>610</v>
      </c>
      <c r="B754" t="s">
        <v>696</v>
      </c>
      <c r="C754" s="2">
        <f>HYPERLINK("https://cao.dolgi.msk.ru/account/1080089221/", 1080089221)</f>
        <v>1080089221</v>
      </c>
      <c r="D754" t="s">
        <v>697</v>
      </c>
      <c r="E754">
        <v>-12.31</v>
      </c>
      <c r="F754">
        <v>-0.01</v>
      </c>
      <c r="G754" t="s">
        <v>12</v>
      </c>
      <c r="I754" t="s">
        <v>230</v>
      </c>
    </row>
    <row r="755" spans="1:9" hidden="1" x14ac:dyDescent="0.25">
      <c r="A755" t="s">
        <v>610</v>
      </c>
      <c r="B755" t="s">
        <v>698</v>
      </c>
      <c r="C755" s="2">
        <f>HYPERLINK("https://cao.dolgi.msk.ru/account/1080089248/", 1080089248)</f>
        <v>1080089248</v>
      </c>
      <c r="D755" t="s">
        <v>699</v>
      </c>
      <c r="E755">
        <v>-2926.92</v>
      </c>
      <c r="F755">
        <v>-0.48</v>
      </c>
      <c r="G755" t="s">
        <v>12</v>
      </c>
      <c r="I755" t="s">
        <v>230</v>
      </c>
    </row>
    <row r="756" spans="1:9" hidden="1" x14ac:dyDescent="0.25">
      <c r="A756" t="s">
        <v>610</v>
      </c>
      <c r="B756" t="s">
        <v>700</v>
      </c>
      <c r="C756" s="2">
        <f>HYPERLINK("https://cao.dolgi.msk.ru/account/1080089256/", 1080089256)</f>
        <v>1080089256</v>
      </c>
      <c r="D756" t="s">
        <v>701</v>
      </c>
      <c r="E756">
        <v>-4759.3900000000003</v>
      </c>
      <c r="F756">
        <v>-1.23</v>
      </c>
      <c r="G756" t="s">
        <v>12</v>
      </c>
      <c r="I756" t="s">
        <v>230</v>
      </c>
    </row>
    <row r="757" spans="1:9" hidden="1" x14ac:dyDescent="0.25">
      <c r="A757" t="s">
        <v>610</v>
      </c>
      <c r="B757" t="s">
        <v>700</v>
      </c>
      <c r="C757" s="2">
        <f>HYPERLINK("https://cao.dolgi.msk.ru/account/1089123852/", 1089123852)</f>
        <v>1089123852</v>
      </c>
      <c r="D757" t="s">
        <v>701</v>
      </c>
      <c r="E757">
        <v>-2700.69</v>
      </c>
      <c r="F757">
        <v>-1.25</v>
      </c>
      <c r="G757" t="s">
        <v>12</v>
      </c>
      <c r="I757" t="s">
        <v>230</v>
      </c>
    </row>
    <row r="758" spans="1:9" x14ac:dyDescent="0.25">
      <c r="A758" t="s">
        <v>610</v>
      </c>
      <c r="B758" t="s">
        <v>702</v>
      </c>
      <c r="C758" s="2">
        <f>HYPERLINK("https://cao.dolgi.msk.ru/account/1080089264/", 1080089264)</f>
        <v>1080089264</v>
      </c>
      <c r="D758" t="s">
        <v>62</v>
      </c>
      <c r="E758">
        <v>69649.25</v>
      </c>
      <c r="F758">
        <v>9.57</v>
      </c>
      <c r="G758" t="s">
        <v>12</v>
      </c>
      <c r="I758" t="s">
        <v>230</v>
      </c>
    </row>
    <row r="759" spans="1:9" hidden="1" x14ac:dyDescent="0.25">
      <c r="A759" t="s">
        <v>610</v>
      </c>
      <c r="B759" t="s">
        <v>703</v>
      </c>
      <c r="C759" s="2">
        <f>HYPERLINK("https://cao.dolgi.msk.ru/account/1080089272/", 1080089272)</f>
        <v>1080089272</v>
      </c>
      <c r="D759" t="s">
        <v>704</v>
      </c>
      <c r="E759">
        <v>-6387.77</v>
      </c>
      <c r="F759">
        <v>-1.05</v>
      </c>
      <c r="G759" t="s">
        <v>12</v>
      </c>
      <c r="I759" t="s">
        <v>230</v>
      </c>
    </row>
    <row r="760" spans="1:9" hidden="1" x14ac:dyDescent="0.25">
      <c r="A760" t="s">
        <v>610</v>
      </c>
      <c r="B760" t="s">
        <v>705</v>
      </c>
      <c r="C760" s="2">
        <f>HYPERLINK("https://cao.dolgi.msk.ru/account/1080089299/", 1080089299)</f>
        <v>1080089299</v>
      </c>
      <c r="D760" t="s">
        <v>706</v>
      </c>
      <c r="E760">
        <v>-5268.07</v>
      </c>
      <c r="F760">
        <v>-1.21</v>
      </c>
      <c r="G760" t="s">
        <v>12</v>
      </c>
      <c r="I760" t="s">
        <v>230</v>
      </c>
    </row>
    <row r="761" spans="1:9" hidden="1" x14ac:dyDescent="0.25">
      <c r="A761" t="s">
        <v>610</v>
      </c>
      <c r="B761" t="s">
        <v>707</v>
      </c>
      <c r="C761" s="2">
        <f>HYPERLINK("https://cao.dolgi.msk.ru/account/1080089301/", 1080089301)</f>
        <v>1080089301</v>
      </c>
      <c r="D761" t="s">
        <v>708</v>
      </c>
      <c r="E761">
        <v>-4414.26</v>
      </c>
      <c r="F761">
        <v>-1.26</v>
      </c>
      <c r="G761" t="s">
        <v>12</v>
      </c>
      <c r="I761" t="s">
        <v>230</v>
      </c>
    </row>
    <row r="762" spans="1:9" hidden="1" x14ac:dyDescent="0.25">
      <c r="A762" t="s">
        <v>610</v>
      </c>
      <c r="B762" t="s">
        <v>709</v>
      </c>
      <c r="C762" s="2">
        <f>HYPERLINK("https://cao.dolgi.msk.ru/account/1080089328/", 1080089328)</f>
        <v>1080089328</v>
      </c>
      <c r="D762" t="s">
        <v>710</v>
      </c>
      <c r="E762">
        <v>-117.76</v>
      </c>
      <c r="F762">
        <v>-0.02</v>
      </c>
      <c r="G762" t="s">
        <v>12</v>
      </c>
      <c r="I762" t="s">
        <v>230</v>
      </c>
    </row>
    <row r="763" spans="1:9" hidden="1" x14ac:dyDescent="0.25">
      <c r="A763" t="s">
        <v>610</v>
      </c>
      <c r="B763" t="s">
        <v>711</v>
      </c>
      <c r="C763" s="2">
        <f>HYPERLINK("https://cao.dolgi.msk.ru/account/1080089336/", 1080089336)</f>
        <v>1080089336</v>
      </c>
      <c r="D763" t="s">
        <v>712</v>
      </c>
      <c r="E763">
        <v>-31.8</v>
      </c>
      <c r="F763">
        <v>-0.01</v>
      </c>
      <c r="G763" t="s">
        <v>12</v>
      </c>
      <c r="I763" t="s">
        <v>230</v>
      </c>
    </row>
    <row r="764" spans="1:9" hidden="1" x14ac:dyDescent="0.25">
      <c r="A764" t="s">
        <v>610</v>
      </c>
      <c r="B764" t="s">
        <v>713</v>
      </c>
      <c r="C764" s="2">
        <f>HYPERLINK("https://cao.dolgi.msk.ru/account/1080089344/", 1080089344)</f>
        <v>1080089344</v>
      </c>
      <c r="D764" t="s">
        <v>714</v>
      </c>
      <c r="E764">
        <v>0</v>
      </c>
      <c r="F764">
        <v>0</v>
      </c>
      <c r="G764" t="s">
        <v>12</v>
      </c>
      <c r="I764" t="s">
        <v>230</v>
      </c>
    </row>
    <row r="765" spans="1:9" hidden="1" x14ac:dyDescent="0.25">
      <c r="A765" t="s">
        <v>610</v>
      </c>
      <c r="B765" t="s">
        <v>713</v>
      </c>
      <c r="C765" s="2">
        <f>HYPERLINK("https://cao.dolgi.msk.ru/account/1083284129/", 1083284129)</f>
        <v>1083284129</v>
      </c>
      <c r="D765" t="s">
        <v>15</v>
      </c>
      <c r="E765">
        <v>0</v>
      </c>
      <c r="F765">
        <v>0</v>
      </c>
      <c r="G765" t="s">
        <v>12</v>
      </c>
      <c r="I765" t="s">
        <v>230</v>
      </c>
    </row>
    <row r="766" spans="1:9" hidden="1" x14ac:dyDescent="0.25">
      <c r="A766" t="s">
        <v>610</v>
      </c>
      <c r="B766" t="s">
        <v>528</v>
      </c>
      <c r="C766" s="2">
        <f>HYPERLINK("https://cao.dolgi.msk.ru/account/1080089352/", 1080089352)</f>
        <v>1080089352</v>
      </c>
      <c r="D766" t="s">
        <v>715</v>
      </c>
      <c r="E766">
        <v>-6122.89</v>
      </c>
      <c r="F766">
        <v>-1.1000000000000001</v>
      </c>
      <c r="G766" t="s">
        <v>12</v>
      </c>
      <c r="I766" t="s">
        <v>230</v>
      </c>
    </row>
    <row r="767" spans="1:9" hidden="1" x14ac:dyDescent="0.25">
      <c r="A767" t="s">
        <v>610</v>
      </c>
      <c r="B767" t="s">
        <v>530</v>
      </c>
      <c r="C767" s="2">
        <f>HYPERLINK("https://cao.dolgi.msk.ru/account/1080089379/", 1080089379)</f>
        <v>1080089379</v>
      </c>
      <c r="D767" t="s">
        <v>716</v>
      </c>
      <c r="E767">
        <v>-7880.35</v>
      </c>
      <c r="F767">
        <v>-1.0900000000000001</v>
      </c>
      <c r="G767" t="s">
        <v>12</v>
      </c>
      <c r="I767" t="s">
        <v>230</v>
      </c>
    </row>
    <row r="768" spans="1:9" hidden="1" x14ac:dyDescent="0.25">
      <c r="A768" t="s">
        <v>610</v>
      </c>
      <c r="B768" t="s">
        <v>532</v>
      </c>
      <c r="C768" s="2">
        <f>HYPERLINK("https://cao.dolgi.msk.ru/account/1080089387/", 1080089387)</f>
        <v>1080089387</v>
      </c>
      <c r="D768" t="s">
        <v>717</v>
      </c>
      <c r="E768">
        <v>-8494.08</v>
      </c>
      <c r="F768">
        <v>-1.0900000000000001</v>
      </c>
      <c r="G768" t="s">
        <v>12</v>
      </c>
      <c r="I768" t="s">
        <v>230</v>
      </c>
    </row>
    <row r="769" spans="1:9" hidden="1" x14ac:dyDescent="0.25">
      <c r="A769" t="s">
        <v>610</v>
      </c>
      <c r="B769" t="s">
        <v>534</v>
      </c>
      <c r="C769" s="2">
        <f>HYPERLINK("https://cao.dolgi.msk.ru/account/1080089395/", 1080089395)</f>
        <v>1080089395</v>
      </c>
      <c r="D769" t="s">
        <v>718</v>
      </c>
      <c r="E769">
        <v>3306.73</v>
      </c>
      <c r="F769">
        <v>0.94</v>
      </c>
      <c r="G769" t="s">
        <v>12</v>
      </c>
      <c r="I769" t="s">
        <v>230</v>
      </c>
    </row>
    <row r="770" spans="1:9" x14ac:dyDescent="0.25">
      <c r="A770" t="s">
        <v>610</v>
      </c>
      <c r="B770" t="s">
        <v>536</v>
      </c>
      <c r="C770" s="2">
        <f>HYPERLINK("https://cao.dolgi.msk.ru/account/1080089408/", 1080089408)</f>
        <v>1080089408</v>
      </c>
      <c r="D770" t="s">
        <v>15</v>
      </c>
      <c r="E770">
        <v>121250.81</v>
      </c>
      <c r="F770">
        <v>28.8</v>
      </c>
      <c r="G770" t="s">
        <v>12</v>
      </c>
      <c r="H770" t="s">
        <v>7</v>
      </c>
      <c r="I770" t="s">
        <v>230</v>
      </c>
    </row>
    <row r="771" spans="1:9" hidden="1" x14ac:dyDescent="0.25">
      <c r="A771" t="s">
        <v>610</v>
      </c>
      <c r="B771" t="s">
        <v>536</v>
      </c>
      <c r="C771" s="2">
        <f>HYPERLINK("https://cao.dolgi.msk.ru/account/1080089416/", 1080089416)</f>
        <v>1080089416</v>
      </c>
      <c r="D771" t="s">
        <v>719</v>
      </c>
      <c r="E771">
        <v>-2239.2399999999998</v>
      </c>
      <c r="F771">
        <v>-1.1399999999999999</v>
      </c>
      <c r="G771" t="s">
        <v>12</v>
      </c>
      <c r="H771" t="s">
        <v>7</v>
      </c>
      <c r="I771" t="s">
        <v>230</v>
      </c>
    </row>
    <row r="772" spans="1:9" hidden="1" x14ac:dyDescent="0.25">
      <c r="A772" t="s">
        <v>610</v>
      </c>
      <c r="B772" t="s">
        <v>538</v>
      </c>
      <c r="C772" s="2">
        <f>HYPERLINK("https://cao.dolgi.msk.ru/account/1080089424/", 1080089424)</f>
        <v>1080089424</v>
      </c>
      <c r="D772" t="s">
        <v>720</v>
      </c>
      <c r="E772">
        <v>-4695.2700000000004</v>
      </c>
      <c r="F772">
        <v>-1.07</v>
      </c>
      <c r="G772" t="s">
        <v>12</v>
      </c>
      <c r="I772" t="s">
        <v>230</v>
      </c>
    </row>
    <row r="773" spans="1:9" x14ac:dyDescent="0.25">
      <c r="A773" t="s">
        <v>610</v>
      </c>
      <c r="B773" t="s">
        <v>539</v>
      </c>
      <c r="C773" s="2">
        <f>HYPERLINK("https://cao.dolgi.msk.ru/account/1080089432/", 1080089432)</f>
        <v>1080089432</v>
      </c>
      <c r="D773" t="s">
        <v>721</v>
      </c>
      <c r="E773">
        <v>16848.27</v>
      </c>
      <c r="F773">
        <v>2.64</v>
      </c>
      <c r="G773" t="s">
        <v>12</v>
      </c>
      <c r="I773" t="s">
        <v>230</v>
      </c>
    </row>
    <row r="774" spans="1:9" hidden="1" x14ac:dyDescent="0.25">
      <c r="A774" t="s">
        <v>610</v>
      </c>
      <c r="B774" t="s">
        <v>541</v>
      </c>
      <c r="C774" s="2">
        <f>HYPERLINK("https://cao.dolgi.msk.ru/account/1080089459/", 1080089459)</f>
        <v>1080089459</v>
      </c>
      <c r="D774" t="s">
        <v>722</v>
      </c>
      <c r="E774">
        <v>-10182.719999999999</v>
      </c>
      <c r="F774">
        <v>-1.06</v>
      </c>
      <c r="G774" t="s">
        <v>12</v>
      </c>
      <c r="I774" t="s">
        <v>230</v>
      </c>
    </row>
    <row r="775" spans="1:9" hidden="1" x14ac:dyDescent="0.25">
      <c r="A775" t="s">
        <v>610</v>
      </c>
      <c r="B775" t="s">
        <v>543</v>
      </c>
      <c r="C775" s="2">
        <f>HYPERLINK("https://cao.dolgi.msk.ru/account/1080089467/", 1080089467)</f>
        <v>1080089467</v>
      </c>
      <c r="D775" t="s">
        <v>723</v>
      </c>
      <c r="E775">
        <v>-7134.31</v>
      </c>
      <c r="F775">
        <v>-1.99</v>
      </c>
      <c r="G775" t="s">
        <v>12</v>
      </c>
      <c r="I775" t="s">
        <v>230</v>
      </c>
    </row>
    <row r="776" spans="1:9" hidden="1" x14ac:dyDescent="0.25">
      <c r="A776" t="s">
        <v>610</v>
      </c>
      <c r="B776" t="s">
        <v>545</v>
      </c>
      <c r="C776" s="2">
        <f>HYPERLINK("https://cao.dolgi.msk.ru/account/1080089475/", 1080089475)</f>
        <v>1080089475</v>
      </c>
      <c r="D776" t="s">
        <v>724</v>
      </c>
      <c r="E776">
        <v>-1770</v>
      </c>
      <c r="F776">
        <v>-0.45</v>
      </c>
      <c r="G776" t="s">
        <v>12</v>
      </c>
      <c r="I776" t="s">
        <v>230</v>
      </c>
    </row>
    <row r="777" spans="1:9" hidden="1" x14ac:dyDescent="0.25">
      <c r="A777" t="s">
        <v>610</v>
      </c>
      <c r="B777" t="s">
        <v>546</v>
      </c>
      <c r="C777" s="2">
        <f>HYPERLINK("https://cao.dolgi.msk.ru/account/1080089483/", 1080089483)</f>
        <v>1080089483</v>
      </c>
      <c r="D777" t="s">
        <v>725</v>
      </c>
      <c r="E777">
        <v>-2483.92</v>
      </c>
      <c r="F777">
        <v>-0.96</v>
      </c>
      <c r="G777" t="s">
        <v>12</v>
      </c>
      <c r="I777" t="s">
        <v>230</v>
      </c>
    </row>
    <row r="778" spans="1:9" hidden="1" x14ac:dyDescent="0.25">
      <c r="A778" t="s">
        <v>610</v>
      </c>
      <c r="B778" t="s">
        <v>548</v>
      </c>
      <c r="C778" s="2">
        <f>HYPERLINK("https://cao.dolgi.msk.ru/account/1080089491/", 1080089491)</f>
        <v>1080089491</v>
      </c>
      <c r="D778" t="s">
        <v>726</v>
      </c>
      <c r="E778">
        <v>3764.87</v>
      </c>
      <c r="F778">
        <v>1</v>
      </c>
      <c r="G778" t="s">
        <v>12</v>
      </c>
      <c r="I778" t="s">
        <v>230</v>
      </c>
    </row>
    <row r="779" spans="1:9" hidden="1" x14ac:dyDescent="0.25">
      <c r="A779" t="s">
        <v>610</v>
      </c>
      <c r="B779" t="s">
        <v>727</v>
      </c>
      <c r="C779" s="2">
        <f>HYPERLINK("https://cao.dolgi.msk.ru/account/1080089504/", 1080089504)</f>
        <v>1080089504</v>
      </c>
      <c r="D779" t="s">
        <v>728</v>
      </c>
      <c r="E779">
        <v>-9604.99</v>
      </c>
      <c r="F779">
        <v>-1.1100000000000001</v>
      </c>
      <c r="G779" t="s">
        <v>12</v>
      </c>
      <c r="I779" t="s">
        <v>230</v>
      </c>
    </row>
    <row r="780" spans="1:9" hidden="1" x14ac:dyDescent="0.25">
      <c r="A780" t="s">
        <v>610</v>
      </c>
      <c r="B780" t="s">
        <v>551</v>
      </c>
      <c r="C780" s="2">
        <f>HYPERLINK("https://cao.dolgi.msk.ru/account/1080089512/", 1080089512)</f>
        <v>1080089512</v>
      </c>
      <c r="D780" t="s">
        <v>729</v>
      </c>
      <c r="E780">
        <v>0</v>
      </c>
      <c r="F780">
        <v>0</v>
      </c>
      <c r="G780" t="s">
        <v>12</v>
      </c>
      <c r="I780" t="s">
        <v>230</v>
      </c>
    </row>
    <row r="781" spans="1:9" hidden="1" x14ac:dyDescent="0.25">
      <c r="A781" t="s">
        <v>610</v>
      </c>
      <c r="B781" t="s">
        <v>730</v>
      </c>
      <c r="C781" s="2">
        <f>HYPERLINK("https://cao.dolgi.msk.ru/account/1080089539/", 1080089539)</f>
        <v>1080089539</v>
      </c>
      <c r="D781" t="s">
        <v>731</v>
      </c>
      <c r="E781">
        <v>-7107.72</v>
      </c>
      <c r="F781">
        <v>-1.35</v>
      </c>
      <c r="G781" t="s">
        <v>12</v>
      </c>
      <c r="I781" t="s">
        <v>230</v>
      </c>
    </row>
    <row r="782" spans="1:9" hidden="1" x14ac:dyDescent="0.25">
      <c r="A782" t="s">
        <v>610</v>
      </c>
      <c r="B782" t="s">
        <v>732</v>
      </c>
      <c r="C782" s="2">
        <f>HYPERLINK("https://cao.dolgi.msk.ru/account/1080089547/", 1080089547)</f>
        <v>1080089547</v>
      </c>
      <c r="D782" t="s">
        <v>733</v>
      </c>
      <c r="E782">
        <v>-6460.82</v>
      </c>
      <c r="F782">
        <v>-1.05</v>
      </c>
      <c r="G782" t="s">
        <v>12</v>
      </c>
      <c r="I782" t="s">
        <v>230</v>
      </c>
    </row>
    <row r="783" spans="1:9" hidden="1" x14ac:dyDescent="0.25">
      <c r="A783" t="s">
        <v>610</v>
      </c>
      <c r="B783" t="s">
        <v>553</v>
      </c>
      <c r="C783" s="2">
        <f>HYPERLINK("https://cao.dolgi.msk.ru/account/1080089555/", 1080089555)</f>
        <v>1080089555</v>
      </c>
      <c r="D783" t="s">
        <v>734</v>
      </c>
      <c r="E783">
        <v>-27.97</v>
      </c>
      <c r="F783">
        <v>-0.02</v>
      </c>
      <c r="G783" t="s">
        <v>14</v>
      </c>
      <c r="I783" t="s">
        <v>230</v>
      </c>
    </row>
    <row r="784" spans="1:9" hidden="1" x14ac:dyDescent="0.25">
      <c r="A784" t="s">
        <v>610</v>
      </c>
      <c r="B784" t="s">
        <v>553</v>
      </c>
      <c r="C784" s="2">
        <f>HYPERLINK("https://cao.dolgi.msk.ru/account/1089123318/", 1089123318)</f>
        <v>1089123318</v>
      </c>
      <c r="D784" t="s">
        <v>15</v>
      </c>
      <c r="E784">
        <v>-5273.71</v>
      </c>
      <c r="F784">
        <v>-1.1299999999999999</v>
      </c>
      <c r="G784" t="s">
        <v>12</v>
      </c>
      <c r="I784" t="s">
        <v>230</v>
      </c>
    </row>
    <row r="785" spans="1:9" hidden="1" x14ac:dyDescent="0.25">
      <c r="A785" t="s">
        <v>610</v>
      </c>
      <c r="B785" t="s">
        <v>555</v>
      </c>
      <c r="C785" s="2">
        <f>HYPERLINK("https://cao.dolgi.msk.ru/account/1080089563/", 1080089563)</f>
        <v>1080089563</v>
      </c>
      <c r="D785" t="s">
        <v>735</v>
      </c>
      <c r="E785">
        <v>14.38</v>
      </c>
      <c r="F785">
        <v>0</v>
      </c>
      <c r="G785" t="s">
        <v>12</v>
      </c>
      <c r="I785" t="s">
        <v>230</v>
      </c>
    </row>
    <row r="786" spans="1:9" hidden="1" x14ac:dyDescent="0.25">
      <c r="A786" t="s">
        <v>610</v>
      </c>
      <c r="B786" t="s">
        <v>736</v>
      </c>
      <c r="C786" s="2">
        <f>HYPERLINK("https://cao.dolgi.msk.ru/account/1080089571/", 1080089571)</f>
        <v>1080089571</v>
      </c>
      <c r="D786" t="s">
        <v>737</v>
      </c>
      <c r="E786">
        <v>-49.56</v>
      </c>
      <c r="F786">
        <v>-0.01</v>
      </c>
      <c r="G786" t="s">
        <v>12</v>
      </c>
      <c r="I786" t="s">
        <v>230</v>
      </c>
    </row>
    <row r="787" spans="1:9" hidden="1" x14ac:dyDescent="0.25">
      <c r="A787" t="s">
        <v>610</v>
      </c>
      <c r="B787" t="s">
        <v>738</v>
      </c>
      <c r="C787" s="2">
        <f>HYPERLINK("https://cao.dolgi.msk.ru/account/1080089598/", 1080089598)</f>
        <v>1080089598</v>
      </c>
      <c r="D787" t="s">
        <v>739</v>
      </c>
      <c r="E787">
        <v>-4573.05</v>
      </c>
      <c r="F787">
        <v>-1.1499999999999999</v>
      </c>
      <c r="G787" t="s">
        <v>12</v>
      </c>
      <c r="I787" t="s">
        <v>230</v>
      </c>
    </row>
    <row r="788" spans="1:9" hidden="1" x14ac:dyDescent="0.25">
      <c r="A788" t="s">
        <v>610</v>
      </c>
      <c r="B788" t="s">
        <v>740</v>
      </c>
      <c r="C788" s="2">
        <f>HYPERLINK("https://cao.dolgi.msk.ru/account/1080089619/", 1080089619)</f>
        <v>1080089619</v>
      </c>
      <c r="D788" t="s">
        <v>741</v>
      </c>
      <c r="E788">
        <v>0</v>
      </c>
      <c r="F788">
        <v>0</v>
      </c>
      <c r="G788" t="s">
        <v>12</v>
      </c>
      <c r="I788" t="s">
        <v>230</v>
      </c>
    </row>
    <row r="789" spans="1:9" hidden="1" x14ac:dyDescent="0.25">
      <c r="A789" t="s">
        <v>610</v>
      </c>
      <c r="B789" t="s">
        <v>742</v>
      </c>
      <c r="C789" s="2">
        <f>HYPERLINK("https://cao.dolgi.msk.ru/account/1080089627/", 1080089627)</f>
        <v>1080089627</v>
      </c>
      <c r="D789" t="s">
        <v>743</v>
      </c>
      <c r="E789">
        <v>-6713.05</v>
      </c>
      <c r="F789">
        <v>-1.1399999999999999</v>
      </c>
      <c r="G789" t="s">
        <v>12</v>
      </c>
      <c r="I789" t="s">
        <v>230</v>
      </c>
    </row>
    <row r="790" spans="1:9" hidden="1" x14ac:dyDescent="0.25">
      <c r="A790" t="s">
        <v>610</v>
      </c>
      <c r="B790" t="s">
        <v>557</v>
      </c>
      <c r="C790" s="2">
        <f>HYPERLINK("https://cao.dolgi.msk.ru/account/1080089635/", 1080089635)</f>
        <v>1080089635</v>
      </c>
      <c r="D790" t="s">
        <v>744</v>
      </c>
      <c r="E790">
        <v>-5720.37</v>
      </c>
      <c r="F790">
        <v>-1.05</v>
      </c>
      <c r="G790" t="s">
        <v>12</v>
      </c>
      <c r="I790" t="s">
        <v>230</v>
      </c>
    </row>
    <row r="791" spans="1:9" hidden="1" x14ac:dyDescent="0.25">
      <c r="A791" t="s">
        <v>610</v>
      </c>
      <c r="B791" t="s">
        <v>558</v>
      </c>
      <c r="C791" s="2">
        <f>HYPERLINK("https://cao.dolgi.msk.ru/account/1080089643/", 1080089643)</f>
        <v>1080089643</v>
      </c>
      <c r="D791" t="s">
        <v>745</v>
      </c>
      <c r="E791">
        <v>-11927.47</v>
      </c>
      <c r="F791">
        <v>-1.0900000000000001</v>
      </c>
      <c r="G791" t="s">
        <v>12</v>
      </c>
      <c r="I791" t="s">
        <v>230</v>
      </c>
    </row>
    <row r="792" spans="1:9" hidden="1" x14ac:dyDescent="0.25">
      <c r="A792" t="s">
        <v>610</v>
      </c>
      <c r="B792" t="s">
        <v>746</v>
      </c>
      <c r="C792" s="2">
        <f>HYPERLINK("https://cao.dolgi.msk.ru/account/1080089651/", 1080089651)</f>
        <v>1080089651</v>
      </c>
      <c r="D792" t="s">
        <v>747</v>
      </c>
      <c r="E792">
        <v>-4454.74</v>
      </c>
      <c r="F792">
        <v>-1.21</v>
      </c>
      <c r="G792" t="s">
        <v>12</v>
      </c>
      <c r="I792" t="s">
        <v>230</v>
      </c>
    </row>
    <row r="793" spans="1:9" hidden="1" x14ac:dyDescent="0.25">
      <c r="A793" t="s">
        <v>610</v>
      </c>
      <c r="B793" t="s">
        <v>748</v>
      </c>
      <c r="C793" s="2">
        <f>HYPERLINK("https://cao.dolgi.msk.ru/account/1080089678/", 1080089678)</f>
        <v>1080089678</v>
      </c>
      <c r="D793" t="s">
        <v>749</v>
      </c>
      <c r="E793">
        <v>-8511.82</v>
      </c>
      <c r="F793">
        <v>-1.1399999999999999</v>
      </c>
      <c r="G793" t="s">
        <v>12</v>
      </c>
      <c r="I793" t="s">
        <v>230</v>
      </c>
    </row>
    <row r="794" spans="1:9" hidden="1" x14ac:dyDescent="0.25">
      <c r="A794" t="s">
        <v>610</v>
      </c>
      <c r="B794" t="s">
        <v>750</v>
      </c>
      <c r="C794" s="2">
        <f>HYPERLINK("https://cao.dolgi.msk.ru/account/1080089686/", 1080089686)</f>
        <v>1080089686</v>
      </c>
      <c r="D794" t="s">
        <v>751</v>
      </c>
      <c r="E794">
        <v>0</v>
      </c>
      <c r="F794">
        <v>0</v>
      </c>
      <c r="G794" t="s">
        <v>12</v>
      </c>
      <c r="I794" t="s">
        <v>230</v>
      </c>
    </row>
    <row r="795" spans="1:9" hidden="1" x14ac:dyDescent="0.25">
      <c r="A795" t="s">
        <v>610</v>
      </c>
      <c r="B795" t="s">
        <v>752</v>
      </c>
      <c r="C795" s="2">
        <f>HYPERLINK("https://cao.dolgi.msk.ru/account/1080089694/", 1080089694)</f>
        <v>1080089694</v>
      </c>
      <c r="D795" t="s">
        <v>753</v>
      </c>
      <c r="E795">
        <v>-8061.25</v>
      </c>
      <c r="F795">
        <v>-0.91</v>
      </c>
      <c r="G795" t="s">
        <v>12</v>
      </c>
      <c r="I795" t="s">
        <v>230</v>
      </c>
    </row>
    <row r="796" spans="1:9" hidden="1" x14ac:dyDescent="0.25">
      <c r="A796" t="s">
        <v>610</v>
      </c>
      <c r="B796" t="s">
        <v>754</v>
      </c>
      <c r="C796" s="2">
        <f>HYPERLINK("https://cao.dolgi.msk.ru/account/1080089707/", 1080089707)</f>
        <v>1080089707</v>
      </c>
      <c r="D796" t="s">
        <v>755</v>
      </c>
      <c r="E796">
        <v>-7305.65</v>
      </c>
      <c r="F796">
        <v>-1.1000000000000001</v>
      </c>
      <c r="G796" t="s">
        <v>12</v>
      </c>
      <c r="I796" t="s">
        <v>230</v>
      </c>
    </row>
    <row r="797" spans="1:9" hidden="1" x14ac:dyDescent="0.25">
      <c r="A797" t="s">
        <v>610</v>
      </c>
      <c r="B797" t="s">
        <v>756</v>
      </c>
      <c r="C797" s="2">
        <f>HYPERLINK("https://cao.dolgi.msk.ru/account/1080089715/", 1080089715)</f>
        <v>1080089715</v>
      </c>
      <c r="D797" t="s">
        <v>757</v>
      </c>
      <c r="E797">
        <v>-4202.6099999999997</v>
      </c>
      <c r="F797">
        <v>-1.19</v>
      </c>
      <c r="G797" t="s">
        <v>12</v>
      </c>
      <c r="I797" t="s">
        <v>230</v>
      </c>
    </row>
    <row r="798" spans="1:9" x14ac:dyDescent="0.25">
      <c r="A798" t="s">
        <v>610</v>
      </c>
      <c r="B798" t="s">
        <v>758</v>
      </c>
      <c r="C798" s="2">
        <f>HYPERLINK("https://cao.dolgi.msk.ru/account/1080089723/", 1080089723)</f>
        <v>1080089723</v>
      </c>
      <c r="D798" t="s">
        <v>759</v>
      </c>
      <c r="E798">
        <v>22750.61</v>
      </c>
      <c r="F798">
        <v>2.62</v>
      </c>
      <c r="G798" t="s">
        <v>12</v>
      </c>
      <c r="I798" t="s">
        <v>230</v>
      </c>
    </row>
    <row r="799" spans="1:9" hidden="1" x14ac:dyDescent="0.25">
      <c r="A799" t="s">
        <v>610</v>
      </c>
      <c r="B799" t="s">
        <v>760</v>
      </c>
      <c r="C799" s="2">
        <f>HYPERLINK("https://cao.dolgi.msk.ru/account/1080089731/", 1080089731)</f>
        <v>1080089731</v>
      </c>
      <c r="D799" t="s">
        <v>761</v>
      </c>
      <c r="E799">
        <v>-3017.07</v>
      </c>
      <c r="F799">
        <v>-1.36</v>
      </c>
      <c r="G799" t="s">
        <v>12</v>
      </c>
      <c r="I799" t="s">
        <v>230</v>
      </c>
    </row>
    <row r="800" spans="1:9" hidden="1" x14ac:dyDescent="0.25">
      <c r="A800" t="s">
        <v>610</v>
      </c>
      <c r="B800" t="s">
        <v>762</v>
      </c>
      <c r="C800" s="2">
        <f>HYPERLINK("https://cao.dolgi.msk.ru/account/1080089758/", 1080089758)</f>
        <v>1080089758</v>
      </c>
      <c r="D800" t="s">
        <v>763</v>
      </c>
      <c r="E800">
        <v>-4243.53</v>
      </c>
      <c r="F800">
        <v>-0.9</v>
      </c>
      <c r="G800" t="s">
        <v>12</v>
      </c>
      <c r="I800" t="s">
        <v>230</v>
      </c>
    </row>
    <row r="801" spans="1:9" x14ac:dyDescent="0.25">
      <c r="A801" t="s">
        <v>610</v>
      </c>
      <c r="B801" t="s">
        <v>764</v>
      </c>
      <c r="C801" s="2">
        <f>HYPERLINK("https://cao.dolgi.msk.ru/account/1080089766/", 1080089766)</f>
        <v>1080089766</v>
      </c>
      <c r="D801" t="s">
        <v>765</v>
      </c>
      <c r="E801">
        <v>66969.77</v>
      </c>
      <c r="F801">
        <v>10.5</v>
      </c>
      <c r="G801" t="s">
        <v>12</v>
      </c>
      <c r="I801" t="s">
        <v>230</v>
      </c>
    </row>
    <row r="802" spans="1:9" hidden="1" x14ac:dyDescent="0.25">
      <c r="A802" t="s">
        <v>610</v>
      </c>
      <c r="B802" t="s">
        <v>766</v>
      </c>
      <c r="C802" s="2">
        <f>HYPERLINK("https://cao.dolgi.msk.ru/account/1080089774/", 1080089774)</f>
        <v>1080089774</v>
      </c>
      <c r="D802" t="s">
        <v>767</v>
      </c>
      <c r="E802">
        <v>-6669.42</v>
      </c>
      <c r="F802">
        <v>-1.19</v>
      </c>
      <c r="G802" t="s">
        <v>12</v>
      </c>
      <c r="I802" t="s">
        <v>230</v>
      </c>
    </row>
    <row r="803" spans="1:9" hidden="1" x14ac:dyDescent="0.25">
      <c r="A803" t="s">
        <v>610</v>
      </c>
      <c r="B803" t="s">
        <v>768</v>
      </c>
      <c r="C803" s="2">
        <f>HYPERLINK("https://cao.dolgi.msk.ru/account/1080089782/", 1080089782)</f>
        <v>1080089782</v>
      </c>
      <c r="D803" t="s">
        <v>769</v>
      </c>
      <c r="E803">
        <v>-7987.45</v>
      </c>
      <c r="F803">
        <v>-1.1000000000000001</v>
      </c>
      <c r="G803" t="s">
        <v>12</v>
      </c>
      <c r="I803" t="s">
        <v>230</v>
      </c>
    </row>
    <row r="804" spans="1:9" hidden="1" x14ac:dyDescent="0.25">
      <c r="A804" t="s">
        <v>610</v>
      </c>
      <c r="B804" t="s">
        <v>770</v>
      </c>
      <c r="C804" s="2">
        <f>HYPERLINK("https://cao.dolgi.msk.ru/account/1080089803/", 1080089803)</f>
        <v>1080089803</v>
      </c>
      <c r="D804" t="s">
        <v>771</v>
      </c>
      <c r="E804">
        <v>-2370.58</v>
      </c>
      <c r="F804">
        <v>-1.05</v>
      </c>
      <c r="G804" t="s">
        <v>12</v>
      </c>
      <c r="I804" t="s">
        <v>230</v>
      </c>
    </row>
    <row r="805" spans="1:9" hidden="1" x14ac:dyDescent="0.25">
      <c r="A805" t="s">
        <v>610</v>
      </c>
      <c r="B805" t="s">
        <v>772</v>
      </c>
      <c r="C805" s="2">
        <f>HYPERLINK("https://cao.dolgi.msk.ru/account/1080089811/", 1080089811)</f>
        <v>1080089811</v>
      </c>
      <c r="D805" t="s">
        <v>773</v>
      </c>
      <c r="E805">
        <v>-5059.9399999999996</v>
      </c>
      <c r="F805">
        <v>-1.1399999999999999</v>
      </c>
      <c r="G805" t="s">
        <v>12</v>
      </c>
      <c r="I805" t="s">
        <v>230</v>
      </c>
    </row>
    <row r="806" spans="1:9" hidden="1" x14ac:dyDescent="0.25">
      <c r="A806" t="s">
        <v>610</v>
      </c>
      <c r="B806" t="s">
        <v>774</v>
      </c>
      <c r="C806" s="2">
        <f>HYPERLINK("https://cao.dolgi.msk.ru/account/1080089838/", 1080089838)</f>
        <v>1080089838</v>
      </c>
      <c r="D806" t="s">
        <v>775</v>
      </c>
      <c r="E806">
        <v>-7745.78</v>
      </c>
      <c r="F806">
        <v>-1.04</v>
      </c>
      <c r="G806" t="s">
        <v>12</v>
      </c>
      <c r="I806" t="s">
        <v>230</v>
      </c>
    </row>
    <row r="807" spans="1:9" hidden="1" x14ac:dyDescent="0.25">
      <c r="A807" t="s">
        <v>610</v>
      </c>
      <c r="B807" t="s">
        <v>776</v>
      </c>
      <c r="C807" s="2">
        <f>HYPERLINK("https://cao.dolgi.msk.ru/account/1080089846/", 1080089846)</f>
        <v>1080089846</v>
      </c>
      <c r="D807" t="s">
        <v>777</v>
      </c>
      <c r="E807">
        <v>-4449.32</v>
      </c>
      <c r="F807">
        <v>-1.1200000000000001</v>
      </c>
      <c r="G807" t="s">
        <v>12</v>
      </c>
      <c r="I807" t="s">
        <v>230</v>
      </c>
    </row>
    <row r="808" spans="1:9" hidden="1" x14ac:dyDescent="0.25">
      <c r="A808" t="s">
        <v>610</v>
      </c>
      <c r="B808" t="s">
        <v>778</v>
      </c>
      <c r="C808" s="2">
        <f>HYPERLINK("https://cao.dolgi.msk.ru/account/1080089854/", 1080089854)</f>
        <v>1080089854</v>
      </c>
      <c r="D808" t="s">
        <v>779</v>
      </c>
      <c r="E808">
        <v>-3692.32</v>
      </c>
      <c r="F808">
        <v>-0.53</v>
      </c>
      <c r="G808" t="s">
        <v>12</v>
      </c>
      <c r="I808" t="s">
        <v>230</v>
      </c>
    </row>
    <row r="809" spans="1:9" hidden="1" x14ac:dyDescent="0.25">
      <c r="A809" t="s">
        <v>610</v>
      </c>
      <c r="B809" t="s">
        <v>780</v>
      </c>
      <c r="C809" s="2">
        <f>HYPERLINK("https://cao.dolgi.msk.ru/account/1080089862/", 1080089862)</f>
        <v>1080089862</v>
      </c>
      <c r="D809" t="s">
        <v>15</v>
      </c>
      <c r="E809">
        <v>-5796.36</v>
      </c>
      <c r="F809">
        <v>-1.25</v>
      </c>
      <c r="G809" t="s">
        <v>12</v>
      </c>
      <c r="I809" t="s">
        <v>230</v>
      </c>
    </row>
    <row r="810" spans="1:9" hidden="1" x14ac:dyDescent="0.25">
      <c r="A810" t="s">
        <v>610</v>
      </c>
      <c r="B810" t="s">
        <v>781</v>
      </c>
      <c r="C810" s="2">
        <f>HYPERLINK("https://cao.dolgi.msk.ru/account/1080089889/", 1080089889)</f>
        <v>1080089889</v>
      </c>
      <c r="D810" t="s">
        <v>62</v>
      </c>
      <c r="E810">
        <v>-5497.99</v>
      </c>
      <c r="F810">
        <v>-1.1100000000000001</v>
      </c>
      <c r="G810" t="s">
        <v>12</v>
      </c>
      <c r="I810" t="s">
        <v>230</v>
      </c>
    </row>
    <row r="811" spans="1:9" hidden="1" x14ac:dyDescent="0.25">
      <c r="A811" t="s">
        <v>610</v>
      </c>
      <c r="B811" t="s">
        <v>782</v>
      </c>
      <c r="C811" s="2">
        <f>HYPERLINK("https://cao.dolgi.msk.ru/account/1080089897/", 1080089897)</f>
        <v>1080089897</v>
      </c>
      <c r="D811" t="s">
        <v>783</v>
      </c>
      <c r="E811">
        <v>-16399.27</v>
      </c>
      <c r="F811">
        <v>-1.06</v>
      </c>
      <c r="G811" t="s">
        <v>12</v>
      </c>
      <c r="I811" t="s">
        <v>230</v>
      </c>
    </row>
    <row r="812" spans="1:9" hidden="1" x14ac:dyDescent="0.25">
      <c r="A812" t="s">
        <v>610</v>
      </c>
      <c r="B812" t="s">
        <v>784</v>
      </c>
      <c r="C812" s="2">
        <f>HYPERLINK("https://cao.dolgi.msk.ru/account/1080089918/", 1080089918)</f>
        <v>1080089918</v>
      </c>
      <c r="D812" t="s">
        <v>785</v>
      </c>
      <c r="E812">
        <v>-4271.71</v>
      </c>
      <c r="F812">
        <v>-1.08</v>
      </c>
      <c r="G812" t="s">
        <v>12</v>
      </c>
      <c r="I812" t="s">
        <v>230</v>
      </c>
    </row>
    <row r="813" spans="1:9" hidden="1" x14ac:dyDescent="0.25">
      <c r="A813" t="s">
        <v>610</v>
      </c>
      <c r="B813" t="s">
        <v>786</v>
      </c>
      <c r="C813" s="2">
        <f>HYPERLINK("https://cao.dolgi.msk.ru/account/1080089926/", 1080089926)</f>
        <v>1080089926</v>
      </c>
      <c r="D813" t="s">
        <v>787</v>
      </c>
      <c r="E813">
        <v>-3284.47</v>
      </c>
      <c r="F813">
        <v>-1.2</v>
      </c>
      <c r="G813" t="s">
        <v>12</v>
      </c>
      <c r="I813" t="s">
        <v>230</v>
      </c>
    </row>
    <row r="814" spans="1:9" hidden="1" x14ac:dyDescent="0.25">
      <c r="A814" t="s">
        <v>610</v>
      </c>
      <c r="B814" t="s">
        <v>789</v>
      </c>
      <c r="C814" s="2">
        <f>HYPERLINK("https://cao.dolgi.msk.ru/account/1080089942/", 1080089942)</f>
        <v>1080089942</v>
      </c>
      <c r="D814" t="s">
        <v>15</v>
      </c>
      <c r="E814">
        <v>-7182.73</v>
      </c>
      <c r="F814">
        <v>-0.95</v>
      </c>
      <c r="G814" t="s">
        <v>12</v>
      </c>
      <c r="I814" t="s">
        <v>230</v>
      </c>
    </row>
    <row r="815" spans="1:9" hidden="1" x14ac:dyDescent="0.25">
      <c r="A815" t="s">
        <v>610</v>
      </c>
      <c r="B815" t="s">
        <v>790</v>
      </c>
      <c r="C815" s="2">
        <f>HYPERLINK("https://cao.dolgi.msk.ru/account/1080089969/", 1080089969)</f>
        <v>1080089969</v>
      </c>
      <c r="D815" t="s">
        <v>791</v>
      </c>
      <c r="E815">
        <v>-5492.69</v>
      </c>
      <c r="F815">
        <v>-1.23</v>
      </c>
      <c r="G815" t="s">
        <v>12</v>
      </c>
      <c r="I815" t="s">
        <v>230</v>
      </c>
    </row>
    <row r="816" spans="1:9" hidden="1" x14ac:dyDescent="0.25">
      <c r="A816" t="s">
        <v>610</v>
      </c>
      <c r="B816" t="s">
        <v>792</v>
      </c>
      <c r="C816" s="2">
        <f>HYPERLINK("https://cao.dolgi.msk.ru/account/1080089977/", 1080089977)</f>
        <v>1080089977</v>
      </c>
      <c r="D816" t="s">
        <v>793</v>
      </c>
      <c r="E816">
        <v>-11492.17</v>
      </c>
      <c r="F816">
        <v>-1.08</v>
      </c>
      <c r="G816" t="s">
        <v>12</v>
      </c>
      <c r="I816" t="s">
        <v>230</v>
      </c>
    </row>
    <row r="817" spans="1:9" hidden="1" x14ac:dyDescent="0.25">
      <c r="A817" t="s">
        <v>610</v>
      </c>
      <c r="B817" t="s">
        <v>794</v>
      </c>
      <c r="C817" s="2">
        <f>HYPERLINK("https://cao.dolgi.msk.ru/account/1080089985/", 1080089985)</f>
        <v>1080089985</v>
      </c>
      <c r="D817" t="s">
        <v>795</v>
      </c>
      <c r="E817">
        <v>-5841.91</v>
      </c>
      <c r="F817">
        <v>-1.1299999999999999</v>
      </c>
      <c r="G817" t="s">
        <v>12</v>
      </c>
      <c r="I817" t="s">
        <v>230</v>
      </c>
    </row>
    <row r="818" spans="1:9" hidden="1" x14ac:dyDescent="0.25">
      <c r="A818" t="s">
        <v>610</v>
      </c>
      <c r="B818" t="s">
        <v>796</v>
      </c>
      <c r="C818" s="2">
        <f>HYPERLINK("https://cao.dolgi.msk.ru/account/1080089993/", 1080089993)</f>
        <v>1080089993</v>
      </c>
      <c r="D818" t="s">
        <v>797</v>
      </c>
      <c r="E818">
        <v>-95.99</v>
      </c>
      <c r="F818">
        <v>-0.03</v>
      </c>
      <c r="G818" t="s">
        <v>12</v>
      </c>
      <c r="I818" t="s">
        <v>230</v>
      </c>
    </row>
    <row r="819" spans="1:9" hidden="1" x14ac:dyDescent="0.25">
      <c r="A819" t="s">
        <v>610</v>
      </c>
      <c r="B819" t="s">
        <v>798</v>
      </c>
      <c r="C819" s="2">
        <f>HYPERLINK("https://cao.dolgi.msk.ru/account/1080090003/", 1080090003)</f>
        <v>1080090003</v>
      </c>
      <c r="D819" t="s">
        <v>799</v>
      </c>
      <c r="E819">
        <v>-6421.68</v>
      </c>
      <c r="F819">
        <v>-1.42</v>
      </c>
      <c r="G819" t="s">
        <v>12</v>
      </c>
      <c r="I819" t="s">
        <v>230</v>
      </c>
    </row>
    <row r="820" spans="1:9" hidden="1" x14ac:dyDescent="0.25">
      <c r="A820" t="s">
        <v>610</v>
      </c>
      <c r="B820" t="s">
        <v>800</v>
      </c>
      <c r="C820" s="2">
        <f>HYPERLINK("https://cao.dolgi.msk.ru/account/1080090011/", 1080090011)</f>
        <v>1080090011</v>
      </c>
      <c r="D820" t="s">
        <v>801</v>
      </c>
      <c r="E820">
        <v>-6280.56</v>
      </c>
      <c r="F820">
        <v>-1.1200000000000001</v>
      </c>
      <c r="G820" t="s">
        <v>12</v>
      </c>
      <c r="I820" t="s">
        <v>230</v>
      </c>
    </row>
    <row r="821" spans="1:9" hidden="1" x14ac:dyDescent="0.25">
      <c r="A821" t="s">
        <v>610</v>
      </c>
      <c r="B821" t="s">
        <v>802</v>
      </c>
      <c r="C821" s="2">
        <f>HYPERLINK("https://cao.dolgi.msk.ru/account/1080090038/", 1080090038)</f>
        <v>1080090038</v>
      </c>
      <c r="D821" t="s">
        <v>803</v>
      </c>
      <c r="E821">
        <v>-5441.54</v>
      </c>
      <c r="F821">
        <v>-1.53</v>
      </c>
      <c r="G821" t="s">
        <v>12</v>
      </c>
      <c r="I821" t="s">
        <v>230</v>
      </c>
    </row>
    <row r="822" spans="1:9" hidden="1" x14ac:dyDescent="0.25">
      <c r="A822" t="s">
        <v>610</v>
      </c>
      <c r="B822" t="s">
        <v>804</v>
      </c>
      <c r="C822" s="2">
        <f>HYPERLINK("https://cao.dolgi.msk.ru/account/1080090046/", 1080090046)</f>
        <v>1080090046</v>
      </c>
      <c r="D822" t="s">
        <v>805</v>
      </c>
      <c r="E822">
        <v>-14572.5</v>
      </c>
      <c r="F822">
        <v>-1.2</v>
      </c>
      <c r="G822" t="s">
        <v>12</v>
      </c>
      <c r="I822" t="s">
        <v>230</v>
      </c>
    </row>
    <row r="823" spans="1:9" x14ac:dyDescent="0.25">
      <c r="A823" t="s">
        <v>610</v>
      </c>
      <c r="B823" t="s">
        <v>806</v>
      </c>
      <c r="C823" s="2">
        <f>HYPERLINK("https://cao.dolgi.msk.ru/account/1080090054/", 1080090054)</f>
        <v>1080090054</v>
      </c>
      <c r="D823" t="s">
        <v>807</v>
      </c>
      <c r="E823">
        <v>291905.53999999998</v>
      </c>
      <c r="F823">
        <v>20.61</v>
      </c>
      <c r="G823" t="s">
        <v>12</v>
      </c>
      <c r="I823" t="s">
        <v>230</v>
      </c>
    </row>
    <row r="824" spans="1:9" hidden="1" x14ac:dyDescent="0.25">
      <c r="A824" t="s">
        <v>610</v>
      </c>
      <c r="B824" t="s">
        <v>808</v>
      </c>
      <c r="C824" s="2">
        <f>HYPERLINK("https://cao.dolgi.msk.ru/account/1080090062/", 1080090062)</f>
        <v>1080090062</v>
      </c>
      <c r="D824" t="s">
        <v>809</v>
      </c>
      <c r="E824">
        <v>-6101.51</v>
      </c>
      <c r="F824">
        <v>-1.05</v>
      </c>
      <c r="G824" t="s">
        <v>12</v>
      </c>
      <c r="I824" t="s">
        <v>230</v>
      </c>
    </row>
    <row r="825" spans="1:9" hidden="1" x14ac:dyDescent="0.25">
      <c r="A825" t="s">
        <v>610</v>
      </c>
      <c r="B825" t="s">
        <v>810</v>
      </c>
      <c r="C825" s="2">
        <f>HYPERLINK("https://cao.dolgi.msk.ru/account/1080090089/", 1080090089)</f>
        <v>1080090089</v>
      </c>
      <c r="D825" t="s">
        <v>811</v>
      </c>
      <c r="E825">
        <v>-10414.799999999999</v>
      </c>
      <c r="F825">
        <v>-1.06</v>
      </c>
      <c r="G825" t="s">
        <v>12</v>
      </c>
      <c r="I825" t="s">
        <v>230</v>
      </c>
    </row>
    <row r="826" spans="1:9" hidden="1" x14ac:dyDescent="0.25">
      <c r="A826" t="s">
        <v>610</v>
      </c>
      <c r="B826" t="s">
        <v>812</v>
      </c>
      <c r="C826" s="2">
        <f>HYPERLINK("https://cao.dolgi.msk.ru/account/1080090097/", 1080090097)</f>
        <v>1080090097</v>
      </c>
      <c r="D826" t="s">
        <v>813</v>
      </c>
      <c r="E826">
        <v>-6012.24</v>
      </c>
      <c r="F826">
        <v>-1.1100000000000001</v>
      </c>
      <c r="G826" t="s">
        <v>12</v>
      </c>
      <c r="I826" t="s">
        <v>230</v>
      </c>
    </row>
    <row r="827" spans="1:9" hidden="1" x14ac:dyDescent="0.25">
      <c r="A827" t="s">
        <v>610</v>
      </c>
      <c r="B827" t="s">
        <v>814</v>
      </c>
      <c r="C827" s="2">
        <f>HYPERLINK("https://cao.dolgi.msk.ru/account/1080090118/", 1080090118)</f>
        <v>1080090118</v>
      </c>
      <c r="D827" t="s">
        <v>815</v>
      </c>
      <c r="E827">
        <v>-107.13</v>
      </c>
      <c r="F827">
        <v>-0.02</v>
      </c>
      <c r="G827" t="s">
        <v>12</v>
      </c>
      <c r="I827" t="s">
        <v>230</v>
      </c>
    </row>
    <row r="828" spans="1:9" hidden="1" x14ac:dyDescent="0.25">
      <c r="A828" t="s">
        <v>610</v>
      </c>
      <c r="B828" t="s">
        <v>816</v>
      </c>
      <c r="C828" s="2">
        <f>HYPERLINK("https://cao.dolgi.msk.ru/account/1080090126/", 1080090126)</f>
        <v>1080090126</v>
      </c>
      <c r="D828" t="s">
        <v>817</v>
      </c>
      <c r="E828">
        <v>-7719.25</v>
      </c>
      <c r="F828">
        <v>-1.08</v>
      </c>
      <c r="G828" t="s">
        <v>12</v>
      </c>
      <c r="I828" t="s">
        <v>230</v>
      </c>
    </row>
    <row r="829" spans="1:9" hidden="1" x14ac:dyDescent="0.25">
      <c r="A829" t="s">
        <v>610</v>
      </c>
      <c r="B829" t="s">
        <v>818</v>
      </c>
      <c r="C829" s="2">
        <f>HYPERLINK("https://cao.dolgi.msk.ru/account/1080090134/", 1080090134)</f>
        <v>1080090134</v>
      </c>
      <c r="D829" t="s">
        <v>819</v>
      </c>
      <c r="E829">
        <v>-4563.34</v>
      </c>
      <c r="F829">
        <v>-1.6</v>
      </c>
      <c r="G829" t="s">
        <v>12</v>
      </c>
      <c r="I829" t="s">
        <v>230</v>
      </c>
    </row>
    <row r="830" spans="1:9" hidden="1" x14ac:dyDescent="0.25">
      <c r="A830" t="s">
        <v>610</v>
      </c>
      <c r="B830" t="s">
        <v>820</v>
      </c>
      <c r="C830" s="2">
        <f>HYPERLINK("https://cao.dolgi.msk.ru/account/1080090142/", 1080090142)</f>
        <v>1080090142</v>
      </c>
      <c r="D830" t="s">
        <v>821</v>
      </c>
      <c r="E830">
        <v>-3333.28</v>
      </c>
      <c r="F830">
        <v>-1.06</v>
      </c>
      <c r="G830" t="s">
        <v>12</v>
      </c>
      <c r="I830" t="s">
        <v>230</v>
      </c>
    </row>
    <row r="831" spans="1:9" x14ac:dyDescent="0.25">
      <c r="A831" t="s">
        <v>610</v>
      </c>
      <c r="B831" t="s">
        <v>822</v>
      </c>
      <c r="C831" s="2">
        <f>HYPERLINK("https://cao.dolgi.msk.ru/account/1080090169/", 1080090169)</f>
        <v>1080090169</v>
      </c>
      <c r="D831" t="s">
        <v>823</v>
      </c>
      <c r="E831">
        <v>4163.74</v>
      </c>
      <c r="F831">
        <v>1.02</v>
      </c>
      <c r="G831" t="s">
        <v>12</v>
      </c>
      <c r="I831" t="s">
        <v>230</v>
      </c>
    </row>
    <row r="832" spans="1:9" hidden="1" x14ac:dyDescent="0.25">
      <c r="A832" t="s">
        <v>610</v>
      </c>
      <c r="B832" t="s">
        <v>824</v>
      </c>
      <c r="C832" s="2">
        <f>HYPERLINK("https://cao.dolgi.msk.ru/account/1080090177/", 1080090177)</f>
        <v>1080090177</v>
      </c>
      <c r="D832" t="s">
        <v>825</v>
      </c>
      <c r="E832">
        <v>-5394.74</v>
      </c>
      <c r="F832">
        <v>-1.1100000000000001</v>
      </c>
      <c r="G832" t="s">
        <v>12</v>
      </c>
      <c r="I832" t="s">
        <v>230</v>
      </c>
    </row>
    <row r="833" spans="1:9" hidden="1" x14ac:dyDescent="0.25">
      <c r="A833" t="s">
        <v>610</v>
      </c>
      <c r="B833" t="s">
        <v>826</v>
      </c>
      <c r="C833" s="2">
        <f>HYPERLINK("https://cao.dolgi.msk.ru/account/1080090185/", 1080090185)</f>
        <v>1080090185</v>
      </c>
      <c r="D833" t="s">
        <v>827</v>
      </c>
      <c r="E833">
        <v>-3841.31</v>
      </c>
      <c r="F833">
        <v>-0.96</v>
      </c>
      <c r="G833" t="s">
        <v>12</v>
      </c>
      <c r="I833" t="s">
        <v>230</v>
      </c>
    </row>
    <row r="834" spans="1:9" hidden="1" x14ac:dyDescent="0.25">
      <c r="A834" t="s">
        <v>610</v>
      </c>
      <c r="B834" t="s">
        <v>828</v>
      </c>
      <c r="C834" s="2">
        <f>HYPERLINK("https://cao.dolgi.msk.ru/account/1080090193/", 1080090193)</f>
        <v>1080090193</v>
      </c>
      <c r="D834" t="s">
        <v>829</v>
      </c>
      <c r="E834">
        <v>-15</v>
      </c>
      <c r="F834">
        <v>0</v>
      </c>
      <c r="G834" t="s">
        <v>12</v>
      </c>
      <c r="I834" t="s">
        <v>230</v>
      </c>
    </row>
    <row r="835" spans="1:9" hidden="1" x14ac:dyDescent="0.25">
      <c r="A835" t="s">
        <v>610</v>
      </c>
      <c r="B835" t="s">
        <v>830</v>
      </c>
      <c r="C835" s="2">
        <f>HYPERLINK("https://cao.dolgi.msk.ru/account/1080090206/", 1080090206)</f>
        <v>1080090206</v>
      </c>
      <c r="D835" t="s">
        <v>15</v>
      </c>
      <c r="E835">
        <v>-1195.96</v>
      </c>
      <c r="F835">
        <v>-0.41</v>
      </c>
      <c r="G835" t="s">
        <v>12</v>
      </c>
      <c r="I835" t="s">
        <v>230</v>
      </c>
    </row>
    <row r="836" spans="1:9" hidden="1" x14ac:dyDescent="0.25">
      <c r="A836" t="s">
        <v>610</v>
      </c>
      <c r="B836" t="s">
        <v>831</v>
      </c>
      <c r="C836" s="2">
        <f>HYPERLINK("https://cao.dolgi.msk.ru/account/1080090214/", 1080090214)</f>
        <v>1080090214</v>
      </c>
      <c r="D836" t="s">
        <v>832</v>
      </c>
      <c r="E836">
        <v>0</v>
      </c>
      <c r="F836">
        <v>0</v>
      </c>
      <c r="G836" t="s">
        <v>12</v>
      </c>
      <c r="I836" t="s">
        <v>230</v>
      </c>
    </row>
    <row r="837" spans="1:9" hidden="1" x14ac:dyDescent="0.25">
      <c r="A837" t="s">
        <v>610</v>
      </c>
      <c r="B837" t="s">
        <v>833</v>
      </c>
      <c r="C837" s="2">
        <f>HYPERLINK("https://cao.dolgi.msk.ru/account/1080090222/", 1080090222)</f>
        <v>1080090222</v>
      </c>
      <c r="D837" t="s">
        <v>834</v>
      </c>
      <c r="E837">
        <v>-6390.7</v>
      </c>
      <c r="F837">
        <v>-1.07</v>
      </c>
      <c r="G837" t="s">
        <v>12</v>
      </c>
      <c r="I837" t="s">
        <v>230</v>
      </c>
    </row>
    <row r="838" spans="1:9" hidden="1" x14ac:dyDescent="0.25">
      <c r="A838" t="s">
        <v>610</v>
      </c>
      <c r="B838" t="s">
        <v>835</v>
      </c>
      <c r="C838" s="2">
        <f>HYPERLINK("https://cao.dolgi.msk.ru/account/1080090249/", 1080090249)</f>
        <v>1080090249</v>
      </c>
      <c r="D838" t="s">
        <v>836</v>
      </c>
      <c r="E838">
        <v>-3048.21</v>
      </c>
      <c r="F838">
        <v>-1.19</v>
      </c>
      <c r="G838" t="s">
        <v>12</v>
      </c>
      <c r="I838" t="s">
        <v>230</v>
      </c>
    </row>
    <row r="839" spans="1:9" hidden="1" x14ac:dyDescent="0.25">
      <c r="A839" t="s">
        <v>610</v>
      </c>
      <c r="B839" t="s">
        <v>837</v>
      </c>
      <c r="C839" s="2">
        <f>HYPERLINK("https://cao.dolgi.msk.ru/account/1080090257/", 1080090257)</f>
        <v>1080090257</v>
      </c>
      <c r="D839" t="s">
        <v>62</v>
      </c>
      <c r="E839">
        <v>-3046.82</v>
      </c>
      <c r="F839">
        <v>-1.17</v>
      </c>
      <c r="G839" t="s">
        <v>12</v>
      </c>
      <c r="I839" t="s">
        <v>230</v>
      </c>
    </row>
    <row r="840" spans="1:9" hidden="1" x14ac:dyDescent="0.25">
      <c r="A840" t="s">
        <v>610</v>
      </c>
      <c r="B840" t="s">
        <v>838</v>
      </c>
      <c r="C840" s="2">
        <f>HYPERLINK("https://cao.dolgi.msk.ru/account/1080090265/", 1080090265)</f>
        <v>1080090265</v>
      </c>
      <c r="D840" t="s">
        <v>839</v>
      </c>
      <c r="E840">
        <v>-2451.52</v>
      </c>
      <c r="F840">
        <v>-1.1200000000000001</v>
      </c>
      <c r="G840" t="s">
        <v>12</v>
      </c>
      <c r="I840" t="s">
        <v>230</v>
      </c>
    </row>
    <row r="841" spans="1:9" hidden="1" x14ac:dyDescent="0.25">
      <c r="A841" t="s">
        <v>610</v>
      </c>
      <c r="B841" t="s">
        <v>840</v>
      </c>
      <c r="C841" s="2">
        <f>HYPERLINK("https://cao.dolgi.msk.ru/account/1080090273/", 1080090273)</f>
        <v>1080090273</v>
      </c>
      <c r="D841" t="s">
        <v>841</v>
      </c>
      <c r="E841">
        <v>-3926.6</v>
      </c>
      <c r="F841">
        <v>-1.07</v>
      </c>
      <c r="G841" t="s">
        <v>12</v>
      </c>
      <c r="I841" t="s">
        <v>230</v>
      </c>
    </row>
    <row r="842" spans="1:9" hidden="1" x14ac:dyDescent="0.25">
      <c r="A842" t="s">
        <v>610</v>
      </c>
      <c r="B842" t="s">
        <v>842</v>
      </c>
      <c r="C842" s="2">
        <f>HYPERLINK("https://cao.dolgi.msk.ru/account/1080322222/", 1080322222)</f>
        <v>1080322222</v>
      </c>
      <c r="D842" t="s">
        <v>843</v>
      </c>
      <c r="E842">
        <v>4648.16</v>
      </c>
      <c r="F842">
        <v>1</v>
      </c>
      <c r="G842" t="s">
        <v>12</v>
      </c>
      <c r="I842" t="s">
        <v>230</v>
      </c>
    </row>
    <row r="843" spans="1:9" hidden="1" x14ac:dyDescent="0.25">
      <c r="A843" t="s">
        <v>610</v>
      </c>
      <c r="B843" t="s">
        <v>844</v>
      </c>
      <c r="C843" s="2">
        <f>HYPERLINK("https://cao.dolgi.msk.ru/account/1080090302/", 1080090302)</f>
        <v>1080090302</v>
      </c>
      <c r="D843" t="s">
        <v>845</v>
      </c>
      <c r="E843">
        <v>-64.28</v>
      </c>
      <c r="F843">
        <v>-0.01</v>
      </c>
      <c r="G843" t="s">
        <v>12</v>
      </c>
      <c r="I843" t="s">
        <v>230</v>
      </c>
    </row>
    <row r="844" spans="1:9" hidden="1" x14ac:dyDescent="0.25">
      <c r="A844" t="s">
        <v>610</v>
      </c>
      <c r="B844" t="s">
        <v>846</v>
      </c>
      <c r="C844" s="2">
        <f>HYPERLINK("https://cao.dolgi.msk.ru/account/1080090329/", 1080090329)</f>
        <v>1080090329</v>
      </c>
      <c r="D844" t="s">
        <v>847</v>
      </c>
      <c r="E844">
        <v>-2448.37</v>
      </c>
      <c r="F844">
        <v>-1.07</v>
      </c>
      <c r="G844" t="s">
        <v>12</v>
      </c>
      <c r="I844" t="s">
        <v>230</v>
      </c>
    </row>
    <row r="845" spans="1:9" hidden="1" x14ac:dyDescent="0.25">
      <c r="A845" t="s">
        <v>610</v>
      </c>
      <c r="B845" t="s">
        <v>848</v>
      </c>
      <c r="C845" s="2">
        <f>HYPERLINK("https://cao.dolgi.msk.ru/account/1080090337/", 1080090337)</f>
        <v>1080090337</v>
      </c>
      <c r="D845" t="s">
        <v>849</v>
      </c>
      <c r="E845">
        <v>-3976.99</v>
      </c>
      <c r="F845">
        <v>-1.36</v>
      </c>
      <c r="G845" t="s">
        <v>12</v>
      </c>
      <c r="I845" t="s">
        <v>230</v>
      </c>
    </row>
    <row r="846" spans="1:9" hidden="1" x14ac:dyDescent="0.25">
      <c r="A846" t="s">
        <v>610</v>
      </c>
      <c r="B846" t="s">
        <v>850</v>
      </c>
      <c r="C846" s="2">
        <f>HYPERLINK("https://cao.dolgi.msk.ru/account/1080090345/", 1080090345)</f>
        <v>1080090345</v>
      </c>
      <c r="D846" t="s">
        <v>851</v>
      </c>
      <c r="E846">
        <v>-3584.16</v>
      </c>
      <c r="F846">
        <v>-1.1599999999999999</v>
      </c>
      <c r="G846" t="s">
        <v>12</v>
      </c>
      <c r="I846" t="s">
        <v>230</v>
      </c>
    </row>
    <row r="847" spans="1:9" hidden="1" x14ac:dyDescent="0.25">
      <c r="A847" t="s">
        <v>610</v>
      </c>
      <c r="B847" t="s">
        <v>852</v>
      </c>
      <c r="C847" s="2">
        <f>HYPERLINK("https://cao.dolgi.msk.ru/account/1080090353/", 1080090353)</f>
        <v>1080090353</v>
      </c>
      <c r="D847" t="s">
        <v>853</v>
      </c>
      <c r="E847">
        <v>-3792.31</v>
      </c>
      <c r="F847">
        <v>-0.63</v>
      </c>
      <c r="G847" t="s">
        <v>12</v>
      </c>
      <c r="I847" t="s">
        <v>230</v>
      </c>
    </row>
    <row r="848" spans="1:9" hidden="1" x14ac:dyDescent="0.25">
      <c r="A848" t="s">
        <v>610</v>
      </c>
      <c r="B848" t="s">
        <v>854</v>
      </c>
      <c r="C848" s="2">
        <f>HYPERLINK("https://cao.dolgi.msk.ru/account/1080090361/", 1080090361)</f>
        <v>1080090361</v>
      </c>
      <c r="D848" t="s">
        <v>855</v>
      </c>
      <c r="E848">
        <v>-3649.85</v>
      </c>
      <c r="F848">
        <v>-1.1100000000000001</v>
      </c>
      <c r="G848" t="s">
        <v>12</v>
      </c>
      <c r="I848" t="s">
        <v>230</v>
      </c>
    </row>
    <row r="849" spans="1:9" hidden="1" x14ac:dyDescent="0.25">
      <c r="A849" t="s">
        <v>610</v>
      </c>
      <c r="B849" t="s">
        <v>856</v>
      </c>
      <c r="C849" s="2">
        <f>HYPERLINK("https://cao.dolgi.msk.ru/account/1080090388/", 1080090388)</f>
        <v>1080090388</v>
      </c>
      <c r="D849" t="s">
        <v>857</v>
      </c>
      <c r="E849">
        <v>-3600.72</v>
      </c>
      <c r="F849">
        <v>-1.06</v>
      </c>
      <c r="G849" t="s">
        <v>12</v>
      </c>
      <c r="I849" t="s">
        <v>230</v>
      </c>
    </row>
    <row r="850" spans="1:9" hidden="1" x14ac:dyDescent="0.25">
      <c r="A850" t="s">
        <v>610</v>
      </c>
      <c r="B850" t="s">
        <v>858</v>
      </c>
      <c r="C850" s="2">
        <f>HYPERLINK("https://cao.dolgi.msk.ru/account/1080090396/", 1080090396)</f>
        <v>1080090396</v>
      </c>
      <c r="D850" t="s">
        <v>859</v>
      </c>
      <c r="E850">
        <v>-6730.48</v>
      </c>
      <c r="F850">
        <v>-1.08</v>
      </c>
      <c r="G850" t="s">
        <v>12</v>
      </c>
      <c r="I850" t="s">
        <v>230</v>
      </c>
    </row>
    <row r="851" spans="1:9" hidden="1" x14ac:dyDescent="0.25">
      <c r="A851" t="s">
        <v>610</v>
      </c>
      <c r="B851" t="s">
        <v>860</v>
      </c>
      <c r="C851" s="2">
        <f>HYPERLINK("https://cao.dolgi.msk.ru/account/1080090409/", 1080090409)</f>
        <v>1080090409</v>
      </c>
      <c r="D851" t="s">
        <v>861</v>
      </c>
      <c r="E851">
        <v>18.489999999999998</v>
      </c>
      <c r="F851">
        <v>0</v>
      </c>
      <c r="G851" t="s">
        <v>12</v>
      </c>
      <c r="I851" t="s">
        <v>230</v>
      </c>
    </row>
    <row r="852" spans="1:9" hidden="1" x14ac:dyDescent="0.25">
      <c r="A852" t="s">
        <v>610</v>
      </c>
      <c r="B852" t="s">
        <v>862</v>
      </c>
      <c r="C852" s="2">
        <f>HYPERLINK("https://cao.dolgi.msk.ru/account/1080090417/", 1080090417)</f>
        <v>1080090417</v>
      </c>
      <c r="D852" t="s">
        <v>863</v>
      </c>
      <c r="E852">
        <v>-8391.91</v>
      </c>
      <c r="F852">
        <v>-1.1399999999999999</v>
      </c>
      <c r="G852" t="s">
        <v>12</v>
      </c>
      <c r="I852" t="s">
        <v>230</v>
      </c>
    </row>
    <row r="853" spans="1:9" hidden="1" x14ac:dyDescent="0.25">
      <c r="A853" t="s">
        <v>610</v>
      </c>
      <c r="B853" t="s">
        <v>864</v>
      </c>
      <c r="C853" s="2">
        <f>HYPERLINK("https://cao.dolgi.msk.ru/account/1080090425/", 1080090425)</f>
        <v>1080090425</v>
      </c>
      <c r="D853" t="s">
        <v>865</v>
      </c>
      <c r="E853">
        <v>-3035.48</v>
      </c>
      <c r="F853">
        <v>-1.1599999999999999</v>
      </c>
      <c r="G853" t="s">
        <v>12</v>
      </c>
      <c r="I853" t="s">
        <v>230</v>
      </c>
    </row>
    <row r="854" spans="1:9" hidden="1" x14ac:dyDescent="0.25">
      <c r="A854" t="s">
        <v>610</v>
      </c>
      <c r="B854" t="s">
        <v>866</v>
      </c>
      <c r="C854" s="2">
        <f>HYPERLINK("https://cao.dolgi.msk.ru/account/1080090433/", 1080090433)</f>
        <v>1080090433</v>
      </c>
      <c r="D854" t="s">
        <v>867</v>
      </c>
      <c r="E854">
        <v>-4093.49</v>
      </c>
      <c r="F854">
        <v>-0.57999999999999996</v>
      </c>
      <c r="G854" t="s">
        <v>12</v>
      </c>
      <c r="I854" t="s">
        <v>230</v>
      </c>
    </row>
    <row r="855" spans="1:9" hidden="1" x14ac:dyDescent="0.25">
      <c r="A855" t="s">
        <v>610</v>
      </c>
      <c r="B855" t="s">
        <v>868</v>
      </c>
      <c r="C855" s="2">
        <f>HYPERLINK("https://cao.dolgi.msk.ru/account/1080090441/", 1080090441)</f>
        <v>1080090441</v>
      </c>
      <c r="D855" t="s">
        <v>869</v>
      </c>
      <c r="E855">
        <v>674.09</v>
      </c>
      <c r="F855">
        <v>0.26</v>
      </c>
      <c r="G855" t="s">
        <v>12</v>
      </c>
      <c r="I855" t="s">
        <v>230</v>
      </c>
    </row>
    <row r="856" spans="1:9" hidden="1" x14ac:dyDescent="0.25">
      <c r="A856" t="s">
        <v>610</v>
      </c>
      <c r="B856" t="s">
        <v>870</v>
      </c>
      <c r="C856" s="2">
        <f>HYPERLINK("https://cao.dolgi.msk.ru/account/1080090468/", 1080090468)</f>
        <v>1080090468</v>
      </c>
      <c r="D856" t="s">
        <v>871</v>
      </c>
      <c r="E856">
        <v>-2947.62</v>
      </c>
      <c r="F856">
        <v>-1.36</v>
      </c>
      <c r="G856" t="s">
        <v>12</v>
      </c>
      <c r="I856" t="s">
        <v>230</v>
      </c>
    </row>
    <row r="857" spans="1:9" hidden="1" x14ac:dyDescent="0.25">
      <c r="A857" t="s">
        <v>610</v>
      </c>
      <c r="B857" t="s">
        <v>872</v>
      </c>
      <c r="C857" s="2">
        <f>HYPERLINK("https://cao.dolgi.msk.ru/account/1080090476/", 1080090476)</f>
        <v>1080090476</v>
      </c>
      <c r="D857" t="s">
        <v>873</v>
      </c>
      <c r="E857">
        <v>-4721.8100000000004</v>
      </c>
      <c r="F857">
        <v>-1.08</v>
      </c>
      <c r="G857" t="s">
        <v>12</v>
      </c>
      <c r="I857" t="s">
        <v>230</v>
      </c>
    </row>
    <row r="858" spans="1:9" hidden="1" x14ac:dyDescent="0.25">
      <c r="A858" t="s">
        <v>610</v>
      </c>
      <c r="B858" t="s">
        <v>874</v>
      </c>
      <c r="C858" s="2">
        <f>HYPERLINK("https://cao.dolgi.msk.ru/account/1080090484/", 1080090484)</f>
        <v>1080090484</v>
      </c>
      <c r="D858" t="s">
        <v>62</v>
      </c>
      <c r="E858">
        <v>-3380.9</v>
      </c>
      <c r="F858">
        <v>-1.1599999999999999</v>
      </c>
      <c r="G858" t="s">
        <v>12</v>
      </c>
      <c r="I858" t="s">
        <v>230</v>
      </c>
    </row>
    <row r="859" spans="1:9" hidden="1" x14ac:dyDescent="0.25">
      <c r="A859" t="s">
        <v>610</v>
      </c>
      <c r="B859" t="s">
        <v>875</v>
      </c>
      <c r="C859" s="2">
        <f>HYPERLINK("https://cao.dolgi.msk.ru/account/1080090492/", 1080090492)</f>
        <v>1080090492</v>
      </c>
      <c r="D859" t="s">
        <v>876</v>
      </c>
      <c r="E859">
        <v>-3946.86</v>
      </c>
      <c r="F859">
        <v>-1.28</v>
      </c>
      <c r="G859" t="s">
        <v>12</v>
      </c>
      <c r="I859" t="s">
        <v>230</v>
      </c>
    </row>
    <row r="860" spans="1:9" hidden="1" x14ac:dyDescent="0.25">
      <c r="A860" t="s">
        <v>610</v>
      </c>
      <c r="B860" t="s">
        <v>877</v>
      </c>
      <c r="C860" s="2">
        <f>HYPERLINK("https://cao.dolgi.msk.ru/account/1080090505/", 1080090505)</f>
        <v>1080090505</v>
      </c>
      <c r="D860" t="s">
        <v>878</v>
      </c>
      <c r="E860">
        <v>64.34</v>
      </c>
      <c r="F860">
        <v>0.01</v>
      </c>
      <c r="G860" t="s">
        <v>12</v>
      </c>
      <c r="I860" t="s">
        <v>230</v>
      </c>
    </row>
    <row r="861" spans="1:9" hidden="1" x14ac:dyDescent="0.25">
      <c r="A861" t="s">
        <v>610</v>
      </c>
      <c r="B861" t="s">
        <v>879</v>
      </c>
      <c r="C861" s="2">
        <f>HYPERLINK("https://cao.dolgi.msk.ru/account/1080090513/", 1080090513)</f>
        <v>1080090513</v>
      </c>
      <c r="D861" t="s">
        <v>880</v>
      </c>
      <c r="E861">
        <v>-5443.03</v>
      </c>
      <c r="F861">
        <v>-1.65</v>
      </c>
      <c r="G861" t="s">
        <v>12</v>
      </c>
      <c r="I861" t="s">
        <v>230</v>
      </c>
    </row>
    <row r="862" spans="1:9" hidden="1" x14ac:dyDescent="0.25">
      <c r="A862" t="s">
        <v>610</v>
      </c>
      <c r="B862" t="s">
        <v>881</v>
      </c>
      <c r="C862" s="2">
        <f>HYPERLINK("https://cao.dolgi.msk.ru/account/1080090521/", 1080090521)</f>
        <v>1080090521</v>
      </c>
      <c r="D862" t="s">
        <v>882</v>
      </c>
      <c r="E862">
        <v>-2425.2199999999998</v>
      </c>
      <c r="F862">
        <v>-1.08</v>
      </c>
      <c r="G862" t="s">
        <v>12</v>
      </c>
      <c r="I862" t="s">
        <v>230</v>
      </c>
    </row>
    <row r="863" spans="1:9" hidden="1" x14ac:dyDescent="0.25">
      <c r="A863" t="s">
        <v>610</v>
      </c>
      <c r="B863" t="s">
        <v>883</v>
      </c>
      <c r="C863" s="2">
        <f>HYPERLINK("https://cao.dolgi.msk.ru/account/1080090548/", 1080090548)</f>
        <v>1080090548</v>
      </c>
      <c r="D863" t="s">
        <v>884</v>
      </c>
      <c r="E863">
        <v>-9002.32</v>
      </c>
      <c r="F863">
        <v>-3.85</v>
      </c>
      <c r="G863" t="s">
        <v>12</v>
      </c>
      <c r="I863" t="s">
        <v>230</v>
      </c>
    </row>
    <row r="864" spans="1:9" hidden="1" x14ac:dyDescent="0.25">
      <c r="A864" t="s">
        <v>885</v>
      </c>
      <c r="B864" t="s">
        <v>10</v>
      </c>
      <c r="C864" s="2">
        <f>HYPERLINK("https://cao.dolgi.msk.ru/account/1083278423/", 1083278423)</f>
        <v>1083278423</v>
      </c>
      <c r="D864" t="s">
        <v>15</v>
      </c>
      <c r="E864">
        <v>4400.0600000000004</v>
      </c>
      <c r="G864" t="s">
        <v>12</v>
      </c>
      <c r="I864" t="s">
        <v>13</v>
      </c>
    </row>
    <row r="865" spans="1:9" hidden="1" x14ac:dyDescent="0.25">
      <c r="A865" t="s">
        <v>885</v>
      </c>
      <c r="B865" t="s">
        <v>16</v>
      </c>
      <c r="C865" s="2">
        <f>HYPERLINK("https://cao.dolgi.msk.ru/account/1083278458/", 1083278458)</f>
        <v>1083278458</v>
      </c>
      <c r="D865" t="s">
        <v>15</v>
      </c>
      <c r="E865">
        <v>4511.83</v>
      </c>
      <c r="G865" t="s">
        <v>12</v>
      </c>
      <c r="I865" t="s">
        <v>13</v>
      </c>
    </row>
    <row r="866" spans="1:9" hidden="1" x14ac:dyDescent="0.25">
      <c r="A866" t="s">
        <v>885</v>
      </c>
      <c r="B866" t="s">
        <v>18</v>
      </c>
      <c r="C866" s="2">
        <f>HYPERLINK("https://cao.dolgi.msk.ru/account/1083278589/", 1083278589)</f>
        <v>1083278589</v>
      </c>
      <c r="D866" t="s">
        <v>15</v>
      </c>
      <c r="E866">
        <v>4351.37</v>
      </c>
      <c r="G866" t="s">
        <v>12</v>
      </c>
      <c r="I866" t="s">
        <v>13</v>
      </c>
    </row>
    <row r="867" spans="1:9" hidden="1" x14ac:dyDescent="0.25">
      <c r="A867" t="s">
        <v>885</v>
      </c>
      <c r="B867" t="s">
        <v>20</v>
      </c>
      <c r="C867" s="2">
        <f>HYPERLINK("https://cao.dolgi.msk.ru/account/1083278722/", 1083278722)</f>
        <v>1083278722</v>
      </c>
      <c r="D867" t="s">
        <v>886</v>
      </c>
      <c r="E867">
        <v>7333.25</v>
      </c>
      <c r="G867" t="s">
        <v>12</v>
      </c>
      <c r="I867" t="s">
        <v>13</v>
      </c>
    </row>
    <row r="868" spans="1:9" hidden="1" x14ac:dyDescent="0.25">
      <c r="A868" t="s">
        <v>885</v>
      </c>
      <c r="B868" t="s">
        <v>21</v>
      </c>
      <c r="C868" s="2">
        <f>HYPERLINK("https://cao.dolgi.msk.ru/account/1083278749/", 1083278749)</f>
        <v>1083278749</v>
      </c>
      <c r="D868" t="s">
        <v>887</v>
      </c>
      <c r="E868">
        <v>5423.06</v>
      </c>
      <c r="G868" t="s">
        <v>12</v>
      </c>
      <c r="I868" t="s">
        <v>13</v>
      </c>
    </row>
    <row r="869" spans="1:9" hidden="1" x14ac:dyDescent="0.25">
      <c r="A869" t="s">
        <v>885</v>
      </c>
      <c r="B869" t="s">
        <v>22</v>
      </c>
      <c r="C869" s="2">
        <f>HYPERLINK("https://cao.dolgi.msk.ru/account/1083278757/", 1083278757)</f>
        <v>1083278757</v>
      </c>
      <c r="D869" t="s">
        <v>888</v>
      </c>
      <c r="E869">
        <v>-10062.51</v>
      </c>
      <c r="G869" t="s">
        <v>12</v>
      </c>
      <c r="I869" t="s">
        <v>13</v>
      </c>
    </row>
    <row r="870" spans="1:9" hidden="1" x14ac:dyDescent="0.25">
      <c r="A870" t="s">
        <v>885</v>
      </c>
      <c r="B870" t="s">
        <v>23</v>
      </c>
      <c r="C870" s="2">
        <f>HYPERLINK("https://cao.dolgi.msk.ru/account/1083278765/", 1083278765)</f>
        <v>1083278765</v>
      </c>
      <c r="D870" t="s">
        <v>15</v>
      </c>
      <c r="E870">
        <v>10229.64</v>
      </c>
      <c r="G870" t="s">
        <v>12</v>
      </c>
      <c r="I870" t="s">
        <v>13</v>
      </c>
    </row>
    <row r="871" spans="1:9" hidden="1" x14ac:dyDescent="0.25">
      <c r="A871" t="s">
        <v>885</v>
      </c>
      <c r="B871" t="s">
        <v>24</v>
      </c>
      <c r="C871" s="2">
        <f>HYPERLINK("https://cao.dolgi.msk.ru/account/1083278773/", 1083278773)</f>
        <v>1083278773</v>
      </c>
      <c r="D871" t="s">
        <v>15</v>
      </c>
      <c r="E871">
        <v>6352.18</v>
      </c>
      <c r="G871" t="s">
        <v>12</v>
      </c>
      <c r="I871" t="s">
        <v>13</v>
      </c>
    </row>
    <row r="872" spans="1:9" hidden="1" x14ac:dyDescent="0.25">
      <c r="A872" t="s">
        <v>885</v>
      </c>
      <c r="B872" t="s">
        <v>27</v>
      </c>
      <c r="C872" s="2">
        <f>HYPERLINK("https://cao.dolgi.msk.ru/account/1083278781/", 1083278781)</f>
        <v>1083278781</v>
      </c>
      <c r="D872" t="s">
        <v>889</v>
      </c>
      <c r="E872">
        <v>11142.54</v>
      </c>
      <c r="G872" t="s">
        <v>12</v>
      </c>
      <c r="I872" t="s">
        <v>13</v>
      </c>
    </row>
    <row r="873" spans="1:9" hidden="1" x14ac:dyDescent="0.25">
      <c r="A873" t="s">
        <v>885</v>
      </c>
      <c r="B873" t="s">
        <v>31</v>
      </c>
      <c r="C873" s="2">
        <f>HYPERLINK("https://cao.dolgi.msk.ru/account/1083278829/", 1083278829)</f>
        <v>1083278829</v>
      </c>
      <c r="D873" t="s">
        <v>15</v>
      </c>
      <c r="E873">
        <v>11052.28</v>
      </c>
      <c r="G873" t="s">
        <v>12</v>
      </c>
      <c r="I873" t="s">
        <v>13</v>
      </c>
    </row>
    <row r="874" spans="1:9" hidden="1" x14ac:dyDescent="0.25">
      <c r="A874" t="s">
        <v>885</v>
      </c>
      <c r="B874" t="s">
        <v>33</v>
      </c>
      <c r="C874" s="2">
        <f>HYPERLINK("https://cao.dolgi.msk.ru/account/1083278845/", 1083278845)</f>
        <v>1083278845</v>
      </c>
      <c r="D874" t="s">
        <v>15</v>
      </c>
      <c r="E874">
        <v>7708.42</v>
      </c>
      <c r="G874" t="s">
        <v>12</v>
      </c>
      <c r="I874" t="s">
        <v>13</v>
      </c>
    </row>
    <row r="875" spans="1:9" hidden="1" x14ac:dyDescent="0.25">
      <c r="A875" t="s">
        <v>885</v>
      </c>
      <c r="B875" t="s">
        <v>34</v>
      </c>
      <c r="C875" s="2">
        <f>HYPERLINK("https://cao.dolgi.msk.ru/account/1083278853/", 1083278853)</f>
        <v>1083278853</v>
      </c>
      <c r="D875" t="s">
        <v>15</v>
      </c>
      <c r="E875">
        <v>220.86</v>
      </c>
      <c r="G875" t="s">
        <v>12</v>
      </c>
      <c r="I875" t="s">
        <v>13</v>
      </c>
    </row>
    <row r="876" spans="1:9" hidden="1" x14ac:dyDescent="0.25">
      <c r="A876" t="s">
        <v>885</v>
      </c>
      <c r="B876" t="s">
        <v>36</v>
      </c>
      <c r="C876" s="2">
        <f>HYPERLINK("https://cao.dolgi.msk.ru/account/1083278861/", 1083278861)</f>
        <v>1083278861</v>
      </c>
      <c r="D876" t="s">
        <v>890</v>
      </c>
      <c r="E876">
        <v>15933.98</v>
      </c>
      <c r="G876" t="s">
        <v>12</v>
      </c>
      <c r="I876" t="s">
        <v>13</v>
      </c>
    </row>
    <row r="877" spans="1:9" hidden="1" x14ac:dyDescent="0.25">
      <c r="A877" t="s">
        <v>885</v>
      </c>
      <c r="B877" t="s">
        <v>891</v>
      </c>
      <c r="C877" s="2">
        <f>HYPERLINK("https://cao.dolgi.msk.ru/account/1083278888/", 1083278888)</f>
        <v>1083278888</v>
      </c>
      <c r="D877" t="s">
        <v>15</v>
      </c>
      <c r="E877">
        <v>0</v>
      </c>
      <c r="G877" t="s">
        <v>12</v>
      </c>
      <c r="I877" t="s">
        <v>13</v>
      </c>
    </row>
    <row r="878" spans="1:9" hidden="1" x14ac:dyDescent="0.25">
      <c r="A878" t="s">
        <v>885</v>
      </c>
      <c r="B878" t="s">
        <v>40</v>
      </c>
      <c r="C878" s="2">
        <f>HYPERLINK("https://cao.dolgi.msk.ru/account/1083278925/", 1083278925)</f>
        <v>1083278925</v>
      </c>
      <c r="D878" t="s">
        <v>892</v>
      </c>
      <c r="E878">
        <v>3009.4</v>
      </c>
      <c r="G878" t="s">
        <v>12</v>
      </c>
      <c r="I878" t="s">
        <v>13</v>
      </c>
    </row>
    <row r="879" spans="1:9" hidden="1" x14ac:dyDescent="0.25">
      <c r="A879" t="s">
        <v>885</v>
      </c>
      <c r="B879" t="s">
        <v>41</v>
      </c>
      <c r="C879" s="2">
        <f>HYPERLINK("https://cao.dolgi.msk.ru/account/1083278933/", 1083278933)</f>
        <v>1083278933</v>
      </c>
      <c r="D879" t="s">
        <v>15</v>
      </c>
      <c r="E879">
        <v>33400.519999999997</v>
      </c>
      <c r="G879" t="s">
        <v>12</v>
      </c>
      <c r="I879" t="s">
        <v>13</v>
      </c>
    </row>
    <row r="880" spans="1:9" hidden="1" x14ac:dyDescent="0.25">
      <c r="A880" t="s">
        <v>885</v>
      </c>
      <c r="B880" t="s">
        <v>42</v>
      </c>
      <c r="C880" s="2">
        <f>HYPERLINK("https://cao.dolgi.msk.ru/account/1083278941/", 1083278941)</f>
        <v>1083278941</v>
      </c>
      <c r="D880" t="s">
        <v>15</v>
      </c>
      <c r="E880">
        <v>11329.85</v>
      </c>
      <c r="G880" t="s">
        <v>12</v>
      </c>
      <c r="I880" t="s">
        <v>13</v>
      </c>
    </row>
    <row r="881" spans="1:9" hidden="1" x14ac:dyDescent="0.25">
      <c r="A881" t="s">
        <v>885</v>
      </c>
      <c r="B881" t="s">
        <v>66</v>
      </c>
      <c r="C881" s="2">
        <f>HYPERLINK("https://cao.dolgi.msk.ru/account/1083278968/", 1083278968)</f>
        <v>1083278968</v>
      </c>
      <c r="D881" t="s">
        <v>15</v>
      </c>
      <c r="E881">
        <v>4074.19</v>
      </c>
      <c r="G881" t="s">
        <v>12</v>
      </c>
      <c r="I881" t="s">
        <v>13</v>
      </c>
    </row>
    <row r="882" spans="1:9" hidden="1" x14ac:dyDescent="0.25">
      <c r="A882" t="s">
        <v>885</v>
      </c>
      <c r="B882" t="s">
        <v>68</v>
      </c>
      <c r="C882" s="2">
        <f>HYPERLINK("https://cao.dolgi.msk.ru/account/1083279311/", 1083279311)</f>
        <v>1083279311</v>
      </c>
      <c r="D882" t="s">
        <v>15</v>
      </c>
      <c r="E882">
        <v>14589.89</v>
      </c>
      <c r="G882" t="s">
        <v>12</v>
      </c>
      <c r="I882" t="s">
        <v>13</v>
      </c>
    </row>
    <row r="883" spans="1:9" hidden="1" x14ac:dyDescent="0.25">
      <c r="A883" t="s">
        <v>885</v>
      </c>
      <c r="B883" t="s">
        <v>70</v>
      </c>
      <c r="C883" s="2">
        <f>HYPERLINK("https://cao.dolgi.msk.ru/account/1083279338/", 1083279338)</f>
        <v>1083279338</v>
      </c>
      <c r="D883" t="s">
        <v>15</v>
      </c>
      <c r="E883">
        <v>7572.25</v>
      </c>
      <c r="G883" t="s">
        <v>12</v>
      </c>
      <c r="I883" t="s">
        <v>13</v>
      </c>
    </row>
    <row r="884" spans="1:9" hidden="1" x14ac:dyDescent="0.25">
      <c r="A884" t="s">
        <v>885</v>
      </c>
      <c r="B884" t="s">
        <v>72</v>
      </c>
      <c r="C884" s="2">
        <f>HYPERLINK("https://cao.dolgi.msk.ru/account/1083281905/", 1083281905)</f>
        <v>1083281905</v>
      </c>
      <c r="D884" t="s">
        <v>893</v>
      </c>
      <c r="E884">
        <v>5429.86</v>
      </c>
      <c r="G884" t="s">
        <v>12</v>
      </c>
      <c r="I884" t="s">
        <v>13</v>
      </c>
    </row>
    <row r="885" spans="1:9" hidden="1" x14ac:dyDescent="0.25">
      <c r="A885" t="s">
        <v>885</v>
      </c>
      <c r="B885" t="s">
        <v>74</v>
      </c>
      <c r="C885" s="2">
        <f>HYPERLINK("https://cao.dolgi.msk.ru/account/1083281913/", 1083281913)</f>
        <v>1083281913</v>
      </c>
      <c r="D885" t="s">
        <v>894</v>
      </c>
      <c r="E885">
        <v>5274.04</v>
      </c>
      <c r="G885" t="s">
        <v>12</v>
      </c>
      <c r="I885" t="s">
        <v>13</v>
      </c>
    </row>
    <row r="886" spans="1:9" hidden="1" x14ac:dyDescent="0.25">
      <c r="A886" t="s">
        <v>885</v>
      </c>
      <c r="B886" t="s">
        <v>76</v>
      </c>
      <c r="C886" s="2">
        <f>HYPERLINK("https://cao.dolgi.msk.ru/account/1083281921/", 1083281921)</f>
        <v>1083281921</v>
      </c>
      <c r="D886" t="s">
        <v>15</v>
      </c>
      <c r="E886">
        <v>11556.93</v>
      </c>
      <c r="G886" t="s">
        <v>12</v>
      </c>
      <c r="I886" t="s">
        <v>13</v>
      </c>
    </row>
    <row r="887" spans="1:9" hidden="1" x14ac:dyDescent="0.25">
      <c r="A887" t="s">
        <v>885</v>
      </c>
      <c r="B887" t="s">
        <v>78</v>
      </c>
      <c r="C887" s="2">
        <f>HYPERLINK("https://cao.dolgi.msk.ru/account/1083281948/", 1083281948)</f>
        <v>1083281948</v>
      </c>
      <c r="D887" t="s">
        <v>15</v>
      </c>
      <c r="E887">
        <v>23733.79</v>
      </c>
      <c r="G887" t="s">
        <v>12</v>
      </c>
      <c r="I887" t="s">
        <v>13</v>
      </c>
    </row>
    <row r="888" spans="1:9" hidden="1" x14ac:dyDescent="0.25">
      <c r="A888" t="s">
        <v>885</v>
      </c>
      <c r="B888" t="s">
        <v>82</v>
      </c>
      <c r="C888" s="2">
        <f>HYPERLINK("https://cao.dolgi.msk.ru/account/1083281956/", 1083281956)</f>
        <v>1083281956</v>
      </c>
      <c r="D888" t="s">
        <v>15</v>
      </c>
      <c r="E888">
        <v>11023</v>
      </c>
      <c r="G888" t="s">
        <v>12</v>
      </c>
      <c r="I888" t="s">
        <v>13</v>
      </c>
    </row>
    <row r="889" spans="1:9" hidden="1" x14ac:dyDescent="0.25">
      <c r="A889" t="s">
        <v>885</v>
      </c>
      <c r="B889" t="s">
        <v>84</v>
      </c>
      <c r="C889" s="2">
        <f>HYPERLINK("https://cao.dolgi.msk.ru/account/1083281964/", 1083281964)</f>
        <v>1083281964</v>
      </c>
      <c r="D889" t="s">
        <v>15</v>
      </c>
      <c r="E889">
        <v>8686.6</v>
      </c>
      <c r="G889" t="s">
        <v>12</v>
      </c>
      <c r="I889" t="s">
        <v>13</v>
      </c>
    </row>
    <row r="890" spans="1:9" hidden="1" x14ac:dyDescent="0.25">
      <c r="A890" t="s">
        <v>885</v>
      </c>
      <c r="B890" t="s">
        <v>895</v>
      </c>
      <c r="C890" s="2">
        <f>HYPERLINK("https://cao.dolgi.msk.ru/account/1083281972/", 1083281972)</f>
        <v>1083281972</v>
      </c>
      <c r="D890" t="s">
        <v>15</v>
      </c>
      <c r="E890">
        <v>9985.43</v>
      </c>
      <c r="G890" t="s">
        <v>12</v>
      </c>
      <c r="I890" t="s">
        <v>13</v>
      </c>
    </row>
    <row r="891" spans="1:9" hidden="1" x14ac:dyDescent="0.25">
      <c r="A891" t="s">
        <v>896</v>
      </c>
      <c r="B891" t="s">
        <v>22</v>
      </c>
      <c r="C891" s="2">
        <f>HYPERLINK("https://cao.dolgi.msk.ru/account/1080053704/", 1080053704)</f>
        <v>1080053704</v>
      </c>
      <c r="D891" t="s">
        <v>897</v>
      </c>
      <c r="E891">
        <v>41185.129999999997</v>
      </c>
      <c r="G891" t="s">
        <v>14</v>
      </c>
      <c r="I891" t="s">
        <v>13</v>
      </c>
    </row>
    <row r="892" spans="1:9" x14ac:dyDescent="0.25">
      <c r="A892" t="s">
        <v>896</v>
      </c>
      <c r="B892" t="s">
        <v>22</v>
      </c>
      <c r="C892" s="2">
        <f>HYPERLINK("https://cao.dolgi.msk.ru/account/1083384963/", 1083384963)</f>
        <v>1083384963</v>
      </c>
      <c r="D892" t="s">
        <v>897</v>
      </c>
      <c r="E892">
        <v>380933.76</v>
      </c>
      <c r="F892">
        <v>38.270000000000003</v>
      </c>
      <c r="G892" t="s">
        <v>12</v>
      </c>
      <c r="I892" t="s">
        <v>13</v>
      </c>
    </row>
    <row r="893" spans="1:9" hidden="1" x14ac:dyDescent="0.25">
      <c r="A893" t="s">
        <v>896</v>
      </c>
      <c r="B893" t="s">
        <v>23</v>
      </c>
      <c r="C893" s="2">
        <f>HYPERLINK("https://cao.dolgi.msk.ru/account/1080053691/", 1080053691)</f>
        <v>1080053691</v>
      </c>
      <c r="D893" t="s">
        <v>898</v>
      </c>
      <c r="E893">
        <v>33836.559999999998</v>
      </c>
      <c r="G893" t="s">
        <v>14</v>
      </c>
      <c r="H893" t="s">
        <v>7</v>
      </c>
      <c r="I893" t="s">
        <v>13</v>
      </c>
    </row>
    <row r="894" spans="1:9" hidden="1" x14ac:dyDescent="0.25">
      <c r="A894" t="s">
        <v>896</v>
      </c>
      <c r="B894" t="s">
        <v>23</v>
      </c>
      <c r="C894" s="2">
        <f>HYPERLINK("https://cao.dolgi.msk.ru/account/1080053712/", 1080053712)</f>
        <v>1080053712</v>
      </c>
      <c r="D894" t="s">
        <v>898</v>
      </c>
      <c r="E894">
        <v>13352.88</v>
      </c>
      <c r="G894" t="s">
        <v>14</v>
      </c>
      <c r="H894" t="s">
        <v>7</v>
      </c>
      <c r="I894" t="s">
        <v>13</v>
      </c>
    </row>
    <row r="895" spans="1:9" x14ac:dyDescent="0.25">
      <c r="A895" t="s">
        <v>896</v>
      </c>
      <c r="B895" t="s">
        <v>23</v>
      </c>
      <c r="C895" s="2">
        <f>HYPERLINK("https://cao.dolgi.msk.ru/account/1083384971/", 1083384971)</f>
        <v>1083384971</v>
      </c>
      <c r="D895" t="s">
        <v>898</v>
      </c>
      <c r="E895">
        <v>98291</v>
      </c>
      <c r="F895">
        <v>42.44</v>
      </c>
      <c r="G895" t="s">
        <v>12</v>
      </c>
      <c r="H895" t="s">
        <v>7</v>
      </c>
      <c r="I895" t="s">
        <v>13</v>
      </c>
    </row>
    <row r="896" spans="1:9" x14ac:dyDescent="0.25">
      <c r="A896" t="s">
        <v>896</v>
      </c>
      <c r="B896" t="s">
        <v>23</v>
      </c>
      <c r="C896" s="2">
        <f>HYPERLINK("https://cao.dolgi.msk.ru/account/1083385026/", 1083385026)</f>
        <v>1083385026</v>
      </c>
      <c r="D896" t="s">
        <v>898</v>
      </c>
      <c r="E896">
        <v>269879.53999999998</v>
      </c>
      <c r="F896">
        <v>41.66</v>
      </c>
      <c r="G896" t="s">
        <v>12</v>
      </c>
      <c r="H896" t="s">
        <v>7</v>
      </c>
      <c r="I896" t="s">
        <v>13</v>
      </c>
    </row>
    <row r="897" spans="1:9" hidden="1" x14ac:dyDescent="0.25">
      <c r="A897" t="s">
        <v>896</v>
      </c>
      <c r="B897" t="s">
        <v>24</v>
      </c>
      <c r="C897" s="2">
        <f>HYPERLINK("https://cao.dolgi.msk.ru/account/1080053739/", 1080053739)</f>
        <v>1080053739</v>
      </c>
      <c r="D897" t="s">
        <v>899</v>
      </c>
      <c r="E897">
        <v>34306.550000000003</v>
      </c>
      <c r="G897" t="s">
        <v>14</v>
      </c>
      <c r="H897" t="s">
        <v>7</v>
      </c>
      <c r="I897" t="s">
        <v>13</v>
      </c>
    </row>
    <row r="898" spans="1:9" hidden="1" x14ac:dyDescent="0.25">
      <c r="A898" t="s">
        <v>896</v>
      </c>
      <c r="B898" t="s">
        <v>24</v>
      </c>
      <c r="C898" s="2">
        <f>HYPERLINK("https://cao.dolgi.msk.ru/account/1080053747/", 1080053747)</f>
        <v>1080053747</v>
      </c>
      <c r="D898" t="s">
        <v>15</v>
      </c>
      <c r="E898">
        <v>6279.48</v>
      </c>
      <c r="G898" t="s">
        <v>14</v>
      </c>
      <c r="H898" t="s">
        <v>7</v>
      </c>
      <c r="I898" t="s">
        <v>13</v>
      </c>
    </row>
    <row r="899" spans="1:9" x14ac:dyDescent="0.25">
      <c r="A899" t="s">
        <v>896</v>
      </c>
      <c r="B899" t="s">
        <v>24</v>
      </c>
      <c r="C899" s="2">
        <f>HYPERLINK("https://cao.dolgi.msk.ru/account/1083384998/", 1083384998)</f>
        <v>1083384998</v>
      </c>
      <c r="D899" t="s">
        <v>899</v>
      </c>
      <c r="E899">
        <v>271142.53000000003</v>
      </c>
      <c r="F899">
        <v>48.47</v>
      </c>
      <c r="G899" t="s">
        <v>12</v>
      </c>
      <c r="H899" t="s">
        <v>7</v>
      </c>
      <c r="I899" t="s">
        <v>13</v>
      </c>
    </row>
    <row r="900" spans="1:9" hidden="1" x14ac:dyDescent="0.25">
      <c r="A900" t="s">
        <v>896</v>
      </c>
      <c r="B900" t="s">
        <v>24</v>
      </c>
      <c r="C900" s="2">
        <f>HYPERLINK("https://cao.dolgi.msk.ru/account/1083389406/", 1083389406)</f>
        <v>1083389406</v>
      </c>
      <c r="D900" t="s">
        <v>189</v>
      </c>
      <c r="E900">
        <v>-4533.38</v>
      </c>
      <c r="F900">
        <v>-1.01</v>
      </c>
      <c r="G900" t="s">
        <v>12</v>
      </c>
      <c r="H900" t="s">
        <v>7</v>
      </c>
      <c r="I900" t="s">
        <v>13</v>
      </c>
    </row>
    <row r="901" spans="1:9" hidden="1" x14ac:dyDescent="0.25">
      <c r="A901" t="s">
        <v>896</v>
      </c>
      <c r="B901" t="s">
        <v>27</v>
      </c>
      <c r="C901" s="2">
        <f>HYPERLINK("https://cao.dolgi.msk.ru/account/1080053755/", 1080053755)</f>
        <v>1080053755</v>
      </c>
      <c r="D901" t="s">
        <v>62</v>
      </c>
      <c r="E901">
        <v>37963.65</v>
      </c>
      <c r="G901" t="s">
        <v>14</v>
      </c>
      <c r="I901" t="s">
        <v>13</v>
      </c>
    </row>
    <row r="902" spans="1:9" x14ac:dyDescent="0.25">
      <c r="A902" t="s">
        <v>896</v>
      </c>
      <c r="B902" t="s">
        <v>27</v>
      </c>
      <c r="C902" s="2">
        <f>HYPERLINK("https://cao.dolgi.msk.ru/account/1083384955/", 1083384955)</f>
        <v>1083384955</v>
      </c>
      <c r="D902" t="s">
        <v>62</v>
      </c>
      <c r="E902">
        <v>364611.77</v>
      </c>
      <c r="F902">
        <v>38.119999999999997</v>
      </c>
      <c r="G902" t="s">
        <v>12</v>
      </c>
      <c r="I902" t="s">
        <v>13</v>
      </c>
    </row>
    <row r="903" spans="1:9" hidden="1" x14ac:dyDescent="0.25">
      <c r="A903" t="s">
        <v>896</v>
      </c>
      <c r="B903" t="s">
        <v>29</v>
      </c>
      <c r="C903" s="2">
        <f>HYPERLINK("https://cao.dolgi.msk.ru/account/1080322484/", 1080322484)</f>
        <v>1080322484</v>
      </c>
      <c r="D903" t="s">
        <v>900</v>
      </c>
      <c r="E903">
        <v>36508.5</v>
      </c>
      <c r="G903" t="s">
        <v>14</v>
      </c>
      <c r="I903" t="s">
        <v>13</v>
      </c>
    </row>
    <row r="904" spans="1:9" x14ac:dyDescent="0.25">
      <c r="A904" t="s">
        <v>896</v>
      </c>
      <c r="B904" t="s">
        <v>29</v>
      </c>
      <c r="C904" s="2">
        <f>HYPERLINK("https://cao.dolgi.msk.ru/account/1083385018/", 1083385018)</f>
        <v>1083385018</v>
      </c>
      <c r="D904" t="s">
        <v>900</v>
      </c>
      <c r="E904">
        <v>397607.04</v>
      </c>
      <c r="F904">
        <v>42.63</v>
      </c>
      <c r="G904" t="s">
        <v>12</v>
      </c>
      <c r="I904" t="s">
        <v>13</v>
      </c>
    </row>
    <row r="905" spans="1:9" hidden="1" x14ac:dyDescent="0.25">
      <c r="A905" t="s">
        <v>901</v>
      </c>
      <c r="B905" t="s">
        <v>16</v>
      </c>
      <c r="C905" s="2">
        <f>HYPERLINK("https://cao.dolgi.msk.ru/account/1080061966/", 1080061966)</f>
        <v>1080061966</v>
      </c>
      <c r="E905">
        <v>5122.62</v>
      </c>
      <c r="G905" t="s">
        <v>14</v>
      </c>
    </row>
    <row r="906" spans="1:9" hidden="1" x14ac:dyDescent="0.25">
      <c r="A906" t="s">
        <v>901</v>
      </c>
      <c r="B906" t="s">
        <v>16</v>
      </c>
      <c r="C906" s="2">
        <f>HYPERLINK("https://cao.dolgi.msk.ru/account/1083385034/", 1083385034)</f>
        <v>1083385034</v>
      </c>
      <c r="E906">
        <v>11717.94</v>
      </c>
      <c r="G906" t="s">
        <v>12</v>
      </c>
    </row>
    <row r="907" spans="1:9" hidden="1" x14ac:dyDescent="0.25">
      <c r="A907" t="s">
        <v>901</v>
      </c>
      <c r="B907" t="s">
        <v>18</v>
      </c>
      <c r="C907" s="2">
        <f>HYPERLINK("https://cao.dolgi.msk.ru/account/1080061974/", 1080061974)</f>
        <v>1080061974</v>
      </c>
      <c r="E907">
        <v>5436.43</v>
      </c>
      <c r="G907" t="s">
        <v>14</v>
      </c>
    </row>
    <row r="908" spans="1:9" hidden="1" x14ac:dyDescent="0.25">
      <c r="A908" t="s">
        <v>901</v>
      </c>
      <c r="B908" t="s">
        <v>18</v>
      </c>
      <c r="C908" s="2">
        <f>HYPERLINK("https://cao.dolgi.msk.ru/account/1083385122/", 1083385122)</f>
        <v>1083385122</v>
      </c>
      <c r="E908">
        <v>12430.37</v>
      </c>
      <c r="G908" t="s">
        <v>12</v>
      </c>
    </row>
    <row r="909" spans="1:9" hidden="1" x14ac:dyDescent="0.25">
      <c r="A909" t="s">
        <v>901</v>
      </c>
      <c r="B909" t="s">
        <v>20</v>
      </c>
      <c r="C909" s="2">
        <f>HYPERLINK("https://cao.dolgi.msk.ru/account/1080061982/", 1080061982)</f>
        <v>1080061982</v>
      </c>
      <c r="E909">
        <v>5331.83</v>
      </c>
      <c r="G909" t="s">
        <v>14</v>
      </c>
    </row>
    <row r="910" spans="1:9" hidden="1" x14ac:dyDescent="0.25">
      <c r="A910" t="s">
        <v>901</v>
      </c>
      <c r="B910" t="s">
        <v>20</v>
      </c>
      <c r="C910" s="2">
        <f>HYPERLINK("https://cao.dolgi.msk.ru/account/1083385202/", 1083385202)</f>
        <v>1083385202</v>
      </c>
      <c r="E910">
        <v>12192.89</v>
      </c>
      <c r="G910" t="s">
        <v>12</v>
      </c>
    </row>
    <row r="911" spans="1:9" hidden="1" x14ac:dyDescent="0.25">
      <c r="A911" t="s">
        <v>901</v>
      </c>
      <c r="B911" t="s">
        <v>21</v>
      </c>
      <c r="C911" s="2">
        <f>HYPERLINK("https://cao.dolgi.msk.ru/account/1080062002/", 1080062002)</f>
        <v>1080062002</v>
      </c>
      <c r="E911">
        <v>6296.85</v>
      </c>
      <c r="F911">
        <v>1.56</v>
      </c>
      <c r="G911" t="s">
        <v>14</v>
      </c>
    </row>
    <row r="912" spans="1:9" hidden="1" x14ac:dyDescent="0.25">
      <c r="A912" t="s">
        <v>901</v>
      </c>
      <c r="B912" t="s">
        <v>21</v>
      </c>
      <c r="C912" s="2">
        <f>HYPERLINK("https://cao.dolgi.msk.ru/account/1083385229/", 1083385229)</f>
        <v>1083385229</v>
      </c>
      <c r="E912">
        <v>25787</v>
      </c>
      <c r="G912" t="s">
        <v>12</v>
      </c>
    </row>
    <row r="913" spans="1:7" hidden="1" x14ac:dyDescent="0.25">
      <c r="A913" t="s">
        <v>901</v>
      </c>
      <c r="B913" t="s">
        <v>22</v>
      </c>
      <c r="C913" s="2">
        <f>HYPERLINK("https://cao.dolgi.msk.ru/account/1080062029/", 1080062029)</f>
        <v>1080062029</v>
      </c>
      <c r="E913">
        <v>18040.12</v>
      </c>
      <c r="G913" t="s">
        <v>14</v>
      </c>
    </row>
    <row r="914" spans="1:7" hidden="1" x14ac:dyDescent="0.25">
      <c r="A914" t="s">
        <v>901</v>
      </c>
      <c r="B914" t="s">
        <v>22</v>
      </c>
      <c r="C914" s="2">
        <f>HYPERLINK("https://cao.dolgi.msk.ru/account/1083385149/", 1083385149)</f>
        <v>1083385149</v>
      </c>
      <c r="E914">
        <v>11794.77</v>
      </c>
      <c r="G914" t="s">
        <v>12</v>
      </c>
    </row>
    <row r="915" spans="1:7" hidden="1" x14ac:dyDescent="0.25">
      <c r="A915" t="s">
        <v>901</v>
      </c>
      <c r="B915" t="s">
        <v>23</v>
      </c>
      <c r="C915" s="2">
        <f>HYPERLINK("https://cao.dolgi.msk.ru/account/1080062037/", 1080062037)</f>
        <v>1080062037</v>
      </c>
      <c r="E915">
        <v>5202.6099999999997</v>
      </c>
      <c r="G915" t="s">
        <v>14</v>
      </c>
    </row>
    <row r="916" spans="1:7" hidden="1" x14ac:dyDescent="0.25">
      <c r="A916" t="s">
        <v>901</v>
      </c>
      <c r="B916" t="s">
        <v>23</v>
      </c>
      <c r="C916" s="2">
        <f>HYPERLINK("https://cao.dolgi.msk.ru/account/1083385106/", 1083385106)</f>
        <v>1083385106</v>
      </c>
      <c r="E916">
        <v>11899.54</v>
      </c>
      <c r="G916" t="s">
        <v>12</v>
      </c>
    </row>
    <row r="917" spans="1:7" hidden="1" x14ac:dyDescent="0.25">
      <c r="A917" t="s">
        <v>901</v>
      </c>
      <c r="B917" t="s">
        <v>24</v>
      </c>
      <c r="C917" s="2">
        <f>HYPERLINK("https://cao.dolgi.msk.ru/account/1080062045/", 1080062045)</f>
        <v>1080062045</v>
      </c>
      <c r="E917">
        <v>5146.38</v>
      </c>
      <c r="G917" t="s">
        <v>14</v>
      </c>
    </row>
    <row r="918" spans="1:7" hidden="1" x14ac:dyDescent="0.25">
      <c r="A918" t="s">
        <v>901</v>
      </c>
      <c r="B918" t="s">
        <v>24</v>
      </c>
      <c r="C918" s="2">
        <f>HYPERLINK("https://cao.dolgi.msk.ru/account/1083385114/", 1083385114)</f>
        <v>1083385114</v>
      </c>
      <c r="E918">
        <v>12521.54</v>
      </c>
      <c r="G918" t="s">
        <v>12</v>
      </c>
    </row>
    <row r="919" spans="1:7" hidden="1" x14ac:dyDescent="0.25">
      <c r="A919" t="s">
        <v>901</v>
      </c>
      <c r="B919" t="s">
        <v>27</v>
      </c>
      <c r="C919" s="2">
        <f>HYPERLINK("https://cao.dolgi.msk.ru/account/1080062053/", 1080062053)</f>
        <v>1080062053</v>
      </c>
      <c r="E919">
        <v>1928.87</v>
      </c>
      <c r="G919" t="s">
        <v>14</v>
      </c>
    </row>
    <row r="920" spans="1:7" hidden="1" x14ac:dyDescent="0.25">
      <c r="A920" t="s">
        <v>901</v>
      </c>
      <c r="B920" t="s">
        <v>27</v>
      </c>
      <c r="C920" s="2">
        <f>HYPERLINK("https://cao.dolgi.msk.ru/account/1083385085/", 1083385085)</f>
        <v>1083385085</v>
      </c>
      <c r="E920">
        <v>9917.8700000000008</v>
      </c>
      <c r="G920" t="s">
        <v>12</v>
      </c>
    </row>
    <row r="921" spans="1:7" hidden="1" x14ac:dyDescent="0.25">
      <c r="A921" t="s">
        <v>901</v>
      </c>
      <c r="B921" t="s">
        <v>29</v>
      </c>
      <c r="C921" s="2">
        <f>HYPERLINK("https://cao.dolgi.msk.ru/account/1080062061/", 1080062061)</f>
        <v>1080062061</v>
      </c>
      <c r="E921">
        <v>69223.429999999993</v>
      </c>
      <c r="G921" t="s">
        <v>14</v>
      </c>
    </row>
    <row r="922" spans="1:7" hidden="1" x14ac:dyDescent="0.25">
      <c r="A922" t="s">
        <v>901</v>
      </c>
      <c r="B922" t="s">
        <v>29</v>
      </c>
      <c r="C922" s="2">
        <f>HYPERLINK("https://cao.dolgi.msk.ru/account/1083385093/", 1083385093)</f>
        <v>1083385093</v>
      </c>
      <c r="E922">
        <v>22162.7</v>
      </c>
      <c r="G922" t="s">
        <v>12</v>
      </c>
    </row>
    <row r="923" spans="1:7" hidden="1" x14ac:dyDescent="0.25">
      <c r="A923" t="s">
        <v>901</v>
      </c>
      <c r="B923" t="s">
        <v>34</v>
      </c>
      <c r="C923" s="2">
        <f>HYPERLINK("https://cao.dolgi.msk.ru/account/1080062088/", 1080062088)</f>
        <v>1080062088</v>
      </c>
      <c r="E923">
        <v>-23445.34</v>
      </c>
      <c r="F923">
        <v>-8.16</v>
      </c>
      <c r="G923" t="s">
        <v>14</v>
      </c>
    </row>
    <row r="924" spans="1:7" hidden="1" x14ac:dyDescent="0.25">
      <c r="A924" t="s">
        <v>901</v>
      </c>
      <c r="B924" t="s">
        <v>34</v>
      </c>
      <c r="C924" s="2">
        <f>HYPERLINK("https://cao.dolgi.msk.ru/account/1083385237/", 1083385237)</f>
        <v>1083385237</v>
      </c>
      <c r="E924">
        <v>29420.51</v>
      </c>
      <c r="G924" t="s">
        <v>12</v>
      </c>
    </row>
    <row r="925" spans="1:7" hidden="1" x14ac:dyDescent="0.25">
      <c r="A925" t="s">
        <v>901</v>
      </c>
      <c r="B925" t="s">
        <v>36</v>
      </c>
      <c r="C925" s="2">
        <f>HYPERLINK("https://cao.dolgi.msk.ru/account/1080062096/", 1080062096)</f>
        <v>1080062096</v>
      </c>
      <c r="E925">
        <v>3166.14</v>
      </c>
      <c r="G925" t="s">
        <v>14</v>
      </c>
    </row>
    <row r="926" spans="1:7" hidden="1" x14ac:dyDescent="0.25">
      <c r="A926" t="s">
        <v>901</v>
      </c>
      <c r="B926" t="s">
        <v>36</v>
      </c>
      <c r="C926" s="2">
        <f>HYPERLINK("https://cao.dolgi.msk.ru/account/1083385165/", 1083385165)</f>
        <v>1083385165</v>
      </c>
      <c r="E926">
        <v>9766.9699999999993</v>
      </c>
      <c r="G926" t="s">
        <v>12</v>
      </c>
    </row>
    <row r="927" spans="1:7" hidden="1" x14ac:dyDescent="0.25">
      <c r="A927" t="s">
        <v>901</v>
      </c>
      <c r="B927" t="s">
        <v>38</v>
      </c>
      <c r="C927" s="2">
        <f>HYPERLINK("https://cao.dolgi.msk.ru/account/1080062109/", 1080062109)</f>
        <v>1080062109</v>
      </c>
      <c r="E927">
        <v>-41965.52</v>
      </c>
      <c r="F927">
        <v>-54.85</v>
      </c>
      <c r="G927" t="s">
        <v>14</v>
      </c>
    </row>
    <row r="928" spans="1:7" hidden="1" x14ac:dyDescent="0.25">
      <c r="A928" t="s">
        <v>901</v>
      </c>
      <c r="B928" t="s">
        <v>38</v>
      </c>
      <c r="C928" s="2">
        <f>HYPERLINK("https://cao.dolgi.msk.ru/account/1083385157/", 1083385157)</f>
        <v>1083385157</v>
      </c>
      <c r="E928">
        <v>20620.16</v>
      </c>
      <c r="G928" t="s">
        <v>12</v>
      </c>
    </row>
    <row r="929" spans="1:9" hidden="1" x14ac:dyDescent="0.25">
      <c r="A929" t="s">
        <v>901</v>
      </c>
      <c r="B929" t="s">
        <v>39</v>
      </c>
      <c r="C929" s="2">
        <f>HYPERLINK("https://cao.dolgi.msk.ru/account/1080062141/", 1080062141)</f>
        <v>1080062141</v>
      </c>
      <c r="E929">
        <v>3375.08</v>
      </c>
      <c r="G929" t="s">
        <v>14</v>
      </c>
    </row>
    <row r="930" spans="1:9" hidden="1" x14ac:dyDescent="0.25">
      <c r="A930" t="s">
        <v>901</v>
      </c>
      <c r="B930" t="s">
        <v>39</v>
      </c>
      <c r="C930" s="2">
        <f>HYPERLINK("https://cao.dolgi.msk.ru/account/1083385077/", 1083385077)</f>
        <v>1083385077</v>
      </c>
      <c r="E930">
        <v>8003.86</v>
      </c>
      <c r="G930" t="s">
        <v>12</v>
      </c>
    </row>
    <row r="931" spans="1:9" hidden="1" x14ac:dyDescent="0.25">
      <c r="A931" t="s">
        <v>901</v>
      </c>
      <c r="B931" t="s">
        <v>40</v>
      </c>
      <c r="C931" s="2">
        <f>HYPERLINK("https://cao.dolgi.msk.ru/account/1080062117/", 1080062117)</f>
        <v>1080062117</v>
      </c>
      <c r="E931">
        <v>6505.8</v>
      </c>
      <c r="F931">
        <v>3.47</v>
      </c>
      <c r="G931" t="s">
        <v>14</v>
      </c>
    </row>
    <row r="932" spans="1:9" hidden="1" x14ac:dyDescent="0.25">
      <c r="A932" t="s">
        <v>901</v>
      </c>
      <c r="B932" t="s">
        <v>40</v>
      </c>
      <c r="C932" s="2">
        <f>HYPERLINK("https://cao.dolgi.msk.ru/account/1083385042/", 1083385042)</f>
        <v>1083385042</v>
      </c>
      <c r="E932">
        <v>18318.18</v>
      </c>
      <c r="G932" t="s">
        <v>12</v>
      </c>
    </row>
    <row r="933" spans="1:9" hidden="1" x14ac:dyDescent="0.25">
      <c r="A933" t="s">
        <v>901</v>
      </c>
      <c r="B933" t="s">
        <v>41</v>
      </c>
      <c r="C933" s="2">
        <f>HYPERLINK("https://cao.dolgi.msk.ru/account/1080062125/", 1080062125)</f>
        <v>1080062125</v>
      </c>
      <c r="E933">
        <v>2240.9</v>
      </c>
      <c r="G933" t="s">
        <v>14</v>
      </c>
    </row>
    <row r="934" spans="1:9" hidden="1" x14ac:dyDescent="0.25">
      <c r="A934" t="s">
        <v>901</v>
      </c>
      <c r="B934" t="s">
        <v>41</v>
      </c>
      <c r="C934" s="2">
        <f>HYPERLINK("https://cao.dolgi.msk.ru/account/1083385069/", 1083385069)</f>
        <v>1083385069</v>
      </c>
      <c r="E934">
        <v>11813.8</v>
      </c>
      <c r="G934" t="s">
        <v>12</v>
      </c>
    </row>
    <row r="935" spans="1:9" hidden="1" x14ac:dyDescent="0.25">
      <c r="A935" t="s">
        <v>901</v>
      </c>
      <c r="B935" t="s">
        <v>42</v>
      </c>
      <c r="C935" s="2">
        <f>HYPERLINK("https://cao.dolgi.msk.ru/account/1080060605/", 1080060605)</f>
        <v>1080060605</v>
      </c>
      <c r="E935">
        <v>2265</v>
      </c>
      <c r="G935" t="s">
        <v>14</v>
      </c>
    </row>
    <row r="936" spans="1:9" hidden="1" x14ac:dyDescent="0.25">
      <c r="A936" t="s">
        <v>901</v>
      </c>
      <c r="B936" t="s">
        <v>42</v>
      </c>
      <c r="C936" s="2">
        <f>HYPERLINK("https://cao.dolgi.msk.ru/account/1083385181/", 1083385181)</f>
        <v>1083385181</v>
      </c>
      <c r="E936">
        <v>20404.5</v>
      </c>
      <c r="G936" t="s">
        <v>12</v>
      </c>
    </row>
    <row r="937" spans="1:9" hidden="1" x14ac:dyDescent="0.25">
      <c r="A937" t="s">
        <v>901</v>
      </c>
      <c r="B937" t="s">
        <v>44</v>
      </c>
      <c r="C937" s="2">
        <f>HYPERLINK("https://cao.dolgi.msk.ru/account/1080062133/", 1080062133)</f>
        <v>1080062133</v>
      </c>
      <c r="E937">
        <v>1858.39</v>
      </c>
      <c r="G937" t="s">
        <v>14</v>
      </c>
    </row>
    <row r="938" spans="1:9" hidden="1" x14ac:dyDescent="0.25">
      <c r="A938" t="s">
        <v>901</v>
      </c>
      <c r="B938" t="s">
        <v>44</v>
      </c>
      <c r="C938" s="2">
        <f>HYPERLINK("https://cao.dolgi.msk.ru/account/1083385173/", 1083385173)</f>
        <v>1083385173</v>
      </c>
      <c r="E938">
        <v>19165.88</v>
      </c>
      <c r="G938" t="s">
        <v>12</v>
      </c>
    </row>
    <row r="939" spans="1:9" hidden="1" x14ac:dyDescent="0.25">
      <c r="A939" t="s">
        <v>902</v>
      </c>
      <c r="B939" t="s">
        <v>110</v>
      </c>
      <c r="C939" s="2">
        <f>HYPERLINK("https://cao.dolgi.msk.ru/account/1080002077/", 1080002077)</f>
        <v>1080002077</v>
      </c>
      <c r="D939" t="s">
        <v>903</v>
      </c>
      <c r="E939">
        <v>-5403.64</v>
      </c>
      <c r="F939">
        <v>-1.01</v>
      </c>
      <c r="G939" t="s">
        <v>12</v>
      </c>
      <c r="I939" t="s">
        <v>13</v>
      </c>
    </row>
    <row r="940" spans="1:9" hidden="1" x14ac:dyDescent="0.25">
      <c r="A940" t="s">
        <v>902</v>
      </c>
      <c r="B940" t="s">
        <v>112</v>
      </c>
      <c r="C940" s="2">
        <f>HYPERLINK("https://cao.dolgi.msk.ru/account/1080002093/", 1080002093)</f>
        <v>1080002093</v>
      </c>
      <c r="D940" t="s">
        <v>904</v>
      </c>
      <c r="E940">
        <v>-4071.51</v>
      </c>
      <c r="F940">
        <v>-0.78</v>
      </c>
      <c r="G940" t="s">
        <v>12</v>
      </c>
      <c r="I940" t="s">
        <v>13</v>
      </c>
    </row>
    <row r="941" spans="1:9" x14ac:dyDescent="0.25">
      <c r="A941" t="s">
        <v>902</v>
      </c>
      <c r="B941" t="s">
        <v>114</v>
      </c>
      <c r="C941" s="2">
        <f>HYPERLINK("https://cao.dolgi.msk.ru/account/1080002114/", 1080002114)</f>
        <v>1080002114</v>
      </c>
      <c r="D941" t="s">
        <v>905</v>
      </c>
      <c r="E941">
        <v>6830.54</v>
      </c>
      <c r="F941">
        <v>1.84</v>
      </c>
      <c r="G941" t="s">
        <v>12</v>
      </c>
      <c r="I941" t="s">
        <v>13</v>
      </c>
    </row>
    <row r="942" spans="1:9" hidden="1" x14ac:dyDescent="0.25">
      <c r="A942" t="s">
        <v>902</v>
      </c>
      <c r="B942" t="s">
        <v>116</v>
      </c>
      <c r="C942" s="2">
        <f>HYPERLINK("https://cao.dolgi.msk.ru/account/1080003002/", 1080003002)</f>
        <v>1080003002</v>
      </c>
      <c r="D942" t="s">
        <v>906</v>
      </c>
      <c r="E942">
        <v>-2802.71</v>
      </c>
      <c r="F942">
        <v>-0.91</v>
      </c>
      <c r="G942" t="s">
        <v>12</v>
      </c>
      <c r="I942" t="s">
        <v>13</v>
      </c>
    </row>
    <row r="943" spans="1:9" hidden="1" x14ac:dyDescent="0.25">
      <c r="A943" t="s">
        <v>902</v>
      </c>
      <c r="B943" t="s">
        <v>118</v>
      </c>
      <c r="C943" s="2">
        <f>HYPERLINK("https://cao.dolgi.msk.ru/account/1080002165/", 1080002165)</f>
        <v>1080002165</v>
      </c>
      <c r="D943" t="s">
        <v>907</v>
      </c>
      <c r="E943">
        <v>-5163.3500000000004</v>
      </c>
      <c r="F943">
        <v>-1.01</v>
      </c>
      <c r="G943" t="s">
        <v>12</v>
      </c>
      <c r="I943" t="s">
        <v>13</v>
      </c>
    </row>
    <row r="944" spans="1:9" hidden="1" x14ac:dyDescent="0.25">
      <c r="A944" t="s">
        <v>902</v>
      </c>
      <c r="B944" t="s">
        <v>120</v>
      </c>
      <c r="C944" s="2">
        <f>HYPERLINK("https://cao.dolgi.msk.ru/account/1080002173/", 1080002173)</f>
        <v>1080002173</v>
      </c>
      <c r="D944" t="s">
        <v>908</v>
      </c>
      <c r="E944">
        <v>-4829</v>
      </c>
      <c r="F944">
        <v>-1.01</v>
      </c>
      <c r="G944" t="s">
        <v>12</v>
      </c>
      <c r="I944" t="s">
        <v>13</v>
      </c>
    </row>
    <row r="945" spans="1:9" x14ac:dyDescent="0.25">
      <c r="A945" t="s">
        <v>902</v>
      </c>
      <c r="B945" t="s">
        <v>122</v>
      </c>
      <c r="C945" s="2">
        <f>HYPERLINK("https://cao.dolgi.msk.ru/account/1080003029/", 1080003029)</f>
        <v>1080003029</v>
      </c>
      <c r="D945" t="s">
        <v>909</v>
      </c>
      <c r="E945">
        <v>20970.919999999998</v>
      </c>
      <c r="F945">
        <v>3.97</v>
      </c>
      <c r="G945" t="s">
        <v>12</v>
      </c>
      <c r="I945" t="s">
        <v>13</v>
      </c>
    </row>
    <row r="946" spans="1:9" hidden="1" x14ac:dyDescent="0.25">
      <c r="A946" t="s">
        <v>902</v>
      </c>
      <c r="B946" t="s">
        <v>124</v>
      </c>
      <c r="C946" s="2">
        <f>HYPERLINK("https://cao.dolgi.msk.ru/account/1080002229/", 1080002229)</f>
        <v>1080002229</v>
      </c>
      <c r="D946" t="s">
        <v>910</v>
      </c>
      <c r="E946">
        <v>-1640.47</v>
      </c>
      <c r="F946">
        <v>-1.04</v>
      </c>
      <c r="G946" t="s">
        <v>12</v>
      </c>
      <c r="I946" t="s">
        <v>13</v>
      </c>
    </row>
    <row r="947" spans="1:9" hidden="1" x14ac:dyDescent="0.25">
      <c r="A947" t="s">
        <v>902</v>
      </c>
      <c r="B947" t="s">
        <v>126</v>
      </c>
      <c r="C947" s="2">
        <f>HYPERLINK("https://cao.dolgi.msk.ru/account/1080002237/", 1080002237)</f>
        <v>1080002237</v>
      </c>
      <c r="D947" t="s">
        <v>911</v>
      </c>
      <c r="E947">
        <v>-627.5</v>
      </c>
      <c r="F947">
        <v>-0.22</v>
      </c>
      <c r="G947" t="s">
        <v>12</v>
      </c>
      <c r="I947" t="s">
        <v>13</v>
      </c>
    </row>
    <row r="948" spans="1:9" hidden="1" x14ac:dyDescent="0.25">
      <c r="A948" t="s">
        <v>902</v>
      </c>
      <c r="B948" t="s">
        <v>128</v>
      </c>
      <c r="C948" s="2">
        <f>HYPERLINK("https://cao.dolgi.msk.ru/account/1080002296/", 1080002296)</f>
        <v>1080002296</v>
      </c>
      <c r="D948" t="s">
        <v>912</v>
      </c>
      <c r="E948">
        <v>-4377.8999999999996</v>
      </c>
      <c r="F948">
        <v>-1.01</v>
      </c>
      <c r="G948" t="s">
        <v>12</v>
      </c>
      <c r="I948" t="s">
        <v>13</v>
      </c>
    </row>
    <row r="949" spans="1:9" hidden="1" x14ac:dyDescent="0.25">
      <c r="A949" t="s">
        <v>902</v>
      </c>
      <c r="B949" t="s">
        <v>130</v>
      </c>
      <c r="C949" s="2">
        <f>HYPERLINK("https://cao.dolgi.msk.ru/account/1080002309/", 1080002309)</f>
        <v>1080002309</v>
      </c>
      <c r="D949" t="s">
        <v>913</v>
      </c>
      <c r="E949">
        <v>-2302.9299999999998</v>
      </c>
      <c r="F949">
        <v>-1.01</v>
      </c>
      <c r="G949" t="s">
        <v>12</v>
      </c>
      <c r="I949" t="s">
        <v>13</v>
      </c>
    </row>
    <row r="950" spans="1:9" hidden="1" x14ac:dyDescent="0.25">
      <c r="A950" t="s">
        <v>902</v>
      </c>
      <c r="B950" t="s">
        <v>132</v>
      </c>
      <c r="C950" s="2">
        <f>HYPERLINK("https://cao.dolgi.msk.ru/account/1080002333/", 1080002333)</f>
        <v>1080002333</v>
      </c>
      <c r="D950" t="s">
        <v>914</v>
      </c>
      <c r="E950">
        <v>-2785.45</v>
      </c>
      <c r="F950">
        <v>-1.08</v>
      </c>
      <c r="G950" t="s">
        <v>12</v>
      </c>
      <c r="I950" t="s">
        <v>13</v>
      </c>
    </row>
    <row r="951" spans="1:9" hidden="1" x14ac:dyDescent="0.25">
      <c r="A951" t="s">
        <v>902</v>
      </c>
      <c r="B951" t="s">
        <v>133</v>
      </c>
      <c r="C951" s="2">
        <f>HYPERLINK("https://cao.dolgi.msk.ru/account/1080002376/", 1080002376)</f>
        <v>1080002376</v>
      </c>
      <c r="D951" t="s">
        <v>915</v>
      </c>
      <c r="E951">
        <v>-5227.51</v>
      </c>
      <c r="F951">
        <v>-1.01</v>
      </c>
      <c r="G951" t="s">
        <v>12</v>
      </c>
      <c r="I951" t="s">
        <v>13</v>
      </c>
    </row>
    <row r="952" spans="1:9" hidden="1" x14ac:dyDescent="0.25">
      <c r="A952" t="s">
        <v>902</v>
      </c>
      <c r="B952" t="s">
        <v>135</v>
      </c>
      <c r="C952" s="2">
        <f>HYPERLINK("https://cao.dolgi.msk.ru/account/1080002384/", 1080002384)</f>
        <v>1080002384</v>
      </c>
      <c r="D952" t="s">
        <v>916</v>
      </c>
      <c r="E952">
        <v>8604.2199999999993</v>
      </c>
      <c r="F952">
        <v>0.95</v>
      </c>
      <c r="G952" t="s">
        <v>12</v>
      </c>
      <c r="I952" t="s">
        <v>13</v>
      </c>
    </row>
    <row r="953" spans="1:9" x14ac:dyDescent="0.25">
      <c r="A953" t="s">
        <v>902</v>
      </c>
      <c r="B953" t="s">
        <v>137</v>
      </c>
      <c r="C953" s="2">
        <f>HYPERLINK("https://cao.dolgi.msk.ru/account/1080002421/", 1080002421)</f>
        <v>1080002421</v>
      </c>
      <c r="D953" t="s">
        <v>917</v>
      </c>
      <c r="E953">
        <v>35138.639999999999</v>
      </c>
      <c r="F953">
        <v>2.98</v>
      </c>
      <c r="G953" t="s">
        <v>12</v>
      </c>
      <c r="I953" t="s">
        <v>13</v>
      </c>
    </row>
    <row r="954" spans="1:9" hidden="1" x14ac:dyDescent="0.25">
      <c r="A954" t="s">
        <v>902</v>
      </c>
      <c r="B954" t="s">
        <v>139</v>
      </c>
      <c r="C954" s="2">
        <f>HYPERLINK("https://cao.dolgi.msk.ru/account/1080003037/", 1080003037)</f>
        <v>1080003037</v>
      </c>
      <c r="D954" t="s">
        <v>918</v>
      </c>
      <c r="E954">
        <v>-5780.54</v>
      </c>
      <c r="F954">
        <v>-1.02</v>
      </c>
      <c r="G954" t="s">
        <v>12</v>
      </c>
      <c r="I954" t="s">
        <v>13</v>
      </c>
    </row>
    <row r="955" spans="1:9" hidden="1" x14ac:dyDescent="0.25">
      <c r="A955" t="s">
        <v>902</v>
      </c>
      <c r="B955" t="s">
        <v>141</v>
      </c>
      <c r="C955" s="2">
        <f>HYPERLINK("https://cao.dolgi.msk.ru/account/1080002448/", 1080002448)</f>
        <v>1080002448</v>
      </c>
      <c r="D955" t="s">
        <v>919</v>
      </c>
      <c r="E955">
        <v>-7813.85</v>
      </c>
      <c r="F955">
        <v>-1.01</v>
      </c>
      <c r="G955" t="s">
        <v>12</v>
      </c>
      <c r="I955" t="s">
        <v>13</v>
      </c>
    </row>
    <row r="956" spans="1:9" hidden="1" x14ac:dyDescent="0.25">
      <c r="A956" t="s">
        <v>902</v>
      </c>
      <c r="B956" t="s">
        <v>143</v>
      </c>
      <c r="C956" s="2">
        <f>HYPERLINK("https://cao.dolgi.msk.ru/account/1080002499/", 1080002499)</f>
        <v>1080002499</v>
      </c>
      <c r="D956" t="s">
        <v>920</v>
      </c>
      <c r="E956">
        <v>-335.96</v>
      </c>
      <c r="F956">
        <v>-0.03</v>
      </c>
      <c r="G956" t="s">
        <v>12</v>
      </c>
      <c r="I956" t="s">
        <v>13</v>
      </c>
    </row>
    <row r="957" spans="1:9" hidden="1" x14ac:dyDescent="0.25">
      <c r="A957" t="s">
        <v>902</v>
      </c>
      <c r="B957" t="s">
        <v>145</v>
      </c>
      <c r="C957" s="2">
        <f>HYPERLINK("https://cao.dolgi.msk.ru/account/1080002528/", 1080002528)</f>
        <v>1080002528</v>
      </c>
      <c r="D957" t="s">
        <v>921</v>
      </c>
      <c r="E957">
        <v>-837.28</v>
      </c>
      <c r="F957">
        <v>-0.16</v>
      </c>
      <c r="G957" t="s">
        <v>12</v>
      </c>
      <c r="I957" t="s">
        <v>13</v>
      </c>
    </row>
    <row r="958" spans="1:9" hidden="1" x14ac:dyDescent="0.25">
      <c r="A958" t="s">
        <v>902</v>
      </c>
      <c r="B958" t="s">
        <v>147</v>
      </c>
      <c r="C958" s="2">
        <f>HYPERLINK("https://cao.dolgi.msk.ru/account/1080002544/", 1080002544)</f>
        <v>1080002544</v>
      </c>
      <c r="D958" t="s">
        <v>922</v>
      </c>
      <c r="E958">
        <v>-5310.1</v>
      </c>
      <c r="F958">
        <v>-1.01</v>
      </c>
      <c r="G958" t="s">
        <v>12</v>
      </c>
      <c r="I958" t="s">
        <v>13</v>
      </c>
    </row>
    <row r="959" spans="1:9" hidden="1" x14ac:dyDescent="0.25">
      <c r="A959" t="s">
        <v>902</v>
      </c>
      <c r="B959" t="s">
        <v>149</v>
      </c>
      <c r="C959" s="2">
        <f>HYPERLINK("https://cao.dolgi.msk.ru/account/1080002579/", 1080002579)</f>
        <v>1080002579</v>
      </c>
      <c r="D959" t="s">
        <v>923</v>
      </c>
      <c r="E959">
        <v>-3175.45</v>
      </c>
      <c r="F959">
        <v>-1.04</v>
      </c>
      <c r="G959" t="s">
        <v>12</v>
      </c>
      <c r="I959" t="s">
        <v>13</v>
      </c>
    </row>
    <row r="960" spans="1:9" hidden="1" x14ac:dyDescent="0.25">
      <c r="A960" t="s">
        <v>902</v>
      </c>
      <c r="B960" t="s">
        <v>151</v>
      </c>
      <c r="C960" s="2">
        <f>HYPERLINK("https://cao.dolgi.msk.ru/account/1080002587/", 1080002587)</f>
        <v>1080002587</v>
      </c>
      <c r="D960" t="s">
        <v>924</v>
      </c>
      <c r="E960">
        <v>-62.54</v>
      </c>
      <c r="F960">
        <v>-0.01</v>
      </c>
      <c r="G960" t="s">
        <v>12</v>
      </c>
      <c r="I960" t="s">
        <v>13</v>
      </c>
    </row>
    <row r="961" spans="1:9" hidden="1" x14ac:dyDescent="0.25">
      <c r="A961" t="s">
        <v>902</v>
      </c>
      <c r="B961" t="s">
        <v>153</v>
      </c>
      <c r="C961" s="2">
        <f>HYPERLINK("https://cao.dolgi.msk.ru/account/1080002616/", 1080002616)</f>
        <v>1080002616</v>
      </c>
      <c r="D961" t="s">
        <v>925</v>
      </c>
      <c r="E961">
        <v>0</v>
      </c>
      <c r="F961">
        <v>0</v>
      </c>
      <c r="G961" t="s">
        <v>12</v>
      </c>
      <c r="I961" t="s">
        <v>13</v>
      </c>
    </row>
    <row r="962" spans="1:9" hidden="1" x14ac:dyDescent="0.25">
      <c r="A962" t="s">
        <v>902</v>
      </c>
      <c r="B962" t="s">
        <v>155</v>
      </c>
      <c r="C962" s="2">
        <f>HYPERLINK("https://cao.dolgi.msk.ru/account/1080002632/", 1080002632)</f>
        <v>1080002632</v>
      </c>
      <c r="D962" t="s">
        <v>926</v>
      </c>
      <c r="E962">
        <v>-4552.49</v>
      </c>
      <c r="F962">
        <v>-1.1299999999999999</v>
      </c>
      <c r="G962" t="s">
        <v>12</v>
      </c>
      <c r="I962" t="s">
        <v>13</v>
      </c>
    </row>
    <row r="963" spans="1:9" hidden="1" x14ac:dyDescent="0.25">
      <c r="A963" t="s">
        <v>902</v>
      </c>
      <c r="B963" t="s">
        <v>157</v>
      </c>
      <c r="C963" s="2">
        <f>HYPERLINK("https://cao.dolgi.msk.ru/account/1080002667/", 1080002667)</f>
        <v>1080002667</v>
      </c>
      <c r="D963" t="s">
        <v>927</v>
      </c>
      <c r="E963">
        <v>-2906.41</v>
      </c>
      <c r="F963">
        <v>-1.25</v>
      </c>
      <c r="G963" t="s">
        <v>12</v>
      </c>
      <c r="I963" t="s">
        <v>13</v>
      </c>
    </row>
    <row r="964" spans="1:9" x14ac:dyDescent="0.25">
      <c r="A964" t="s">
        <v>902</v>
      </c>
      <c r="B964" t="s">
        <v>159</v>
      </c>
      <c r="C964" s="2">
        <f>HYPERLINK("https://cao.dolgi.msk.ru/account/1080002683/", 1080002683)</f>
        <v>1080002683</v>
      </c>
      <c r="D964" t="s">
        <v>928</v>
      </c>
      <c r="E964">
        <v>43688.67</v>
      </c>
      <c r="F964">
        <v>9.51</v>
      </c>
      <c r="G964" t="s">
        <v>12</v>
      </c>
      <c r="I964" t="s">
        <v>13</v>
      </c>
    </row>
    <row r="965" spans="1:9" hidden="1" x14ac:dyDescent="0.25">
      <c r="A965" t="s">
        <v>902</v>
      </c>
      <c r="B965" t="s">
        <v>161</v>
      </c>
      <c r="C965" s="2">
        <f>HYPERLINK("https://cao.dolgi.msk.ru/account/1080002704/", 1080002704)</f>
        <v>1080002704</v>
      </c>
      <c r="D965" t="s">
        <v>929</v>
      </c>
      <c r="E965">
        <v>4899</v>
      </c>
      <c r="F965">
        <v>0.96</v>
      </c>
      <c r="G965" t="s">
        <v>12</v>
      </c>
      <c r="I965" t="s">
        <v>13</v>
      </c>
    </row>
    <row r="966" spans="1:9" hidden="1" x14ac:dyDescent="0.25">
      <c r="A966" t="s">
        <v>902</v>
      </c>
      <c r="B966" t="s">
        <v>163</v>
      </c>
      <c r="C966" s="2">
        <f>HYPERLINK("https://cao.dolgi.msk.ru/account/1080002747/", 1080002747)</f>
        <v>1080002747</v>
      </c>
      <c r="D966" t="s">
        <v>930</v>
      </c>
      <c r="E966">
        <v>-2491.3000000000002</v>
      </c>
      <c r="F966">
        <v>-1.01</v>
      </c>
      <c r="G966" t="s">
        <v>12</v>
      </c>
      <c r="I966" t="s">
        <v>13</v>
      </c>
    </row>
    <row r="967" spans="1:9" hidden="1" x14ac:dyDescent="0.25">
      <c r="A967" t="s">
        <v>902</v>
      </c>
      <c r="B967" t="s">
        <v>571</v>
      </c>
      <c r="C967" s="2">
        <f>HYPERLINK("https://cao.dolgi.msk.ru/account/1080002755/", 1080002755)</f>
        <v>1080002755</v>
      </c>
      <c r="D967" t="s">
        <v>931</v>
      </c>
      <c r="E967">
        <v>-5363.16</v>
      </c>
      <c r="F967">
        <v>-1.01</v>
      </c>
      <c r="G967" t="s">
        <v>12</v>
      </c>
      <c r="I967" t="s">
        <v>13</v>
      </c>
    </row>
    <row r="968" spans="1:9" x14ac:dyDescent="0.25">
      <c r="A968" t="s">
        <v>902</v>
      </c>
      <c r="B968" t="s">
        <v>682</v>
      </c>
      <c r="C968" s="2">
        <f>HYPERLINK("https://cao.dolgi.msk.ru/account/1080003045/", 1080003045)</f>
        <v>1080003045</v>
      </c>
      <c r="D968" t="s">
        <v>932</v>
      </c>
      <c r="E968">
        <v>432722.55</v>
      </c>
      <c r="F968">
        <v>88.73</v>
      </c>
      <c r="G968" t="s">
        <v>12</v>
      </c>
      <c r="I968" t="s">
        <v>13</v>
      </c>
    </row>
    <row r="969" spans="1:9" hidden="1" x14ac:dyDescent="0.25">
      <c r="A969" t="s">
        <v>902</v>
      </c>
      <c r="B969" t="s">
        <v>578</v>
      </c>
      <c r="C969" s="2">
        <f>HYPERLINK("https://cao.dolgi.msk.ru/account/1080003053/", 1080003053)</f>
        <v>1080003053</v>
      </c>
      <c r="D969" t="s">
        <v>933</v>
      </c>
      <c r="E969">
        <v>-5912.95</v>
      </c>
      <c r="F969">
        <v>-1.02</v>
      </c>
      <c r="G969" t="s">
        <v>12</v>
      </c>
      <c r="I969" t="s">
        <v>13</v>
      </c>
    </row>
    <row r="970" spans="1:9" hidden="1" x14ac:dyDescent="0.25">
      <c r="A970" t="s">
        <v>902</v>
      </c>
      <c r="B970" t="s">
        <v>580</v>
      </c>
      <c r="C970" s="2">
        <f>HYPERLINK("https://cao.dolgi.msk.ru/account/1080003061/", 1080003061)</f>
        <v>1080003061</v>
      </c>
      <c r="D970" t="s">
        <v>934</v>
      </c>
      <c r="E970">
        <v>-4896.7299999999996</v>
      </c>
      <c r="F970">
        <v>-1.01</v>
      </c>
      <c r="G970" t="s">
        <v>12</v>
      </c>
      <c r="I970" t="s">
        <v>13</v>
      </c>
    </row>
    <row r="971" spans="1:9" hidden="1" x14ac:dyDescent="0.25">
      <c r="A971" t="s">
        <v>902</v>
      </c>
      <c r="B971" t="s">
        <v>686</v>
      </c>
      <c r="C971" s="2">
        <f>HYPERLINK("https://cao.dolgi.msk.ru/account/1080002827/", 1080002827)</f>
        <v>1080002827</v>
      </c>
      <c r="D971" t="s">
        <v>935</v>
      </c>
      <c r="E971">
        <v>-7451.3</v>
      </c>
      <c r="F971">
        <v>-1.01</v>
      </c>
      <c r="G971" t="s">
        <v>12</v>
      </c>
      <c r="I971" t="s">
        <v>13</v>
      </c>
    </row>
    <row r="972" spans="1:9" hidden="1" x14ac:dyDescent="0.25">
      <c r="A972" t="s">
        <v>902</v>
      </c>
      <c r="B972" t="s">
        <v>582</v>
      </c>
      <c r="C972" s="2">
        <f>HYPERLINK("https://cao.dolgi.msk.ru/account/1080002835/", 1080002835)</f>
        <v>1080002835</v>
      </c>
      <c r="D972" t="s">
        <v>936</v>
      </c>
      <c r="E972">
        <v>-6026.37</v>
      </c>
      <c r="F972">
        <v>-1.01</v>
      </c>
      <c r="G972" t="s">
        <v>12</v>
      </c>
      <c r="I972" t="s">
        <v>13</v>
      </c>
    </row>
    <row r="973" spans="1:9" hidden="1" x14ac:dyDescent="0.25">
      <c r="A973" t="s">
        <v>902</v>
      </c>
      <c r="B973" t="s">
        <v>584</v>
      </c>
      <c r="C973" s="2">
        <f>HYPERLINK("https://cao.dolgi.msk.ru/account/1080003109/", 1080003109)</f>
        <v>1080003109</v>
      </c>
      <c r="D973" t="s">
        <v>937</v>
      </c>
      <c r="E973">
        <v>-210.04</v>
      </c>
      <c r="F973">
        <v>-0.06</v>
      </c>
      <c r="G973" t="s">
        <v>12</v>
      </c>
      <c r="I973" t="s">
        <v>13</v>
      </c>
    </row>
    <row r="974" spans="1:9" hidden="1" x14ac:dyDescent="0.25">
      <c r="A974" t="s">
        <v>902</v>
      </c>
      <c r="B974" t="s">
        <v>584</v>
      </c>
      <c r="C974" s="2">
        <f>HYPERLINK("https://cao.dolgi.msk.ru/account/1089123342/", 1089123342)</f>
        <v>1089123342</v>
      </c>
      <c r="D974" t="s">
        <v>15</v>
      </c>
      <c r="E974">
        <v>-91.47</v>
      </c>
      <c r="G974" t="s">
        <v>14</v>
      </c>
      <c r="I974" t="s">
        <v>13</v>
      </c>
    </row>
    <row r="975" spans="1:9" hidden="1" x14ac:dyDescent="0.25">
      <c r="A975" t="s">
        <v>902</v>
      </c>
      <c r="B975" t="s">
        <v>586</v>
      </c>
      <c r="C975" s="2">
        <f>HYPERLINK("https://cao.dolgi.msk.ru/account/1080003125/", 1080003125)</f>
        <v>1080003125</v>
      </c>
      <c r="D975" t="s">
        <v>62</v>
      </c>
      <c r="E975">
        <v>-6670.14</v>
      </c>
      <c r="F975">
        <v>-1.01</v>
      </c>
      <c r="G975" t="s">
        <v>12</v>
      </c>
      <c r="I975" t="s">
        <v>13</v>
      </c>
    </row>
    <row r="976" spans="1:9" hidden="1" x14ac:dyDescent="0.25">
      <c r="A976" t="s">
        <v>902</v>
      </c>
      <c r="B976" t="s">
        <v>938</v>
      </c>
      <c r="C976" s="2">
        <f>HYPERLINK("https://cao.dolgi.msk.ru/account/1080003117/", 1080003117)</f>
        <v>1080003117</v>
      </c>
      <c r="D976" t="s">
        <v>939</v>
      </c>
      <c r="E976">
        <v>0</v>
      </c>
      <c r="F976">
        <v>0</v>
      </c>
      <c r="G976" t="s">
        <v>12</v>
      </c>
      <c r="I976" t="s">
        <v>13</v>
      </c>
    </row>
    <row r="977" spans="1:9" hidden="1" x14ac:dyDescent="0.25">
      <c r="A977" t="s">
        <v>902</v>
      </c>
      <c r="B977" t="s">
        <v>588</v>
      </c>
      <c r="C977" s="2">
        <f>HYPERLINK("https://cao.dolgi.msk.ru/account/1080003133/", 1080003133)</f>
        <v>1080003133</v>
      </c>
      <c r="D977" t="s">
        <v>940</v>
      </c>
      <c r="E977">
        <v>-4923.9399999999996</v>
      </c>
      <c r="F977">
        <v>-1.17</v>
      </c>
      <c r="G977" t="s">
        <v>12</v>
      </c>
      <c r="I977" t="s">
        <v>13</v>
      </c>
    </row>
    <row r="978" spans="1:9" hidden="1" x14ac:dyDescent="0.25">
      <c r="A978" t="s">
        <v>902</v>
      </c>
      <c r="B978" t="s">
        <v>590</v>
      </c>
      <c r="C978" s="2">
        <f>HYPERLINK("https://cao.dolgi.msk.ru/account/1080003141/", 1080003141)</f>
        <v>1080003141</v>
      </c>
      <c r="D978" t="s">
        <v>941</v>
      </c>
      <c r="E978">
        <v>-6518.56</v>
      </c>
      <c r="F978">
        <v>-1.01</v>
      </c>
      <c r="G978" t="s">
        <v>12</v>
      </c>
      <c r="I978" t="s">
        <v>13</v>
      </c>
    </row>
    <row r="979" spans="1:9" hidden="1" x14ac:dyDescent="0.25">
      <c r="A979" t="s">
        <v>902</v>
      </c>
      <c r="B979" t="s">
        <v>693</v>
      </c>
      <c r="C979" s="2">
        <f>HYPERLINK("https://cao.dolgi.msk.ru/account/1080003168/", 1080003168)</f>
        <v>1080003168</v>
      </c>
      <c r="D979" t="s">
        <v>942</v>
      </c>
      <c r="E979">
        <v>-4735.3100000000004</v>
      </c>
      <c r="F979">
        <v>-1.01</v>
      </c>
      <c r="G979" t="s">
        <v>12</v>
      </c>
      <c r="I979" t="s">
        <v>13</v>
      </c>
    </row>
    <row r="980" spans="1:9" hidden="1" x14ac:dyDescent="0.25">
      <c r="A980" t="s">
        <v>902</v>
      </c>
      <c r="B980" t="s">
        <v>694</v>
      </c>
      <c r="C980" s="2">
        <f>HYPERLINK("https://cao.dolgi.msk.ru/account/1080003176/", 1080003176)</f>
        <v>1080003176</v>
      </c>
      <c r="D980" t="s">
        <v>943</v>
      </c>
      <c r="E980">
        <v>-3640.8</v>
      </c>
      <c r="F980">
        <v>-1.04</v>
      </c>
      <c r="G980" t="s">
        <v>12</v>
      </c>
      <c r="I980" t="s">
        <v>13</v>
      </c>
    </row>
    <row r="981" spans="1:9" hidden="1" x14ac:dyDescent="0.25">
      <c r="A981" t="s">
        <v>902</v>
      </c>
      <c r="B981" t="s">
        <v>696</v>
      </c>
      <c r="C981" s="2">
        <f>HYPERLINK("https://cao.dolgi.msk.ru/account/1080003184/", 1080003184)</f>
        <v>1080003184</v>
      </c>
      <c r="D981" t="s">
        <v>169</v>
      </c>
      <c r="E981">
        <v>0</v>
      </c>
      <c r="F981">
        <v>0</v>
      </c>
      <c r="G981" t="s">
        <v>12</v>
      </c>
      <c r="I981" t="s">
        <v>13</v>
      </c>
    </row>
    <row r="982" spans="1:9" hidden="1" x14ac:dyDescent="0.25">
      <c r="A982" t="s">
        <v>902</v>
      </c>
      <c r="B982" t="s">
        <v>698</v>
      </c>
      <c r="C982" s="2">
        <f>HYPERLINK("https://cao.dolgi.msk.ru/account/1080003088/", 1080003088)</f>
        <v>1080003088</v>
      </c>
      <c r="D982" t="s">
        <v>944</v>
      </c>
      <c r="E982">
        <v>-4830.1899999999996</v>
      </c>
      <c r="F982">
        <v>-1.02</v>
      </c>
      <c r="G982" t="s">
        <v>12</v>
      </c>
      <c r="I982" t="s">
        <v>13</v>
      </c>
    </row>
    <row r="983" spans="1:9" x14ac:dyDescent="0.25">
      <c r="A983" t="s">
        <v>902</v>
      </c>
      <c r="B983" t="s">
        <v>700</v>
      </c>
      <c r="C983" s="2">
        <f>HYPERLINK("https://cao.dolgi.msk.ru/account/1080003096/", 1080003096)</f>
        <v>1080003096</v>
      </c>
      <c r="D983" t="s">
        <v>945</v>
      </c>
      <c r="E983">
        <v>11603.97</v>
      </c>
      <c r="F983">
        <v>1.78</v>
      </c>
      <c r="G983" t="s">
        <v>12</v>
      </c>
      <c r="I983" t="s">
        <v>13</v>
      </c>
    </row>
    <row r="984" spans="1:9" hidden="1" x14ac:dyDescent="0.25">
      <c r="A984" t="s">
        <v>902</v>
      </c>
      <c r="B984" t="s">
        <v>702</v>
      </c>
      <c r="C984" s="2">
        <f>HYPERLINK("https://cao.dolgi.msk.ru/account/1080002042/", 1080002042)</f>
        <v>1080002042</v>
      </c>
      <c r="D984" t="s">
        <v>946</v>
      </c>
      <c r="E984">
        <v>-1178.43</v>
      </c>
      <c r="F984">
        <v>-0.78</v>
      </c>
      <c r="G984" t="s">
        <v>12</v>
      </c>
      <c r="I984" t="s">
        <v>13</v>
      </c>
    </row>
    <row r="985" spans="1:9" hidden="1" x14ac:dyDescent="0.25">
      <c r="A985" t="s">
        <v>947</v>
      </c>
      <c r="B985" t="s">
        <v>10</v>
      </c>
      <c r="C985" s="2">
        <f>HYPERLINK("https://cao.dolgi.msk.ru/account/1080002069/", 1080002069)</f>
        <v>1080002069</v>
      </c>
      <c r="D985" t="s">
        <v>948</v>
      </c>
      <c r="E985">
        <v>33.42</v>
      </c>
      <c r="F985">
        <v>0.01</v>
      </c>
      <c r="G985" t="s">
        <v>12</v>
      </c>
      <c r="I985" t="s">
        <v>13</v>
      </c>
    </row>
    <row r="986" spans="1:9" hidden="1" x14ac:dyDescent="0.25">
      <c r="A986" t="s">
        <v>947</v>
      </c>
      <c r="B986" t="s">
        <v>16</v>
      </c>
      <c r="C986" s="2">
        <f>HYPERLINK("https://cao.dolgi.msk.ru/account/1080002085/", 1080002085)</f>
        <v>1080002085</v>
      </c>
      <c r="D986" t="s">
        <v>949</v>
      </c>
      <c r="G986" t="s">
        <v>14</v>
      </c>
      <c r="I986" t="s">
        <v>13</v>
      </c>
    </row>
    <row r="987" spans="1:9" hidden="1" x14ac:dyDescent="0.25">
      <c r="A987" t="s">
        <v>947</v>
      </c>
      <c r="B987" t="s">
        <v>18</v>
      </c>
      <c r="C987" s="2">
        <f>HYPERLINK("https://cao.dolgi.msk.ru/account/1080002106/", 1080002106)</f>
        <v>1080002106</v>
      </c>
      <c r="D987" t="s">
        <v>950</v>
      </c>
      <c r="E987">
        <v>-15107.68</v>
      </c>
      <c r="F987">
        <v>-2.33</v>
      </c>
      <c r="G987" t="s">
        <v>12</v>
      </c>
      <c r="I987" t="s">
        <v>13</v>
      </c>
    </row>
    <row r="988" spans="1:9" hidden="1" x14ac:dyDescent="0.25">
      <c r="A988" t="s">
        <v>947</v>
      </c>
      <c r="B988" t="s">
        <v>20</v>
      </c>
      <c r="C988" s="2">
        <f>HYPERLINK("https://cao.dolgi.msk.ru/account/1080002122/", 1080002122)</f>
        <v>1080002122</v>
      </c>
      <c r="D988" t="s">
        <v>951</v>
      </c>
      <c r="E988">
        <v>-7228.81</v>
      </c>
      <c r="F988">
        <v>-1.1000000000000001</v>
      </c>
      <c r="G988" t="s">
        <v>12</v>
      </c>
      <c r="I988" t="s">
        <v>13</v>
      </c>
    </row>
    <row r="989" spans="1:9" hidden="1" x14ac:dyDescent="0.25">
      <c r="A989" t="s">
        <v>947</v>
      </c>
      <c r="B989" t="s">
        <v>21</v>
      </c>
      <c r="C989" s="2">
        <f>HYPERLINK("https://cao.dolgi.msk.ru/account/1080002149/", 1080002149)</f>
        <v>1080002149</v>
      </c>
      <c r="D989" t="s">
        <v>952</v>
      </c>
      <c r="E989">
        <v>-6448.58</v>
      </c>
      <c r="F989">
        <v>-1.1100000000000001</v>
      </c>
      <c r="G989" t="s">
        <v>12</v>
      </c>
      <c r="I989" t="s">
        <v>13</v>
      </c>
    </row>
    <row r="990" spans="1:9" hidden="1" x14ac:dyDescent="0.25">
      <c r="A990" t="s">
        <v>947</v>
      </c>
      <c r="B990" t="s">
        <v>22</v>
      </c>
      <c r="C990" s="2">
        <f>HYPERLINK("https://cao.dolgi.msk.ru/account/1080002157/", 1080002157)</f>
        <v>1080002157</v>
      </c>
      <c r="D990" t="s">
        <v>953</v>
      </c>
      <c r="E990">
        <v>-8038.17</v>
      </c>
      <c r="F990">
        <v>-0.98</v>
      </c>
      <c r="G990" t="s">
        <v>12</v>
      </c>
      <c r="I990" t="s">
        <v>13</v>
      </c>
    </row>
    <row r="991" spans="1:9" hidden="1" x14ac:dyDescent="0.25">
      <c r="A991" t="s">
        <v>947</v>
      </c>
      <c r="B991" t="s">
        <v>23</v>
      </c>
      <c r="C991" s="2">
        <f>HYPERLINK("https://cao.dolgi.msk.ru/account/1080002181/", 1080002181)</f>
        <v>1080002181</v>
      </c>
      <c r="D991" t="s">
        <v>954</v>
      </c>
      <c r="E991">
        <v>-4289.29</v>
      </c>
      <c r="F991">
        <v>-1.01</v>
      </c>
      <c r="G991" t="s">
        <v>12</v>
      </c>
      <c r="I991" t="s">
        <v>13</v>
      </c>
    </row>
    <row r="992" spans="1:9" hidden="1" x14ac:dyDescent="0.25">
      <c r="A992" t="s">
        <v>947</v>
      </c>
      <c r="B992" t="s">
        <v>24</v>
      </c>
      <c r="C992" s="2">
        <f>HYPERLINK("https://cao.dolgi.msk.ru/account/1080002202/", 1080002202)</f>
        <v>1080002202</v>
      </c>
      <c r="D992" t="s">
        <v>955</v>
      </c>
      <c r="E992">
        <v>-8296.42</v>
      </c>
      <c r="F992">
        <v>-1.01</v>
      </c>
      <c r="G992" t="s">
        <v>12</v>
      </c>
      <c r="I992" t="s">
        <v>13</v>
      </c>
    </row>
    <row r="993" spans="1:9" hidden="1" x14ac:dyDescent="0.25">
      <c r="A993" t="s">
        <v>947</v>
      </c>
      <c r="B993" t="s">
        <v>27</v>
      </c>
      <c r="C993" s="2">
        <f>HYPERLINK("https://cao.dolgi.msk.ru/account/1080002245/", 1080002245)</f>
        <v>1080002245</v>
      </c>
      <c r="D993" t="s">
        <v>956</v>
      </c>
      <c r="E993">
        <v>-4459.26</v>
      </c>
      <c r="F993">
        <v>-1.04</v>
      </c>
      <c r="G993" t="s">
        <v>12</v>
      </c>
      <c r="I993" t="s">
        <v>13</v>
      </c>
    </row>
    <row r="994" spans="1:9" hidden="1" x14ac:dyDescent="0.25">
      <c r="A994" t="s">
        <v>947</v>
      </c>
      <c r="B994" t="s">
        <v>29</v>
      </c>
      <c r="C994" s="2">
        <f>HYPERLINK("https://cao.dolgi.msk.ru/account/1080002253/", 1080002253)</f>
        <v>1080002253</v>
      </c>
      <c r="D994" t="s">
        <v>957</v>
      </c>
      <c r="E994">
        <v>-5875.96</v>
      </c>
      <c r="F994">
        <v>-0.98</v>
      </c>
      <c r="G994" t="s">
        <v>12</v>
      </c>
      <c r="I994" t="s">
        <v>13</v>
      </c>
    </row>
    <row r="995" spans="1:9" hidden="1" x14ac:dyDescent="0.25">
      <c r="A995" t="s">
        <v>947</v>
      </c>
      <c r="B995" t="s">
        <v>31</v>
      </c>
      <c r="C995" s="2">
        <f>HYPERLINK("https://cao.dolgi.msk.ru/account/1080002288/", 1080002288)</f>
        <v>1080002288</v>
      </c>
      <c r="D995" t="s">
        <v>958</v>
      </c>
      <c r="E995">
        <v>4547.43</v>
      </c>
      <c r="F995">
        <v>0.73</v>
      </c>
      <c r="G995" t="s">
        <v>12</v>
      </c>
      <c r="I995" t="s">
        <v>13</v>
      </c>
    </row>
    <row r="996" spans="1:9" hidden="1" x14ac:dyDescent="0.25">
      <c r="A996" t="s">
        <v>947</v>
      </c>
      <c r="B996" t="s">
        <v>33</v>
      </c>
      <c r="C996" s="2">
        <f>HYPERLINK("https://cao.dolgi.msk.ru/account/1080002325/", 1080002325)</f>
        <v>1080002325</v>
      </c>
      <c r="D996" t="s">
        <v>959</v>
      </c>
      <c r="E996">
        <v>-10416.1</v>
      </c>
      <c r="F996">
        <v>-1.01</v>
      </c>
      <c r="G996" t="s">
        <v>12</v>
      </c>
      <c r="I996" t="s">
        <v>13</v>
      </c>
    </row>
    <row r="997" spans="1:9" hidden="1" x14ac:dyDescent="0.25">
      <c r="A997" t="s">
        <v>947</v>
      </c>
      <c r="B997" t="s">
        <v>34</v>
      </c>
      <c r="C997" s="2">
        <f>HYPERLINK("https://cao.dolgi.msk.ru/account/1080002341/", 1080002341)</f>
        <v>1080002341</v>
      </c>
      <c r="D997" t="s">
        <v>960</v>
      </c>
      <c r="E997">
        <v>56.83</v>
      </c>
      <c r="F997">
        <v>0.01</v>
      </c>
      <c r="G997" t="s">
        <v>12</v>
      </c>
      <c r="I997" t="s">
        <v>13</v>
      </c>
    </row>
    <row r="998" spans="1:9" hidden="1" x14ac:dyDescent="0.25">
      <c r="A998" t="s">
        <v>947</v>
      </c>
      <c r="B998" t="s">
        <v>36</v>
      </c>
      <c r="C998" s="2">
        <f>HYPERLINK("https://cao.dolgi.msk.ru/account/1080002392/", 1080002392)</f>
        <v>1080002392</v>
      </c>
      <c r="D998" t="s">
        <v>961</v>
      </c>
      <c r="E998">
        <v>-7538.51</v>
      </c>
      <c r="F998">
        <v>-1.0900000000000001</v>
      </c>
      <c r="G998" t="s">
        <v>12</v>
      </c>
      <c r="I998" t="s">
        <v>13</v>
      </c>
    </row>
    <row r="999" spans="1:9" hidden="1" x14ac:dyDescent="0.25">
      <c r="A999" t="s">
        <v>947</v>
      </c>
      <c r="B999" t="s">
        <v>38</v>
      </c>
      <c r="C999" s="2">
        <f>HYPERLINK("https://cao.dolgi.msk.ru/account/1080002405/", 1080002405)</f>
        <v>1080002405</v>
      </c>
      <c r="D999" t="s">
        <v>962</v>
      </c>
      <c r="E999">
        <v>-702.81</v>
      </c>
      <c r="F999">
        <v>-0.17</v>
      </c>
      <c r="G999" t="s">
        <v>12</v>
      </c>
      <c r="I999" t="s">
        <v>13</v>
      </c>
    </row>
    <row r="1000" spans="1:9" hidden="1" x14ac:dyDescent="0.25">
      <c r="A1000" t="s">
        <v>947</v>
      </c>
      <c r="B1000" t="s">
        <v>39</v>
      </c>
      <c r="C1000" s="2">
        <f>HYPERLINK("https://cao.dolgi.msk.ru/account/1080002413/", 1080002413)</f>
        <v>1080002413</v>
      </c>
      <c r="D1000" t="s">
        <v>963</v>
      </c>
      <c r="E1000">
        <v>32.44</v>
      </c>
      <c r="F1000">
        <v>0</v>
      </c>
      <c r="G1000" t="s">
        <v>12</v>
      </c>
      <c r="I1000" t="s">
        <v>13</v>
      </c>
    </row>
    <row r="1001" spans="1:9" hidden="1" x14ac:dyDescent="0.25">
      <c r="A1001" t="s">
        <v>947</v>
      </c>
      <c r="B1001" t="s">
        <v>40</v>
      </c>
      <c r="C1001" s="2">
        <f>HYPERLINK("https://cao.dolgi.msk.ru/account/1080002456/", 1080002456)</f>
        <v>1080002456</v>
      </c>
      <c r="D1001" t="s">
        <v>964</v>
      </c>
      <c r="E1001">
        <v>-16973.27</v>
      </c>
      <c r="F1001">
        <v>-2.0099999999999998</v>
      </c>
      <c r="G1001" t="s">
        <v>12</v>
      </c>
      <c r="I1001" t="s">
        <v>13</v>
      </c>
    </row>
    <row r="1002" spans="1:9" hidden="1" x14ac:dyDescent="0.25">
      <c r="A1002" t="s">
        <v>947</v>
      </c>
      <c r="B1002" t="s">
        <v>41</v>
      </c>
      <c r="C1002" s="2">
        <f>HYPERLINK("https://cao.dolgi.msk.ru/account/1080002464/", 1080002464)</f>
        <v>1080002464</v>
      </c>
      <c r="D1002" t="s">
        <v>965</v>
      </c>
      <c r="E1002">
        <v>-14583.13</v>
      </c>
      <c r="F1002">
        <v>-1</v>
      </c>
      <c r="G1002" t="s">
        <v>12</v>
      </c>
      <c r="I1002" t="s">
        <v>13</v>
      </c>
    </row>
    <row r="1003" spans="1:9" hidden="1" x14ac:dyDescent="0.25">
      <c r="A1003" t="s">
        <v>947</v>
      </c>
      <c r="B1003" t="s">
        <v>42</v>
      </c>
      <c r="C1003" s="2">
        <f>HYPERLINK("https://cao.dolgi.msk.ru/account/1080002501/", 1080002501)</f>
        <v>1080002501</v>
      </c>
      <c r="D1003" t="s">
        <v>966</v>
      </c>
      <c r="E1003">
        <v>-6046.69</v>
      </c>
      <c r="F1003">
        <v>-1.02</v>
      </c>
      <c r="G1003" t="s">
        <v>12</v>
      </c>
      <c r="I1003" t="s">
        <v>13</v>
      </c>
    </row>
    <row r="1004" spans="1:9" hidden="1" x14ac:dyDescent="0.25">
      <c r="A1004" t="s">
        <v>947</v>
      </c>
      <c r="B1004" t="s">
        <v>44</v>
      </c>
      <c r="C1004" s="2">
        <f>HYPERLINK("https://cao.dolgi.msk.ru/account/1080002536/", 1080002536)</f>
        <v>1080002536</v>
      </c>
      <c r="D1004" t="s">
        <v>967</v>
      </c>
      <c r="E1004">
        <v>-4940.6899999999996</v>
      </c>
      <c r="F1004">
        <v>-0.9</v>
      </c>
      <c r="G1004" t="s">
        <v>12</v>
      </c>
      <c r="I1004" t="s">
        <v>13</v>
      </c>
    </row>
    <row r="1005" spans="1:9" hidden="1" x14ac:dyDescent="0.25">
      <c r="A1005" t="s">
        <v>947</v>
      </c>
      <c r="B1005" t="s">
        <v>66</v>
      </c>
      <c r="C1005" s="2">
        <f>HYPERLINK("https://cao.dolgi.msk.ru/account/1080002552/", 1080002552)</f>
        <v>1080002552</v>
      </c>
      <c r="D1005" t="s">
        <v>968</v>
      </c>
      <c r="E1005">
        <v>-5108.13</v>
      </c>
      <c r="F1005">
        <v>-1.0900000000000001</v>
      </c>
      <c r="G1005" t="s">
        <v>12</v>
      </c>
      <c r="I1005" t="s">
        <v>13</v>
      </c>
    </row>
    <row r="1006" spans="1:9" hidden="1" x14ac:dyDescent="0.25">
      <c r="A1006" t="s">
        <v>947</v>
      </c>
      <c r="B1006" t="s">
        <v>68</v>
      </c>
      <c r="C1006" s="2">
        <f>HYPERLINK("https://cao.dolgi.msk.ru/account/1080002595/", 1080002595)</f>
        <v>1080002595</v>
      </c>
      <c r="D1006" t="s">
        <v>969</v>
      </c>
      <c r="E1006">
        <v>-7555.71</v>
      </c>
      <c r="F1006">
        <v>-1.02</v>
      </c>
      <c r="G1006" t="s">
        <v>12</v>
      </c>
      <c r="I1006" t="s">
        <v>13</v>
      </c>
    </row>
    <row r="1007" spans="1:9" hidden="1" x14ac:dyDescent="0.25">
      <c r="A1007" t="s">
        <v>947</v>
      </c>
      <c r="B1007" t="s">
        <v>70</v>
      </c>
      <c r="C1007" s="2">
        <f>HYPERLINK("https://cao.dolgi.msk.ru/account/1080002608/", 1080002608)</f>
        <v>1080002608</v>
      </c>
      <c r="D1007" t="s">
        <v>970</v>
      </c>
      <c r="E1007">
        <v>-4839.97</v>
      </c>
      <c r="F1007">
        <v>-1.01</v>
      </c>
      <c r="G1007" t="s">
        <v>12</v>
      </c>
      <c r="I1007" t="s">
        <v>13</v>
      </c>
    </row>
    <row r="1008" spans="1:9" x14ac:dyDescent="0.25">
      <c r="A1008" t="s">
        <v>947</v>
      </c>
      <c r="B1008" t="s">
        <v>72</v>
      </c>
      <c r="C1008" s="2">
        <f>HYPERLINK("https://cao.dolgi.msk.ru/account/1080002624/", 1080002624)</f>
        <v>1080002624</v>
      </c>
      <c r="D1008" t="s">
        <v>971</v>
      </c>
      <c r="E1008">
        <v>14781.89</v>
      </c>
      <c r="F1008">
        <v>3</v>
      </c>
      <c r="G1008" t="s">
        <v>12</v>
      </c>
      <c r="I1008" t="s">
        <v>13</v>
      </c>
    </row>
    <row r="1009" spans="1:9" hidden="1" x14ac:dyDescent="0.25">
      <c r="A1009" t="s">
        <v>947</v>
      </c>
      <c r="B1009" t="s">
        <v>74</v>
      </c>
      <c r="C1009" s="2">
        <f>HYPERLINK("https://cao.dolgi.msk.ru/account/1080002659/", 1080002659)</f>
        <v>1080002659</v>
      </c>
      <c r="D1009" t="s">
        <v>972</v>
      </c>
      <c r="E1009">
        <v>-5957.32</v>
      </c>
      <c r="F1009">
        <v>-0.61</v>
      </c>
      <c r="G1009" t="s">
        <v>12</v>
      </c>
      <c r="I1009" t="s">
        <v>13</v>
      </c>
    </row>
    <row r="1010" spans="1:9" hidden="1" x14ac:dyDescent="0.25">
      <c r="A1010" t="s">
        <v>947</v>
      </c>
      <c r="B1010" t="s">
        <v>76</v>
      </c>
      <c r="C1010" s="2">
        <f>HYPERLINK("https://cao.dolgi.msk.ru/account/1080002675/", 1080002675)</f>
        <v>1080002675</v>
      </c>
      <c r="D1010" t="s">
        <v>973</v>
      </c>
      <c r="E1010">
        <v>-6069.46</v>
      </c>
      <c r="F1010">
        <v>-0.9</v>
      </c>
      <c r="G1010" t="s">
        <v>12</v>
      </c>
      <c r="I1010" t="s">
        <v>13</v>
      </c>
    </row>
    <row r="1011" spans="1:9" hidden="1" x14ac:dyDescent="0.25">
      <c r="A1011" t="s">
        <v>947</v>
      </c>
      <c r="B1011" t="s">
        <v>78</v>
      </c>
      <c r="C1011" s="2">
        <f>HYPERLINK("https://cao.dolgi.msk.ru/account/1080002691/", 1080002691)</f>
        <v>1080002691</v>
      </c>
      <c r="D1011" t="s">
        <v>974</v>
      </c>
      <c r="E1011">
        <v>-5162.34</v>
      </c>
      <c r="F1011">
        <v>-0.89</v>
      </c>
      <c r="G1011" t="s">
        <v>12</v>
      </c>
      <c r="I1011" t="s">
        <v>13</v>
      </c>
    </row>
    <row r="1012" spans="1:9" hidden="1" x14ac:dyDescent="0.25">
      <c r="A1012" t="s">
        <v>947</v>
      </c>
      <c r="B1012" t="s">
        <v>80</v>
      </c>
      <c r="C1012" s="2">
        <f>HYPERLINK("https://cao.dolgi.msk.ru/account/1080002712/", 1080002712)</f>
        <v>1080002712</v>
      </c>
      <c r="D1012" t="s">
        <v>975</v>
      </c>
      <c r="E1012">
        <v>-5456.69</v>
      </c>
      <c r="F1012">
        <v>-0.91</v>
      </c>
      <c r="G1012" t="s">
        <v>12</v>
      </c>
      <c r="I1012" t="s">
        <v>13</v>
      </c>
    </row>
    <row r="1013" spans="1:9" hidden="1" x14ac:dyDescent="0.25">
      <c r="A1013" t="s">
        <v>947</v>
      </c>
      <c r="B1013" t="s">
        <v>82</v>
      </c>
      <c r="C1013" s="2">
        <f>HYPERLINK("https://cao.dolgi.msk.ru/account/1080002763/", 1080002763)</f>
        <v>1080002763</v>
      </c>
      <c r="D1013" t="s">
        <v>976</v>
      </c>
      <c r="E1013">
        <v>29.1</v>
      </c>
      <c r="F1013">
        <v>0</v>
      </c>
      <c r="G1013" t="s">
        <v>12</v>
      </c>
      <c r="I1013" t="s">
        <v>13</v>
      </c>
    </row>
    <row r="1014" spans="1:9" hidden="1" x14ac:dyDescent="0.25">
      <c r="A1014" t="s">
        <v>947</v>
      </c>
      <c r="B1014" t="s">
        <v>84</v>
      </c>
      <c r="C1014" s="2">
        <f>HYPERLINK("https://cao.dolgi.msk.ru/account/1080002771/", 1080002771)</f>
        <v>1080002771</v>
      </c>
      <c r="D1014" t="s">
        <v>977</v>
      </c>
      <c r="E1014">
        <v>10825.53</v>
      </c>
      <c r="F1014">
        <v>0.84</v>
      </c>
      <c r="G1014" t="s">
        <v>12</v>
      </c>
      <c r="I1014" t="s">
        <v>13</v>
      </c>
    </row>
    <row r="1015" spans="1:9" hidden="1" x14ac:dyDescent="0.25">
      <c r="A1015" t="s">
        <v>947</v>
      </c>
      <c r="B1015" t="s">
        <v>86</v>
      </c>
      <c r="C1015" s="2">
        <f>HYPERLINK("https://cao.dolgi.msk.ru/account/1080002798/", 1080002798)</f>
        <v>1080002798</v>
      </c>
      <c r="D1015" t="s">
        <v>978</v>
      </c>
      <c r="E1015">
        <v>-7549.56</v>
      </c>
      <c r="F1015">
        <v>-0.86</v>
      </c>
      <c r="G1015" t="s">
        <v>12</v>
      </c>
      <c r="I1015" t="s">
        <v>13</v>
      </c>
    </row>
    <row r="1016" spans="1:9" hidden="1" x14ac:dyDescent="0.25">
      <c r="A1016" t="s">
        <v>947</v>
      </c>
      <c r="B1016" t="s">
        <v>88</v>
      </c>
      <c r="C1016" s="2">
        <f>HYPERLINK("https://cao.dolgi.msk.ru/account/1080002819/", 1080002819)</f>
        <v>1080002819</v>
      </c>
      <c r="D1016" t="s">
        <v>979</v>
      </c>
      <c r="E1016">
        <v>-5341.08</v>
      </c>
      <c r="F1016">
        <v>-1.03</v>
      </c>
      <c r="G1016" t="s">
        <v>12</v>
      </c>
      <c r="I1016" t="s">
        <v>13</v>
      </c>
    </row>
    <row r="1017" spans="1:9" hidden="1" x14ac:dyDescent="0.25">
      <c r="A1017" t="s">
        <v>947</v>
      </c>
      <c r="B1017" t="s">
        <v>90</v>
      </c>
      <c r="C1017" s="2">
        <f>HYPERLINK("https://cao.dolgi.msk.ru/account/1080002843/", 1080002843)</f>
        <v>1080002843</v>
      </c>
      <c r="D1017" t="s">
        <v>980</v>
      </c>
      <c r="E1017">
        <v>-4937.1499999999996</v>
      </c>
      <c r="F1017">
        <v>-1.01</v>
      </c>
      <c r="G1017" t="s">
        <v>12</v>
      </c>
      <c r="I1017" t="s">
        <v>13</v>
      </c>
    </row>
    <row r="1018" spans="1:9" hidden="1" x14ac:dyDescent="0.25">
      <c r="A1018" t="s">
        <v>947</v>
      </c>
      <c r="B1018" t="s">
        <v>92</v>
      </c>
      <c r="C1018" s="2">
        <f>HYPERLINK("https://cao.dolgi.msk.ru/account/1080002851/", 1080002851)</f>
        <v>1080002851</v>
      </c>
      <c r="D1018" t="s">
        <v>981</v>
      </c>
      <c r="E1018">
        <v>-7000.46</v>
      </c>
      <c r="F1018">
        <v>-1.04</v>
      </c>
      <c r="G1018" t="s">
        <v>12</v>
      </c>
      <c r="I1018" t="s">
        <v>13</v>
      </c>
    </row>
    <row r="1019" spans="1:9" hidden="1" x14ac:dyDescent="0.25">
      <c r="A1019" t="s">
        <v>947</v>
      </c>
      <c r="B1019" t="s">
        <v>94</v>
      </c>
      <c r="C1019" s="2">
        <f>HYPERLINK("https://cao.dolgi.msk.ru/account/1080002886/", 1080002886)</f>
        <v>1080002886</v>
      </c>
      <c r="D1019" t="s">
        <v>982</v>
      </c>
      <c r="E1019">
        <v>-6834.2</v>
      </c>
      <c r="F1019">
        <v>-0.99</v>
      </c>
      <c r="G1019" t="s">
        <v>12</v>
      </c>
      <c r="I1019" t="s">
        <v>13</v>
      </c>
    </row>
    <row r="1020" spans="1:9" hidden="1" x14ac:dyDescent="0.25">
      <c r="A1020" t="s">
        <v>947</v>
      </c>
      <c r="B1020" t="s">
        <v>96</v>
      </c>
      <c r="C1020" s="2">
        <f>HYPERLINK("https://cao.dolgi.msk.ru/account/1080002894/", 1080002894)</f>
        <v>1080002894</v>
      </c>
      <c r="D1020" t="s">
        <v>983</v>
      </c>
      <c r="E1020">
        <v>-6229.26</v>
      </c>
      <c r="F1020">
        <v>-1.08</v>
      </c>
      <c r="G1020" t="s">
        <v>12</v>
      </c>
      <c r="I1020" t="s">
        <v>13</v>
      </c>
    </row>
    <row r="1021" spans="1:9" hidden="1" x14ac:dyDescent="0.25">
      <c r="A1021" t="s">
        <v>947</v>
      </c>
      <c r="B1021" t="s">
        <v>96</v>
      </c>
      <c r="C1021" s="2">
        <f>HYPERLINK("https://cao.dolgi.msk.ru/account/1083278183/", 1083278183)</f>
        <v>1083278183</v>
      </c>
      <c r="D1021" t="s">
        <v>15</v>
      </c>
      <c r="E1021">
        <v>-2693.59</v>
      </c>
      <c r="F1021">
        <v>-0.65</v>
      </c>
      <c r="G1021" t="s">
        <v>12</v>
      </c>
      <c r="I1021" t="s">
        <v>13</v>
      </c>
    </row>
    <row r="1022" spans="1:9" hidden="1" x14ac:dyDescent="0.25">
      <c r="A1022" t="s">
        <v>947</v>
      </c>
      <c r="B1022" t="s">
        <v>98</v>
      </c>
      <c r="C1022" s="2">
        <f>HYPERLINK("https://cao.dolgi.msk.ru/account/1080002907/", 1080002907)</f>
        <v>1080002907</v>
      </c>
      <c r="D1022" t="s">
        <v>984</v>
      </c>
      <c r="E1022">
        <v>-4213.58</v>
      </c>
      <c r="F1022">
        <v>-1.53</v>
      </c>
      <c r="G1022" t="s">
        <v>12</v>
      </c>
      <c r="I1022" t="s">
        <v>13</v>
      </c>
    </row>
    <row r="1023" spans="1:9" hidden="1" x14ac:dyDescent="0.25">
      <c r="A1023" t="s">
        <v>947</v>
      </c>
      <c r="B1023" t="s">
        <v>100</v>
      </c>
      <c r="C1023" s="2">
        <f>HYPERLINK("https://cao.dolgi.msk.ru/account/1080002915/", 1080002915)</f>
        <v>1080002915</v>
      </c>
      <c r="D1023" t="s">
        <v>15</v>
      </c>
      <c r="E1023">
        <v>-7817.49</v>
      </c>
      <c r="F1023">
        <v>-1.02</v>
      </c>
      <c r="G1023" t="s">
        <v>12</v>
      </c>
      <c r="I1023" t="s">
        <v>13</v>
      </c>
    </row>
    <row r="1024" spans="1:9" hidden="1" x14ac:dyDescent="0.25">
      <c r="A1024" t="s">
        <v>947</v>
      </c>
      <c r="B1024" t="s">
        <v>100</v>
      </c>
      <c r="C1024" s="2">
        <f>HYPERLINK("https://cao.dolgi.msk.ru/account/1083273518/", 1083273518)</f>
        <v>1083273518</v>
      </c>
      <c r="D1024" t="s">
        <v>15</v>
      </c>
      <c r="E1024">
        <v>-4334.1499999999996</v>
      </c>
      <c r="G1024" t="s">
        <v>14</v>
      </c>
      <c r="I1024" t="s">
        <v>13</v>
      </c>
    </row>
    <row r="1025" spans="1:9" hidden="1" x14ac:dyDescent="0.25">
      <c r="A1025" t="s">
        <v>947</v>
      </c>
      <c r="B1025" t="s">
        <v>100</v>
      </c>
      <c r="C1025" s="2">
        <f>HYPERLINK("https://cao.dolgi.msk.ru/account/1083273622/", 1083273622)</f>
        <v>1083273622</v>
      </c>
      <c r="D1025" t="s">
        <v>15</v>
      </c>
      <c r="E1025">
        <v>0</v>
      </c>
      <c r="G1025" t="s">
        <v>14</v>
      </c>
      <c r="I1025" t="s">
        <v>13</v>
      </c>
    </row>
    <row r="1026" spans="1:9" hidden="1" x14ac:dyDescent="0.25">
      <c r="A1026" t="s">
        <v>947</v>
      </c>
      <c r="B1026" t="s">
        <v>102</v>
      </c>
      <c r="C1026" s="2">
        <f>HYPERLINK("https://cao.dolgi.msk.ru/account/1080002923/", 1080002923)</f>
        <v>1080002923</v>
      </c>
      <c r="D1026" t="s">
        <v>985</v>
      </c>
      <c r="E1026">
        <v>77.599999999999994</v>
      </c>
      <c r="F1026">
        <v>0.01</v>
      </c>
      <c r="G1026" t="s">
        <v>12</v>
      </c>
      <c r="I1026" t="s">
        <v>13</v>
      </c>
    </row>
    <row r="1027" spans="1:9" hidden="1" x14ac:dyDescent="0.25">
      <c r="A1027" t="s">
        <v>947</v>
      </c>
      <c r="B1027" t="s">
        <v>104</v>
      </c>
      <c r="C1027" s="2">
        <f>HYPERLINK("https://cao.dolgi.msk.ru/account/1080002931/", 1080002931)</f>
        <v>1080002931</v>
      </c>
      <c r="D1027" t="s">
        <v>986</v>
      </c>
      <c r="E1027">
        <v>-10917.81</v>
      </c>
      <c r="F1027">
        <v>-1.01</v>
      </c>
      <c r="G1027" t="s">
        <v>12</v>
      </c>
      <c r="I1027" t="s">
        <v>13</v>
      </c>
    </row>
    <row r="1028" spans="1:9" hidden="1" x14ac:dyDescent="0.25">
      <c r="A1028" t="s">
        <v>947</v>
      </c>
      <c r="B1028" t="s">
        <v>106</v>
      </c>
      <c r="C1028" s="2">
        <f>HYPERLINK("https://cao.dolgi.msk.ru/account/1080002958/", 1080002958)</f>
        <v>1080002958</v>
      </c>
      <c r="D1028" t="s">
        <v>987</v>
      </c>
      <c r="E1028">
        <v>-5798.2</v>
      </c>
      <c r="F1028">
        <v>-1.1000000000000001</v>
      </c>
      <c r="G1028" t="s">
        <v>12</v>
      </c>
      <c r="I1028" t="s">
        <v>13</v>
      </c>
    </row>
    <row r="1029" spans="1:9" hidden="1" x14ac:dyDescent="0.25">
      <c r="A1029" t="s">
        <v>947</v>
      </c>
      <c r="B1029" t="s">
        <v>108</v>
      </c>
      <c r="C1029" s="2">
        <f>HYPERLINK("https://cao.dolgi.msk.ru/account/1080002974/", 1080002974)</f>
        <v>1080002974</v>
      </c>
      <c r="D1029" t="s">
        <v>988</v>
      </c>
      <c r="E1029">
        <v>-3869.93</v>
      </c>
      <c r="F1029">
        <v>-1.34</v>
      </c>
      <c r="G1029" t="s">
        <v>12</v>
      </c>
      <c r="I1029" t="s">
        <v>13</v>
      </c>
    </row>
    <row r="1030" spans="1:9" hidden="1" x14ac:dyDescent="0.25">
      <c r="A1030" t="s">
        <v>989</v>
      </c>
      <c r="B1030" t="s">
        <v>16</v>
      </c>
      <c r="C1030" s="2">
        <f>HYPERLINK("https://cao.dolgi.msk.ru/account/1080061085/", 1080061085)</f>
        <v>1080061085</v>
      </c>
      <c r="D1030" t="s">
        <v>990</v>
      </c>
      <c r="E1030">
        <v>-3466.87</v>
      </c>
      <c r="F1030">
        <v>-0.92</v>
      </c>
      <c r="G1030" t="s">
        <v>12</v>
      </c>
      <c r="I1030" t="s">
        <v>13</v>
      </c>
    </row>
    <row r="1031" spans="1:9" hidden="1" x14ac:dyDescent="0.25">
      <c r="A1031" t="s">
        <v>989</v>
      </c>
      <c r="B1031" t="s">
        <v>18</v>
      </c>
      <c r="C1031" s="2">
        <f>HYPERLINK("https://cao.dolgi.msk.ru/account/1080061093/", 1080061093)</f>
        <v>1080061093</v>
      </c>
      <c r="D1031" t="s">
        <v>991</v>
      </c>
      <c r="E1031">
        <v>-6708.37</v>
      </c>
      <c r="F1031">
        <v>-1.0900000000000001</v>
      </c>
      <c r="G1031" t="s">
        <v>12</v>
      </c>
      <c r="I1031" t="s">
        <v>13</v>
      </c>
    </row>
    <row r="1032" spans="1:9" hidden="1" x14ac:dyDescent="0.25">
      <c r="A1032" t="s">
        <v>989</v>
      </c>
      <c r="B1032" t="s">
        <v>20</v>
      </c>
      <c r="C1032" s="2">
        <f>HYPERLINK("https://cao.dolgi.msk.ru/account/1080061106/", 1080061106)</f>
        <v>1080061106</v>
      </c>
      <c r="D1032" t="s">
        <v>992</v>
      </c>
      <c r="E1032">
        <v>-7420.67</v>
      </c>
      <c r="F1032">
        <v>-1.36</v>
      </c>
      <c r="G1032" t="s">
        <v>12</v>
      </c>
      <c r="I1032" t="s">
        <v>13</v>
      </c>
    </row>
    <row r="1033" spans="1:9" x14ac:dyDescent="0.25">
      <c r="A1033" t="s">
        <v>989</v>
      </c>
      <c r="B1033" t="s">
        <v>21</v>
      </c>
      <c r="C1033" s="2">
        <f>HYPERLINK("https://cao.dolgi.msk.ru/account/1080061114/", 1080061114)</f>
        <v>1080061114</v>
      </c>
      <c r="D1033" t="s">
        <v>993</v>
      </c>
      <c r="E1033">
        <v>21557.52</v>
      </c>
      <c r="F1033">
        <v>8.1199999999999992</v>
      </c>
      <c r="G1033" t="s">
        <v>12</v>
      </c>
      <c r="H1033" t="s">
        <v>7</v>
      </c>
      <c r="I1033" t="s">
        <v>13</v>
      </c>
    </row>
    <row r="1034" spans="1:9" hidden="1" x14ac:dyDescent="0.25">
      <c r="A1034" t="s">
        <v>989</v>
      </c>
      <c r="B1034" t="s">
        <v>21</v>
      </c>
      <c r="C1034" s="2">
        <f>HYPERLINK("https://cao.dolgi.msk.ru/account/1080061122/", 1080061122)</f>
        <v>1080061122</v>
      </c>
      <c r="D1034" t="s">
        <v>994</v>
      </c>
      <c r="E1034">
        <v>-26001.84</v>
      </c>
      <c r="F1034">
        <v>-12.13</v>
      </c>
      <c r="G1034" t="s">
        <v>12</v>
      </c>
      <c r="H1034" t="s">
        <v>7</v>
      </c>
      <c r="I1034" t="s">
        <v>13</v>
      </c>
    </row>
    <row r="1035" spans="1:9" hidden="1" x14ac:dyDescent="0.25">
      <c r="A1035" t="s">
        <v>989</v>
      </c>
      <c r="B1035" t="s">
        <v>21</v>
      </c>
      <c r="C1035" s="2">
        <f>HYPERLINK("https://cao.dolgi.msk.ru/account/1080061149/", 1080061149)</f>
        <v>1080061149</v>
      </c>
      <c r="D1035" t="s">
        <v>15</v>
      </c>
      <c r="E1035">
        <v>-2401.25</v>
      </c>
      <c r="F1035">
        <v>-1</v>
      </c>
      <c r="G1035" t="s">
        <v>12</v>
      </c>
      <c r="H1035" t="s">
        <v>7</v>
      </c>
      <c r="I1035" t="s">
        <v>13</v>
      </c>
    </row>
    <row r="1036" spans="1:9" hidden="1" x14ac:dyDescent="0.25">
      <c r="A1036" t="s">
        <v>989</v>
      </c>
      <c r="B1036" t="s">
        <v>22</v>
      </c>
      <c r="C1036" s="2">
        <f>HYPERLINK("https://cao.dolgi.msk.ru/account/1080061157/", 1080061157)</f>
        <v>1080061157</v>
      </c>
      <c r="D1036" t="s">
        <v>995</v>
      </c>
      <c r="E1036">
        <v>-6739.1</v>
      </c>
      <c r="F1036">
        <v>-1.08</v>
      </c>
      <c r="G1036" t="s">
        <v>12</v>
      </c>
      <c r="I1036" t="s">
        <v>13</v>
      </c>
    </row>
    <row r="1037" spans="1:9" hidden="1" x14ac:dyDescent="0.25">
      <c r="A1037" t="s">
        <v>989</v>
      </c>
      <c r="B1037" t="s">
        <v>23</v>
      </c>
      <c r="C1037" s="2">
        <f>HYPERLINK("https://cao.dolgi.msk.ru/account/1080061165/", 1080061165)</f>
        <v>1080061165</v>
      </c>
      <c r="D1037" t="s">
        <v>62</v>
      </c>
      <c r="E1037">
        <v>-6019.82</v>
      </c>
      <c r="F1037">
        <v>-1.05</v>
      </c>
      <c r="G1037" t="s">
        <v>12</v>
      </c>
      <c r="I1037" t="s">
        <v>13</v>
      </c>
    </row>
    <row r="1038" spans="1:9" hidden="1" x14ac:dyDescent="0.25">
      <c r="A1038" t="s">
        <v>989</v>
      </c>
      <c r="B1038" t="s">
        <v>24</v>
      </c>
      <c r="C1038" s="2">
        <f>HYPERLINK("https://cao.dolgi.msk.ru/account/1080061173/", 1080061173)</f>
        <v>1080061173</v>
      </c>
      <c r="D1038" t="s">
        <v>996</v>
      </c>
      <c r="E1038">
        <v>-28.6</v>
      </c>
      <c r="F1038">
        <v>0</v>
      </c>
      <c r="G1038" t="s">
        <v>12</v>
      </c>
      <c r="I1038" t="s">
        <v>13</v>
      </c>
    </row>
    <row r="1039" spans="1:9" hidden="1" x14ac:dyDescent="0.25">
      <c r="A1039" t="s">
        <v>989</v>
      </c>
      <c r="B1039" t="s">
        <v>27</v>
      </c>
      <c r="C1039" s="2">
        <f>HYPERLINK("https://cao.dolgi.msk.ru/account/1080061181/", 1080061181)</f>
        <v>1080061181</v>
      </c>
      <c r="D1039" t="s">
        <v>997</v>
      </c>
      <c r="E1039">
        <v>138.52000000000001</v>
      </c>
      <c r="F1039">
        <v>0.03</v>
      </c>
      <c r="G1039" t="s">
        <v>12</v>
      </c>
      <c r="I1039" t="s">
        <v>13</v>
      </c>
    </row>
    <row r="1040" spans="1:9" hidden="1" x14ac:dyDescent="0.25">
      <c r="A1040" t="s">
        <v>989</v>
      </c>
      <c r="B1040" t="s">
        <v>29</v>
      </c>
      <c r="C1040" s="2">
        <f>HYPERLINK("https://cao.dolgi.msk.ru/account/1080061202/", 1080061202)</f>
        <v>1080061202</v>
      </c>
      <c r="D1040" t="s">
        <v>62</v>
      </c>
      <c r="E1040">
        <v>4693.3599999999997</v>
      </c>
      <c r="F1040">
        <v>0.88</v>
      </c>
      <c r="G1040" t="s">
        <v>12</v>
      </c>
      <c r="I1040" t="s">
        <v>13</v>
      </c>
    </row>
    <row r="1041" spans="1:9" hidden="1" x14ac:dyDescent="0.25">
      <c r="A1041" t="s">
        <v>989</v>
      </c>
      <c r="B1041" t="s">
        <v>31</v>
      </c>
      <c r="C1041" s="2">
        <f>HYPERLINK("https://cao.dolgi.msk.ru/account/1080061229/", 1080061229)</f>
        <v>1080061229</v>
      </c>
      <c r="D1041" t="s">
        <v>998</v>
      </c>
      <c r="E1041">
        <v>-1670.84</v>
      </c>
      <c r="F1041">
        <v>-0.23</v>
      </c>
      <c r="G1041" t="s">
        <v>12</v>
      </c>
      <c r="I1041" t="s">
        <v>13</v>
      </c>
    </row>
    <row r="1042" spans="1:9" hidden="1" x14ac:dyDescent="0.25">
      <c r="A1042" t="s">
        <v>989</v>
      </c>
      <c r="B1042" t="s">
        <v>33</v>
      </c>
      <c r="C1042" s="2">
        <f>HYPERLINK("https://cao.dolgi.msk.ru/account/1080061237/", 1080061237)</f>
        <v>1080061237</v>
      </c>
      <c r="D1042" t="s">
        <v>999</v>
      </c>
      <c r="E1042">
        <v>-4394.6400000000003</v>
      </c>
      <c r="F1042">
        <v>-1.18</v>
      </c>
      <c r="G1042" t="s">
        <v>12</v>
      </c>
      <c r="I1042" t="s">
        <v>13</v>
      </c>
    </row>
    <row r="1043" spans="1:9" hidden="1" x14ac:dyDescent="0.25">
      <c r="A1043" t="s">
        <v>989</v>
      </c>
      <c r="B1043" t="s">
        <v>34</v>
      </c>
      <c r="C1043" s="2">
        <f>HYPERLINK("https://cao.dolgi.msk.ru/account/1080061245/", 1080061245)</f>
        <v>1080061245</v>
      </c>
      <c r="D1043" t="s">
        <v>1000</v>
      </c>
      <c r="E1043">
        <v>0</v>
      </c>
      <c r="F1043">
        <v>0</v>
      </c>
      <c r="G1043" t="s">
        <v>12</v>
      </c>
      <c r="I1043" t="s">
        <v>13</v>
      </c>
    </row>
    <row r="1044" spans="1:9" hidden="1" x14ac:dyDescent="0.25">
      <c r="A1044" t="s">
        <v>989</v>
      </c>
      <c r="B1044" t="s">
        <v>36</v>
      </c>
      <c r="C1044" s="2">
        <f>HYPERLINK("https://cao.dolgi.msk.ru/account/1080061253/", 1080061253)</f>
        <v>1080061253</v>
      </c>
      <c r="D1044" t="s">
        <v>1001</v>
      </c>
      <c r="E1044">
        <v>-3083.42</v>
      </c>
      <c r="F1044">
        <v>-0.37</v>
      </c>
      <c r="G1044" t="s">
        <v>12</v>
      </c>
      <c r="I1044" t="s">
        <v>13</v>
      </c>
    </row>
    <row r="1045" spans="1:9" hidden="1" x14ac:dyDescent="0.25">
      <c r="A1045" t="s">
        <v>989</v>
      </c>
      <c r="B1045" t="s">
        <v>38</v>
      </c>
      <c r="C1045" s="2">
        <f>HYPERLINK("https://cao.dolgi.msk.ru/account/1080061261/", 1080061261)</f>
        <v>1080061261</v>
      </c>
      <c r="D1045" t="s">
        <v>1002</v>
      </c>
      <c r="E1045">
        <v>-7151.54</v>
      </c>
      <c r="F1045">
        <v>-1.05</v>
      </c>
      <c r="G1045" t="s">
        <v>12</v>
      </c>
      <c r="I1045" t="s">
        <v>13</v>
      </c>
    </row>
    <row r="1046" spans="1:9" hidden="1" x14ac:dyDescent="0.25">
      <c r="A1046" t="s">
        <v>989</v>
      </c>
      <c r="B1046" t="s">
        <v>39</v>
      </c>
      <c r="C1046" s="2">
        <f>HYPERLINK("https://cao.dolgi.msk.ru/account/1080061288/", 1080061288)</f>
        <v>1080061288</v>
      </c>
      <c r="D1046" t="s">
        <v>1003</v>
      </c>
      <c r="E1046">
        <v>-4583.74</v>
      </c>
      <c r="F1046">
        <v>-1.04</v>
      </c>
      <c r="G1046" t="s">
        <v>12</v>
      </c>
      <c r="I1046" t="s">
        <v>13</v>
      </c>
    </row>
    <row r="1047" spans="1:9" hidden="1" x14ac:dyDescent="0.25">
      <c r="A1047" t="s">
        <v>989</v>
      </c>
      <c r="B1047" t="s">
        <v>40</v>
      </c>
      <c r="C1047" s="2">
        <f>HYPERLINK("https://cao.dolgi.msk.ru/account/1080061296/", 1080061296)</f>
        <v>1080061296</v>
      </c>
      <c r="D1047" t="s">
        <v>15</v>
      </c>
      <c r="E1047">
        <v>-7733.31</v>
      </c>
      <c r="F1047">
        <v>-1.1399999999999999</v>
      </c>
      <c r="G1047" t="s">
        <v>12</v>
      </c>
      <c r="I1047" t="s">
        <v>13</v>
      </c>
    </row>
    <row r="1048" spans="1:9" hidden="1" x14ac:dyDescent="0.25">
      <c r="A1048" t="s">
        <v>989</v>
      </c>
      <c r="B1048" t="s">
        <v>41</v>
      </c>
      <c r="C1048" s="2">
        <f>HYPERLINK("https://cao.dolgi.msk.ru/account/1080061309/", 1080061309)</f>
        <v>1080061309</v>
      </c>
      <c r="D1048" t="s">
        <v>1004</v>
      </c>
      <c r="E1048">
        <v>0</v>
      </c>
      <c r="F1048">
        <v>0</v>
      </c>
      <c r="G1048" t="s">
        <v>12</v>
      </c>
      <c r="I1048" t="s">
        <v>13</v>
      </c>
    </row>
    <row r="1049" spans="1:9" hidden="1" x14ac:dyDescent="0.25">
      <c r="A1049" t="s">
        <v>989</v>
      </c>
      <c r="B1049" t="s">
        <v>42</v>
      </c>
      <c r="C1049" s="2">
        <f>HYPERLINK("https://cao.dolgi.msk.ru/account/1080061317/", 1080061317)</f>
        <v>1080061317</v>
      </c>
      <c r="D1049" t="s">
        <v>1005</v>
      </c>
      <c r="E1049">
        <v>9376.5400000000009</v>
      </c>
      <c r="F1049">
        <v>0.99</v>
      </c>
      <c r="G1049" t="s">
        <v>12</v>
      </c>
      <c r="I1049" t="s">
        <v>13</v>
      </c>
    </row>
    <row r="1050" spans="1:9" hidden="1" x14ac:dyDescent="0.25">
      <c r="A1050" t="s">
        <v>989</v>
      </c>
      <c r="B1050" t="s">
        <v>44</v>
      </c>
      <c r="C1050" s="2">
        <f>HYPERLINK("https://cao.dolgi.msk.ru/account/1080061325/", 1080061325)</f>
        <v>1080061325</v>
      </c>
      <c r="D1050" t="s">
        <v>1006</v>
      </c>
      <c r="E1050">
        <v>-7907.33</v>
      </c>
      <c r="F1050">
        <v>-1.25</v>
      </c>
      <c r="G1050" t="s">
        <v>12</v>
      </c>
      <c r="I1050" t="s">
        <v>13</v>
      </c>
    </row>
    <row r="1051" spans="1:9" hidden="1" x14ac:dyDescent="0.25">
      <c r="A1051" t="s">
        <v>989</v>
      </c>
      <c r="B1051" t="s">
        <v>66</v>
      </c>
      <c r="C1051" s="2">
        <f>HYPERLINK("https://cao.dolgi.msk.ru/account/1080061333/", 1080061333)</f>
        <v>1080061333</v>
      </c>
      <c r="D1051" t="s">
        <v>1007</v>
      </c>
      <c r="E1051">
        <v>-7327.49</v>
      </c>
      <c r="F1051">
        <v>-1.07</v>
      </c>
      <c r="G1051" t="s">
        <v>12</v>
      </c>
      <c r="I1051" t="s">
        <v>13</v>
      </c>
    </row>
    <row r="1052" spans="1:9" hidden="1" x14ac:dyDescent="0.25">
      <c r="A1052" t="s">
        <v>989</v>
      </c>
      <c r="B1052" t="s">
        <v>68</v>
      </c>
      <c r="C1052" s="2">
        <f>HYPERLINK("https://cao.dolgi.msk.ru/account/1080061341/", 1080061341)</f>
        <v>1080061341</v>
      </c>
      <c r="D1052" t="s">
        <v>1008</v>
      </c>
      <c r="E1052">
        <v>-2.84</v>
      </c>
      <c r="F1052">
        <v>0</v>
      </c>
      <c r="G1052" t="s">
        <v>12</v>
      </c>
      <c r="I1052" t="s">
        <v>13</v>
      </c>
    </row>
    <row r="1053" spans="1:9" hidden="1" x14ac:dyDescent="0.25">
      <c r="A1053" t="s">
        <v>989</v>
      </c>
      <c r="B1053" t="s">
        <v>70</v>
      </c>
      <c r="C1053" s="2">
        <f>HYPERLINK("https://cao.dolgi.msk.ru/account/1080061368/", 1080061368)</f>
        <v>1080061368</v>
      </c>
      <c r="D1053" t="s">
        <v>440</v>
      </c>
      <c r="E1053">
        <v>-732.21</v>
      </c>
      <c r="F1053">
        <v>-0.1</v>
      </c>
      <c r="G1053" t="s">
        <v>12</v>
      </c>
      <c r="I1053" t="s">
        <v>13</v>
      </c>
    </row>
    <row r="1054" spans="1:9" hidden="1" x14ac:dyDescent="0.25">
      <c r="A1054" t="s">
        <v>989</v>
      </c>
      <c r="B1054" t="s">
        <v>72</v>
      </c>
      <c r="C1054" s="2">
        <f>HYPERLINK("https://cao.dolgi.msk.ru/account/1080061376/", 1080061376)</f>
        <v>1080061376</v>
      </c>
      <c r="D1054" t="s">
        <v>1009</v>
      </c>
      <c r="E1054">
        <v>-9094.0400000000009</v>
      </c>
      <c r="F1054">
        <v>-1.02</v>
      </c>
      <c r="G1054" t="s">
        <v>12</v>
      </c>
      <c r="I1054" t="s">
        <v>13</v>
      </c>
    </row>
    <row r="1055" spans="1:9" hidden="1" x14ac:dyDescent="0.25">
      <c r="A1055" t="s">
        <v>989</v>
      </c>
      <c r="B1055" t="s">
        <v>74</v>
      </c>
      <c r="C1055" s="2">
        <f>HYPERLINK("https://cao.dolgi.msk.ru/account/1080061384/", 1080061384)</f>
        <v>1080061384</v>
      </c>
      <c r="D1055" t="s">
        <v>1010</v>
      </c>
      <c r="E1055">
        <v>-7966.75</v>
      </c>
      <c r="F1055">
        <v>-0.96</v>
      </c>
      <c r="G1055" t="s">
        <v>12</v>
      </c>
      <c r="I1055" t="s">
        <v>13</v>
      </c>
    </row>
    <row r="1056" spans="1:9" hidden="1" x14ac:dyDescent="0.25">
      <c r="A1056" t="s">
        <v>989</v>
      </c>
      <c r="B1056" t="s">
        <v>76</v>
      </c>
      <c r="C1056" s="2">
        <f>HYPERLINK("https://cao.dolgi.msk.ru/account/1080061392/", 1080061392)</f>
        <v>1080061392</v>
      </c>
      <c r="D1056" t="s">
        <v>1011</v>
      </c>
      <c r="E1056">
        <v>0</v>
      </c>
      <c r="F1056">
        <v>0</v>
      </c>
      <c r="G1056" t="s">
        <v>12</v>
      </c>
      <c r="I1056" t="s">
        <v>13</v>
      </c>
    </row>
    <row r="1057" spans="1:9" hidden="1" x14ac:dyDescent="0.25">
      <c r="A1057" t="s">
        <v>989</v>
      </c>
      <c r="B1057" t="s">
        <v>78</v>
      </c>
      <c r="C1057" s="2">
        <f>HYPERLINK("https://cao.dolgi.msk.ru/account/1080061405/", 1080061405)</f>
        <v>1080061405</v>
      </c>
      <c r="D1057" t="s">
        <v>1012</v>
      </c>
      <c r="E1057">
        <v>63.48</v>
      </c>
      <c r="F1057">
        <v>0.01</v>
      </c>
      <c r="G1057" t="s">
        <v>12</v>
      </c>
      <c r="I1057" t="s">
        <v>13</v>
      </c>
    </row>
    <row r="1058" spans="1:9" hidden="1" x14ac:dyDescent="0.25">
      <c r="A1058" t="s">
        <v>989</v>
      </c>
      <c r="B1058" t="s">
        <v>80</v>
      </c>
      <c r="C1058" s="2">
        <f>HYPERLINK("https://cao.dolgi.msk.ru/account/1080061413/", 1080061413)</f>
        <v>1080061413</v>
      </c>
      <c r="D1058" t="s">
        <v>1013</v>
      </c>
      <c r="E1058">
        <v>-9553.93</v>
      </c>
      <c r="F1058">
        <v>-1.07</v>
      </c>
      <c r="G1058" t="s">
        <v>12</v>
      </c>
      <c r="I1058" t="s">
        <v>13</v>
      </c>
    </row>
    <row r="1059" spans="1:9" hidden="1" x14ac:dyDescent="0.25">
      <c r="A1059" t="s">
        <v>989</v>
      </c>
      <c r="B1059" t="s">
        <v>82</v>
      </c>
      <c r="C1059" s="2">
        <f>HYPERLINK("https://cao.dolgi.msk.ru/account/1080061421/", 1080061421)</f>
        <v>1080061421</v>
      </c>
      <c r="D1059" t="s">
        <v>1014</v>
      </c>
      <c r="E1059">
        <v>-15537.32</v>
      </c>
      <c r="F1059">
        <v>-2.23</v>
      </c>
      <c r="G1059" t="s">
        <v>12</v>
      </c>
      <c r="I1059" t="s">
        <v>13</v>
      </c>
    </row>
    <row r="1060" spans="1:9" hidden="1" x14ac:dyDescent="0.25">
      <c r="A1060" t="s">
        <v>989</v>
      </c>
      <c r="B1060" t="s">
        <v>84</v>
      </c>
      <c r="C1060" s="2">
        <f>HYPERLINK("https://cao.dolgi.msk.ru/account/1080061448/", 1080061448)</f>
        <v>1080061448</v>
      </c>
      <c r="D1060" t="s">
        <v>1015</v>
      </c>
      <c r="E1060">
        <v>31.91</v>
      </c>
      <c r="F1060">
        <v>0.01</v>
      </c>
      <c r="G1060" t="s">
        <v>12</v>
      </c>
      <c r="I1060" t="s">
        <v>13</v>
      </c>
    </row>
    <row r="1061" spans="1:9" hidden="1" x14ac:dyDescent="0.25">
      <c r="A1061" t="s">
        <v>989</v>
      </c>
      <c r="B1061" t="s">
        <v>86</v>
      </c>
      <c r="C1061" s="2">
        <f>HYPERLINK("https://cao.dolgi.msk.ru/account/1080061456/", 1080061456)</f>
        <v>1080061456</v>
      </c>
      <c r="D1061" t="s">
        <v>1016</v>
      </c>
      <c r="E1061">
        <v>-3955.94</v>
      </c>
      <c r="F1061">
        <v>-1.35</v>
      </c>
      <c r="G1061" t="s">
        <v>12</v>
      </c>
      <c r="H1061" t="s">
        <v>7</v>
      </c>
      <c r="I1061" t="s">
        <v>13</v>
      </c>
    </row>
    <row r="1062" spans="1:9" hidden="1" x14ac:dyDescent="0.25">
      <c r="A1062" t="s">
        <v>989</v>
      </c>
      <c r="B1062" t="s">
        <v>86</v>
      </c>
      <c r="C1062" s="2">
        <f>HYPERLINK("https://cao.dolgi.msk.ru/account/1080061464/", 1080061464)</f>
        <v>1080061464</v>
      </c>
      <c r="D1062" t="s">
        <v>1017</v>
      </c>
      <c r="E1062">
        <v>-7267.22</v>
      </c>
      <c r="F1062">
        <v>-0.88</v>
      </c>
      <c r="G1062" t="s">
        <v>12</v>
      </c>
      <c r="H1062" t="s">
        <v>7</v>
      </c>
      <c r="I1062" t="s">
        <v>13</v>
      </c>
    </row>
    <row r="1063" spans="1:9" hidden="1" x14ac:dyDescent="0.25">
      <c r="A1063" t="s">
        <v>989</v>
      </c>
      <c r="B1063" t="s">
        <v>88</v>
      </c>
      <c r="C1063" s="2">
        <f>HYPERLINK("https://cao.dolgi.msk.ru/account/1080061472/", 1080061472)</f>
        <v>1080061472</v>
      </c>
      <c r="D1063" t="s">
        <v>1018</v>
      </c>
      <c r="E1063">
        <v>0</v>
      </c>
      <c r="F1063">
        <v>0</v>
      </c>
      <c r="G1063" t="s">
        <v>12</v>
      </c>
      <c r="I1063" t="s">
        <v>13</v>
      </c>
    </row>
    <row r="1064" spans="1:9" hidden="1" x14ac:dyDescent="0.25">
      <c r="A1064" t="s">
        <v>989</v>
      </c>
      <c r="B1064" t="s">
        <v>90</v>
      </c>
      <c r="C1064" s="2">
        <f>HYPERLINK("https://cao.dolgi.msk.ru/account/1080061499/", 1080061499)</f>
        <v>1080061499</v>
      </c>
      <c r="D1064" t="s">
        <v>1019</v>
      </c>
      <c r="E1064">
        <v>-37.950000000000003</v>
      </c>
      <c r="F1064">
        <v>-0.01</v>
      </c>
      <c r="G1064" t="s">
        <v>12</v>
      </c>
      <c r="I1064" t="s">
        <v>13</v>
      </c>
    </row>
    <row r="1065" spans="1:9" hidden="1" x14ac:dyDescent="0.25">
      <c r="A1065" t="s">
        <v>989</v>
      </c>
      <c r="B1065" t="s">
        <v>92</v>
      </c>
      <c r="C1065" s="2">
        <f>HYPERLINK("https://cao.dolgi.msk.ru/account/1080061501/", 1080061501)</f>
        <v>1080061501</v>
      </c>
      <c r="D1065" t="s">
        <v>1020</v>
      </c>
      <c r="E1065">
        <v>-245</v>
      </c>
      <c r="F1065">
        <v>-0.04</v>
      </c>
      <c r="G1065" t="s">
        <v>12</v>
      </c>
      <c r="I1065" t="s">
        <v>13</v>
      </c>
    </row>
    <row r="1066" spans="1:9" hidden="1" x14ac:dyDescent="0.25">
      <c r="A1066" t="s">
        <v>989</v>
      </c>
      <c r="B1066" t="s">
        <v>94</v>
      </c>
      <c r="C1066" s="2">
        <f>HYPERLINK("https://cao.dolgi.msk.ru/account/1080061528/", 1080061528)</f>
        <v>1080061528</v>
      </c>
      <c r="D1066" t="s">
        <v>1021</v>
      </c>
      <c r="E1066">
        <v>-133.77000000000001</v>
      </c>
      <c r="F1066">
        <v>-0.01</v>
      </c>
      <c r="G1066" t="s">
        <v>12</v>
      </c>
      <c r="I1066" t="s">
        <v>13</v>
      </c>
    </row>
    <row r="1067" spans="1:9" hidden="1" x14ac:dyDescent="0.25">
      <c r="A1067" t="s">
        <v>989</v>
      </c>
      <c r="B1067" t="s">
        <v>96</v>
      </c>
      <c r="C1067" s="2">
        <f>HYPERLINK("https://cao.dolgi.msk.ru/account/1080061536/", 1080061536)</f>
        <v>1080061536</v>
      </c>
      <c r="D1067" t="s">
        <v>1022</v>
      </c>
      <c r="E1067">
        <v>0</v>
      </c>
      <c r="F1067">
        <v>0</v>
      </c>
      <c r="G1067" t="s">
        <v>12</v>
      </c>
      <c r="I1067" t="s">
        <v>13</v>
      </c>
    </row>
    <row r="1068" spans="1:9" hidden="1" x14ac:dyDescent="0.25">
      <c r="A1068" t="s">
        <v>989</v>
      </c>
      <c r="B1068" t="s">
        <v>98</v>
      </c>
      <c r="C1068" s="2">
        <f>HYPERLINK("https://cao.dolgi.msk.ru/account/1080061544/", 1080061544)</f>
        <v>1080061544</v>
      </c>
      <c r="D1068" t="s">
        <v>1023</v>
      </c>
      <c r="E1068">
        <v>-3493.74</v>
      </c>
      <c r="F1068">
        <v>-1.06</v>
      </c>
      <c r="G1068" t="s">
        <v>12</v>
      </c>
      <c r="I1068" t="s">
        <v>13</v>
      </c>
    </row>
    <row r="1069" spans="1:9" hidden="1" x14ac:dyDescent="0.25">
      <c r="A1069" t="s">
        <v>989</v>
      </c>
      <c r="B1069" t="s">
        <v>100</v>
      </c>
      <c r="C1069" s="2">
        <f>HYPERLINK("https://cao.dolgi.msk.ru/account/1080061552/", 1080061552)</f>
        <v>1080061552</v>
      </c>
      <c r="D1069" t="s">
        <v>1024</v>
      </c>
      <c r="E1069">
        <v>-8531.93</v>
      </c>
      <c r="F1069">
        <v>-1.06</v>
      </c>
      <c r="G1069" t="s">
        <v>12</v>
      </c>
      <c r="I1069" t="s">
        <v>13</v>
      </c>
    </row>
    <row r="1070" spans="1:9" hidden="1" x14ac:dyDescent="0.25">
      <c r="A1070" t="s">
        <v>989</v>
      </c>
      <c r="B1070" t="s">
        <v>102</v>
      </c>
      <c r="C1070" s="2">
        <f>HYPERLINK("https://cao.dolgi.msk.ru/account/1080061579/", 1080061579)</f>
        <v>1080061579</v>
      </c>
      <c r="D1070" t="s">
        <v>1025</v>
      </c>
      <c r="E1070">
        <v>-3109.58</v>
      </c>
      <c r="F1070">
        <v>-0.44</v>
      </c>
      <c r="G1070" t="s">
        <v>12</v>
      </c>
      <c r="I1070" t="s">
        <v>13</v>
      </c>
    </row>
    <row r="1071" spans="1:9" hidden="1" x14ac:dyDescent="0.25">
      <c r="A1071" t="s">
        <v>989</v>
      </c>
      <c r="B1071" t="s">
        <v>104</v>
      </c>
      <c r="C1071" s="2">
        <f>HYPERLINK("https://cao.dolgi.msk.ru/account/1080061587/", 1080061587)</f>
        <v>1080061587</v>
      </c>
      <c r="D1071" t="s">
        <v>1026</v>
      </c>
      <c r="E1071">
        <v>-7566.79</v>
      </c>
      <c r="F1071">
        <v>-1.1100000000000001</v>
      </c>
      <c r="G1071" t="s">
        <v>12</v>
      </c>
      <c r="I1071" t="s">
        <v>13</v>
      </c>
    </row>
    <row r="1072" spans="1:9" hidden="1" x14ac:dyDescent="0.25">
      <c r="A1072" t="s">
        <v>989</v>
      </c>
      <c r="B1072" t="s">
        <v>106</v>
      </c>
      <c r="C1072" s="2">
        <f>HYPERLINK("https://cao.dolgi.msk.ru/account/1080061595/", 1080061595)</f>
        <v>1080061595</v>
      </c>
      <c r="D1072" t="s">
        <v>1027</v>
      </c>
      <c r="E1072">
        <v>-155.88</v>
      </c>
      <c r="F1072">
        <v>-0.03</v>
      </c>
      <c r="G1072" t="s">
        <v>12</v>
      </c>
      <c r="I1072" t="s">
        <v>13</v>
      </c>
    </row>
    <row r="1073" spans="1:9" hidden="1" x14ac:dyDescent="0.25">
      <c r="A1073" t="s">
        <v>989</v>
      </c>
      <c r="B1073" t="s">
        <v>108</v>
      </c>
      <c r="C1073" s="2">
        <f>HYPERLINK("https://cao.dolgi.msk.ru/account/1080061608/", 1080061608)</f>
        <v>1080061608</v>
      </c>
      <c r="D1073" t="s">
        <v>1028</v>
      </c>
      <c r="E1073">
        <v>-9412.66</v>
      </c>
      <c r="F1073">
        <v>-1.02</v>
      </c>
      <c r="G1073" t="s">
        <v>12</v>
      </c>
      <c r="I1073" t="s">
        <v>13</v>
      </c>
    </row>
    <row r="1074" spans="1:9" hidden="1" x14ac:dyDescent="0.25">
      <c r="A1074" t="s">
        <v>989</v>
      </c>
      <c r="B1074" t="s">
        <v>110</v>
      </c>
      <c r="C1074" s="2">
        <f>HYPERLINK("https://cao.dolgi.msk.ru/account/1080061616/", 1080061616)</f>
        <v>1080061616</v>
      </c>
      <c r="D1074" t="s">
        <v>1029</v>
      </c>
      <c r="E1074">
        <v>-6188.77</v>
      </c>
      <c r="F1074">
        <v>-1.0900000000000001</v>
      </c>
      <c r="G1074" t="s">
        <v>12</v>
      </c>
      <c r="I1074" t="s">
        <v>13</v>
      </c>
    </row>
    <row r="1075" spans="1:9" hidden="1" x14ac:dyDescent="0.25">
      <c r="A1075" t="s">
        <v>989</v>
      </c>
      <c r="B1075" t="s">
        <v>112</v>
      </c>
      <c r="C1075" s="2">
        <f>HYPERLINK("https://cao.dolgi.msk.ru/account/1080061624/", 1080061624)</f>
        <v>1080061624</v>
      </c>
      <c r="D1075" t="s">
        <v>1030</v>
      </c>
      <c r="E1075">
        <v>-9219.0400000000009</v>
      </c>
      <c r="F1075">
        <v>-1.69</v>
      </c>
      <c r="G1075" t="s">
        <v>12</v>
      </c>
      <c r="I1075" t="s">
        <v>13</v>
      </c>
    </row>
    <row r="1076" spans="1:9" hidden="1" x14ac:dyDescent="0.25">
      <c r="A1076" t="s">
        <v>989</v>
      </c>
      <c r="B1076" t="s">
        <v>114</v>
      </c>
      <c r="C1076" s="2">
        <f>HYPERLINK("https://cao.dolgi.msk.ru/account/1080061632/", 1080061632)</f>
        <v>1080061632</v>
      </c>
      <c r="D1076" t="s">
        <v>1031</v>
      </c>
      <c r="E1076">
        <v>-2932.66</v>
      </c>
      <c r="F1076">
        <v>-1.0900000000000001</v>
      </c>
      <c r="G1076" t="s">
        <v>12</v>
      </c>
      <c r="I1076" t="s">
        <v>13</v>
      </c>
    </row>
    <row r="1077" spans="1:9" hidden="1" x14ac:dyDescent="0.25">
      <c r="A1077" t="s">
        <v>989</v>
      </c>
      <c r="B1077" t="s">
        <v>116</v>
      </c>
      <c r="C1077" s="2">
        <f>HYPERLINK("https://cao.dolgi.msk.ru/account/1080061659/", 1080061659)</f>
        <v>1080061659</v>
      </c>
      <c r="D1077" t="s">
        <v>1032</v>
      </c>
      <c r="E1077">
        <v>-58.2</v>
      </c>
      <c r="F1077">
        <v>-0.01</v>
      </c>
      <c r="G1077" t="s">
        <v>12</v>
      </c>
      <c r="I1077" t="s">
        <v>13</v>
      </c>
    </row>
    <row r="1078" spans="1:9" hidden="1" x14ac:dyDescent="0.25">
      <c r="A1078" t="s">
        <v>989</v>
      </c>
      <c r="B1078" t="s">
        <v>118</v>
      </c>
      <c r="C1078" s="2">
        <f>HYPERLINK("https://cao.dolgi.msk.ru/account/1080061667/", 1080061667)</f>
        <v>1080061667</v>
      </c>
      <c r="D1078" t="s">
        <v>1033</v>
      </c>
      <c r="E1078">
        <v>0</v>
      </c>
      <c r="F1078">
        <v>0</v>
      </c>
      <c r="G1078" t="s">
        <v>12</v>
      </c>
      <c r="I1078" t="s">
        <v>13</v>
      </c>
    </row>
    <row r="1079" spans="1:9" hidden="1" x14ac:dyDescent="0.25">
      <c r="A1079" t="s">
        <v>989</v>
      </c>
      <c r="B1079" t="s">
        <v>120</v>
      </c>
      <c r="C1079" s="2">
        <f>HYPERLINK("https://cao.dolgi.msk.ru/account/1080061675/", 1080061675)</f>
        <v>1080061675</v>
      </c>
      <c r="D1079" t="s">
        <v>1034</v>
      </c>
      <c r="E1079">
        <v>-6368.87</v>
      </c>
      <c r="F1079">
        <v>-1.02</v>
      </c>
      <c r="G1079" t="s">
        <v>12</v>
      </c>
      <c r="I1079" t="s">
        <v>13</v>
      </c>
    </row>
    <row r="1080" spans="1:9" hidden="1" x14ac:dyDescent="0.25">
      <c r="A1080" t="s">
        <v>989</v>
      </c>
      <c r="B1080" t="s">
        <v>122</v>
      </c>
      <c r="C1080" s="2">
        <f>HYPERLINK("https://cao.dolgi.msk.ru/account/1080061683/", 1080061683)</f>
        <v>1080061683</v>
      </c>
      <c r="D1080" t="s">
        <v>1035</v>
      </c>
      <c r="E1080">
        <v>-234.07</v>
      </c>
      <c r="F1080">
        <v>-0.03</v>
      </c>
      <c r="G1080" t="s">
        <v>12</v>
      </c>
      <c r="I1080" t="s">
        <v>13</v>
      </c>
    </row>
    <row r="1081" spans="1:9" hidden="1" x14ac:dyDescent="0.25">
      <c r="A1081" t="s">
        <v>989</v>
      </c>
      <c r="B1081" t="s">
        <v>124</v>
      </c>
      <c r="C1081" s="2">
        <f>HYPERLINK("https://cao.dolgi.msk.ru/account/1080061691/", 1080061691)</f>
        <v>1080061691</v>
      </c>
      <c r="D1081" t="s">
        <v>1036</v>
      </c>
      <c r="E1081">
        <v>-6391.86</v>
      </c>
      <c r="F1081">
        <v>-0.97</v>
      </c>
      <c r="G1081" t="s">
        <v>12</v>
      </c>
      <c r="I1081" t="s">
        <v>13</v>
      </c>
    </row>
    <row r="1082" spans="1:9" hidden="1" x14ac:dyDescent="0.25">
      <c r="A1082" t="s">
        <v>989</v>
      </c>
      <c r="B1082" t="s">
        <v>126</v>
      </c>
      <c r="C1082" s="2">
        <f>HYPERLINK("https://cao.dolgi.msk.ru/account/1080061704/", 1080061704)</f>
        <v>1080061704</v>
      </c>
      <c r="D1082" t="s">
        <v>1037</v>
      </c>
      <c r="E1082">
        <v>-7046.54</v>
      </c>
      <c r="F1082">
        <v>-1.05</v>
      </c>
      <c r="G1082" t="s">
        <v>12</v>
      </c>
      <c r="I1082" t="s">
        <v>13</v>
      </c>
    </row>
    <row r="1083" spans="1:9" hidden="1" x14ac:dyDescent="0.25">
      <c r="A1083" t="s">
        <v>989</v>
      </c>
      <c r="B1083" t="s">
        <v>128</v>
      </c>
      <c r="C1083" s="2">
        <f>HYPERLINK("https://cao.dolgi.msk.ru/account/1080061712/", 1080061712)</f>
        <v>1080061712</v>
      </c>
      <c r="D1083" t="s">
        <v>1038</v>
      </c>
      <c r="E1083">
        <v>-18869.93</v>
      </c>
      <c r="F1083">
        <v>-1.03</v>
      </c>
      <c r="G1083" t="s">
        <v>12</v>
      </c>
      <c r="I1083" t="s">
        <v>13</v>
      </c>
    </row>
    <row r="1084" spans="1:9" hidden="1" x14ac:dyDescent="0.25">
      <c r="A1084" t="s">
        <v>989</v>
      </c>
      <c r="B1084" t="s">
        <v>1039</v>
      </c>
      <c r="C1084" s="2">
        <f>HYPERLINK("https://cao.dolgi.msk.ru/account/1080061739/", 1080061739)</f>
        <v>1080061739</v>
      </c>
      <c r="D1084" t="s">
        <v>1040</v>
      </c>
      <c r="E1084">
        <v>-15223.86</v>
      </c>
      <c r="F1084">
        <v>-1.06</v>
      </c>
      <c r="G1084" t="s">
        <v>12</v>
      </c>
      <c r="I1084" t="s">
        <v>13</v>
      </c>
    </row>
    <row r="1085" spans="1:9" hidden="1" x14ac:dyDescent="0.25">
      <c r="A1085" t="s">
        <v>989</v>
      </c>
      <c r="B1085" t="s">
        <v>133</v>
      </c>
      <c r="C1085" s="2">
        <f>HYPERLINK("https://cao.dolgi.msk.ru/account/1080061747/", 1080061747)</f>
        <v>1080061747</v>
      </c>
      <c r="D1085" t="s">
        <v>1041</v>
      </c>
      <c r="E1085">
        <v>-6770.52</v>
      </c>
      <c r="F1085">
        <v>-1.03</v>
      </c>
      <c r="G1085" t="s">
        <v>12</v>
      </c>
      <c r="I1085" t="s">
        <v>13</v>
      </c>
    </row>
    <row r="1086" spans="1:9" hidden="1" x14ac:dyDescent="0.25">
      <c r="A1086" t="s">
        <v>989</v>
      </c>
      <c r="B1086" t="s">
        <v>135</v>
      </c>
      <c r="C1086" s="2">
        <f>HYPERLINK("https://cao.dolgi.msk.ru/account/1080061755/", 1080061755)</f>
        <v>1080061755</v>
      </c>
      <c r="D1086" t="s">
        <v>1042</v>
      </c>
      <c r="E1086">
        <v>-119.51</v>
      </c>
      <c r="F1086">
        <v>-0.01</v>
      </c>
      <c r="G1086" t="s">
        <v>12</v>
      </c>
      <c r="I1086" t="s">
        <v>13</v>
      </c>
    </row>
    <row r="1087" spans="1:9" hidden="1" x14ac:dyDescent="0.25">
      <c r="A1087" t="s">
        <v>989</v>
      </c>
      <c r="B1087" t="s">
        <v>137</v>
      </c>
      <c r="C1087" s="2">
        <f>HYPERLINK("https://cao.dolgi.msk.ru/account/1080061763/", 1080061763)</f>
        <v>1080061763</v>
      </c>
      <c r="D1087" t="s">
        <v>1043</v>
      </c>
      <c r="E1087">
        <v>-2630.39</v>
      </c>
      <c r="F1087">
        <v>-1.04</v>
      </c>
      <c r="G1087" t="s">
        <v>12</v>
      </c>
      <c r="I1087" t="s">
        <v>13</v>
      </c>
    </row>
    <row r="1088" spans="1:9" hidden="1" x14ac:dyDescent="0.25">
      <c r="A1088" t="s">
        <v>989</v>
      </c>
      <c r="B1088" t="s">
        <v>139</v>
      </c>
      <c r="C1088" s="2">
        <f>HYPERLINK("https://cao.dolgi.msk.ru/account/1080061771/", 1080061771)</f>
        <v>1080061771</v>
      </c>
      <c r="D1088" t="s">
        <v>1044</v>
      </c>
      <c r="E1088">
        <v>-6723.97</v>
      </c>
      <c r="F1088">
        <v>-1.04</v>
      </c>
      <c r="G1088" t="s">
        <v>12</v>
      </c>
      <c r="I1088" t="s">
        <v>13</v>
      </c>
    </row>
    <row r="1089" spans="1:9" hidden="1" x14ac:dyDescent="0.25">
      <c r="A1089" t="s">
        <v>989</v>
      </c>
      <c r="B1089" t="s">
        <v>141</v>
      </c>
      <c r="C1089" s="2">
        <f>HYPERLINK("https://cao.dolgi.msk.ru/account/1080061798/", 1080061798)</f>
        <v>1080061798</v>
      </c>
      <c r="D1089" t="s">
        <v>1045</v>
      </c>
      <c r="E1089">
        <v>-2943.44</v>
      </c>
      <c r="F1089">
        <v>-1.1200000000000001</v>
      </c>
      <c r="G1089" t="s">
        <v>12</v>
      </c>
      <c r="I1089" t="s">
        <v>13</v>
      </c>
    </row>
    <row r="1090" spans="1:9" hidden="1" x14ac:dyDescent="0.25">
      <c r="A1090" t="s">
        <v>989</v>
      </c>
      <c r="B1090" t="s">
        <v>143</v>
      </c>
      <c r="C1090" s="2">
        <f>HYPERLINK("https://cao.dolgi.msk.ru/account/1080061819/", 1080061819)</f>
        <v>1080061819</v>
      </c>
      <c r="D1090" t="s">
        <v>1046</v>
      </c>
      <c r="E1090">
        <v>-6267.34</v>
      </c>
      <c r="F1090">
        <v>-1.27</v>
      </c>
      <c r="G1090" t="s">
        <v>12</v>
      </c>
      <c r="I1090" t="s">
        <v>13</v>
      </c>
    </row>
    <row r="1091" spans="1:9" hidden="1" x14ac:dyDescent="0.25">
      <c r="A1091" t="s">
        <v>989</v>
      </c>
      <c r="B1091" t="s">
        <v>143</v>
      </c>
      <c r="C1091" s="2">
        <f>HYPERLINK("https://cao.dolgi.msk.ru/account/1083274668/", 1083274668)</f>
        <v>1083274668</v>
      </c>
      <c r="D1091" t="s">
        <v>15</v>
      </c>
      <c r="E1091">
        <v>143.59</v>
      </c>
      <c r="G1091" t="s">
        <v>14</v>
      </c>
      <c r="I1091" t="s">
        <v>13</v>
      </c>
    </row>
    <row r="1092" spans="1:9" hidden="1" x14ac:dyDescent="0.25">
      <c r="A1092" t="s">
        <v>989</v>
      </c>
      <c r="B1092" t="s">
        <v>145</v>
      </c>
      <c r="C1092" s="2">
        <f>HYPERLINK("https://cao.dolgi.msk.ru/account/1080061827/", 1080061827)</f>
        <v>1080061827</v>
      </c>
      <c r="D1092" t="s">
        <v>1047</v>
      </c>
      <c r="E1092">
        <v>-8704.73</v>
      </c>
      <c r="F1092">
        <v>-1.04</v>
      </c>
      <c r="G1092" t="s">
        <v>12</v>
      </c>
      <c r="I1092" t="s">
        <v>13</v>
      </c>
    </row>
    <row r="1093" spans="1:9" hidden="1" x14ac:dyDescent="0.25">
      <c r="A1093" t="s">
        <v>1048</v>
      </c>
      <c r="B1093" t="s">
        <v>10</v>
      </c>
      <c r="C1093" s="2">
        <f>HYPERLINK("https://cao.dolgi.msk.ru/account/1083278562/", 1083278562)</f>
        <v>1083278562</v>
      </c>
      <c r="D1093" t="s">
        <v>1049</v>
      </c>
      <c r="E1093">
        <v>-4485.63</v>
      </c>
      <c r="F1093">
        <v>-1.03</v>
      </c>
      <c r="G1093" t="s">
        <v>12</v>
      </c>
      <c r="I1093" t="s">
        <v>1050</v>
      </c>
    </row>
    <row r="1094" spans="1:9" hidden="1" x14ac:dyDescent="0.25">
      <c r="A1094" t="s">
        <v>1048</v>
      </c>
      <c r="B1094" t="s">
        <v>16</v>
      </c>
      <c r="C1094" s="2">
        <f>HYPERLINK("https://cao.dolgi.msk.ru/account/1083282406/", 1083282406)</f>
        <v>1083282406</v>
      </c>
      <c r="D1094" t="s">
        <v>15</v>
      </c>
      <c r="E1094">
        <v>-4059.17</v>
      </c>
      <c r="F1094">
        <v>-1.05</v>
      </c>
      <c r="G1094" t="s">
        <v>12</v>
      </c>
      <c r="I1094" t="s">
        <v>1050</v>
      </c>
    </row>
    <row r="1095" spans="1:9" hidden="1" x14ac:dyDescent="0.25">
      <c r="A1095" t="s">
        <v>1048</v>
      </c>
      <c r="B1095" t="s">
        <v>18</v>
      </c>
      <c r="C1095" s="2">
        <f>HYPERLINK("https://cao.dolgi.msk.ru/account/1083278618/", 1083278618)</f>
        <v>1083278618</v>
      </c>
      <c r="D1095" t="s">
        <v>1051</v>
      </c>
      <c r="E1095">
        <v>-2220.39</v>
      </c>
      <c r="F1095">
        <v>-1.1200000000000001</v>
      </c>
      <c r="G1095" t="s">
        <v>12</v>
      </c>
      <c r="I1095" t="s">
        <v>1050</v>
      </c>
    </row>
    <row r="1096" spans="1:9" hidden="1" x14ac:dyDescent="0.25">
      <c r="A1096" t="s">
        <v>1048</v>
      </c>
      <c r="B1096" t="s">
        <v>20</v>
      </c>
      <c r="C1096" s="2">
        <f>HYPERLINK("https://cao.dolgi.msk.ru/account/1083278626/", 1083278626)</f>
        <v>1083278626</v>
      </c>
      <c r="D1096" t="s">
        <v>15</v>
      </c>
      <c r="E1096">
        <v>-6734.36</v>
      </c>
      <c r="F1096">
        <v>-2.36</v>
      </c>
      <c r="G1096" t="s">
        <v>12</v>
      </c>
      <c r="I1096" t="s">
        <v>1050</v>
      </c>
    </row>
    <row r="1097" spans="1:9" x14ac:dyDescent="0.25">
      <c r="A1097" t="s">
        <v>1048</v>
      </c>
      <c r="B1097" t="s">
        <v>21</v>
      </c>
      <c r="C1097" s="2">
        <f>HYPERLINK("https://cao.dolgi.msk.ru/account/1083281999/", 1083281999)</f>
        <v>1083281999</v>
      </c>
      <c r="D1097" t="s">
        <v>15</v>
      </c>
      <c r="E1097">
        <v>7333.01</v>
      </c>
      <c r="F1097">
        <v>1.66</v>
      </c>
      <c r="G1097" t="s">
        <v>12</v>
      </c>
      <c r="I1097" t="s">
        <v>1050</v>
      </c>
    </row>
    <row r="1098" spans="1:9" hidden="1" x14ac:dyDescent="0.25">
      <c r="A1098" t="s">
        <v>1048</v>
      </c>
      <c r="B1098" t="s">
        <v>22</v>
      </c>
      <c r="C1098" s="2">
        <f>HYPERLINK("https://cao.dolgi.msk.ru/account/1083282019/", 1083282019)</f>
        <v>1083282019</v>
      </c>
      <c r="D1098" t="s">
        <v>15</v>
      </c>
      <c r="E1098">
        <v>-507.45</v>
      </c>
      <c r="F1098">
        <v>-0.13</v>
      </c>
      <c r="G1098" t="s">
        <v>12</v>
      </c>
      <c r="I1098" t="s">
        <v>1050</v>
      </c>
    </row>
    <row r="1099" spans="1:9" hidden="1" x14ac:dyDescent="0.25">
      <c r="A1099" t="s">
        <v>1048</v>
      </c>
      <c r="B1099" t="s">
        <v>23</v>
      </c>
      <c r="C1099" s="2">
        <f>HYPERLINK("https://cao.dolgi.msk.ru/account/1083282027/", 1083282027)</f>
        <v>1083282027</v>
      </c>
      <c r="D1099" t="s">
        <v>1052</v>
      </c>
      <c r="E1099">
        <v>-8399.2099999999991</v>
      </c>
      <c r="F1099">
        <v>-1.06</v>
      </c>
      <c r="G1099" t="s">
        <v>12</v>
      </c>
      <c r="I1099" t="s">
        <v>1050</v>
      </c>
    </row>
    <row r="1100" spans="1:9" hidden="1" x14ac:dyDescent="0.25">
      <c r="A1100" t="s">
        <v>1048</v>
      </c>
      <c r="B1100" t="s">
        <v>24</v>
      </c>
      <c r="C1100" s="2">
        <f>HYPERLINK("https://cao.dolgi.msk.ru/account/1083282035/", 1083282035)</f>
        <v>1083282035</v>
      </c>
      <c r="D1100" t="s">
        <v>15</v>
      </c>
      <c r="E1100">
        <v>-3024.67</v>
      </c>
      <c r="F1100">
        <v>-0.71</v>
      </c>
      <c r="G1100" t="s">
        <v>12</v>
      </c>
      <c r="I1100" t="s">
        <v>1050</v>
      </c>
    </row>
    <row r="1101" spans="1:9" hidden="1" x14ac:dyDescent="0.25">
      <c r="A1101" t="s">
        <v>1048</v>
      </c>
      <c r="B1101" t="s">
        <v>27</v>
      </c>
      <c r="C1101" s="2">
        <f>HYPERLINK("https://cao.dolgi.msk.ru/account/1083282078/", 1083282078)</f>
        <v>1083282078</v>
      </c>
      <c r="D1101" t="s">
        <v>15</v>
      </c>
      <c r="E1101">
        <v>-402.06</v>
      </c>
      <c r="F1101">
        <v>-0.13</v>
      </c>
      <c r="G1101" t="s">
        <v>12</v>
      </c>
      <c r="I1101" t="s">
        <v>1050</v>
      </c>
    </row>
    <row r="1102" spans="1:9" hidden="1" x14ac:dyDescent="0.25">
      <c r="A1102" t="s">
        <v>1048</v>
      </c>
      <c r="B1102" t="s">
        <v>29</v>
      </c>
      <c r="C1102" s="2">
        <f>HYPERLINK("https://cao.dolgi.msk.ru/account/1083282086/", 1083282086)</f>
        <v>1083282086</v>
      </c>
      <c r="D1102" t="s">
        <v>1053</v>
      </c>
      <c r="E1102">
        <v>-3906.51</v>
      </c>
      <c r="F1102">
        <v>-1.1000000000000001</v>
      </c>
      <c r="G1102" t="s">
        <v>12</v>
      </c>
      <c r="I1102" t="s">
        <v>1050</v>
      </c>
    </row>
    <row r="1103" spans="1:9" hidden="1" x14ac:dyDescent="0.25">
      <c r="A1103" t="s">
        <v>1048</v>
      </c>
      <c r="B1103" t="s">
        <v>31</v>
      </c>
      <c r="C1103" s="2">
        <f>HYPERLINK("https://cao.dolgi.msk.ru/account/1083282094/", 1083282094)</f>
        <v>1083282094</v>
      </c>
      <c r="D1103" t="s">
        <v>15</v>
      </c>
      <c r="E1103">
        <v>-2996.88</v>
      </c>
      <c r="F1103">
        <v>-1.26</v>
      </c>
      <c r="G1103" t="s">
        <v>12</v>
      </c>
      <c r="I1103" t="s">
        <v>1050</v>
      </c>
    </row>
    <row r="1104" spans="1:9" hidden="1" x14ac:dyDescent="0.25">
      <c r="A1104" t="s">
        <v>1048</v>
      </c>
      <c r="B1104" t="s">
        <v>33</v>
      </c>
      <c r="C1104" s="2">
        <f>HYPERLINK("https://cao.dolgi.msk.ru/account/1083282107/", 1083282107)</f>
        <v>1083282107</v>
      </c>
      <c r="D1104" t="s">
        <v>15</v>
      </c>
      <c r="E1104">
        <v>-3030.7</v>
      </c>
      <c r="F1104">
        <v>-0.76</v>
      </c>
      <c r="G1104" t="s">
        <v>12</v>
      </c>
      <c r="I1104" t="s">
        <v>1050</v>
      </c>
    </row>
    <row r="1105" spans="1:9" x14ac:dyDescent="0.25">
      <c r="A1105" t="s">
        <v>1048</v>
      </c>
      <c r="B1105" t="s">
        <v>34</v>
      </c>
      <c r="C1105" s="2">
        <f>HYPERLINK("https://cao.dolgi.msk.ru/account/1083282115/", 1083282115)</f>
        <v>1083282115</v>
      </c>
      <c r="D1105" t="s">
        <v>15</v>
      </c>
      <c r="E1105">
        <v>5607.27</v>
      </c>
      <c r="F1105">
        <v>1.39</v>
      </c>
      <c r="G1105" t="s">
        <v>12</v>
      </c>
      <c r="I1105" t="s">
        <v>1050</v>
      </c>
    </row>
    <row r="1106" spans="1:9" hidden="1" x14ac:dyDescent="0.25">
      <c r="A1106" t="s">
        <v>1048</v>
      </c>
      <c r="B1106" t="s">
        <v>36</v>
      </c>
      <c r="C1106" s="2">
        <f>HYPERLINK("https://cao.dolgi.msk.ru/account/1083282123/", 1083282123)</f>
        <v>1083282123</v>
      </c>
      <c r="D1106" t="s">
        <v>15</v>
      </c>
      <c r="E1106">
        <v>-5358.47</v>
      </c>
      <c r="F1106">
        <v>-1.66</v>
      </c>
      <c r="G1106" t="s">
        <v>12</v>
      </c>
      <c r="H1106" t="s">
        <v>7</v>
      </c>
      <c r="I1106" t="s">
        <v>1050</v>
      </c>
    </row>
    <row r="1107" spans="1:9" hidden="1" x14ac:dyDescent="0.25">
      <c r="A1107" t="s">
        <v>1048</v>
      </c>
      <c r="B1107" t="s">
        <v>36</v>
      </c>
      <c r="C1107" s="2">
        <f>HYPERLINK("https://cao.dolgi.msk.ru/account/1083282414/", 1083282414)</f>
        <v>1083282414</v>
      </c>
      <c r="D1107" t="s">
        <v>15</v>
      </c>
      <c r="E1107">
        <v>2394.31</v>
      </c>
      <c r="F1107">
        <v>0.78</v>
      </c>
      <c r="G1107" t="s">
        <v>12</v>
      </c>
      <c r="H1107" t="s">
        <v>7</v>
      </c>
      <c r="I1107" t="s">
        <v>1050</v>
      </c>
    </row>
    <row r="1108" spans="1:9" hidden="1" x14ac:dyDescent="0.25">
      <c r="A1108" t="s">
        <v>1048</v>
      </c>
      <c r="B1108" t="s">
        <v>38</v>
      </c>
      <c r="C1108" s="2">
        <f>HYPERLINK("https://cao.dolgi.msk.ru/account/1083282158/", 1083282158)</f>
        <v>1083282158</v>
      </c>
      <c r="D1108" t="s">
        <v>15</v>
      </c>
      <c r="E1108">
        <v>-5926.76</v>
      </c>
      <c r="F1108">
        <v>-1.04</v>
      </c>
      <c r="G1108" t="s">
        <v>12</v>
      </c>
      <c r="I1108" t="s">
        <v>1050</v>
      </c>
    </row>
    <row r="1109" spans="1:9" hidden="1" x14ac:dyDescent="0.25">
      <c r="A1109" t="s">
        <v>1048</v>
      </c>
      <c r="B1109" t="s">
        <v>39</v>
      </c>
      <c r="C1109" s="2">
        <f>HYPERLINK("https://cao.dolgi.msk.ru/account/1083282166/", 1083282166)</f>
        <v>1083282166</v>
      </c>
      <c r="D1109" t="s">
        <v>1054</v>
      </c>
      <c r="E1109">
        <v>-310.72000000000003</v>
      </c>
      <c r="F1109">
        <v>-0.08</v>
      </c>
      <c r="G1109" t="s">
        <v>12</v>
      </c>
      <c r="I1109" t="s">
        <v>1050</v>
      </c>
    </row>
    <row r="1110" spans="1:9" hidden="1" x14ac:dyDescent="0.25">
      <c r="A1110" t="s">
        <v>1048</v>
      </c>
      <c r="B1110" t="s">
        <v>40</v>
      </c>
      <c r="C1110" s="2">
        <f>HYPERLINK("https://cao.dolgi.msk.ru/account/1083282174/", 1083282174)</f>
        <v>1083282174</v>
      </c>
      <c r="D1110" t="s">
        <v>15</v>
      </c>
      <c r="E1110">
        <v>-4420.37</v>
      </c>
      <c r="F1110">
        <v>-1.1499999999999999</v>
      </c>
      <c r="G1110" t="s">
        <v>12</v>
      </c>
      <c r="I1110" t="s">
        <v>1050</v>
      </c>
    </row>
    <row r="1111" spans="1:9" hidden="1" x14ac:dyDescent="0.25">
      <c r="A1111" t="s">
        <v>1048</v>
      </c>
      <c r="B1111" t="s">
        <v>41</v>
      </c>
      <c r="C1111" s="2">
        <f>HYPERLINK("https://cao.dolgi.msk.ru/account/1083282182/", 1083282182)</f>
        <v>1083282182</v>
      </c>
      <c r="D1111" t="s">
        <v>15</v>
      </c>
      <c r="E1111">
        <v>0</v>
      </c>
      <c r="F1111">
        <v>0</v>
      </c>
      <c r="G1111" t="s">
        <v>12</v>
      </c>
      <c r="I1111" t="s">
        <v>1050</v>
      </c>
    </row>
    <row r="1112" spans="1:9" hidden="1" x14ac:dyDescent="0.25">
      <c r="A1112" t="s">
        <v>1048</v>
      </c>
      <c r="B1112" t="s">
        <v>42</v>
      </c>
      <c r="C1112" s="2">
        <f>HYPERLINK("https://cao.dolgi.msk.ru/account/1083282203/", 1083282203)</f>
        <v>1083282203</v>
      </c>
      <c r="D1112" t="s">
        <v>15</v>
      </c>
      <c r="E1112">
        <v>-4074.28</v>
      </c>
      <c r="F1112">
        <v>-1.0900000000000001</v>
      </c>
      <c r="G1112" t="s">
        <v>12</v>
      </c>
      <c r="I1112" t="s">
        <v>1050</v>
      </c>
    </row>
    <row r="1113" spans="1:9" x14ac:dyDescent="0.25">
      <c r="A1113" t="s">
        <v>1048</v>
      </c>
      <c r="B1113" t="s">
        <v>44</v>
      </c>
      <c r="C1113" s="2">
        <f>HYPERLINK("https://cao.dolgi.msk.ru/account/1083282211/", 1083282211)</f>
        <v>1083282211</v>
      </c>
      <c r="D1113" t="s">
        <v>15</v>
      </c>
      <c r="E1113">
        <v>15180.33</v>
      </c>
      <c r="F1113">
        <v>2.41</v>
      </c>
      <c r="G1113" t="s">
        <v>12</v>
      </c>
      <c r="I1113" t="s">
        <v>1050</v>
      </c>
    </row>
    <row r="1114" spans="1:9" hidden="1" x14ac:dyDescent="0.25">
      <c r="A1114" t="s">
        <v>1048</v>
      </c>
      <c r="B1114" t="s">
        <v>66</v>
      </c>
      <c r="C1114" s="2">
        <f>HYPERLINK("https://cao.dolgi.msk.ru/account/1083282238/", 1083282238)</f>
        <v>1083282238</v>
      </c>
      <c r="D1114" t="s">
        <v>15</v>
      </c>
      <c r="E1114">
        <v>-4622.67</v>
      </c>
      <c r="F1114">
        <v>-1.0900000000000001</v>
      </c>
      <c r="G1114" t="s">
        <v>12</v>
      </c>
      <c r="I1114" t="s">
        <v>1050</v>
      </c>
    </row>
    <row r="1115" spans="1:9" hidden="1" x14ac:dyDescent="0.25">
      <c r="A1115" t="s">
        <v>1048</v>
      </c>
      <c r="B1115" t="s">
        <v>68</v>
      </c>
      <c r="C1115" s="2">
        <f>HYPERLINK("https://cao.dolgi.msk.ru/account/1083282246/", 1083282246)</f>
        <v>1083282246</v>
      </c>
      <c r="D1115" t="s">
        <v>15</v>
      </c>
      <c r="E1115">
        <v>-4362.9799999999996</v>
      </c>
      <c r="F1115">
        <v>-0.95</v>
      </c>
      <c r="G1115" t="s">
        <v>12</v>
      </c>
      <c r="I1115" t="s">
        <v>1050</v>
      </c>
    </row>
    <row r="1116" spans="1:9" hidden="1" x14ac:dyDescent="0.25">
      <c r="A1116" t="s">
        <v>1048</v>
      </c>
      <c r="B1116" t="s">
        <v>70</v>
      </c>
      <c r="C1116" s="2">
        <f>HYPERLINK("https://cao.dolgi.msk.ru/account/1083282254/", 1083282254)</f>
        <v>1083282254</v>
      </c>
      <c r="D1116" t="s">
        <v>1055</v>
      </c>
      <c r="E1116">
        <v>-5039.05</v>
      </c>
      <c r="F1116">
        <v>-1.19</v>
      </c>
      <c r="G1116" t="s">
        <v>12</v>
      </c>
      <c r="I1116" t="s">
        <v>1050</v>
      </c>
    </row>
    <row r="1117" spans="1:9" hidden="1" x14ac:dyDescent="0.25">
      <c r="A1117" t="s">
        <v>1048</v>
      </c>
      <c r="B1117" t="s">
        <v>72</v>
      </c>
      <c r="C1117" s="2">
        <f>HYPERLINK("https://cao.dolgi.msk.ru/account/1083282318/", 1083282318)</f>
        <v>1083282318</v>
      </c>
      <c r="D1117" t="s">
        <v>15</v>
      </c>
      <c r="E1117">
        <v>0</v>
      </c>
      <c r="F1117">
        <v>0</v>
      </c>
      <c r="G1117" t="s">
        <v>12</v>
      </c>
      <c r="I1117" t="s">
        <v>1050</v>
      </c>
    </row>
    <row r="1118" spans="1:9" hidden="1" x14ac:dyDescent="0.25">
      <c r="A1118" t="s">
        <v>1048</v>
      </c>
      <c r="B1118" t="s">
        <v>74</v>
      </c>
      <c r="C1118" s="2">
        <f>HYPERLINK("https://cao.dolgi.msk.ru/account/1083282342/", 1083282342)</f>
        <v>1083282342</v>
      </c>
      <c r="D1118" t="s">
        <v>15</v>
      </c>
      <c r="E1118">
        <v>229.43</v>
      </c>
      <c r="F1118">
        <v>0.06</v>
      </c>
      <c r="G1118" t="s">
        <v>12</v>
      </c>
      <c r="I1118" t="s">
        <v>1050</v>
      </c>
    </row>
    <row r="1119" spans="1:9" hidden="1" x14ac:dyDescent="0.25">
      <c r="A1119" t="s">
        <v>1048</v>
      </c>
      <c r="B1119" t="s">
        <v>76</v>
      </c>
      <c r="C1119" s="2">
        <f>HYPERLINK("https://cao.dolgi.msk.ru/account/1083282385/", 1083282385)</f>
        <v>1083282385</v>
      </c>
      <c r="D1119" t="s">
        <v>1056</v>
      </c>
      <c r="E1119">
        <v>-3477.24</v>
      </c>
      <c r="F1119">
        <v>-1.1100000000000001</v>
      </c>
      <c r="G1119" t="s">
        <v>12</v>
      </c>
      <c r="I1119" t="s">
        <v>1050</v>
      </c>
    </row>
    <row r="1120" spans="1:9" hidden="1" x14ac:dyDescent="0.25">
      <c r="A1120" t="s">
        <v>1048</v>
      </c>
      <c r="B1120" t="s">
        <v>78</v>
      </c>
      <c r="C1120" s="2">
        <f>HYPERLINK("https://cao.dolgi.msk.ru/account/1083282393/", 1083282393)</f>
        <v>1083282393</v>
      </c>
      <c r="D1120" t="s">
        <v>15</v>
      </c>
      <c r="E1120">
        <v>-3797.19</v>
      </c>
      <c r="F1120">
        <v>-1.1399999999999999</v>
      </c>
      <c r="G1120" t="s">
        <v>12</v>
      </c>
      <c r="I1120" t="s">
        <v>1050</v>
      </c>
    </row>
    <row r="1121" spans="1:9" hidden="1" x14ac:dyDescent="0.25">
      <c r="A1121" t="s">
        <v>1048</v>
      </c>
      <c r="B1121" t="s">
        <v>80</v>
      </c>
      <c r="C1121" s="2">
        <f>HYPERLINK("https://cao.dolgi.msk.ru/account/1083282422/", 1083282422)</f>
        <v>1083282422</v>
      </c>
      <c r="D1121" t="s">
        <v>15</v>
      </c>
      <c r="E1121">
        <v>3911.92</v>
      </c>
      <c r="F1121">
        <v>0.87</v>
      </c>
      <c r="G1121" t="s">
        <v>12</v>
      </c>
      <c r="H1121" t="s">
        <v>7</v>
      </c>
      <c r="I1121" t="s">
        <v>1050</v>
      </c>
    </row>
    <row r="1122" spans="1:9" hidden="1" x14ac:dyDescent="0.25">
      <c r="A1122" t="s">
        <v>1048</v>
      </c>
      <c r="B1122" t="s">
        <v>80</v>
      </c>
      <c r="C1122" s="2">
        <f>HYPERLINK("https://cao.dolgi.msk.ru/account/1083282449/", 1083282449)</f>
        <v>1083282449</v>
      </c>
      <c r="D1122" t="s">
        <v>15</v>
      </c>
      <c r="E1122">
        <v>-1626.18</v>
      </c>
      <c r="F1122">
        <v>-0.62</v>
      </c>
      <c r="G1122" t="s">
        <v>12</v>
      </c>
      <c r="H1122" t="s">
        <v>7</v>
      </c>
      <c r="I1122" t="s">
        <v>1050</v>
      </c>
    </row>
    <row r="1123" spans="1:9" hidden="1" x14ac:dyDescent="0.25">
      <c r="A1123" t="s">
        <v>1057</v>
      </c>
      <c r="B1123" t="s">
        <v>10</v>
      </c>
      <c r="C1123" s="2">
        <f>HYPERLINK("https://cao.dolgi.msk.ru/account/1080264683/", 1080264683)</f>
        <v>1080264683</v>
      </c>
      <c r="D1123" t="s">
        <v>1058</v>
      </c>
      <c r="E1123">
        <v>-4116.99</v>
      </c>
      <c r="F1123">
        <v>-0.96</v>
      </c>
      <c r="G1123" t="s">
        <v>12</v>
      </c>
      <c r="I1123" t="s">
        <v>1050</v>
      </c>
    </row>
    <row r="1124" spans="1:9" hidden="1" x14ac:dyDescent="0.25">
      <c r="A1124" t="s">
        <v>1057</v>
      </c>
      <c r="B1124" t="s">
        <v>10</v>
      </c>
      <c r="C1124" s="2">
        <f>HYPERLINK("https://cao.dolgi.msk.ru/account/1080264691/", 1080264691)</f>
        <v>1080264691</v>
      </c>
      <c r="D1124" t="s">
        <v>1059</v>
      </c>
      <c r="E1124">
        <v>-1198.9100000000001</v>
      </c>
      <c r="G1124" t="s">
        <v>14</v>
      </c>
      <c r="I1124" t="s">
        <v>1050</v>
      </c>
    </row>
    <row r="1125" spans="1:9" x14ac:dyDescent="0.25">
      <c r="A1125" t="s">
        <v>1057</v>
      </c>
      <c r="B1125" t="s">
        <v>16</v>
      </c>
      <c r="C1125" s="2">
        <f>HYPERLINK("https://cao.dolgi.msk.ru/account/1080264704/", 1080264704)</f>
        <v>1080264704</v>
      </c>
      <c r="D1125" t="s">
        <v>15</v>
      </c>
      <c r="E1125">
        <v>3417.82</v>
      </c>
      <c r="F1125">
        <v>1.96</v>
      </c>
      <c r="G1125" t="s">
        <v>12</v>
      </c>
      <c r="H1125" t="s">
        <v>7</v>
      </c>
      <c r="I1125" t="s">
        <v>1050</v>
      </c>
    </row>
    <row r="1126" spans="1:9" hidden="1" x14ac:dyDescent="0.25">
      <c r="A1126" t="s">
        <v>1057</v>
      </c>
      <c r="B1126" t="s">
        <v>16</v>
      </c>
      <c r="C1126" s="2">
        <f>HYPERLINK("https://cao.dolgi.msk.ru/account/1080264712/", 1080264712)</f>
        <v>1080264712</v>
      </c>
      <c r="D1126" t="s">
        <v>62</v>
      </c>
      <c r="E1126">
        <v>-2081.63</v>
      </c>
      <c r="F1126">
        <v>-1.01</v>
      </c>
      <c r="G1126" t="s">
        <v>12</v>
      </c>
      <c r="H1126" t="s">
        <v>7</v>
      </c>
      <c r="I1126" t="s">
        <v>1050</v>
      </c>
    </row>
    <row r="1127" spans="1:9" x14ac:dyDescent="0.25">
      <c r="A1127" t="s">
        <v>1057</v>
      </c>
      <c r="B1127" t="s">
        <v>16</v>
      </c>
      <c r="C1127" s="2">
        <f>HYPERLINK("https://cao.dolgi.msk.ru/account/1080264739/", 1080264739)</f>
        <v>1080264739</v>
      </c>
      <c r="D1127" t="s">
        <v>1060</v>
      </c>
      <c r="E1127">
        <v>179047.73</v>
      </c>
      <c r="F1127">
        <v>53.8</v>
      </c>
      <c r="G1127" t="s">
        <v>12</v>
      </c>
      <c r="H1127" t="s">
        <v>7</v>
      </c>
      <c r="I1127" t="s">
        <v>1050</v>
      </c>
    </row>
    <row r="1128" spans="1:9" hidden="1" x14ac:dyDescent="0.25">
      <c r="A1128" t="s">
        <v>1057</v>
      </c>
      <c r="B1128" t="s">
        <v>18</v>
      </c>
      <c r="C1128" s="2">
        <f>HYPERLINK("https://cao.dolgi.msk.ru/account/1080264747/", 1080264747)</f>
        <v>1080264747</v>
      </c>
      <c r="D1128" t="s">
        <v>1061</v>
      </c>
      <c r="E1128">
        <v>-6730.95</v>
      </c>
      <c r="F1128">
        <v>-1.1200000000000001</v>
      </c>
      <c r="G1128" t="s">
        <v>12</v>
      </c>
      <c r="I1128" t="s">
        <v>1050</v>
      </c>
    </row>
    <row r="1129" spans="1:9" hidden="1" x14ac:dyDescent="0.25">
      <c r="A1129" t="s">
        <v>1057</v>
      </c>
      <c r="B1129" t="s">
        <v>20</v>
      </c>
      <c r="C1129" s="2">
        <f>HYPERLINK("https://cao.dolgi.msk.ru/account/1080264755/", 1080264755)</f>
        <v>1080264755</v>
      </c>
      <c r="D1129" t="s">
        <v>1062</v>
      </c>
      <c r="E1129">
        <v>-7375.96</v>
      </c>
      <c r="F1129">
        <v>-1.05</v>
      </c>
      <c r="G1129" t="s">
        <v>12</v>
      </c>
      <c r="I1129" t="s">
        <v>1050</v>
      </c>
    </row>
    <row r="1130" spans="1:9" hidden="1" x14ac:dyDescent="0.25">
      <c r="A1130" t="s">
        <v>1057</v>
      </c>
      <c r="B1130" t="s">
        <v>21</v>
      </c>
      <c r="C1130" s="2">
        <f>HYPERLINK("https://cao.dolgi.msk.ru/account/1080264771/", 1080264771)</f>
        <v>1080264771</v>
      </c>
      <c r="D1130" t="s">
        <v>1063</v>
      </c>
      <c r="E1130">
        <v>-7402.72</v>
      </c>
      <c r="F1130">
        <v>-1.1599999999999999</v>
      </c>
      <c r="G1130" t="s">
        <v>12</v>
      </c>
      <c r="I1130" t="s">
        <v>1050</v>
      </c>
    </row>
    <row r="1131" spans="1:9" hidden="1" x14ac:dyDescent="0.25">
      <c r="A1131" t="s">
        <v>1057</v>
      </c>
      <c r="B1131" t="s">
        <v>22</v>
      </c>
      <c r="C1131" s="2">
        <f>HYPERLINK("https://cao.dolgi.msk.ru/account/1080264798/", 1080264798)</f>
        <v>1080264798</v>
      </c>
      <c r="D1131" t="s">
        <v>1064</v>
      </c>
      <c r="E1131">
        <v>-7555.03</v>
      </c>
      <c r="F1131">
        <v>-1.1000000000000001</v>
      </c>
      <c r="G1131" t="s">
        <v>12</v>
      </c>
      <c r="I1131" t="s">
        <v>1050</v>
      </c>
    </row>
    <row r="1132" spans="1:9" hidden="1" x14ac:dyDescent="0.25">
      <c r="A1132" t="s">
        <v>1057</v>
      </c>
      <c r="B1132" t="s">
        <v>23</v>
      </c>
      <c r="C1132" s="2">
        <f>HYPERLINK("https://cao.dolgi.msk.ru/account/1080264819/", 1080264819)</f>
        <v>1080264819</v>
      </c>
      <c r="D1132" t="s">
        <v>1065</v>
      </c>
      <c r="E1132">
        <v>-5809.5</v>
      </c>
      <c r="F1132">
        <v>-0.85</v>
      </c>
      <c r="G1132" t="s">
        <v>12</v>
      </c>
      <c r="I1132" t="s">
        <v>1050</v>
      </c>
    </row>
    <row r="1133" spans="1:9" hidden="1" x14ac:dyDescent="0.25">
      <c r="A1133" t="s">
        <v>1057</v>
      </c>
      <c r="B1133" t="s">
        <v>24</v>
      </c>
      <c r="C1133" s="2">
        <f>HYPERLINK("https://cao.dolgi.msk.ru/account/1080264835/", 1080264835)</f>
        <v>1080264835</v>
      </c>
      <c r="D1133" t="s">
        <v>1066</v>
      </c>
      <c r="E1133">
        <v>-6965.75</v>
      </c>
      <c r="F1133">
        <v>-1.1200000000000001</v>
      </c>
      <c r="G1133" t="s">
        <v>12</v>
      </c>
      <c r="I1133" t="s">
        <v>1050</v>
      </c>
    </row>
    <row r="1134" spans="1:9" hidden="1" x14ac:dyDescent="0.25">
      <c r="A1134" t="s">
        <v>1057</v>
      </c>
      <c r="B1134" t="s">
        <v>27</v>
      </c>
      <c r="C1134" s="2">
        <f>HYPERLINK("https://cao.dolgi.msk.ru/account/1080264827/", 1080264827)</f>
        <v>1080264827</v>
      </c>
      <c r="D1134" t="s">
        <v>1067</v>
      </c>
      <c r="E1134">
        <v>15.08</v>
      </c>
      <c r="F1134">
        <v>0</v>
      </c>
      <c r="G1134" t="s">
        <v>12</v>
      </c>
      <c r="I1134" t="s">
        <v>1050</v>
      </c>
    </row>
    <row r="1135" spans="1:9" hidden="1" x14ac:dyDescent="0.25">
      <c r="A1135" t="s">
        <v>1057</v>
      </c>
      <c r="B1135" t="s">
        <v>29</v>
      </c>
      <c r="C1135" s="2">
        <f>HYPERLINK("https://cao.dolgi.msk.ru/account/1080264843/", 1080264843)</f>
        <v>1080264843</v>
      </c>
      <c r="D1135" t="s">
        <v>1068</v>
      </c>
      <c r="E1135">
        <v>-7218.28</v>
      </c>
      <c r="F1135">
        <v>-1.17</v>
      </c>
      <c r="G1135" t="s">
        <v>12</v>
      </c>
      <c r="I1135" t="s">
        <v>1050</v>
      </c>
    </row>
    <row r="1136" spans="1:9" hidden="1" x14ac:dyDescent="0.25">
      <c r="A1136" t="s">
        <v>1057</v>
      </c>
      <c r="B1136" t="s">
        <v>31</v>
      </c>
      <c r="C1136" s="2">
        <f>HYPERLINK("https://cao.dolgi.msk.ru/account/1080264851/", 1080264851)</f>
        <v>1080264851</v>
      </c>
      <c r="D1136" t="s">
        <v>1069</v>
      </c>
      <c r="E1136">
        <v>-2521.0100000000002</v>
      </c>
      <c r="F1136">
        <v>-1.06</v>
      </c>
      <c r="G1136" t="s">
        <v>12</v>
      </c>
      <c r="H1136" t="s">
        <v>7</v>
      </c>
      <c r="I1136" t="s">
        <v>1050</v>
      </c>
    </row>
    <row r="1137" spans="1:9" hidden="1" x14ac:dyDescent="0.25">
      <c r="A1137" t="s">
        <v>1057</v>
      </c>
      <c r="B1137" t="s">
        <v>31</v>
      </c>
      <c r="C1137" s="2">
        <f>HYPERLINK("https://cao.dolgi.msk.ru/account/1080264878/", 1080264878)</f>
        <v>1080264878</v>
      </c>
      <c r="D1137" t="s">
        <v>1069</v>
      </c>
      <c r="E1137">
        <v>-2141.69</v>
      </c>
      <c r="F1137">
        <v>-1.08</v>
      </c>
      <c r="G1137" t="s">
        <v>12</v>
      </c>
      <c r="H1137" t="s">
        <v>7</v>
      </c>
      <c r="I1137" t="s">
        <v>1050</v>
      </c>
    </row>
    <row r="1138" spans="1:9" hidden="1" x14ac:dyDescent="0.25">
      <c r="A1138" t="s">
        <v>1057</v>
      </c>
      <c r="B1138" t="s">
        <v>31</v>
      </c>
      <c r="C1138" s="2">
        <f>HYPERLINK("https://cao.dolgi.msk.ru/account/1080264886/", 1080264886)</f>
        <v>1080264886</v>
      </c>
      <c r="D1138" t="s">
        <v>1069</v>
      </c>
      <c r="E1138">
        <v>-7168.84</v>
      </c>
      <c r="F1138">
        <v>-1.1299999999999999</v>
      </c>
      <c r="G1138" t="s">
        <v>12</v>
      </c>
      <c r="H1138" t="s">
        <v>7</v>
      </c>
      <c r="I1138" t="s">
        <v>1050</v>
      </c>
    </row>
    <row r="1139" spans="1:9" hidden="1" x14ac:dyDescent="0.25">
      <c r="A1139" t="s">
        <v>1057</v>
      </c>
      <c r="B1139" t="s">
        <v>33</v>
      </c>
      <c r="C1139" s="2">
        <f>HYPERLINK("https://cao.dolgi.msk.ru/account/1080319656/", 1080319656)</f>
        <v>1080319656</v>
      </c>
      <c r="D1139" t="s">
        <v>15</v>
      </c>
      <c r="E1139">
        <v>-9420.5</v>
      </c>
      <c r="F1139">
        <v>-1.0900000000000001</v>
      </c>
      <c r="G1139" t="s">
        <v>12</v>
      </c>
      <c r="I1139" t="s">
        <v>1050</v>
      </c>
    </row>
    <row r="1140" spans="1:9" hidden="1" x14ac:dyDescent="0.25">
      <c r="A1140" t="s">
        <v>1057</v>
      </c>
      <c r="B1140" t="s">
        <v>33</v>
      </c>
      <c r="C1140" s="2">
        <f>HYPERLINK("https://cao.dolgi.msk.ru/account/1080320315/", 1080320315)</f>
        <v>1080320315</v>
      </c>
      <c r="D1140" t="s">
        <v>15</v>
      </c>
      <c r="E1140">
        <v>-444.02</v>
      </c>
      <c r="G1140" t="s">
        <v>14</v>
      </c>
      <c r="I1140" t="s">
        <v>1050</v>
      </c>
    </row>
    <row r="1141" spans="1:9" hidden="1" x14ac:dyDescent="0.25">
      <c r="A1141" t="s">
        <v>1057</v>
      </c>
      <c r="B1141" t="s">
        <v>34</v>
      </c>
      <c r="C1141" s="2">
        <f>HYPERLINK("https://cao.dolgi.msk.ru/account/1080264915/", 1080264915)</f>
        <v>1080264915</v>
      </c>
      <c r="D1141" t="s">
        <v>1070</v>
      </c>
      <c r="E1141">
        <v>-12381.07</v>
      </c>
      <c r="F1141">
        <v>-1.85</v>
      </c>
      <c r="G1141" t="s">
        <v>12</v>
      </c>
      <c r="I1141" t="s">
        <v>1050</v>
      </c>
    </row>
    <row r="1142" spans="1:9" hidden="1" x14ac:dyDescent="0.25">
      <c r="A1142" t="s">
        <v>1057</v>
      </c>
      <c r="B1142" t="s">
        <v>36</v>
      </c>
      <c r="C1142" s="2">
        <f>HYPERLINK("https://cao.dolgi.msk.ru/account/1080264931/", 1080264931)</f>
        <v>1080264931</v>
      </c>
      <c r="D1142" t="s">
        <v>1071</v>
      </c>
      <c r="E1142">
        <v>-7741.87</v>
      </c>
      <c r="F1142">
        <v>-1.1100000000000001</v>
      </c>
      <c r="G1142" t="s">
        <v>12</v>
      </c>
      <c r="I1142" t="s">
        <v>1050</v>
      </c>
    </row>
    <row r="1143" spans="1:9" hidden="1" x14ac:dyDescent="0.25">
      <c r="A1143" t="s">
        <v>1057</v>
      </c>
      <c r="B1143" t="s">
        <v>38</v>
      </c>
      <c r="C1143" s="2">
        <f>HYPERLINK("https://cao.dolgi.msk.ru/account/1080264958/", 1080264958)</f>
        <v>1080264958</v>
      </c>
      <c r="D1143" t="s">
        <v>1072</v>
      </c>
      <c r="E1143">
        <v>-10312.56</v>
      </c>
      <c r="F1143">
        <v>-1.22</v>
      </c>
      <c r="G1143" t="s">
        <v>12</v>
      </c>
      <c r="I1143" t="s">
        <v>1050</v>
      </c>
    </row>
    <row r="1144" spans="1:9" hidden="1" x14ac:dyDescent="0.25">
      <c r="A1144" t="s">
        <v>1057</v>
      </c>
      <c r="B1144" t="s">
        <v>39</v>
      </c>
      <c r="C1144" s="2">
        <f>HYPERLINK("https://cao.dolgi.msk.ru/account/1080264974/", 1080264974)</f>
        <v>1080264974</v>
      </c>
      <c r="D1144" t="s">
        <v>1073</v>
      </c>
      <c r="E1144">
        <v>-18668.8</v>
      </c>
      <c r="F1144">
        <v>-2.5499999999999998</v>
      </c>
      <c r="G1144" t="s">
        <v>12</v>
      </c>
      <c r="I1144" t="s">
        <v>1050</v>
      </c>
    </row>
    <row r="1145" spans="1:9" hidden="1" x14ac:dyDescent="0.25">
      <c r="A1145" t="s">
        <v>1057</v>
      </c>
      <c r="B1145" t="s">
        <v>39</v>
      </c>
      <c r="C1145" s="2">
        <f>HYPERLINK("https://cao.dolgi.msk.ru/account/1080264982/", 1080264982)</f>
        <v>1080264982</v>
      </c>
      <c r="D1145" t="s">
        <v>15</v>
      </c>
      <c r="E1145">
        <v>-4.1100000000000003</v>
      </c>
      <c r="G1145" t="s">
        <v>14</v>
      </c>
      <c r="I1145" t="s">
        <v>1050</v>
      </c>
    </row>
    <row r="1146" spans="1:9" hidden="1" x14ac:dyDescent="0.25">
      <c r="A1146" t="s">
        <v>1057</v>
      </c>
      <c r="B1146" t="s">
        <v>39</v>
      </c>
      <c r="C1146" s="2">
        <f>HYPERLINK("https://cao.dolgi.msk.ru/account/1080265002/", 1080265002)</f>
        <v>1080265002</v>
      </c>
      <c r="D1146" t="s">
        <v>15</v>
      </c>
      <c r="E1146">
        <v>-16.82</v>
      </c>
      <c r="G1146" t="s">
        <v>14</v>
      </c>
      <c r="I1146" t="s">
        <v>1050</v>
      </c>
    </row>
    <row r="1147" spans="1:9" hidden="1" x14ac:dyDescent="0.25">
      <c r="A1147" t="s">
        <v>1057</v>
      </c>
      <c r="B1147" t="s">
        <v>40</v>
      </c>
      <c r="C1147" s="2">
        <f>HYPERLINK("https://cao.dolgi.msk.ru/account/1080265053/", 1080265053)</f>
        <v>1080265053</v>
      </c>
      <c r="D1147" t="s">
        <v>1074</v>
      </c>
      <c r="E1147">
        <v>205.63</v>
      </c>
      <c r="F1147">
        <v>0.02</v>
      </c>
      <c r="G1147" t="s">
        <v>12</v>
      </c>
      <c r="I1147" t="s">
        <v>1050</v>
      </c>
    </row>
    <row r="1148" spans="1:9" hidden="1" x14ac:dyDescent="0.25">
      <c r="A1148" t="s">
        <v>1057</v>
      </c>
      <c r="B1148" t="s">
        <v>41</v>
      </c>
      <c r="C1148" s="2">
        <f>HYPERLINK("https://cao.dolgi.msk.ru/account/1080265061/", 1080265061)</f>
        <v>1080265061</v>
      </c>
      <c r="D1148" t="s">
        <v>1075</v>
      </c>
      <c r="E1148">
        <v>0</v>
      </c>
      <c r="F1148">
        <v>0</v>
      </c>
      <c r="G1148" t="s">
        <v>12</v>
      </c>
      <c r="I1148" t="s">
        <v>1050</v>
      </c>
    </row>
    <row r="1149" spans="1:9" hidden="1" x14ac:dyDescent="0.25">
      <c r="A1149" t="s">
        <v>1057</v>
      </c>
      <c r="B1149" t="s">
        <v>42</v>
      </c>
      <c r="C1149" s="2">
        <f>HYPERLINK("https://cao.dolgi.msk.ru/account/1080265088/", 1080265088)</f>
        <v>1080265088</v>
      </c>
      <c r="D1149" t="s">
        <v>1076</v>
      </c>
      <c r="E1149">
        <v>-16766.54</v>
      </c>
      <c r="F1149">
        <v>-1.0900000000000001</v>
      </c>
      <c r="G1149" t="s">
        <v>12</v>
      </c>
      <c r="I1149" t="s">
        <v>1050</v>
      </c>
    </row>
    <row r="1150" spans="1:9" hidden="1" x14ac:dyDescent="0.25">
      <c r="A1150" t="s">
        <v>1057</v>
      </c>
      <c r="B1150" t="s">
        <v>44</v>
      </c>
      <c r="C1150" s="2">
        <f>HYPERLINK("https://cao.dolgi.msk.ru/account/1080265096/", 1080265096)</f>
        <v>1080265096</v>
      </c>
      <c r="D1150" t="s">
        <v>15</v>
      </c>
      <c r="E1150">
        <v>-603.99</v>
      </c>
      <c r="G1150" t="s">
        <v>14</v>
      </c>
      <c r="I1150" t="s">
        <v>1050</v>
      </c>
    </row>
    <row r="1151" spans="1:9" hidden="1" x14ac:dyDescent="0.25">
      <c r="A1151" t="s">
        <v>1057</v>
      </c>
      <c r="B1151" t="s">
        <v>44</v>
      </c>
      <c r="C1151" s="2">
        <f>HYPERLINK("https://cao.dolgi.msk.ru/account/1080265109/", 1080265109)</f>
        <v>1080265109</v>
      </c>
      <c r="D1151" t="s">
        <v>1077</v>
      </c>
      <c r="E1151">
        <v>-271.68</v>
      </c>
      <c r="G1151" t="s">
        <v>14</v>
      </c>
      <c r="I1151" t="s">
        <v>1050</v>
      </c>
    </row>
    <row r="1152" spans="1:9" hidden="1" x14ac:dyDescent="0.25">
      <c r="A1152" t="s">
        <v>1057</v>
      </c>
      <c r="B1152" t="s">
        <v>44</v>
      </c>
      <c r="C1152" s="2">
        <f>HYPERLINK("https://cao.dolgi.msk.ru/account/1080265117/", 1080265117)</f>
        <v>1080265117</v>
      </c>
      <c r="D1152" t="s">
        <v>1077</v>
      </c>
      <c r="E1152">
        <v>-8095.08</v>
      </c>
      <c r="F1152">
        <v>-1.1299999999999999</v>
      </c>
      <c r="G1152" t="s">
        <v>12</v>
      </c>
      <c r="I1152" t="s">
        <v>1050</v>
      </c>
    </row>
    <row r="1153" spans="1:9" hidden="1" x14ac:dyDescent="0.25">
      <c r="A1153" t="s">
        <v>1057</v>
      </c>
      <c r="B1153" t="s">
        <v>44</v>
      </c>
      <c r="C1153" s="2">
        <f>HYPERLINK("https://cao.dolgi.msk.ru/account/1080265125/", 1080265125)</f>
        <v>1080265125</v>
      </c>
      <c r="D1153" t="s">
        <v>1077</v>
      </c>
      <c r="E1153">
        <v>-1695.58</v>
      </c>
      <c r="G1153" t="s">
        <v>14</v>
      </c>
      <c r="I1153" t="s">
        <v>1050</v>
      </c>
    </row>
    <row r="1154" spans="1:9" hidden="1" x14ac:dyDescent="0.25">
      <c r="A1154" t="s">
        <v>1057</v>
      </c>
      <c r="B1154" t="s">
        <v>68</v>
      </c>
      <c r="C1154" s="2">
        <f>HYPERLINK("https://cao.dolgi.msk.ru/account/1080265133/", 1080265133)</f>
        <v>1080265133</v>
      </c>
      <c r="D1154" t="s">
        <v>1078</v>
      </c>
      <c r="E1154">
        <v>4.7</v>
      </c>
      <c r="F1154">
        <v>0</v>
      </c>
      <c r="G1154" t="s">
        <v>12</v>
      </c>
      <c r="I1154" t="s">
        <v>1050</v>
      </c>
    </row>
    <row r="1155" spans="1:9" hidden="1" x14ac:dyDescent="0.25">
      <c r="A1155" t="s">
        <v>1057</v>
      </c>
      <c r="B1155" t="s">
        <v>70</v>
      </c>
      <c r="C1155" s="2">
        <f>HYPERLINK("https://cao.dolgi.msk.ru/account/1080265141/", 1080265141)</f>
        <v>1080265141</v>
      </c>
      <c r="D1155" t="s">
        <v>15</v>
      </c>
      <c r="G1155" t="s">
        <v>14</v>
      </c>
      <c r="I1155" t="s">
        <v>1050</v>
      </c>
    </row>
    <row r="1156" spans="1:9" hidden="1" x14ac:dyDescent="0.25">
      <c r="A1156" t="s">
        <v>1057</v>
      </c>
      <c r="B1156" t="s">
        <v>70</v>
      </c>
      <c r="C1156" s="2">
        <f>HYPERLINK("https://cao.dolgi.msk.ru/account/1080265168/", 1080265168)</f>
        <v>1080265168</v>
      </c>
      <c r="D1156" t="s">
        <v>15</v>
      </c>
      <c r="E1156">
        <v>0</v>
      </c>
      <c r="G1156" t="s">
        <v>14</v>
      </c>
      <c r="I1156" t="s">
        <v>1050</v>
      </c>
    </row>
    <row r="1157" spans="1:9" hidden="1" x14ac:dyDescent="0.25">
      <c r="A1157" t="s">
        <v>1057</v>
      </c>
      <c r="B1157" t="s">
        <v>70</v>
      </c>
      <c r="C1157" s="2">
        <f>HYPERLINK("https://cao.dolgi.msk.ru/account/1080265176/", 1080265176)</f>
        <v>1080265176</v>
      </c>
      <c r="D1157" t="s">
        <v>1079</v>
      </c>
      <c r="E1157">
        <v>124.82</v>
      </c>
      <c r="F1157">
        <v>0.01</v>
      </c>
      <c r="G1157" t="s">
        <v>12</v>
      </c>
      <c r="I1157" t="s">
        <v>1050</v>
      </c>
    </row>
    <row r="1158" spans="1:9" hidden="1" x14ac:dyDescent="0.25">
      <c r="A1158" t="s">
        <v>1057</v>
      </c>
      <c r="B1158" t="s">
        <v>72</v>
      </c>
      <c r="C1158" s="2">
        <f>HYPERLINK("https://cao.dolgi.msk.ru/account/1080264763/", 1080264763)</f>
        <v>1080264763</v>
      </c>
      <c r="D1158" t="s">
        <v>1080</v>
      </c>
      <c r="E1158">
        <v>-14882.04</v>
      </c>
      <c r="F1158">
        <v>-1.2</v>
      </c>
      <c r="G1158" t="s">
        <v>12</v>
      </c>
      <c r="I1158" t="s">
        <v>1050</v>
      </c>
    </row>
    <row r="1159" spans="1:9" hidden="1" x14ac:dyDescent="0.25">
      <c r="A1159" t="s">
        <v>1057</v>
      </c>
      <c r="B1159" t="s">
        <v>74</v>
      </c>
      <c r="C1159" s="2">
        <f>HYPERLINK("https://cao.dolgi.msk.ru/account/1080264923/", 1080264923)</f>
        <v>1080264923</v>
      </c>
      <c r="D1159" t="s">
        <v>1081</v>
      </c>
      <c r="E1159">
        <v>-831.78</v>
      </c>
      <c r="G1159" t="s">
        <v>14</v>
      </c>
      <c r="I1159" t="s">
        <v>1050</v>
      </c>
    </row>
    <row r="1160" spans="1:9" hidden="1" x14ac:dyDescent="0.25">
      <c r="A1160" t="s">
        <v>1057</v>
      </c>
      <c r="B1160" t="s">
        <v>74</v>
      </c>
      <c r="C1160" s="2">
        <f>HYPERLINK("https://cao.dolgi.msk.ru/account/1080265192/", 1080265192)</f>
        <v>1080265192</v>
      </c>
      <c r="D1160" t="s">
        <v>1081</v>
      </c>
      <c r="E1160">
        <v>-818.42</v>
      </c>
      <c r="G1160" t="s">
        <v>14</v>
      </c>
      <c r="I1160" t="s">
        <v>1050</v>
      </c>
    </row>
    <row r="1161" spans="1:9" hidden="1" x14ac:dyDescent="0.25">
      <c r="A1161" t="s">
        <v>1057</v>
      </c>
      <c r="B1161" t="s">
        <v>74</v>
      </c>
      <c r="C1161" s="2">
        <f>HYPERLINK("https://cao.dolgi.msk.ru/account/1080265205/", 1080265205)</f>
        <v>1080265205</v>
      </c>
      <c r="D1161" t="s">
        <v>15</v>
      </c>
      <c r="E1161">
        <v>-785.54</v>
      </c>
      <c r="G1161" t="s">
        <v>14</v>
      </c>
      <c r="I1161" t="s">
        <v>1050</v>
      </c>
    </row>
    <row r="1162" spans="1:9" hidden="1" x14ac:dyDescent="0.25">
      <c r="A1162" t="s">
        <v>1057</v>
      </c>
      <c r="B1162" t="s">
        <v>74</v>
      </c>
      <c r="C1162" s="2">
        <f>HYPERLINK("https://cao.dolgi.msk.ru/account/1080265213/", 1080265213)</f>
        <v>1080265213</v>
      </c>
      <c r="D1162" t="s">
        <v>1082</v>
      </c>
      <c r="E1162">
        <v>-11006.12</v>
      </c>
      <c r="F1162">
        <v>-1.1299999999999999</v>
      </c>
      <c r="G1162" t="s">
        <v>12</v>
      </c>
      <c r="I1162" t="s">
        <v>1050</v>
      </c>
    </row>
    <row r="1163" spans="1:9" hidden="1" x14ac:dyDescent="0.25">
      <c r="A1163" t="s">
        <v>1057</v>
      </c>
      <c r="B1163" t="s">
        <v>76</v>
      </c>
      <c r="C1163" s="2">
        <f>HYPERLINK("https://cao.dolgi.msk.ru/account/1080265221/", 1080265221)</f>
        <v>1080265221</v>
      </c>
      <c r="D1163" t="s">
        <v>1083</v>
      </c>
      <c r="E1163">
        <v>-340.14</v>
      </c>
      <c r="F1163">
        <v>-0.04</v>
      </c>
      <c r="G1163" t="s">
        <v>12</v>
      </c>
      <c r="I1163" t="s">
        <v>1050</v>
      </c>
    </row>
    <row r="1164" spans="1:9" hidden="1" x14ac:dyDescent="0.25">
      <c r="A1164" t="s">
        <v>1057</v>
      </c>
      <c r="B1164" t="s">
        <v>76</v>
      </c>
      <c r="C1164" s="2">
        <f>HYPERLINK("https://cao.dolgi.msk.ru/account/1080265248/", 1080265248)</f>
        <v>1080265248</v>
      </c>
      <c r="D1164" t="s">
        <v>1083</v>
      </c>
      <c r="E1164">
        <v>930.32</v>
      </c>
      <c r="G1164" t="s">
        <v>14</v>
      </c>
      <c r="I1164" t="s">
        <v>1050</v>
      </c>
    </row>
    <row r="1165" spans="1:9" hidden="1" x14ac:dyDescent="0.25">
      <c r="A1165" t="s">
        <v>1057</v>
      </c>
      <c r="B1165" t="s">
        <v>78</v>
      </c>
      <c r="C1165" s="2">
        <f>HYPERLINK("https://cao.dolgi.msk.ru/account/1080265256/", 1080265256)</f>
        <v>1080265256</v>
      </c>
      <c r="D1165" t="s">
        <v>1084</v>
      </c>
      <c r="E1165">
        <v>-6650.61</v>
      </c>
      <c r="F1165">
        <v>-1.06</v>
      </c>
      <c r="G1165" t="s">
        <v>12</v>
      </c>
      <c r="I1165" t="s">
        <v>1050</v>
      </c>
    </row>
    <row r="1166" spans="1:9" hidden="1" x14ac:dyDescent="0.25">
      <c r="A1166" t="s">
        <v>1057</v>
      </c>
      <c r="B1166" t="s">
        <v>80</v>
      </c>
      <c r="C1166" s="2">
        <f>HYPERLINK("https://cao.dolgi.msk.ru/account/1080265264/", 1080265264)</f>
        <v>1080265264</v>
      </c>
      <c r="D1166" t="s">
        <v>1085</v>
      </c>
      <c r="E1166">
        <v>-10616.27</v>
      </c>
      <c r="F1166">
        <v>-2.02</v>
      </c>
      <c r="G1166" t="s">
        <v>12</v>
      </c>
      <c r="I1166" t="s">
        <v>1050</v>
      </c>
    </row>
    <row r="1167" spans="1:9" hidden="1" x14ac:dyDescent="0.25">
      <c r="A1167" t="s">
        <v>1057</v>
      </c>
      <c r="B1167" t="s">
        <v>82</v>
      </c>
      <c r="C1167" s="2">
        <f>HYPERLINK("https://cao.dolgi.msk.ru/account/1080265272/", 1080265272)</f>
        <v>1080265272</v>
      </c>
      <c r="D1167" t="s">
        <v>15</v>
      </c>
      <c r="E1167">
        <v>0</v>
      </c>
      <c r="G1167" t="s">
        <v>14</v>
      </c>
      <c r="H1167" t="s">
        <v>7</v>
      </c>
      <c r="I1167" t="s">
        <v>1050</v>
      </c>
    </row>
    <row r="1168" spans="1:9" hidden="1" x14ac:dyDescent="0.25">
      <c r="A1168" t="s">
        <v>1057</v>
      </c>
      <c r="B1168" t="s">
        <v>82</v>
      </c>
      <c r="C1168" s="2">
        <f>HYPERLINK("https://cao.dolgi.msk.ru/account/1080265299/", 1080265299)</f>
        <v>1080265299</v>
      </c>
      <c r="D1168" t="s">
        <v>1086</v>
      </c>
      <c r="E1168">
        <v>-12063.29</v>
      </c>
      <c r="F1168">
        <v>-1.21</v>
      </c>
      <c r="G1168" t="s">
        <v>12</v>
      </c>
      <c r="I1168" t="s">
        <v>1050</v>
      </c>
    </row>
    <row r="1169" spans="1:9" hidden="1" x14ac:dyDescent="0.25">
      <c r="A1169" t="s">
        <v>1057</v>
      </c>
      <c r="B1169" t="s">
        <v>82</v>
      </c>
      <c r="C1169" s="2">
        <f>HYPERLINK("https://cao.dolgi.msk.ru/account/1080265328/", 1080265328)</f>
        <v>1080265328</v>
      </c>
      <c r="D1169" t="s">
        <v>15</v>
      </c>
      <c r="E1169">
        <v>0</v>
      </c>
      <c r="F1169">
        <v>0</v>
      </c>
      <c r="G1169" t="s">
        <v>14</v>
      </c>
      <c r="I1169" t="s">
        <v>1050</v>
      </c>
    </row>
    <row r="1170" spans="1:9" hidden="1" x14ac:dyDescent="0.25">
      <c r="A1170" t="s">
        <v>1057</v>
      </c>
      <c r="B1170" t="s">
        <v>82</v>
      </c>
      <c r="C1170" s="2">
        <f>HYPERLINK("https://cao.dolgi.msk.ru/account/1083391047/", 1083391047)</f>
        <v>1083391047</v>
      </c>
      <c r="D1170" t="s">
        <v>189</v>
      </c>
      <c r="E1170">
        <v>0</v>
      </c>
      <c r="G1170" t="s">
        <v>14</v>
      </c>
      <c r="H1170" t="s">
        <v>7</v>
      </c>
      <c r="I1170" t="s">
        <v>1050</v>
      </c>
    </row>
    <row r="1171" spans="1:9" hidden="1" x14ac:dyDescent="0.25">
      <c r="A1171" t="s">
        <v>1057</v>
      </c>
      <c r="B1171" t="s">
        <v>84</v>
      </c>
      <c r="C1171" s="2">
        <f>HYPERLINK("https://cao.dolgi.msk.ru/account/1080265336/", 1080265336)</f>
        <v>1080265336</v>
      </c>
      <c r="D1171" t="s">
        <v>1087</v>
      </c>
      <c r="E1171">
        <v>-5342.19</v>
      </c>
      <c r="F1171">
        <v>-1.0900000000000001</v>
      </c>
      <c r="G1171" t="s">
        <v>12</v>
      </c>
      <c r="I1171" t="s">
        <v>1050</v>
      </c>
    </row>
    <row r="1172" spans="1:9" hidden="1" x14ac:dyDescent="0.25">
      <c r="A1172" t="s">
        <v>1057</v>
      </c>
      <c r="B1172" t="s">
        <v>90</v>
      </c>
      <c r="C1172" s="2">
        <f>HYPERLINK("https://cao.dolgi.msk.ru/account/1080265344/", 1080265344)</f>
        <v>1080265344</v>
      </c>
      <c r="D1172" t="s">
        <v>1088</v>
      </c>
      <c r="E1172">
        <v>736.08</v>
      </c>
      <c r="F1172">
        <v>0.51</v>
      </c>
      <c r="G1172" t="s">
        <v>12</v>
      </c>
      <c r="H1172" t="s">
        <v>7</v>
      </c>
      <c r="I1172" t="s">
        <v>1050</v>
      </c>
    </row>
    <row r="1173" spans="1:9" hidden="1" x14ac:dyDescent="0.25">
      <c r="A1173" t="s">
        <v>1057</v>
      </c>
      <c r="B1173" t="s">
        <v>90</v>
      </c>
      <c r="C1173" s="2">
        <f>HYPERLINK("https://cao.dolgi.msk.ru/account/1080265352/", 1080265352)</f>
        <v>1080265352</v>
      </c>
      <c r="D1173" t="s">
        <v>1088</v>
      </c>
      <c r="E1173">
        <v>-2447.33</v>
      </c>
      <c r="F1173">
        <v>-1.04</v>
      </c>
      <c r="G1173" t="s">
        <v>12</v>
      </c>
      <c r="H1173" t="s">
        <v>7</v>
      </c>
      <c r="I1173" t="s">
        <v>1050</v>
      </c>
    </row>
    <row r="1174" spans="1:9" hidden="1" x14ac:dyDescent="0.25">
      <c r="A1174" t="s">
        <v>1057</v>
      </c>
      <c r="B1174" t="s">
        <v>90</v>
      </c>
      <c r="C1174" s="2">
        <f>HYPERLINK("https://cao.dolgi.msk.ru/account/1080265379/", 1080265379)</f>
        <v>1080265379</v>
      </c>
      <c r="D1174" t="s">
        <v>1088</v>
      </c>
      <c r="E1174">
        <v>-210.64</v>
      </c>
      <c r="F1174">
        <v>-0.08</v>
      </c>
      <c r="G1174" t="s">
        <v>12</v>
      </c>
      <c r="H1174" t="s">
        <v>7</v>
      </c>
      <c r="I1174" t="s">
        <v>1050</v>
      </c>
    </row>
    <row r="1175" spans="1:9" hidden="1" x14ac:dyDescent="0.25">
      <c r="A1175" t="s">
        <v>1057</v>
      </c>
      <c r="B1175" t="s">
        <v>90</v>
      </c>
      <c r="C1175" s="2">
        <f>HYPERLINK("https://cao.dolgi.msk.ru/account/1080265387/", 1080265387)</f>
        <v>1080265387</v>
      </c>
      <c r="D1175" t="s">
        <v>1089</v>
      </c>
      <c r="E1175">
        <v>-37.909999999999997</v>
      </c>
      <c r="F1175">
        <v>-0.02</v>
      </c>
      <c r="G1175" t="s">
        <v>12</v>
      </c>
      <c r="H1175" t="s">
        <v>7</v>
      </c>
      <c r="I1175" t="s">
        <v>1050</v>
      </c>
    </row>
    <row r="1176" spans="1:9" hidden="1" x14ac:dyDescent="0.25">
      <c r="A1176" t="s">
        <v>1057</v>
      </c>
      <c r="B1176" t="s">
        <v>92</v>
      </c>
      <c r="C1176" s="2">
        <f>HYPERLINK("https://cao.dolgi.msk.ru/account/1080265395/", 1080265395)</f>
        <v>1080265395</v>
      </c>
      <c r="D1176" t="s">
        <v>1090</v>
      </c>
      <c r="E1176">
        <v>-6540.32</v>
      </c>
      <c r="F1176">
        <v>-1.1399999999999999</v>
      </c>
      <c r="G1176" t="s">
        <v>12</v>
      </c>
      <c r="I1176" t="s">
        <v>1050</v>
      </c>
    </row>
    <row r="1177" spans="1:9" hidden="1" x14ac:dyDescent="0.25">
      <c r="A1177" t="s">
        <v>1057</v>
      </c>
      <c r="B1177" t="s">
        <v>94</v>
      </c>
      <c r="C1177" s="2">
        <f>HYPERLINK("https://cao.dolgi.msk.ru/account/1080265408/", 1080265408)</f>
        <v>1080265408</v>
      </c>
      <c r="D1177" t="s">
        <v>1091</v>
      </c>
      <c r="E1177">
        <v>-1420.87</v>
      </c>
      <c r="F1177">
        <v>-1.07</v>
      </c>
      <c r="G1177" t="s">
        <v>12</v>
      </c>
      <c r="H1177" t="s">
        <v>7</v>
      </c>
      <c r="I1177" t="s">
        <v>1050</v>
      </c>
    </row>
    <row r="1178" spans="1:9" x14ac:dyDescent="0.25">
      <c r="A1178" t="s">
        <v>1057</v>
      </c>
      <c r="B1178" t="s">
        <v>94</v>
      </c>
      <c r="C1178" s="2">
        <f>HYPERLINK("https://cao.dolgi.msk.ru/account/1080265416/", 1080265416)</f>
        <v>1080265416</v>
      </c>
      <c r="D1178" t="s">
        <v>1092</v>
      </c>
      <c r="E1178">
        <v>113260.21</v>
      </c>
      <c r="F1178">
        <v>23.6</v>
      </c>
      <c r="G1178" t="s">
        <v>12</v>
      </c>
      <c r="H1178" t="s">
        <v>7</v>
      </c>
      <c r="I1178" t="s">
        <v>1050</v>
      </c>
    </row>
    <row r="1179" spans="1:9" hidden="1" x14ac:dyDescent="0.25">
      <c r="A1179" t="s">
        <v>1057</v>
      </c>
      <c r="B1179" t="s">
        <v>94</v>
      </c>
      <c r="C1179" s="2">
        <f>HYPERLINK("https://cao.dolgi.msk.ru/account/1080265424/", 1080265424)</f>
        <v>1080265424</v>
      </c>
      <c r="D1179" t="s">
        <v>1093</v>
      </c>
      <c r="E1179">
        <v>-4467.45</v>
      </c>
      <c r="F1179">
        <v>-1.02</v>
      </c>
      <c r="G1179" t="s">
        <v>12</v>
      </c>
      <c r="H1179" t="s">
        <v>7</v>
      </c>
      <c r="I1179" t="s">
        <v>1050</v>
      </c>
    </row>
    <row r="1180" spans="1:9" x14ac:dyDescent="0.25">
      <c r="A1180" t="s">
        <v>1057</v>
      </c>
      <c r="B1180" t="s">
        <v>94</v>
      </c>
      <c r="C1180" s="2">
        <f>HYPERLINK("https://cao.dolgi.msk.ru/account/1083278124/", 1083278124)</f>
        <v>1083278124</v>
      </c>
      <c r="D1180" t="s">
        <v>15</v>
      </c>
      <c r="E1180">
        <v>28581.96</v>
      </c>
      <c r="F1180">
        <v>13.34</v>
      </c>
      <c r="G1180" t="s">
        <v>12</v>
      </c>
      <c r="H1180" t="s">
        <v>7</v>
      </c>
      <c r="I1180" t="s">
        <v>1050</v>
      </c>
    </row>
    <row r="1181" spans="1:9" x14ac:dyDescent="0.25">
      <c r="A1181" t="s">
        <v>1057</v>
      </c>
      <c r="B1181" t="s">
        <v>96</v>
      </c>
      <c r="C1181" s="2">
        <f>HYPERLINK("https://cao.dolgi.msk.ru/account/1080265432/", 1080265432)</f>
        <v>1080265432</v>
      </c>
      <c r="D1181" t="s">
        <v>1094</v>
      </c>
      <c r="E1181">
        <v>34336.46</v>
      </c>
      <c r="F1181">
        <v>5</v>
      </c>
      <c r="G1181" t="s">
        <v>12</v>
      </c>
      <c r="H1181" t="s">
        <v>7</v>
      </c>
      <c r="I1181" t="s">
        <v>1050</v>
      </c>
    </row>
    <row r="1182" spans="1:9" hidden="1" x14ac:dyDescent="0.25">
      <c r="A1182" t="s">
        <v>1057</v>
      </c>
      <c r="B1182" t="s">
        <v>96</v>
      </c>
      <c r="C1182" s="2">
        <f>HYPERLINK("https://cao.dolgi.msk.ru/account/1080265459/", 1080265459)</f>
        <v>1080265459</v>
      </c>
      <c r="D1182" t="s">
        <v>1095</v>
      </c>
      <c r="E1182">
        <v>-1031.08</v>
      </c>
      <c r="F1182">
        <v>-0.42</v>
      </c>
      <c r="G1182" t="s">
        <v>12</v>
      </c>
      <c r="H1182" t="s">
        <v>7</v>
      </c>
      <c r="I1182" t="s">
        <v>1050</v>
      </c>
    </row>
    <row r="1183" spans="1:9" hidden="1" x14ac:dyDescent="0.25">
      <c r="A1183" t="s">
        <v>1057</v>
      </c>
      <c r="B1183" t="s">
        <v>96</v>
      </c>
      <c r="C1183" s="2">
        <f>HYPERLINK("https://cao.dolgi.msk.ru/account/1080265467/", 1080265467)</f>
        <v>1080265467</v>
      </c>
      <c r="D1183" t="s">
        <v>1095</v>
      </c>
      <c r="E1183">
        <v>-6090.02</v>
      </c>
      <c r="F1183">
        <v>-3.16</v>
      </c>
      <c r="G1183" t="s">
        <v>12</v>
      </c>
      <c r="H1183" t="s">
        <v>7</v>
      </c>
      <c r="I1183" t="s">
        <v>1050</v>
      </c>
    </row>
    <row r="1184" spans="1:9" hidden="1" x14ac:dyDescent="0.25">
      <c r="A1184" t="s">
        <v>1057</v>
      </c>
      <c r="B1184" t="s">
        <v>96</v>
      </c>
      <c r="C1184" s="2">
        <f>HYPERLINK("https://cao.dolgi.msk.ru/account/1080265475/", 1080265475)</f>
        <v>1080265475</v>
      </c>
      <c r="D1184" t="s">
        <v>1095</v>
      </c>
      <c r="E1184">
        <v>-976.16</v>
      </c>
      <c r="F1184">
        <v>-0.53</v>
      </c>
      <c r="G1184" t="s">
        <v>12</v>
      </c>
      <c r="H1184" t="s">
        <v>7</v>
      </c>
      <c r="I1184" t="s">
        <v>1050</v>
      </c>
    </row>
    <row r="1185" spans="1:9" hidden="1" x14ac:dyDescent="0.25">
      <c r="A1185" t="s">
        <v>1057</v>
      </c>
      <c r="B1185" t="s">
        <v>98</v>
      </c>
      <c r="C1185" s="2">
        <f>HYPERLINK("https://cao.dolgi.msk.ru/account/1080265483/", 1080265483)</f>
        <v>1080265483</v>
      </c>
      <c r="D1185" t="s">
        <v>1096</v>
      </c>
      <c r="E1185">
        <v>-104.26</v>
      </c>
      <c r="F1185">
        <v>-0.01</v>
      </c>
      <c r="G1185" t="s">
        <v>12</v>
      </c>
      <c r="I1185" t="s">
        <v>1050</v>
      </c>
    </row>
    <row r="1186" spans="1:9" hidden="1" x14ac:dyDescent="0.25">
      <c r="A1186" t="s">
        <v>1057</v>
      </c>
      <c r="B1186" t="s">
        <v>100</v>
      </c>
      <c r="C1186" s="2">
        <f>HYPERLINK("https://cao.dolgi.msk.ru/account/1080265491/", 1080265491)</f>
        <v>1080265491</v>
      </c>
      <c r="D1186" t="s">
        <v>1097</v>
      </c>
      <c r="E1186">
        <v>0</v>
      </c>
      <c r="G1186" t="s">
        <v>14</v>
      </c>
      <c r="I1186" t="s">
        <v>1050</v>
      </c>
    </row>
    <row r="1187" spans="1:9" hidden="1" x14ac:dyDescent="0.25">
      <c r="A1187" t="s">
        <v>1057</v>
      </c>
      <c r="B1187" t="s">
        <v>100</v>
      </c>
      <c r="C1187" s="2">
        <f>HYPERLINK("https://cao.dolgi.msk.ru/account/1080265504/", 1080265504)</f>
        <v>1080265504</v>
      </c>
      <c r="D1187" t="s">
        <v>1097</v>
      </c>
      <c r="E1187">
        <v>-59.5</v>
      </c>
      <c r="F1187">
        <v>-0.01</v>
      </c>
      <c r="G1187" t="s">
        <v>12</v>
      </c>
      <c r="I1187" t="s">
        <v>1050</v>
      </c>
    </row>
    <row r="1188" spans="1:9" hidden="1" x14ac:dyDescent="0.25">
      <c r="A1188" t="s">
        <v>1057</v>
      </c>
      <c r="B1188" t="s">
        <v>102</v>
      </c>
      <c r="C1188" s="2">
        <f>HYPERLINK("https://cao.dolgi.msk.ru/account/1080265512/", 1080265512)</f>
        <v>1080265512</v>
      </c>
      <c r="D1188" t="s">
        <v>15</v>
      </c>
      <c r="E1188">
        <v>-4406.53</v>
      </c>
      <c r="F1188">
        <v>-1.1100000000000001</v>
      </c>
      <c r="G1188" t="s">
        <v>12</v>
      </c>
      <c r="H1188" t="s">
        <v>7</v>
      </c>
      <c r="I1188" t="s">
        <v>1050</v>
      </c>
    </row>
    <row r="1189" spans="1:9" x14ac:dyDescent="0.25">
      <c r="A1189" t="s">
        <v>1057</v>
      </c>
      <c r="B1189" t="s">
        <v>102</v>
      </c>
      <c r="C1189" s="2">
        <f>HYPERLINK("https://cao.dolgi.msk.ru/account/1080265539/", 1080265539)</f>
        <v>1080265539</v>
      </c>
      <c r="D1189" t="s">
        <v>15</v>
      </c>
      <c r="E1189">
        <v>121735.7</v>
      </c>
      <c r="F1189">
        <v>26.01</v>
      </c>
      <c r="G1189" t="s">
        <v>12</v>
      </c>
      <c r="H1189" t="s">
        <v>7</v>
      </c>
      <c r="I1189" t="s">
        <v>1050</v>
      </c>
    </row>
    <row r="1190" spans="1:9" hidden="1" x14ac:dyDescent="0.25">
      <c r="A1190" t="s">
        <v>1057</v>
      </c>
      <c r="B1190" t="s">
        <v>102</v>
      </c>
      <c r="C1190" s="2">
        <f>HYPERLINK("https://cao.dolgi.msk.ru/account/1080265555/", 1080265555)</f>
        <v>1080265555</v>
      </c>
      <c r="D1190" t="s">
        <v>1098</v>
      </c>
      <c r="E1190">
        <v>-2917.61</v>
      </c>
      <c r="F1190">
        <v>-1.17</v>
      </c>
      <c r="G1190" t="s">
        <v>12</v>
      </c>
      <c r="H1190" t="s">
        <v>7</v>
      </c>
      <c r="I1190" t="s">
        <v>1050</v>
      </c>
    </row>
    <row r="1191" spans="1:9" hidden="1" x14ac:dyDescent="0.25">
      <c r="A1191" t="s">
        <v>1057</v>
      </c>
      <c r="B1191" t="s">
        <v>104</v>
      </c>
      <c r="C1191" s="2">
        <f>HYPERLINK("https://cao.dolgi.msk.ru/account/1080265563/", 1080265563)</f>
        <v>1080265563</v>
      </c>
      <c r="D1191" t="s">
        <v>1099</v>
      </c>
      <c r="E1191">
        <v>-16159.28</v>
      </c>
      <c r="F1191">
        <v>-1.05</v>
      </c>
      <c r="G1191" t="s">
        <v>12</v>
      </c>
      <c r="I1191" t="s">
        <v>1050</v>
      </c>
    </row>
    <row r="1192" spans="1:9" hidden="1" x14ac:dyDescent="0.25">
      <c r="A1192" t="s">
        <v>1057</v>
      </c>
      <c r="B1192" t="s">
        <v>106</v>
      </c>
      <c r="C1192" s="2">
        <f>HYPERLINK("https://cao.dolgi.msk.ru/account/1080265571/", 1080265571)</f>
        <v>1080265571</v>
      </c>
      <c r="D1192" t="s">
        <v>1100</v>
      </c>
      <c r="E1192">
        <v>-3044.98</v>
      </c>
      <c r="F1192">
        <v>-1.1399999999999999</v>
      </c>
      <c r="G1192" t="s">
        <v>12</v>
      </c>
      <c r="H1192" t="s">
        <v>7</v>
      </c>
      <c r="I1192" t="s">
        <v>1050</v>
      </c>
    </row>
    <row r="1193" spans="1:9" hidden="1" x14ac:dyDescent="0.25">
      <c r="A1193" t="s">
        <v>1057</v>
      </c>
      <c r="B1193" t="s">
        <v>106</v>
      </c>
      <c r="C1193" s="2">
        <f>HYPERLINK("https://cao.dolgi.msk.ru/account/1080265598/", 1080265598)</f>
        <v>1080265598</v>
      </c>
      <c r="D1193" t="s">
        <v>1100</v>
      </c>
      <c r="E1193">
        <v>-6144.81</v>
      </c>
      <c r="F1193">
        <v>-1.17</v>
      </c>
      <c r="G1193" t="s">
        <v>12</v>
      </c>
      <c r="H1193" t="s">
        <v>7</v>
      </c>
      <c r="I1193" t="s">
        <v>1050</v>
      </c>
    </row>
    <row r="1194" spans="1:9" hidden="1" x14ac:dyDescent="0.25">
      <c r="A1194" t="s">
        <v>1057</v>
      </c>
      <c r="B1194" t="s">
        <v>110</v>
      </c>
      <c r="C1194" s="2">
        <f>HYPERLINK("https://cao.dolgi.msk.ru/account/1080265619/", 1080265619)</f>
        <v>1080265619</v>
      </c>
      <c r="D1194" t="s">
        <v>1101</v>
      </c>
      <c r="E1194">
        <v>0</v>
      </c>
      <c r="G1194" t="s">
        <v>14</v>
      </c>
      <c r="H1194" t="s">
        <v>7</v>
      </c>
      <c r="I1194" t="s">
        <v>1050</v>
      </c>
    </row>
    <row r="1195" spans="1:9" hidden="1" x14ac:dyDescent="0.25">
      <c r="A1195" t="s">
        <v>1057</v>
      </c>
      <c r="B1195" t="s">
        <v>110</v>
      </c>
      <c r="C1195" s="2">
        <f>HYPERLINK("https://cao.dolgi.msk.ru/account/1080265627/", 1080265627)</f>
        <v>1080265627</v>
      </c>
      <c r="D1195" t="s">
        <v>1101</v>
      </c>
      <c r="E1195">
        <v>-4477.1899999999996</v>
      </c>
      <c r="F1195">
        <v>-1.82</v>
      </c>
      <c r="G1195" t="s">
        <v>12</v>
      </c>
      <c r="H1195" t="s">
        <v>7</v>
      </c>
      <c r="I1195" t="s">
        <v>1050</v>
      </c>
    </row>
    <row r="1196" spans="1:9" hidden="1" x14ac:dyDescent="0.25">
      <c r="A1196" t="s">
        <v>1057</v>
      </c>
      <c r="B1196" t="s">
        <v>110</v>
      </c>
      <c r="C1196" s="2">
        <f>HYPERLINK("https://cao.dolgi.msk.ru/account/1080265635/", 1080265635)</f>
        <v>1080265635</v>
      </c>
      <c r="D1196" t="s">
        <v>1101</v>
      </c>
      <c r="E1196">
        <v>-4555.3500000000004</v>
      </c>
      <c r="F1196">
        <v>-0.68</v>
      </c>
      <c r="G1196" t="s">
        <v>12</v>
      </c>
      <c r="H1196" t="s">
        <v>7</v>
      </c>
      <c r="I1196" t="s">
        <v>1050</v>
      </c>
    </row>
    <row r="1197" spans="1:9" hidden="1" x14ac:dyDescent="0.25">
      <c r="A1197" t="s">
        <v>1057</v>
      </c>
      <c r="B1197" t="s">
        <v>110</v>
      </c>
      <c r="C1197" s="2">
        <f>HYPERLINK("https://cao.dolgi.msk.ru/account/1083283513/", 1083283513)</f>
        <v>1083283513</v>
      </c>
      <c r="D1197" t="s">
        <v>15</v>
      </c>
      <c r="E1197">
        <v>-2550</v>
      </c>
      <c r="F1197">
        <v>-0.37</v>
      </c>
      <c r="G1197" t="s">
        <v>12</v>
      </c>
      <c r="H1197" t="s">
        <v>7</v>
      </c>
      <c r="I1197" t="s">
        <v>1050</v>
      </c>
    </row>
    <row r="1198" spans="1:9" hidden="1" x14ac:dyDescent="0.25">
      <c r="A1198" t="s">
        <v>1057</v>
      </c>
      <c r="B1198" t="s">
        <v>112</v>
      </c>
      <c r="C1198" s="2">
        <f>HYPERLINK("https://cao.dolgi.msk.ru/account/1080265643/", 1080265643)</f>
        <v>1080265643</v>
      </c>
      <c r="D1198" t="s">
        <v>1102</v>
      </c>
      <c r="E1198">
        <v>-1799.31</v>
      </c>
      <c r="F1198">
        <v>-1.46</v>
      </c>
      <c r="G1198" t="s">
        <v>12</v>
      </c>
      <c r="H1198" t="s">
        <v>7</v>
      </c>
      <c r="I1198" t="s">
        <v>1050</v>
      </c>
    </row>
    <row r="1199" spans="1:9" hidden="1" x14ac:dyDescent="0.25">
      <c r="A1199" t="s">
        <v>1057</v>
      </c>
      <c r="B1199" t="s">
        <v>112</v>
      </c>
      <c r="C1199" s="2">
        <f>HYPERLINK("https://cao.dolgi.msk.ru/account/1080265651/", 1080265651)</f>
        <v>1080265651</v>
      </c>
      <c r="D1199" t="s">
        <v>1102</v>
      </c>
      <c r="E1199">
        <v>0</v>
      </c>
      <c r="F1199">
        <v>0</v>
      </c>
      <c r="G1199" t="s">
        <v>12</v>
      </c>
      <c r="H1199" t="s">
        <v>7</v>
      </c>
      <c r="I1199" t="s">
        <v>1050</v>
      </c>
    </row>
    <row r="1200" spans="1:9" hidden="1" x14ac:dyDescent="0.25">
      <c r="A1200" t="s">
        <v>1057</v>
      </c>
      <c r="B1200" t="s">
        <v>112</v>
      </c>
      <c r="C1200" s="2">
        <f>HYPERLINK("https://cao.dolgi.msk.ru/account/1089118068/", 1089118068)</f>
        <v>1089118068</v>
      </c>
      <c r="D1200" t="s">
        <v>1102</v>
      </c>
      <c r="E1200">
        <v>-825.68</v>
      </c>
      <c r="F1200">
        <v>-1.52</v>
      </c>
      <c r="G1200" t="s">
        <v>12</v>
      </c>
      <c r="H1200" t="s">
        <v>7</v>
      </c>
      <c r="I1200" t="s">
        <v>1050</v>
      </c>
    </row>
    <row r="1201" spans="1:9" hidden="1" x14ac:dyDescent="0.25">
      <c r="A1201" t="s">
        <v>1057</v>
      </c>
      <c r="B1201" t="s">
        <v>114</v>
      </c>
      <c r="C1201" s="2">
        <f>HYPERLINK("https://cao.dolgi.msk.ru/account/1080265678/", 1080265678)</f>
        <v>1080265678</v>
      </c>
      <c r="D1201" t="s">
        <v>1103</v>
      </c>
      <c r="E1201">
        <v>-7513.07</v>
      </c>
      <c r="F1201">
        <v>-1.1299999999999999</v>
      </c>
      <c r="G1201" t="s">
        <v>12</v>
      </c>
      <c r="I1201" t="s">
        <v>1050</v>
      </c>
    </row>
    <row r="1202" spans="1:9" hidden="1" x14ac:dyDescent="0.25">
      <c r="A1202" t="s">
        <v>1057</v>
      </c>
      <c r="B1202" t="s">
        <v>116</v>
      </c>
      <c r="C1202" s="2">
        <f>HYPERLINK("https://cao.dolgi.msk.ru/account/1080265686/", 1080265686)</f>
        <v>1080265686</v>
      </c>
      <c r="D1202" t="s">
        <v>1104</v>
      </c>
      <c r="E1202">
        <v>-681.54</v>
      </c>
      <c r="F1202">
        <v>-0.11</v>
      </c>
      <c r="G1202" t="s">
        <v>12</v>
      </c>
      <c r="H1202" t="s">
        <v>7</v>
      </c>
      <c r="I1202" t="s">
        <v>1050</v>
      </c>
    </row>
    <row r="1203" spans="1:9" hidden="1" x14ac:dyDescent="0.25">
      <c r="A1203" t="s">
        <v>1057</v>
      </c>
      <c r="B1203" t="s">
        <v>116</v>
      </c>
      <c r="C1203" s="2">
        <f>HYPERLINK("https://cao.dolgi.msk.ru/account/1080265694/", 1080265694)</f>
        <v>1080265694</v>
      </c>
      <c r="D1203" t="s">
        <v>15</v>
      </c>
      <c r="E1203">
        <v>-26457.83</v>
      </c>
      <c r="F1203">
        <v>-4.8</v>
      </c>
      <c r="G1203" t="s">
        <v>12</v>
      </c>
      <c r="H1203" t="s">
        <v>7</v>
      </c>
      <c r="I1203" t="s">
        <v>1050</v>
      </c>
    </row>
    <row r="1204" spans="1:9" hidden="1" x14ac:dyDescent="0.25">
      <c r="A1204" t="s">
        <v>1057</v>
      </c>
      <c r="B1204" t="s">
        <v>118</v>
      </c>
      <c r="C1204" s="2">
        <f>HYPERLINK("https://cao.dolgi.msk.ru/account/1080265707/", 1080265707)</f>
        <v>1080265707</v>
      </c>
      <c r="D1204" t="s">
        <v>1105</v>
      </c>
      <c r="E1204">
        <v>-5382.38</v>
      </c>
      <c r="F1204">
        <v>-1.1499999999999999</v>
      </c>
      <c r="G1204" t="s">
        <v>12</v>
      </c>
      <c r="I1204" t="s">
        <v>1050</v>
      </c>
    </row>
    <row r="1205" spans="1:9" hidden="1" x14ac:dyDescent="0.25">
      <c r="A1205" t="s">
        <v>1057</v>
      </c>
      <c r="B1205" t="s">
        <v>120</v>
      </c>
      <c r="C1205" s="2">
        <f>HYPERLINK("https://cao.dolgi.msk.ru/account/1080265715/", 1080265715)</f>
        <v>1080265715</v>
      </c>
      <c r="D1205" t="s">
        <v>1106</v>
      </c>
      <c r="E1205">
        <v>-1310.6300000000001</v>
      </c>
      <c r="F1205">
        <v>-0.27</v>
      </c>
      <c r="G1205" t="s">
        <v>12</v>
      </c>
      <c r="I1205" t="s">
        <v>1050</v>
      </c>
    </row>
    <row r="1206" spans="1:9" hidden="1" x14ac:dyDescent="0.25">
      <c r="A1206" t="s">
        <v>1057</v>
      </c>
      <c r="B1206" t="s">
        <v>122</v>
      </c>
      <c r="C1206" s="2">
        <f>HYPERLINK("https://cao.dolgi.msk.ru/account/1080265731/", 1080265731)</f>
        <v>1080265731</v>
      </c>
      <c r="D1206" t="s">
        <v>1107</v>
      </c>
      <c r="E1206">
        <v>-1262.6500000000001</v>
      </c>
      <c r="F1206">
        <v>-1.06</v>
      </c>
      <c r="G1206" t="s">
        <v>12</v>
      </c>
      <c r="H1206" t="s">
        <v>7</v>
      </c>
      <c r="I1206" t="s">
        <v>1050</v>
      </c>
    </row>
    <row r="1207" spans="1:9" hidden="1" x14ac:dyDescent="0.25">
      <c r="A1207" t="s">
        <v>1057</v>
      </c>
      <c r="B1207" t="s">
        <v>122</v>
      </c>
      <c r="C1207" s="2">
        <f>HYPERLINK("https://cao.dolgi.msk.ru/account/1080265758/", 1080265758)</f>
        <v>1080265758</v>
      </c>
      <c r="D1207" t="s">
        <v>1108</v>
      </c>
      <c r="E1207">
        <v>-325.26</v>
      </c>
      <c r="F1207">
        <v>-0.1</v>
      </c>
      <c r="G1207" t="s">
        <v>12</v>
      </c>
      <c r="H1207" t="s">
        <v>7</v>
      </c>
      <c r="I1207" t="s">
        <v>1050</v>
      </c>
    </row>
    <row r="1208" spans="1:9" hidden="1" x14ac:dyDescent="0.25">
      <c r="A1208" t="s">
        <v>1057</v>
      </c>
      <c r="B1208" t="s">
        <v>122</v>
      </c>
      <c r="C1208" s="2">
        <f>HYPERLINK("https://cao.dolgi.msk.ru/account/1080265766/", 1080265766)</f>
        <v>1080265766</v>
      </c>
      <c r="D1208" t="s">
        <v>1108</v>
      </c>
      <c r="E1208">
        <v>-5573.55</v>
      </c>
      <c r="F1208">
        <v>-0.99</v>
      </c>
      <c r="G1208" t="s">
        <v>12</v>
      </c>
      <c r="H1208" t="s">
        <v>7</v>
      </c>
      <c r="I1208" t="s">
        <v>1050</v>
      </c>
    </row>
    <row r="1209" spans="1:9" hidden="1" x14ac:dyDescent="0.25">
      <c r="A1209" t="s">
        <v>1057</v>
      </c>
      <c r="B1209" t="s">
        <v>124</v>
      </c>
      <c r="C1209" s="2">
        <f>HYPERLINK("https://cao.dolgi.msk.ru/account/1080265774/", 1080265774)</f>
        <v>1080265774</v>
      </c>
      <c r="D1209" t="s">
        <v>1109</v>
      </c>
      <c r="E1209">
        <v>-11611.74</v>
      </c>
      <c r="F1209">
        <v>-1.32</v>
      </c>
      <c r="G1209" t="s">
        <v>12</v>
      </c>
      <c r="I1209" t="s">
        <v>1050</v>
      </c>
    </row>
    <row r="1210" spans="1:9" hidden="1" x14ac:dyDescent="0.25">
      <c r="A1210" t="s">
        <v>1057</v>
      </c>
      <c r="B1210" t="s">
        <v>126</v>
      </c>
      <c r="C1210" s="2">
        <f>HYPERLINK("https://cao.dolgi.msk.ru/account/1080265782/", 1080265782)</f>
        <v>1080265782</v>
      </c>
      <c r="D1210" t="s">
        <v>1110</v>
      </c>
      <c r="E1210">
        <v>-2756.34</v>
      </c>
      <c r="F1210">
        <v>-0.32</v>
      </c>
      <c r="G1210" t="s">
        <v>12</v>
      </c>
      <c r="I1210" t="s">
        <v>1050</v>
      </c>
    </row>
    <row r="1211" spans="1:9" hidden="1" x14ac:dyDescent="0.25">
      <c r="A1211" t="s">
        <v>1057</v>
      </c>
      <c r="B1211" t="s">
        <v>128</v>
      </c>
      <c r="C1211" s="2">
        <f>HYPERLINK("https://cao.dolgi.msk.ru/account/1080265838/", 1080265838)</f>
        <v>1080265838</v>
      </c>
      <c r="D1211" t="s">
        <v>1111</v>
      </c>
      <c r="E1211">
        <v>-8876.32</v>
      </c>
      <c r="F1211">
        <v>-1.02</v>
      </c>
      <c r="G1211" t="s">
        <v>12</v>
      </c>
      <c r="I1211" t="s">
        <v>1050</v>
      </c>
    </row>
    <row r="1212" spans="1:9" hidden="1" x14ac:dyDescent="0.25">
      <c r="A1212" t="s">
        <v>1057</v>
      </c>
      <c r="B1212" t="s">
        <v>130</v>
      </c>
      <c r="C1212" s="2">
        <f>HYPERLINK("https://cao.dolgi.msk.ru/account/1080265846/", 1080265846)</f>
        <v>1080265846</v>
      </c>
      <c r="D1212" t="s">
        <v>1112</v>
      </c>
      <c r="E1212">
        <v>-10233.5</v>
      </c>
      <c r="F1212">
        <v>-0.96</v>
      </c>
      <c r="G1212" t="s">
        <v>12</v>
      </c>
      <c r="I1212" t="s">
        <v>1050</v>
      </c>
    </row>
    <row r="1213" spans="1:9" hidden="1" x14ac:dyDescent="0.25">
      <c r="A1213" t="s">
        <v>1057</v>
      </c>
      <c r="B1213" t="s">
        <v>132</v>
      </c>
      <c r="C1213" s="2">
        <f>HYPERLINK("https://cao.dolgi.msk.ru/account/1080265854/", 1080265854)</f>
        <v>1080265854</v>
      </c>
      <c r="D1213" t="s">
        <v>1113</v>
      </c>
      <c r="E1213">
        <v>-8875.3700000000008</v>
      </c>
      <c r="F1213">
        <v>-1.1100000000000001</v>
      </c>
      <c r="G1213" t="s">
        <v>12</v>
      </c>
      <c r="I1213" t="s">
        <v>1050</v>
      </c>
    </row>
    <row r="1214" spans="1:9" hidden="1" x14ac:dyDescent="0.25">
      <c r="A1214" t="s">
        <v>1057</v>
      </c>
      <c r="B1214" t="s">
        <v>133</v>
      </c>
      <c r="C1214" s="2">
        <f>HYPERLINK("https://cao.dolgi.msk.ru/account/1080265862/", 1080265862)</f>
        <v>1080265862</v>
      </c>
      <c r="D1214" t="s">
        <v>1114</v>
      </c>
      <c r="E1214">
        <v>-10653.03</v>
      </c>
      <c r="F1214">
        <v>-1.0900000000000001</v>
      </c>
      <c r="G1214" t="s">
        <v>12</v>
      </c>
      <c r="I1214" t="s">
        <v>1050</v>
      </c>
    </row>
    <row r="1215" spans="1:9" hidden="1" x14ac:dyDescent="0.25">
      <c r="A1215" t="s">
        <v>1057</v>
      </c>
      <c r="B1215" t="s">
        <v>135</v>
      </c>
      <c r="C1215" s="2">
        <f>HYPERLINK("https://cao.dolgi.msk.ru/account/1080265889/", 1080265889)</f>
        <v>1080265889</v>
      </c>
      <c r="D1215" t="s">
        <v>1115</v>
      </c>
      <c r="E1215">
        <v>-16720.439999999999</v>
      </c>
      <c r="F1215">
        <v>-1.1000000000000001</v>
      </c>
      <c r="G1215" t="s">
        <v>12</v>
      </c>
      <c r="I1215" t="s">
        <v>1050</v>
      </c>
    </row>
    <row r="1216" spans="1:9" hidden="1" x14ac:dyDescent="0.25">
      <c r="A1216" t="s">
        <v>1057</v>
      </c>
      <c r="B1216" t="s">
        <v>137</v>
      </c>
      <c r="C1216" s="2">
        <f>HYPERLINK("https://cao.dolgi.msk.ru/account/1080265897/", 1080265897)</f>
        <v>1080265897</v>
      </c>
      <c r="D1216" t="s">
        <v>1116</v>
      </c>
      <c r="E1216">
        <v>-3128.51</v>
      </c>
      <c r="F1216">
        <v>-2.04</v>
      </c>
      <c r="G1216" t="s">
        <v>12</v>
      </c>
      <c r="H1216" t="s">
        <v>7</v>
      </c>
      <c r="I1216" t="s">
        <v>1050</v>
      </c>
    </row>
    <row r="1217" spans="1:9" hidden="1" x14ac:dyDescent="0.25">
      <c r="A1217" t="s">
        <v>1057</v>
      </c>
      <c r="B1217" t="s">
        <v>137</v>
      </c>
      <c r="C1217" s="2">
        <f>HYPERLINK("https://cao.dolgi.msk.ru/account/1080265918/", 1080265918)</f>
        <v>1080265918</v>
      </c>
      <c r="D1217" t="s">
        <v>1117</v>
      </c>
      <c r="E1217">
        <v>-6908.29</v>
      </c>
      <c r="F1217">
        <v>-1.22</v>
      </c>
      <c r="G1217" t="s">
        <v>12</v>
      </c>
      <c r="H1217" t="s">
        <v>7</v>
      </c>
      <c r="I1217" t="s">
        <v>1050</v>
      </c>
    </row>
    <row r="1218" spans="1:9" hidden="1" x14ac:dyDescent="0.25">
      <c r="A1218" t="s">
        <v>1057</v>
      </c>
      <c r="B1218" t="s">
        <v>139</v>
      </c>
      <c r="C1218" s="2">
        <f>HYPERLINK("https://cao.dolgi.msk.ru/account/1080265926/", 1080265926)</f>
        <v>1080265926</v>
      </c>
      <c r="D1218" t="s">
        <v>1118</v>
      </c>
      <c r="E1218">
        <v>-6776.07</v>
      </c>
      <c r="F1218">
        <v>-1.1499999999999999</v>
      </c>
      <c r="G1218" t="s">
        <v>12</v>
      </c>
      <c r="I1218" t="s">
        <v>1050</v>
      </c>
    </row>
    <row r="1219" spans="1:9" hidden="1" x14ac:dyDescent="0.25">
      <c r="A1219" t="s">
        <v>1057</v>
      </c>
      <c r="B1219" t="s">
        <v>141</v>
      </c>
      <c r="C1219" s="2">
        <f>HYPERLINK("https://cao.dolgi.msk.ru/account/1080265934/", 1080265934)</f>
        <v>1080265934</v>
      </c>
      <c r="D1219" t="s">
        <v>15</v>
      </c>
      <c r="E1219">
        <v>-181.44</v>
      </c>
      <c r="G1219" t="s">
        <v>14</v>
      </c>
      <c r="I1219" t="s">
        <v>1050</v>
      </c>
    </row>
    <row r="1220" spans="1:9" hidden="1" x14ac:dyDescent="0.25">
      <c r="A1220" t="s">
        <v>1057</v>
      </c>
      <c r="B1220" t="s">
        <v>141</v>
      </c>
      <c r="C1220" s="2">
        <f>HYPERLINK("https://cao.dolgi.msk.ru/account/1089130091/", 1089130091)</f>
        <v>1089130091</v>
      </c>
      <c r="D1220" t="s">
        <v>15</v>
      </c>
      <c r="E1220">
        <v>250</v>
      </c>
      <c r="F1220">
        <v>0.03</v>
      </c>
      <c r="G1220" t="s">
        <v>12</v>
      </c>
      <c r="I1220" t="s">
        <v>1050</v>
      </c>
    </row>
    <row r="1221" spans="1:9" hidden="1" x14ac:dyDescent="0.25">
      <c r="A1221" t="s">
        <v>1057</v>
      </c>
      <c r="B1221" t="s">
        <v>143</v>
      </c>
      <c r="C1221" s="2">
        <f>HYPERLINK("https://cao.dolgi.msk.ru/account/1080265184/", 1080265184)</f>
        <v>1080265184</v>
      </c>
      <c r="D1221" t="s">
        <v>1119</v>
      </c>
      <c r="E1221">
        <v>-2162.98</v>
      </c>
      <c r="F1221">
        <v>-1.1000000000000001</v>
      </c>
      <c r="G1221" t="s">
        <v>12</v>
      </c>
      <c r="H1221" t="s">
        <v>7</v>
      </c>
      <c r="I1221" t="s">
        <v>1050</v>
      </c>
    </row>
    <row r="1222" spans="1:9" hidden="1" x14ac:dyDescent="0.25">
      <c r="A1222" t="s">
        <v>1057</v>
      </c>
      <c r="B1222" t="s">
        <v>143</v>
      </c>
      <c r="C1222" s="2">
        <f>HYPERLINK("https://cao.dolgi.msk.ru/account/1080265942/", 1080265942)</f>
        <v>1080265942</v>
      </c>
      <c r="D1222" t="s">
        <v>1120</v>
      </c>
      <c r="E1222">
        <v>-5921.21</v>
      </c>
      <c r="F1222">
        <v>-4.46</v>
      </c>
      <c r="G1222" t="s">
        <v>12</v>
      </c>
      <c r="H1222" t="s">
        <v>7</v>
      </c>
      <c r="I1222" t="s">
        <v>1050</v>
      </c>
    </row>
    <row r="1223" spans="1:9" hidden="1" x14ac:dyDescent="0.25">
      <c r="A1223" t="s">
        <v>1057</v>
      </c>
      <c r="B1223" t="s">
        <v>143</v>
      </c>
      <c r="C1223" s="2">
        <f>HYPERLINK("https://cao.dolgi.msk.ru/account/1080265969/", 1080265969)</f>
        <v>1080265969</v>
      </c>
      <c r="D1223" t="s">
        <v>1120</v>
      </c>
      <c r="E1223">
        <v>-13339.62</v>
      </c>
      <c r="F1223">
        <v>-3.23</v>
      </c>
      <c r="G1223" t="s">
        <v>12</v>
      </c>
      <c r="H1223" t="s">
        <v>7</v>
      </c>
      <c r="I1223" t="s">
        <v>1050</v>
      </c>
    </row>
    <row r="1224" spans="1:9" hidden="1" x14ac:dyDescent="0.25">
      <c r="A1224" t="s">
        <v>1057</v>
      </c>
      <c r="B1224" t="s">
        <v>143</v>
      </c>
      <c r="C1224" s="2">
        <f>HYPERLINK("https://cao.dolgi.msk.ru/account/1080265977/", 1080265977)</f>
        <v>1080265977</v>
      </c>
      <c r="D1224" t="s">
        <v>1121</v>
      </c>
      <c r="E1224">
        <v>228.02</v>
      </c>
      <c r="F1224">
        <v>0.13</v>
      </c>
      <c r="G1224" t="s">
        <v>12</v>
      </c>
      <c r="H1224" t="s">
        <v>7</v>
      </c>
      <c r="I1224" t="s">
        <v>1050</v>
      </c>
    </row>
    <row r="1225" spans="1:9" hidden="1" x14ac:dyDescent="0.25">
      <c r="A1225" t="s">
        <v>1057</v>
      </c>
      <c r="B1225" t="s">
        <v>145</v>
      </c>
      <c r="C1225" s="2">
        <f>HYPERLINK("https://cao.dolgi.msk.ru/account/1080265985/", 1080265985)</f>
        <v>1080265985</v>
      </c>
      <c r="D1225" t="s">
        <v>1122</v>
      </c>
      <c r="E1225">
        <v>-12348</v>
      </c>
      <c r="F1225">
        <v>-1.38</v>
      </c>
      <c r="G1225" t="s">
        <v>12</v>
      </c>
      <c r="I1225" t="s">
        <v>1050</v>
      </c>
    </row>
    <row r="1226" spans="1:9" hidden="1" x14ac:dyDescent="0.25">
      <c r="A1226" t="s">
        <v>1057</v>
      </c>
      <c r="B1226" t="s">
        <v>149</v>
      </c>
      <c r="C1226" s="2">
        <f>HYPERLINK("https://cao.dolgi.msk.ru/account/1080266005/", 1080266005)</f>
        <v>1080266005</v>
      </c>
      <c r="D1226" t="s">
        <v>1123</v>
      </c>
      <c r="E1226">
        <v>-10046.1</v>
      </c>
      <c r="F1226">
        <v>-1.49</v>
      </c>
      <c r="G1226" t="s">
        <v>12</v>
      </c>
      <c r="I1226" t="s">
        <v>1050</v>
      </c>
    </row>
    <row r="1227" spans="1:9" hidden="1" x14ac:dyDescent="0.25">
      <c r="A1227" t="s">
        <v>1057</v>
      </c>
      <c r="B1227" t="s">
        <v>151</v>
      </c>
      <c r="C1227" s="2">
        <f>HYPERLINK("https://cao.dolgi.msk.ru/account/1080266013/", 1080266013)</f>
        <v>1080266013</v>
      </c>
      <c r="D1227" t="s">
        <v>1124</v>
      </c>
      <c r="E1227">
        <v>-7102.94</v>
      </c>
      <c r="F1227">
        <v>-1.0900000000000001</v>
      </c>
      <c r="G1227" t="s">
        <v>12</v>
      </c>
      <c r="I1227" t="s">
        <v>1050</v>
      </c>
    </row>
    <row r="1228" spans="1:9" hidden="1" x14ac:dyDescent="0.25">
      <c r="A1228" t="s">
        <v>1057</v>
      </c>
      <c r="B1228" t="s">
        <v>153</v>
      </c>
      <c r="C1228" s="2">
        <f>HYPERLINK("https://cao.dolgi.msk.ru/account/1080266021/", 1080266021)</f>
        <v>1080266021</v>
      </c>
      <c r="D1228" t="s">
        <v>15</v>
      </c>
      <c r="E1228">
        <v>-12698.13</v>
      </c>
      <c r="F1228">
        <v>-1.1000000000000001</v>
      </c>
      <c r="G1228" t="s">
        <v>12</v>
      </c>
      <c r="I1228" t="s">
        <v>1050</v>
      </c>
    </row>
    <row r="1229" spans="1:9" hidden="1" x14ac:dyDescent="0.25">
      <c r="A1229" t="s">
        <v>1057</v>
      </c>
      <c r="B1229" t="s">
        <v>155</v>
      </c>
      <c r="C1229" s="2">
        <f>HYPERLINK("https://cao.dolgi.msk.ru/account/1080266048/", 1080266048)</f>
        <v>1080266048</v>
      </c>
      <c r="D1229" t="s">
        <v>1125</v>
      </c>
      <c r="E1229">
        <v>-38.799999999999997</v>
      </c>
      <c r="F1229">
        <v>-0.01</v>
      </c>
      <c r="G1229" t="s">
        <v>12</v>
      </c>
      <c r="I1229" t="s">
        <v>1050</v>
      </c>
    </row>
    <row r="1230" spans="1:9" hidden="1" x14ac:dyDescent="0.25">
      <c r="A1230" t="s">
        <v>1057</v>
      </c>
      <c r="B1230" t="s">
        <v>157</v>
      </c>
      <c r="C1230" s="2">
        <f>HYPERLINK("https://cao.dolgi.msk.ru/account/1080266056/", 1080266056)</f>
        <v>1080266056</v>
      </c>
      <c r="D1230" t="s">
        <v>1126</v>
      </c>
      <c r="E1230">
        <v>-8975.27</v>
      </c>
      <c r="F1230">
        <v>-1.17</v>
      </c>
      <c r="G1230" t="s">
        <v>12</v>
      </c>
      <c r="I1230" t="s">
        <v>1050</v>
      </c>
    </row>
    <row r="1231" spans="1:9" hidden="1" x14ac:dyDescent="0.25">
      <c r="A1231" t="s">
        <v>1057</v>
      </c>
      <c r="B1231" t="s">
        <v>159</v>
      </c>
      <c r="C1231" s="2">
        <f>HYPERLINK("https://cao.dolgi.msk.ru/account/1080266064/", 1080266064)</f>
        <v>1080266064</v>
      </c>
      <c r="D1231" t="s">
        <v>1127</v>
      </c>
      <c r="E1231">
        <v>-7759.89</v>
      </c>
      <c r="F1231">
        <v>-1.23</v>
      </c>
      <c r="G1231" t="s">
        <v>12</v>
      </c>
      <c r="I1231" t="s">
        <v>1050</v>
      </c>
    </row>
    <row r="1232" spans="1:9" hidden="1" x14ac:dyDescent="0.25">
      <c r="A1232" t="s">
        <v>1057</v>
      </c>
      <c r="B1232" t="s">
        <v>161</v>
      </c>
      <c r="C1232" s="2">
        <f>HYPERLINK("https://cao.dolgi.msk.ru/account/1080266072/", 1080266072)</f>
        <v>1080266072</v>
      </c>
      <c r="D1232" t="s">
        <v>1128</v>
      </c>
      <c r="E1232">
        <v>-11454.86</v>
      </c>
      <c r="F1232">
        <v>-1.03</v>
      </c>
      <c r="G1232" t="s">
        <v>12</v>
      </c>
      <c r="I1232" t="s">
        <v>1050</v>
      </c>
    </row>
    <row r="1233" spans="1:9" hidden="1" x14ac:dyDescent="0.25">
      <c r="A1233" t="s">
        <v>1057</v>
      </c>
      <c r="B1233" t="s">
        <v>163</v>
      </c>
      <c r="C1233" s="2">
        <f>HYPERLINK("https://cao.dolgi.msk.ru/account/1080266099/", 1080266099)</f>
        <v>1080266099</v>
      </c>
      <c r="D1233" t="s">
        <v>1129</v>
      </c>
      <c r="E1233">
        <v>-6594.21</v>
      </c>
      <c r="F1233">
        <v>-1.1499999999999999</v>
      </c>
      <c r="G1233" t="s">
        <v>12</v>
      </c>
      <c r="I1233" t="s">
        <v>1050</v>
      </c>
    </row>
    <row r="1234" spans="1:9" hidden="1" x14ac:dyDescent="0.25">
      <c r="A1234" t="s">
        <v>1057</v>
      </c>
      <c r="B1234" t="s">
        <v>571</v>
      </c>
      <c r="C1234" s="2">
        <f>HYPERLINK("https://cao.dolgi.msk.ru/account/1080266101/", 1080266101)</f>
        <v>1080266101</v>
      </c>
      <c r="D1234" t="s">
        <v>1130</v>
      </c>
      <c r="E1234">
        <v>-8935.99</v>
      </c>
      <c r="F1234">
        <v>-1.1299999999999999</v>
      </c>
      <c r="G1234" t="s">
        <v>12</v>
      </c>
      <c r="I1234" t="s">
        <v>1050</v>
      </c>
    </row>
    <row r="1235" spans="1:9" hidden="1" x14ac:dyDescent="0.25">
      <c r="A1235" t="s">
        <v>1057</v>
      </c>
      <c r="B1235" t="s">
        <v>682</v>
      </c>
      <c r="C1235" s="2">
        <f>HYPERLINK("https://cao.dolgi.msk.ru/account/1080266128/", 1080266128)</f>
        <v>1080266128</v>
      </c>
      <c r="D1235" t="s">
        <v>1131</v>
      </c>
      <c r="E1235">
        <v>-6144.89</v>
      </c>
      <c r="F1235">
        <v>-1.1000000000000001</v>
      </c>
      <c r="G1235" t="s">
        <v>12</v>
      </c>
      <c r="I1235" t="s">
        <v>1050</v>
      </c>
    </row>
    <row r="1236" spans="1:9" hidden="1" x14ac:dyDescent="0.25">
      <c r="A1236" t="s">
        <v>1057</v>
      </c>
      <c r="B1236" t="s">
        <v>578</v>
      </c>
      <c r="C1236" s="2">
        <f>HYPERLINK("https://cao.dolgi.msk.ru/account/1080266136/", 1080266136)</f>
        <v>1080266136</v>
      </c>
      <c r="D1236" t="s">
        <v>1132</v>
      </c>
      <c r="E1236">
        <v>-7158.43</v>
      </c>
      <c r="F1236">
        <v>-1.04</v>
      </c>
      <c r="G1236" t="s">
        <v>12</v>
      </c>
      <c r="I1236" t="s">
        <v>1050</v>
      </c>
    </row>
    <row r="1237" spans="1:9" hidden="1" x14ac:dyDescent="0.25">
      <c r="A1237" t="s">
        <v>1057</v>
      </c>
      <c r="B1237" t="s">
        <v>580</v>
      </c>
      <c r="C1237" s="2">
        <f>HYPERLINK("https://cao.dolgi.msk.ru/account/1080266144/", 1080266144)</f>
        <v>1080266144</v>
      </c>
      <c r="D1237" t="s">
        <v>1133</v>
      </c>
      <c r="E1237">
        <v>-7076.77</v>
      </c>
      <c r="F1237">
        <v>-1.0900000000000001</v>
      </c>
      <c r="G1237" t="s">
        <v>12</v>
      </c>
      <c r="I1237" t="s">
        <v>1050</v>
      </c>
    </row>
    <row r="1238" spans="1:9" hidden="1" x14ac:dyDescent="0.25">
      <c r="A1238" t="s">
        <v>1057</v>
      </c>
      <c r="B1238" t="s">
        <v>686</v>
      </c>
      <c r="C1238" s="2">
        <f>HYPERLINK("https://cao.dolgi.msk.ru/account/1080266152/", 1080266152)</f>
        <v>1080266152</v>
      </c>
      <c r="D1238" t="s">
        <v>1134</v>
      </c>
      <c r="E1238">
        <v>-1099.48</v>
      </c>
      <c r="F1238">
        <v>-0.19</v>
      </c>
      <c r="G1238" t="s">
        <v>12</v>
      </c>
      <c r="I1238" t="s">
        <v>1050</v>
      </c>
    </row>
    <row r="1239" spans="1:9" hidden="1" x14ac:dyDescent="0.25">
      <c r="A1239" t="s">
        <v>1057</v>
      </c>
      <c r="B1239" t="s">
        <v>582</v>
      </c>
      <c r="C1239" s="2">
        <f>HYPERLINK("https://cao.dolgi.msk.ru/account/1080266179/", 1080266179)</f>
        <v>1080266179</v>
      </c>
      <c r="D1239" t="s">
        <v>1135</v>
      </c>
      <c r="E1239">
        <v>-9517.0499999999993</v>
      </c>
      <c r="F1239">
        <v>-1.1000000000000001</v>
      </c>
      <c r="G1239" t="s">
        <v>12</v>
      </c>
      <c r="I1239" t="s">
        <v>1050</v>
      </c>
    </row>
    <row r="1240" spans="1:9" hidden="1" x14ac:dyDescent="0.25">
      <c r="A1240" t="s">
        <v>1057</v>
      </c>
      <c r="B1240" t="s">
        <v>584</v>
      </c>
      <c r="C1240" s="2">
        <f>HYPERLINK("https://cao.dolgi.msk.ru/account/1080266187/", 1080266187)</f>
        <v>1080266187</v>
      </c>
      <c r="D1240" t="s">
        <v>1136</v>
      </c>
      <c r="E1240">
        <v>-4811.07</v>
      </c>
      <c r="F1240">
        <v>-0.88</v>
      </c>
      <c r="G1240" t="s">
        <v>12</v>
      </c>
      <c r="I1240" t="s">
        <v>1050</v>
      </c>
    </row>
    <row r="1241" spans="1:9" hidden="1" x14ac:dyDescent="0.25">
      <c r="A1241" t="s">
        <v>1057</v>
      </c>
      <c r="B1241" t="s">
        <v>586</v>
      </c>
      <c r="C1241" s="2">
        <f>HYPERLINK("https://cao.dolgi.msk.ru/account/1080266195/", 1080266195)</f>
        <v>1080266195</v>
      </c>
      <c r="D1241" t="s">
        <v>1137</v>
      </c>
      <c r="E1241">
        <v>-12528.96</v>
      </c>
      <c r="F1241">
        <v>-1.1000000000000001</v>
      </c>
      <c r="G1241" t="s">
        <v>12</v>
      </c>
      <c r="I1241" t="s">
        <v>1050</v>
      </c>
    </row>
    <row r="1242" spans="1:9" hidden="1" x14ac:dyDescent="0.25">
      <c r="A1242" t="s">
        <v>1057</v>
      </c>
      <c r="B1242" t="s">
        <v>588</v>
      </c>
      <c r="C1242" s="2">
        <f>HYPERLINK("https://cao.dolgi.msk.ru/account/1080266208/", 1080266208)</f>
        <v>1080266208</v>
      </c>
      <c r="D1242" t="s">
        <v>1138</v>
      </c>
      <c r="E1242">
        <v>-6023.59</v>
      </c>
      <c r="F1242">
        <v>-1.0900000000000001</v>
      </c>
      <c r="G1242" t="s">
        <v>12</v>
      </c>
      <c r="H1242" t="s">
        <v>7</v>
      </c>
      <c r="I1242" t="s">
        <v>1050</v>
      </c>
    </row>
    <row r="1243" spans="1:9" hidden="1" x14ac:dyDescent="0.25">
      <c r="A1243" t="s">
        <v>1057</v>
      </c>
      <c r="B1243" t="s">
        <v>588</v>
      </c>
      <c r="C1243" s="2">
        <f>HYPERLINK("https://cao.dolgi.msk.ru/account/1080266216/", 1080266216)</f>
        <v>1080266216</v>
      </c>
      <c r="D1243" t="s">
        <v>1139</v>
      </c>
      <c r="E1243">
        <v>-2813.13</v>
      </c>
      <c r="F1243">
        <v>-1.1200000000000001</v>
      </c>
      <c r="G1243" t="s">
        <v>12</v>
      </c>
      <c r="H1243" t="s">
        <v>7</v>
      </c>
      <c r="I1243" t="s">
        <v>1050</v>
      </c>
    </row>
    <row r="1244" spans="1:9" hidden="1" x14ac:dyDescent="0.25">
      <c r="A1244" t="s">
        <v>1057</v>
      </c>
      <c r="B1244" t="s">
        <v>588</v>
      </c>
      <c r="C1244" s="2">
        <f>HYPERLINK("https://cao.dolgi.msk.ru/account/1080266224/", 1080266224)</f>
        <v>1080266224</v>
      </c>
      <c r="D1244" t="s">
        <v>1139</v>
      </c>
      <c r="E1244">
        <v>-2537.71</v>
      </c>
      <c r="F1244">
        <v>-1.34</v>
      </c>
      <c r="G1244" t="s">
        <v>12</v>
      </c>
      <c r="H1244" t="s">
        <v>7</v>
      </c>
      <c r="I1244" t="s">
        <v>1050</v>
      </c>
    </row>
    <row r="1245" spans="1:9" hidden="1" x14ac:dyDescent="0.25">
      <c r="A1245" t="s">
        <v>1057</v>
      </c>
      <c r="B1245" t="s">
        <v>590</v>
      </c>
      <c r="C1245" s="2">
        <f>HYPERLINK("https://cao.dolgi.msk.ru/account/1080266259/", 1080266259)</f>
        <v>1080266259</v>
      </c>
      <c r="D1245" t="s">
        <v>1140</v>
      </c>
      <c r="E1245">
        <v>-2158.12</v>
      </c>
      <c r="F1245">
        <v>-0.27</v>
      </c>
      <c r="G1245" t="s">
        <v>12</v>
      </c>
      <c r="I1245" t="s">
        <v>1050</v>
      </c>
    </row>
    <row r="1246" spans="1:9" hidden="1" x14ac:dyDescent="0.25">
      <c r="A1246" t="s">
        <v>1141</v>
      </c>
      <c r="B1246" t="s">
        <v>10</v>
      </c>
      <c r="C1246" s="2">
        <f>HYPERLINK("https://cao.dolgi.msk.ru/account/1080260092/", 1080260092)</f>
        <v>1080260092</v>
      </c>
      <c r="D1246" t="s">
        <v>1142</v>
      </c>
      <c r="E1246">
        <v>-28.85</v>
      </c>
      <c r="F1246">
        <v>-0.01</v>
      </c>
      <c r="G1246" t="s">
        <v>12</v>
      </c>
      <c r="H1246" t="s">
        <v>7</v>
      </c>
      <c r="I1246" t="s">
        <v>1050</v>
      </c>
    </row>
    <row r="1247" spans="1:9" hidden="1" x14ac:dyDescent="0.25">
      <c r="A1247" t="s">
        <v>1141</v>
      </c>
      <c r="B1247" t="s">
        <v>10</v>
      </c>
      <c r="C1247" s="2">
        <f>HYPERLINK("https://cao.dolgi.msk.ru/account/1080260105/", 1080260105)</f>
        <v>1080260105</v>
      </c>
      <c r="D1247" t="s">
        <v>1142</v>
      </c>
      <c r="E1247">
        <v>-6759.32</v>
      </c>
      <c r="F1247">
        <v>-1.1100000000000001</v>
      </c>
      <c r="G1247" t="s">
        <v>12</v>
      </c>
      <c r="H1247" t="s">
        <v>7</v>
      </c>
      <c r="I1247" t="s">
        <v>1050</v>
      </c>
    </row>
    <row r="1248" spans="1:9" hidden="1" x14ac:dyDescent="0.25">
      <c r="A1248" t="s">
        <v>1141</v>
      </c>
      <c r="B1248" t="s">
        <v>16</v>
      </c>
      <c r="C1248" s="2">
        <f>HYPERLINK("https://cao.dolgi.msk.ru/account/1080260113/", 1080260113)</f>
        <v>1080260113</v>
      </c>
      <c r="D1248" t="s">
        <v>1143</v>
      </c>
      <c r="E1248">
        <v>-3063.02</v>
      </c>
      <c r="F1248">
        <v>-0.44</v>
      </c>
      <c r="G1248" t="s">
        <v>12</v>
      </c>
      <c r="I1248" t="s">
        <v>1050</v>
      </c>
    </row>
    <row r="1249" spans="1:9" hidden="1" x14ac:dyDescent="0.25">
      <c r="A1249" t="s">
        <v>1141</v>
      </c>
      <c r="B1249" t="s">
        <v>18</v>
      </c>
      <c r="C1249" s="2">
        <f>HYPERLINK("https://cao.dolgi.msk.ru/account/1080260121/", 1080260121)</f>
        <v>1080260121</v>
      </c>
      <c r="D1249" t="s">
        <v>1144</v>
      </c>
      <c r="E1249">
        <v>-2684.55</v>
      </c>
      <c r="G1249" t="s">
        <v>14</v>
      </c>
      <c r="I1249" t="s">
        <v>1050</v>
      </c>
    </row>
    <row r="1250" spans="1:9" hidden="1" x14ac:dyDescent="0.25">
      <c r="A1250" t="s">
        <v>1141</v>
      </c>
      <c r="B1250" t="s">
        <v>20</v>
      </c>
      <c r="C1250" s="2">
        <f>HYPERLINK("https://cao.dolgi.msk.ru/account/1080260148/", 1080260148)</f>
        <v>1080260148</v>
      </c>
      <c r="D1250" t="s">
        <v>1145</v>
      </c>
      <c r="E1250">
        <v>-5365.54</v>
      </c>
      <c r="F1250">
        <v>-1.19</v>
      </c>
      <c r="G1250" t="s">
        <v>12</v>
      </c>
      <c r="I1250" t="s">
        <v>1050</v>
      </c>
    </row>
    <row r="1251" spans="1:9" hidden="1" x14ac:dyDescent="0.25">
      <c r="A1251" t="s">
        <v>1141</v>
      </c>
      <c r="B1251" t="s">
        <v>21</v>
      </c>
      <c r="C1251" s="2">
        <f>HYPERLINK("https://cao.dolgi.msk.ru/account/1080260156/", 1080260156)</f>
        <v>1080260156</v>
      </c>
      <c r="D1251" t="s">
        <v>1146</v>
      </c>
      <c r="E1251">
        <v>-8391.2000000000007</v>
      </c>
      <c r="F1251">
        <v>-0.84</v>
      </c>
      <c r="G1251" t="s">
        <v>12</v>
      </c>
      <c r="I1251" t="s">
        <v>1050</v>
      </c>
    </row>
    <row r="1252" spans="1:9" hidden="1" x14ac:dyDescent="0.25">
      <c r="A1252" t="s">
        <v>1141</v>
      </c>
      <c r="B1252" t="s">
        <v>22</v>
      </c>
      <c r="C1252" s="2">
        <f>HYPERLINK("https://cao.dolgi.msk.ru/account/1080260164/", 1080260164)</f>
        <v>1080260164</v>
      </c>
      <c r="D1252" t="s">
        <v>1147</v>
      </c>
      <c r="E1252">
        <v>83</v>
      </c>
      <c r="F1252">
        <v>0.01</v>
      </c>
      <c r="G1252" t="s">
        <v>12</v>
      </c>
      <c r="I1252" t="s">
        <v>1050</v>
      </c>
    </row>
    <row r="1253" spans="1:9" hidden="1" x14ac:dyDescent="0.25">
      <c r="A1253" t="s">
        <v>1141</v>
      </c>
      <c r="B1253" t="s">
        <v>23</v>
      </c>
      <c r="C1253" s="2">
        <f>HYPERLINK("https://cao.dolgi.msk.ru/account/1080260172/", 1080260172)</f>
        <v>1080260172</v>
      </c>
      <c r="D1253" t="s">
        <v>1148</v>
      </c>
      <c r="E1253">
        <v>-6724.92</v>
      </c>
      <c r="F1253">
        <v>-1.23</v>
      </c>
      <c r="G1253" t="s">
        <v>12</v>
      </c>
      <c r="I1253" t="s">
        <v>1050</v>
      </c>
    </row>
    <row r="1254" spans="1:9" hidden="1" x14ac:dyDescent="0.25">
      <c r="A1254" t="s">
        <v>1141</v>
      </c>
      <c r="B1254" t="s">
        <v>24</v>
      </c>
      <c r="C1254" s="2">
        <f>HYPERLINK("https://cao.dolgi.msk.ru/account/1080260199/", 1080260199)</f>
        <v>1080260199</v>
      </c>
      <c r="D1254" t="s">
        <v>1149</v>
      </c>
      <c r="E1254">
        <v>4254.55</v>
      </c>
      <c r="F1254">
        <v>0.97</v>
      </c>
      <c r="G1254" t="s">
        <v>12</v>
      </c>
      <c r="I1254" t="s">
        <v>1050</v>
      </c>
    </row>
    <row r="1255" spans="1:9" hidden="1" x14ac:dyDescent="0.25">
      <c r="A1255" t="s">
        <v>1141</v>
      </c>
      <c r="B1255" t="s">
        <v>27</v>
      </c>
      <c r="C1255" s="2">
        <f>HYPERLINK("https://cao.dolgi.msk.ru/account/1080260201/", 1080260201)</f>
        <v>1080260201</v>
      </c>
      <c r="D1255" t="s">
        <v>1150</v>
      </c>
      <c r="E1255">
        <v>-8300.2999999999993</v>
      </c>
      <c r="F1255">
        <v>-1.1000000000000001</v>
      </c>
      <c r="G1255" t="s">
        <v>12</v>
      </c>
      <c r="I1255" t="s">
        <v>1050</v>
      </c>
    </row>
    <row r="1256" spans="1:9" hidden="1" x14ac:dyDescent="0.25">
      <c r="A1256" t="s">
        <v>1141</v>
      </c>
      <c r="B1256" t="s">
        <v>29</v>
      </c>
      <c r="C1256" s="2">
        <f>HYPERLINK("https://cao.dolgi.msk.ru/account/1080260228/", 1080260228)</f>
        <v>1080260228</v>
      </c>
      <c r="D1256" t="s">
        <v>1151</v>
      </c>
      <c r="E1256">
        <v>-12178.08</v>
      </c>
      <c r="F1256">
        <v>-1.1000000000000001</v>
      </c>
      <c r="G1256" t="s">
        <v>12</v>
      </c>
      <c r="I1256" t="s">
        <v>1050</v>
      </c>
    </row>
    <row r="1257" spans="1:9" hidden="1" x14ac:dyDescent="0.25">
      <c r="A1257" t="s">
        <v>1141</v>
      </c>
      <c r="B1257" t="s">
        <v>31</v>
      </c>
      <c r="C1257" s="2">
        <f>HYPERLINK("https://cao.dolgi.msk.ru/account/1080260244/", 1080260244)</f>
        <v>1080260244</v>
      </c>
      <c r="D1257" t="s">
        <v>1152</v>
      </c>
      <c r="E1257">
        <v>-5413.09</v>
      </c>
      <c r="F1257">
        <v>-1.23</v>
      </c>
      <c r="G1257" t="s">
        <v>12</v>
      </c>
      <c r="I1257" t="s">
        <v>1050</v>
      </c>
    </row>
    <row r="1258" spans="1:9" hidden="1" x14ac:dyDescent="0.25">
      <c r="A1258" t="s">
        <v>1141</v>
      </c>
      <c r="B1258" t="s">
        <v>33</v>
      </c>
      <c r="C1258" s="2">
        <f>HYPERLINK("https://cao.dolgi.msk.ru/account/1080260236/", 1080260236)</f>
        <v>1080260236</v>
      </c>
      <c r="D1258" t="s">
        <v>1153</v>
      </c>
      <c r="E1258">
        <v>-7219.08</v>
      </c>
      <c r="F1258">
        <v>-1.1399999999999999</v>
      </c>
      <c r="G1258" t="s">
        <v>12</v>
      </c>
      <c r="I1258" t="s">
        <v>1050</v>
      </c>
    </row>
    <row r="1259" spans="1:9" hidden="1" x14ac:dyDescent="0.25">
      <c r="A1259" t="s">
        <v>1141</v>
      </c>
      <c r="B1259" t="s">
        <v>34</v>
      </c>
      <c r="C1259" s="2">
        <f>HYPERLINK("https://cao.dolgi.msk.ru/account/1080260252/", 1080260252)</f>
        <v>1080260252</v>
      </c>
      <c r="D1259" t="s">
        <v>1154</v>
      </c>
      <c r="E1259">
        <v>-7583.77</v>
      </c>
      <c r="F1259">
        <v>-1.1499999999999999</v>
      </c>
      <c r="G1259" t="s">
        <v>12</v>
      </c>
      <c r="I1259" t="s">
        <v>1050</v>
      </c>
    </row>
    <row r="1260" spans="1:9" hidden="1" x14ac:dyDescent="0.25">
      <c r="A1260" t="s">
        <v>1141</v>
      </c>
      <c r="B1260" t="s">
        <v>36</v>
      </c>
      <c r="C1260" s="2">
        <f>HYPERLINK("https://cao.dolgi.msk.ru/account/1080260279/", 1080260279)</f>
        <v>1080260279</v>
      </c>
      <c r="D1260" t="s">
        <v>1155</v>
      </c>
      <c r="E1260">
        <v>-3890.91</v>
      </c>
      <c r="G1260" t="s">
        <v>14</v>
      </c>
      <c r="I1260" t="s">
        <v>1050</v>
      </c>
    </row>
    <row r="1261" spans="1:9" hidden="1" x14ac:dyDescent="0.25">
      <c r="A1261" t="s">
        <v>1141</v>
      </c>
      <c r="B1261" t="s">
        <v>36</v>
      </c>
      <c r="C1261" s="2">
        <f>HYPERLINK("https://cao.dolgi.msk.ru/account/1089124898/", 1089124898)</f>
        <v>1089124898</v>
      </c>
      <c r="D1261" t="s">
        <v>1155</v>
      </c>
      <c r="E1261">
        <v>-2967.94</v>
      </c>
      <c r="F1261">
        <v>-0.51</v>
      </c>
      <c r="G1261" t="s">
        <v>12</v>
      </c>
      <c r="I1261" t="s">
        <v>1050</v>
      </c>
    </row>
    <row r="1262" spans="1:9" hidden="1" x14ac:dyDescent="0.25">
      <c r="A1262" t="s">
        <v>1141</v>
      </c>
      <c r="B1262" t="s">
        <v>38</v>
      </c>
      <c r="C1262" s="2">
        <f>HYPERLINK("https://cao.dolgi.msk.ru/account/1080260287/", 1080260287)</f>
        <v>1080260287</v>
      </c>
      <c r="D1262" t="s">
        <v>1156</v>
      </c>
      <c r="E1262">
        <v>-897.66</v>
      </c>
      <c r="F1262">
        <v>-0.44</v>
      </c>
      <c r="G1262" t="s">
        <v>12</v>
      </c>
      <c r="I1262" t="s">
        <v>1050</v>
      </c>
    </row>
    <row r="1263" spans="1:9" hidden="1" x14ac:dyDescent="0.25">
      <c r="A1263" t="s">
        <v>1141</v>
      </c>
      <c r="B1263" t="s">
        <v>38</v>
      </c>
      <c r="C1263" s="2">
        <f>HYPERLINK("https://cao.dolgi.msk.ru/account/1083271432/", 1083271432)</f>
        <v>1083271432</v>
      </c>
      <c r="D1263" t="s">
        <v>15</v>
      </c>
      <c r="E1263">
        <v>-3462.95</v>
      </c>
      <c r="F1263">
        <v>-1.45</v>
      </c>
      <c r="G1263" t="s">
        <v>12</v>
      </c>
      <c r="I1263" t="s">
        <v>1050</v>
      </c>
    </row>
    <row r="1264" spans="1:9" hidden="1" x14ac:dyDescent="0.25">
      <c r="A1264" t="s">
        <v>1141</v>
      </c>
      <c r="B1264" t="s">
        <v>39</v>
      </c>
      <c r="C1264" s="2">
        <f>HYPERLINK("https://cao.dolgi.msk.ru/account/1080260295/", 1080260295)</f>
        <v>1080260295</v>
      </c>
      <c r="D1264" t="s">
        <v>1157</v>
      </c>
      <c r="E1264">
        <v>-4667.59</v>
      </c>
      <c r="F1264">
        <v>-1.22</v>
      </c>
      <c r="G1264" t="s">
        <v>12</v>
      </c>
      <c r="I1264" t="s">
        <v>1050</v>
      </c>
    </row>
    <row r="1265" spans="1:9" hidden="1" x14ac:dyDescent="0.25">
      <c r="A1265" t="s">
        <v>1141</v>
      </c>
      <c r="B1265" t="s">
        <v>40</v>
      </c>
      <c r="C1265" s="2">
        <f>HYPERLINK("https://cao.dolgi.msk.ru/account/1080260308/", 1080260308)</f>
        <v>1080260308</v>
      </c>
      <c r="D1265" t="s">
        <v>1158</v>
      </c>
      <c r="E1265">
        <v>-5774.69</v>
      </c>
      <c r="F1265">
        <v>-1.2</v>
      </c>
      <c r="G1265" t="s">
        <v>12</v>
      </c>
      <c r="I1265" t="s">
        <v>1050</v>
      </c>
    </row>
    <row r="1266" spans="1:9" hidden="1" x14ac:dyDescent="0.25">
      <c r="A1266" t="s">
        <v>1141</v>
      </c>
      <c r="B1266" t="s">
        <v>41</v>
      </c>
      <c r="C1266" s="2">
        <f>HYPERLINK("https://cao.dolgi.msk.ru/account/1080260316/", 1080260316)</f>
        <v>1080260316</v>
      </c>
      <c r="D1266" t="s">
        <v>1159</v>
      </c>
      <c r="E1266">
        <v>-12965.52</v>
      </c>
      <c r="F1266">
        <v>-1.19</v>
      </c>
      <c r="G1266" t="s">
        <v>12</v>
      </c>
      <c r="I1266" t="s">
        <v>1050</v>
      </c>
    </row>
    <row r="1267" spans="1:9" hidden="1" x14ac:dyDescent="0.25">
      <c r="A1267" t="s">
        <v>1141</v>
      </c>
      <c r="B1267" t="s">
        <v>42</v>
      </c>
      <c r="C1267" s="2">
        <f>HYPERLINK("https://cao.dolgi.msk.ru/account/1080260324/", 1080260324)</f>
        <v>1080260324</v>
      </c>
      <c r="D1267" t="s">
        <v>1160</v>
      </c>
      <c r="E1267">
        <v>-8601.9599999999991</v>
      </c>
      <c r="F1267">
        <v>-1.37</v>
      </c>
      <c r="G1267" t="s">
        <v>12</v>
      </c>
      <c r="I1267" t="s">
        <v>1050</v>
      </c>
    </row>
    <row r="1268" spans="1:9" hidden="1" x14ac:dyDescent="0.25">
      <c r="A1268" t="s">
        <v>1141</v>
      </c>
      <c r="B1268" t="s">
        <v>44</v>
      </c>
      <c r="C1268" s="2">
        <f>HYPERLINK("https://cao.dolgi.msk.ru/account/1080260332/", 1080260332)</f>
        <v>1080260332</v>
      </c>
      <c r="D1268" t="s">
        <v>1161</v>
      </c>
      <c r="E1268">
        <v>-5212</v>
      </c>
      <c r="F1268">
        <v>-1.0900000000000001</v>
      </c>
      <c r="G1268" t="s">
        <v>12</v>
      </c>
      <c r="I1268" t="s">
        <v>1050</v>
      </c>
    </row>
    <row r="1269" spans="1:9" hidden="1" x14ac:dyDescent="0.25">
      <c r="A1269" t="s">
        <v>1141</v>
      </c>
      <c r="B1269" t="s">
        <v>66</v>
      </c>
      <c r="C1269" s="2">
        <f>HYPERLINK("https://cao.dolgi.msk.ru/account/1080260367/", 1080260367)</f>
        <v>1080260367</v>
      </c>
      <c r="D1269" t="s">
        <v>1162</v>
      </c>
      <c r="E1269">
        <v>-7155.34</v>
      </c>
      <c r="F1269">
        <v>-1.2</v>
      </c>
      <c r="G1269" t="s">
        <v>12</v>
      </c>
      <c r="I1269" t="s">
        <v>1050</v>
      </c>
    </row>
    <row r="1270" spans="1:9" hidden="1" x14ac:dyDescent="0.25">
      <c r="A1270" t="s">
        <v>1141</v>
      </c>
      <c r="B1270" t="s">
        <v>68</v>
      </c>
      <c r="C1270" s="2">
        <f>HYPERLINK("https://cao.dolgi.msk.ru/account/1080260375/", 1080260375)</f>
        <v>1080260375</v>
      </c>
      <c r="D1270" t="s">
        <v>1163</v>
      </c>
      <c r="E1270">
        <v>-4553.55</v>
      </c>
      <c r="F1270">
        <v>-1.2</v>
      </c>
      <c r="G1270" t="s">
        <v>12</v>
      </c>
      <c r="I1270" t="s">
        <v>1050</v>
      </c>
    </row>
    <row r="1271" spans="1:9" hidden="1" x14ac:dyDescent="0.25">
      <c r="A1271" t="s">
        <v>1141</v>
      </c>
      <c r="B1271" t="s">
        <v>70</v>
      </c>
      <c r="C1271" s="2">
        <f>HYPERLINK("https://cao.dolgi.msk.ru/account/1080260383/", 1080260383)</f>
        <v>1080260383</v>
      </c>
      <c r="D1271" t="s">
        <v>1164</v>
      </c>
      <c r="E1271">
        <v>-4633.53</v>
      </c>
      <c r="F1271">
        <v>-1.1000000000000001</v>
      </c>
      <c r="G1271" t="s">
        <v>12</v>
      </c>
      <c r="I1271" t="s">
        <v>1050</v>
      </c>
    </row>
    <row r="1272" spans="1:9" hidden="1" x14ac:dyDescent="0.25">
      <c r="A1272" t="s">
        <v>1141</v>
      </c>
      <c r="B1272" t="s">
        <v>72</v>
      </c>
      <c r="C1272" s="2">
        <f>HYPERLINK("https://cao.dolgi.msk.ru/account/1080260391/", 1080260391)</f>
        <v>1080260391</v>
      </c>
      <c r="D1272" t="s">
        <v>1165</v>
      </c>
      <c r="E1272">
        <v>34.08</v>
      </c>
      <c r="F1272">
        <v>0</v>
      </c>
      <c r="G1272" t="s">
        <v>12</v>
      </c>
      <c r="I1272" t="s">
        <v>1050</v>
      </c>
    </row>
    <row r="1273" spans="1:9" hidden="1" x14ac:dyDescent="0.25">
      <c r="A1273" t="s">
        <v>1141</v>
      </c>
      <c r="B1273" t="s">
        <v>74</v>
      </c>
      <c r="C1273" s="2">
        <f>HYPERLINK("https://cao.dolgi.msk.ru/account/1080260404/", 1080260404)</f>
        <v>1080260404</v>
      </c>
      <c r="D1273" t="s">
        <v>15</v>
      </c>
      <c r="E1273">
        <v>-5683.31</v>
      </c>
      <c r="F1273">
        <v>-0.99</v>
      </c>
      <c r="G1273" t="s">
        <v>12</v>
      </c>
      <c r="I1273" t="s">
        <v>1050</v>
      </c>
    </row>
    <row r="1274" spans="1:9" hidden="1" x14ac:dyDescent="0.25">
      <c r="A1274" t="s">
        <v>1141</v>
      </c>
      <c r="B1274" t="s">
        <v>76</v>
      </c>
      <c r="C1274" s="2">
        <f>HYPERLINK("https://cao.dolgi.msk.ru/account/1080260412/", 1080260412)</f>
        <v>1080260412</v>
      </c>
      <c r="D1274" t="s">
        <v>1166</v>
      </c>
      <c r="E1274">
        <v>-5785.65</v>
      </c>
      <c r="F1274">
        <v>-1.1499999999999999</v>
      </c>
      <c r="G1274" t="s">
        <v>12</v>
      </c>
      <c r="I1274" t="s">
        <v>1050</v>
      </c>
    </row>
    <row r="1275" spans="1:9" hidden="1" x14ac:dyDescent="0.25">
      <c r="A1275" t="s">
        <v>1141</v>
      </c>
      <c r="B1275" t="s">
        <v>78</v>
      </c>
      <c r="C1275" s="2">
        <f>HYPERLINK("https://cao.dolgi.msk.ru/account/1080260439/", 1080260439)</f>
        <v>1080260439</v>
      </c>
      <c r="D1275" t="s">
        <v>942</v>
      </c>
      <c r="E1275">
        <v>-4307.8</v>
      </c>
      <c r="F1275">
        <v>-1.17</v>
      </c>
      <c r="G1275" t="s">
        <v>12</v>
      </c>
      <c r="I1275" t="s">
        <v>1050</v>
      </c>
    </row>
    <row r="1276" spans="1:9" hidden="1" x14ac:dyDescent="0.25">
      <c r="A1276" t="s">
        <v>1141</v>
      </c>
      <c r="B1276" t="s">
        <v>80</v>
      </c>
      <c r="C1276" s="2">
        <f>HYPERLINK("https://cao.dolgi.msk.ru/account/1080260447/", 1080260447)</f>
        <v>1080260447</v>
      </c>
      <c r="D1276" t="s">
        <v>1167</v>
      </c>
      <c r="E1276">
        <v>-6908.99</v>
      </c>
      <c r="F1276">
        <v>-1.23</v>
      </c>
      <c r="G1276" t="s">
        <v>12</v>
      </c>
      <c r="I1276" t="s">
        <v>1050</v>
      </c>
    </row>
    <row r="1277" spans="1:9" hidden="1" x14ac:dyDescent="0.25">
      <c r="A1277" t="s">
        <v>1141</v>
      </c>
      <c r="B1277" t="s">
        <v>82</v>
      </c>
      <c r="C1277" s="2">
        <f>HYPERLINK("https://cao.dolgi.msk.ru/account/1080260455/", 1080260455)</f>
        <v>1080260455</v>
      </c>
      <c r="D1277" t="s">
        <v>1168</v>
      </c>
      <c r="E1277">
        <v>-5053.93</v>
      </c>
      <c r="F1277">
        <v>-0.63</v>
      </c>
      <c r="G1277" t="s">
        <v>12</v>
      </c>
      <c r="I1277" t="s">
        <v>1050</v>
      </c>
    </row>
    <row r="1278" spans="1:9" hidden="1" x14ac:dyDescent="0.25">
      <c r="A1278" t="s">
        <v>1141</v>
      </c>
      <c r="B1278" t="s">
        <v>84</v>
      </c>
      <c r="C1278" s="2">
        <f>HYPERLINK("https://cao.dolgi.msk.ru/account/1080260463/", 1080260463)</f>
        <v>1080260463</v>
      </c>
      <c r="D1278" t="s">
        <v>1169</v>
      </c>
      <c r="E1278">
        <v>5049.09</v>
      </c>
      <c r="F1278">
        <v>0.84</v>
      </c>
      <c r="G1278" t="s">
        <v>12</v>
      </c>
      <c r="I1278" t="s">
        <v>1050</v>
      </c>
    </row>
    <row r="1279" spans="1:9" hidden="1" x14ac:dyDescent="0.25">
      <c r="A1279" t="s">
        <v>1141</v>
      </c>
      <c r="B1279" t="s">
        <v>86</v>
      </c>
      <c r="C1279" s="2">
        <f>HYPERLINK("https://cao.dolgi.msk.ru/account/1080260471/", 1080260471)</f>
        <v>1080260471</v>
      </c>
      <c r="D1279" t="s">
        <v>1170</v>
      </c>
      <c r="E1279">
        <v>-968.58</v>
      </c>
      <c r="F1279">
        <v>-0.15</v>
      </c>
      <c r="G1279" t="s">
        <v>12</v>
      </c>
      <c r="I1279" t="s">
        <v>1050</v>
      </c>
    </row>
    <row r="1280" spans="1:9" hidden="1" x14ac:dyDescent="0.25">
      <c r="A1280" t="s">
        <v>1141</v>
      </c>
      <c r="B1280" t="s">
        <v>88</v>
      </c>
      <c r="C1280" s="2">
        <f>HYPERLINK("https://cao.dolgi.msk.ru/account/1080260498/", 1080260498)</f>
        <v>1080260498</v>
      </c>
      <c r="D1280" t="s">
        <v>1171</v>
      </c>
      <c r="E1280">
        <v>-6919.44</v>
      </c>
      <c r="F1280">
        <v>-1.08</v>
      </c>
      <c r="G1280" t="s">
        <v>12</v>
      </c>
      <c r="I1280" t="s">
        <v>1050</v>
      </c>
    </row>
    <row r="1281" spans="1:9" hidden="1" x14ac:dyDescent="0.25">
      <c r="A1281" t="s">
        <v>1141</v>
      </c>
      <c r="B1281" t="s">
        <v>90</v>
      </c>
      <c r="C1281" s="2">
        <f>HYPERLINK("https://cao.dolgi.msk.ru/account/1080260519/", 1080260519)</f>
        <v>1080260519</v>
      </c>
      <c r="D1281" t="s">
        <v>1172</v>
      </c>
      <c r="E1281">
        <v>-6664.02</v>
      </c>
      <c r="F1281">
        <v>-0.76</v>
      </c>
      <c r="G1281" t="s">
        <v>12</v>
      </c>
      <c r="I1281" t="s">
        <v>1050</v>
      </c>
    </row>
    <row r="1282" spans="1:9" hidden="1" x14ac:dyDescent="0.25">
      <c r="A1282" t="s">
        <v>1141</v>
      </c>
      <c r="B1282" t="s">
        <v>92</v>
      </c>
      <c r="C1282" s="2">
        <f>HYPERLINK("https://cao.dolgi.msk.ru/account/1080260527/", 1080260527)</f>
        <v>1080260527</v>
      </c>
      <c r="D1282" t="s">
        <v>1173</v>
      </c>
      <c r="E1282">
        <v>-3594.6</v>
      </c>
      <c r="F1282">
        <v>-1.21</v>
      </c>
      <c r="G1282" t="s">
        <v>12</v>
      </c>
      <c r="I1282" t="s">
        <v>1050</v>
      </c>
    </row>
    <row r="1283" spans="1:9" hidden="1" x14ac:dyDescent="0.25">
      <c r="A1283" t="s">
        <v>1141</v>
      </c>
      <c r="B1283" t="s">
        <v>94</v>
      </c>
      <c r="C1283" s="2">
        <f>HYPERLINK("https://cao.dolgi.msk.ru/account/1080260535/", 1080260535)</f>
        <v>1080260535</v>
      </c>
      <c r="D1283" t="s">
        <v>1174</v>
      </c>
      <c r="E1283">
        <v>7919.47</v>
      </c>
      <c r="F1283">
        <v>0.82</v>
      </c>
      <c r="G1283" t="s">
        <v>12</v>
      </c>
      <c r="I1283" t="s">
        <v>1050</v>
      </c>
    </row>
    <row r="1284" spans="1:9" hidden="1" x14ac:dyDescent="0.25">
      <c r="A1284" t="s">
        <v>1141</v>
      </c>
      <c r="B1284" t="s">
        <v>96</v>
      </c>
      <c r="C1284" s="2">
        <f>HYPERLINK("https://cao.dolgi.msk.ru/account/1080260543/", 1080260543)</f>
        <v>1080260543</v>
      </c>
      <c r="D1284" t="s">
        <v>1175</v>
      </c>
      <c r="E1284">
        <v>-29.5</v>
      </c>
      <c r="F1284">
        <v>-0.01</v>
      </c>
      <c r="G1284" t="s">
        <v>12</v>
      </c>
      <c r="I1284" t="s">
        <v>1050</v>
      </c>
    </row>
    <row r="1285" spans="1:9" hidden="1" x14ac:dyDescent="0.25">
      <c r="A1285" t="s">
        <v>1141</v>
      </c>
      <c r="B1285" t="s">
        <v>98</v>
      </c>
      <c r="C1285" s="2">
        <f>HYPERLINK("https://cao.dolgi.msk.ru/account/1080260551/", 1080260551)</f>
        <v>1080260551</v>
      </c>
      <c r="D1285" t="s">
        <v>1176</v>
      </c>
      <c r="E1285">
        <v>-7795.64</v>
      </c>
      <c r="F1285">
        <v>-1.24</v>
      </c>
      <c r="G1285" t="s">
        <v>12</v>
      </c>
      <c r="I1285" t="s">
        <v>1050</v>
      </c>
    </row>
    <row r="1286" spans="1:9" hidden="1" x14ac:dyDescent="0.25">
      <c r="A1286" t="s">
        <v>1141</v>
      </c>
      <c r="B1286" t="s">
        <v>100</v>
      </c>
      <c r="C1286" s="2">
        <f>HYPERLINK("https://cao.dolgi.msk.ru/account/1080260578/", 1080260578)</f>
        <v>1080260578</v>
      </c>
      <c r="D1286" t="s">
        <v>1177</v>
      </c>
      <c r="E1286">
        <v>-4158.75</v>
      </c>
      <c r="F1286">
        <v>-1.17</v>
      </c>
      <c r="G1286" t="s">
        <v>12</v>
      </c>
      <c r="I1286" t="s">
        <v>1050</v>
      </c>
    </row>
    <row r="1287" spans="1:9" hidden="1" x14ac:dyDescent="0.25">
      <c r="A1287" t="s">
        <v>1141</v>
      </c>
      <c r="B1287" t="s">
        <v>102</v>
      </c>
      <c r="C1287" s="2">
        <f>HYPERLINK("https://cao.dolgi.msk.ru/account/1080260586/", 1080260586)</f>
        <v>1080260586</v>
      </c>
      <c r="D1287" t="s">
        <v>1178</v>
      </c>
      <c r="E1287">
        <v>-3791.4</v>
      </c>
      <c r="F1287">
        <v>-1.08</v>
      </c>
      <c r="G1287" t="s">
        <v>12</v>
      </c>
      <c r="I1287" t="s">
        <v>1050</v>
      </c>
    </row>
    <row r="1288" spans="1:9" x14ac:dyDescent="0.25">
      <c r="A1288" t="s">
        <v>1141</v>
      </c>
      <c r="B1288" t="s">
        <v>104</v>
      </c>
      <c r="C1288" s="2">
        <f>HYPERLINK("https://cao.dolgi.msk.ru/account/1080260594/", 1080260594)</f>
        <v>1080260594</v>
      </c>
      <c r="D1288" t="s">
        <v>1179</v>
      </c>
      <c r="E1288">
        <v>45436.84</v>
      </c>
      <c r="F1288">
        <v>6.63</v>
      </c>
      <c r="G1288" t="s">
        <v>12</v>
      </c>
      <c r="I1288" t="s">
        <v>1050</v>
      </c>
    </row>
    <row r="1289" spans="1:9" hidden="1" x14ac:dyDescent="0.25">
      <c r="A1289" t="s">
        <v>1141</v>
      </c>
      <c r="B1289" t="s">
        <v>106</v>
      </c>
      <c r="C1289" s="2">
        <f>HYPERLINK("https://cao.dolgi.msk.ru/account/1080260607/", 1080260607)</f>
        <v>1080260607</v>
      </c>
      <c r="D1289" t="s">
        <v>1180</v>
      </c>
      <c r="E1289">
        <v>-1492.87</v>
      </c>
      <c r="F1289">
        <v>-0.28999999999999998</v>
      </c>
      <c r="G1289" t="s">
        <v>12</v>
      </c>
      <c r="I1289" t="s">
        <v>1050</v>
      </c>
    </row>
    <row r="1290" spans="1:9" hidden="1" x14ac:dyDescent="0.25">
      <c r="A1290" t="s">
        <v>1141</v>
      </c>
      <c r="B1290" t="s">
        <v>108</v>
      </c>
      <c r="C1290" s="2">
        <f>HYPERLINK("https://cao.dolgi.msk.ru/account/1080260615/", 1080260615)</f>
        <v>1080260615</v>
      </c>
      <c r="D1290" t="s">
        <v>1181</v>
      </c>
      <c r="E1290">
        <v>-3936.71</v>
      </c>
      <c r="F1290">
        <v>-1.19</v>
      </c>
      <c r="G1290" t="s">
        <v>12</v>
      </c>
      <c r="I1290" t="s">
        <v>1050</v>
      </c>
    </row>
    <row r="1291" spans="1:9" hidden="1" x14ac:dyDescent="0.25">
      <c r="A1291" t="s">
        <v>1141</v>
      </c>
      <c r="B1291" t="s">
        <v>110</v>
      </c>
      <c r="C1291" s="2">
        <f>HYPERLINK("https://cao.dolgi.msk.ru/account/1080260623/", 1080260623)</f>
        <v>1080260623</v>
      </c>
      <c r="D1291" t="s">
        <v>1182</v>
      </c>
      <c r="E1291">
        <v>-2156.54</v>
      </c>
      <c r="F1291">
        <v>-0.7</v>
      </c>
      <c r="G1291" t="s">
        <v>12</v>
      </c>
      <c r="I1291" t="s">
        <v>1050</v>
      </c>
    </row>
    <row r="1292" spans="1:9" hidden="1" x14ac:dyDescent="0.25">
      <c r="A1292" t="s">
        <v>1141</v>
      </c>
      <c r="B1292" t="s">
        <v>1183</v>
      </c>
      <c r="C1292" s="2">
        <f>HYPERLINK("https://cao.dolgi.msk.ru/account/1080260631/", 1080260631)</f>
        <v>1080260631</v>
      </c>
      <c r="D1292" t="s">
        <v>62</v>
      </c>
      <c r="E1292">
        <v>194.93</v>
      </c>
      <c r="G1292" t="s">
        <v>14</v>
      </c>
      <c r="I1292" t="s">
        <v>1050</v>
      </c>
    </row>
    <row r="1293" spans="1:9" x14ac:dyDescent="0.25">
      <c r="A1293" t="s">
        <v>1141</v>
      </c>
      <c r="B1293" t="s">
        <v>1183</v>
      </c>
      <c r="C1293" s="2">
        <f>HYPERLINK("https://cao.dolgi.msk.ru/account/1083270608/", 1083270608)</f>
        <v>1083270608</v>
      </c>
      <c r="D1293" t="s">
        <v>15</v>
      </c>
      <c r="E1293">
        <v>6247.44</v>
      </c>
      <c r="F1293">
        <v>2.88</v>
      </c>
      <c r="G1293" t="s">
        <v>12</v>
      </c>
      <c r="I1293" t="s">
        <v>1050</v>
      </c>
    </row>
    <row r="1294" spans="1:9" hidden="1" x14ac:dyDescent="0.25">
      <c r="A1294" t="s">
        <v>1141</v>
      </c>
      <c r="B1294" t="s">
        <v>112</v>
      </c>
      <c r="C1294" s="2">
        <f>HYPERLINK("https://cao.dolgi.msk.ru/account/1080260658/", 1080260658)</f>
        <v>1080260658</v>
      </c>
      <c r="D1294" t="s">
        <v>1184</v>
      </c>
      <c r="E1294">
        <v>-3560.19</v>
      </c>
      <c r="F1294">
        <v>-1.1499999999999999</v>
      </c>
      <c r="G1294" t="s">
        <v>12</v>
      </c>
      <c r="I1294" t="s">
        <v>1050</v>
      </c>
    </row>
    <row r="1295" spans="1:9" hidden="1" x14ac:dyDescent="0.25">
      <c r="A1295" t="s">
        <v>1141</v>
      </c>
      <c r="B1295" t="s">
        <v>1185</v>
      </c>
      <c r="C1295" s="2">
        <f>HYPERLINK("https://cao.dolgi.msk.ru/account/1080260666/", 1080260666)</f>
        <v>1080260666</v>
      </c>
      <c r="D1295" t="s">
        <v>1186</v>
      </c>
      <c r="E1295">
        <v>-5281.93</v>
      </c>
      <c r="F1295">
        <v>-1.2</v>
      </c>
      <c r="G1295" t="s">
        <v>12</v>
      </c>
      <c r="I1295" t="s">
        <v>1050</v>
      </c>
    </row>
    <row r="1296" spans="1:9" hidden="1" x14ac:dyDescent="0.25">
      <c r="A1296" t="s">
        <v>1141</v>
      </c>
      <c r="B1296" t="s">
        <v>114</v>
      </c>
      <c r="C1296" s="2">
        <f>HYPERLINK("https://cao.dolgi.msk.ru/account/1080260674/", 1080260674)</f>
        <v>1080260674</v>
      </c>
      <c r="D1296" t="s">
        <v>1187</v>
      </c>
      <c r="E1296">
        <v>-8398.17</v>
      </c>
      <c r="F1296">
        <v>-1</v>
      </c>
      <c r="G1296" t="s">
        <v>12</v>
      </c>
      <c r="I1296" t="s">
        <v>1050</v>
      </c>
    </row>
    <row r="1297" spans="1:9" hidden="1" x14ac:dyDescent="0.25">
      <c r="A1297" t="s">
        <v>1141</v>
      </c>
      <c r="B1297" t="s">
        <v>116</v>
      </c>
      <c r="C1297" s="2">
        <f>HYPERLINK("https://cao.dolgi.msk.ru/account/1080261028/", 1080261028)</f>
        <v>1080261028</v>
      </c>
      <c r="D1297" t="s">
        <v>1188</v>
      </c>
      <c r="E1297">
        <v>-5949.47</v>
      </c>
      <c r="F1297">
        <v>-1.1200000000000001</v>
      </c>
      <c r="G1297" t="s">
        <v>12</v>
      </c>
      <c r="I1297" t="s">
        <v>1050</v>
      </c>
    </row>
    <row r="1298" spans="1:9" hidden="1" x14ac:dyDescent="0.25">
      <c r="A1298" t="s">
        <v>1141</v>
      </c>
      <c r="B1298" t="s">
        <v>118</v>
      </c>
      <c r="C1298" s="2">
        <f>HYPERLINK("https://cao.dolgi.msk.ru/account/1080260682/", 1080260682)</f>
        <v>1080260682</v>
      </c>
      <c r="D1298" t="s">
        <v>1189</v>
      </c>
      <c r="E1298">
        <v>-7510.23</v>
      </c>
      <c r="F1298">
        <v>-1.1599999999999999</v>
      </c>
      <c r="G1298" t="s">
        <v>12</v>
      </c>
      <c r="I1298" t="s">
        <v>1050</v>
      </c>
    </row>
    <row r="1299" spans="1:9" hidden="1" x14ac:dyDescent="0.25">
      <c r="A1299" t="s">
        <v>1141</v>
      </c>
      <c r="B1299" t="s">
        <v>118</v>
      </c>
      <c r="C1299" s="2">
        <f>HYPERLINK("https://cao.dolgi.msk.ru/account/1080260703/", 1080260703)</f>
        <v>1080260703</v>
      </c>
      <c r="D1299" t="s">
        <v>1190</v>
      </c>
      <c r="E1299">
        <v>-41.29</v>
      </c>
      <c r="G1299" t="s">
        <v>14</v>
      </c>
      <c r="I1299" t="s">
        <v>1050</v>
      </c>
    </row>
    <row r="1300" spans="1:9" hidden="1" x14ac:dyDescent="0.25">
      <c r="A1300" t="s">
        <v>1141</v>
      </c>
      <c r="B1300" t="s">
        <v>120</v>
      </c>
      <c r="C1300" s="2">
        <f>HYPERLINK("https://cao.dolgi.msk.ru/account/1080260711/", 1080260711)</f>
        <v>1080260711</v>
      </c>
      <c r="D1300" t="s">
        <v>1191</v>
      </c>
      <c r="E1300">
        <v>-7142.86</v>
      </c>
      <c r="F1300">
        <v>-1.2</v>
      </c>
      <c r="G1300" t="s">
        <v>12</v>
      </c>
      <c r="I1300" t="s">
        <v>1050</v>
      </c>
    </row>
    <row r="1301" spans="1:9" hidden="1" x14ac:dyDescent="0.25">
      <c r="A1301" t="s">
        <v>1141</v>
      </c>
      <c r="B1301" t="s">
        <v>122</v>
      </c>
      <c r="C1301" s="2">
        <f>HYPERLINK("https://cao.dolgi.msk.ru/account/1080260738/", 1080260738)</f>
        <v>1080260738</v>
      </c>
      <c r="D1301" t="s">
        <v>1192</v>
      </c>
      <c r="E1301">
        <v>-5624.74</v>
      </c>
      <c r="F1301">
        <v>-1.1299999999999999</v>
      </c>
      <c r="G1301" t="s">
        <v>12</v>
      </c>
      <c r="I1301" t="s">
        <v>1050</v>
      </c>
    </row>
    <row r="1302" spans="1:9" hidden="1" x14ac:dyDescent="0.25">
      <c r="A1302" t="s">
        <v>1141</v>
      </c>
      <c r="B1302" t="s">
        <v>124</v>
      </c>
      <c r="C1302" s="2">
        <f>HYPERLINK("https://cao.dolgi.msk.ru/account/1080260746/", 1080260746)</f>
        <v>1080260746</v>
      </c>
      <c r="D1302" t="s">
        <v>1193</v>
      </c>
      <c r="E1302">
        <v>-4453.62</v>
      </c>
      <c r="F1302">
        <v>-1.1399999999999999</v>
      </c>
      <c r="G1302" t="s">
        <v>12</v>
      </c>
      <c r="I1302" t="s">
        <v>1050</v>
      </c>
    </row>
    <row r="1303" spans="1:9" hidden="1" x14ac:dyDescent="0.25">
      <c r="A1303" t="s">
        <v>1141</v>
      </c>
      <c r="B1303" t="s">
        <v>126</v>
      </c>
      <c r="C1303" s="2">
        <f>HYPERLINK("https://cao.dolgi.msk.ru/account/1080260754/", 1080260754)</f>
        <v>1080260754</v>
      </c>
      <c r="D1303" t="s">
        <v>1194</v>
      </c>
      <c r="E1303">
        <v>-1912.73</v>
      </c>
      <c r="F1303">
        <v>-0.43</v>
      </c>
      <c r="G1303" t="s">
        <v>12</v>
      </c>
      <c r="H1303" t="s">
        <v>7</v>
      </c>
      <c r="I1303" t="s">
        <v>1050</v>
      </c>
    </row>
    <row r="1304" spans="1:9" hidden="1" x14ac:dyDescent="0.25">
      <c r="A1304" t="s">
        <v>1141</v>
      </c>
      <c r="B1304" t="s">
        <v>126</v>
      </c>
      <c r="C1304" s="2">
        <f>HYPERLINK("https://cao.dolgi.msk.ru/account/1080260762/", 1080260762)</f>
        <v>1080260762</v>
      </c>
      <c r="D1304" t="s">
        <v>1194</v>
      </c>
      <c r="E1304">
        <v>-1535.87</v>
      </c>
      <c r="F1304">
        <v>-0.47</v>
      </c>
      <c r="G1304" t="s">
        <v>12</v>
      </c>
      <c r="H1304" t="s">
        <v>7</v>
      </c>
      <c r="I1304" t="s">
        <v>1050</v>
      </c>
    </row>
    <row r="1305" spans="1:9" hidden="1" x14ac:dyDescent="0.25">
      <c r="A1305" t="s">
        <v>1141</v>
      </c>
      <c r="B1305" t="s">
        <v>128</v>
      </c>
      <c r="C1305" s="2">
        <f>HYPERLINK("https://cao.dolgi.msk.ru/account/1080260789/", 1080260789)</f>
        <v>1080260789</v>
      </c>
      <c r="D1305" t="s">
        <v>1195</v>
      </c>
      <c r="E1305">
        <v>-67.900000000000006</v>
      </c>
      <c r="F1305">
        <v>-0.01</v>
      </c>
      <c r="G1305" t="s">
        <v>12</v>
      </c>
      <c r="I1305" t="s">
        <v>1050</v>
      </c>
    </row>
    <row r="1306" spans="1:9" hidden="1" x14ac:dyDescent="0.25">
      <c r="A1306" t="s">
        <v>1141</v>
      </c>
      <c r="B1306" t="s">
        <v>130</v>
      </c>
      <c r="C1306" s="2">
        <f>HYPERLINK("https://cao.dolgi.msk.ru/account/1080260797/", 1080260797)</f>
        <v>1080260797</v>
      </c>
      <c r="D1306" t="s">
        <v>1196</v>
      </c>
      <c r="E1306">
        <v>-5792.92</v>
      </c>
      <c r="F1306">
        <v>-1.1200000000000001</v>
      </c>
      <c r="G1306" t="s">
        <v>12</v>
      </c>
      <c r="I1306" t="s">
        <v>1050</v>
      </c>
    </row>
    <row r="1307" spans="1:9" hidden="1" x14ac:dyDescent="0.25">
      <c r="A1307" t="s">
        <v>1141</v>
      </c>
      <c r="B1307" t="s">
        <v>132</v>
      </c>
      <c r="C1307" s="2">
        <f>HYPERLINK("https://cao.dolgi.msk.ru/account/1080260818/", 1080260818)</f>
        <v>1080260818</v>
      </c>
      <c r="D1307" t="s">
        <v>1197</v>
      </c>
      <c r="E1307">
        <v>-8887.26</v>
      </c>
      <c r="F1307">
        <v>-1.1299999999999999</v>
      </c>
      <c r="G1307" t="s">
        <v>12</v>
      </c>
      <c r="I1307" t="s">
        <v>1050</v>
      </c>
    </row>
    <row r="1308" spans="1:9" hidden="1" x14ac:dyDescent="0.25">
      <c r="A1308" t="s">
        <v>1141</v>
      </c>
      <c r="B1308" t="s">
        <v>133</v>
      </c>
      <c r="C1308" s="2">
        <f>HYPERLINK("https://cao.dolgi.msk.ru/account/1080260826/", 1080260826)</f>
        <v>1080260826</v>
      </c>
      <c r="D1308" t="s">
        <v>1198</v>
      </c>
      <c r="E1308">
        <v>-10228.280000000001</v>
      </c>
      <c r="F1308">
        <v>-1.44</v>
      </c>
      <c r="G1308" t="s">
        <v>12</v>
      </c>
      <c r="I1308" t="s">
        <v>1050</v>
      </c>
    </row>
    <row r="1309" spans="1:9" hidden="1" x14ac:dyDescent="0.25">
      <c r="A1309" t="s">
        <v>1141</v>
      </c>
      <c r="B1309" t="s">
        <v>135</v>
      </c>
      <c r="C1309" s="2">
        <f>HYPERLINK("https://cao.dolgi.msk.ru/account/1080260834/", 1080260834)</f>
        <v>1080260834</v>
      </c>
      <c r="D1309" t="s">
        <v>1199</v>
      </c>
      <c r="E1309">
        <v>-6429.37</v>
      </c>
      <c r="F1309">
        <v>-1.17</v>
      </c>
      <c r="G1309" t="s">
        <v>12</v>
      </c>
      <c r="I1309" t="s">
        <v>1050</v>
      </c>
    </row>
    <row r="1310" spans="1:9" hidden="1" x14ac:dyDescent="0.25">
      <c r="A1310" t="s">
        <v>1141</v>
      </c>
      <c r="B1310" t="s">
        <v>137</v>
      </c>
      <c r="C1310" s="2">
        <f>HYPERLINK("https://cao.dolgi.msk.ru/account/1080260842/", 1080260842)</f>
        <v>1080260842</v>
      </c>
      <c r="D1310" t="s">
        <v>1200</v>
      </c>
      <c r="E1310">
        <v>-2391.91</v>
      </c>
      <c r="F1310">
        <v>-1.42</v>
      </c>
      <c r="G1310" t="s">
        <v>12</v>
      </c>
      <c r="H1310" t="s">
        <v>7</v>
      </c>
      <c r="I1310" t="s">
        <v>1050</v>
      </c>
    </row>
    <row r="1311" spans="1:9" hidden="1" x14ac:dyDescent="0.25">
      <c r="A1311" t="s">
        <v>1141</v>
      </c>
      <c r="B1311" t="s">
        <v>137</v>
      </c>
      <c r="C1311" s="2">
        <f>HYPERLINK("https://cao.dolgi.msk.ru/account/1080260869/", 1080260869)</f>
        <v>1080260869</v>
      </c>
      <c r="D1311" t="s">
        <v>1200</v>
      </c>
      <c r="E1311">
        <v>-2411.73</v>
      </c>
      <c r="F1311">
        <v>-1.08</v>
      </c>
      <c r="G1311" t="s">
        <v>12</v>
      </c>
      <c r="H1311" t="s">
        <v>7</v>
      </c>
      <c r="I1311" t="s">
        <v>1050</v>
      </c>
    </row>
    <row r="1312" spans="1:9" hidden="1" x14ac:dyDescent="0.25">
      <c r="A1312" t="s">
        <v>1141</v>
      </c>
      <c r="B1312" t="s">
        <v>139</v>
      </c>
      <c r="C1312" s="2">
        <f>HYPERLINK("https://cao.dolgi.msk.ru/account/1080260877/", 1080260877)</f>
        <v>1080260877</v>
      </c>
      <c r="D1312" t="s">
        <v>1201</v>
      </c>
      <c r="E1312">
        <v>-7431.6</v>
      </c>
      <c r="F1312">
        <v>-5.21</v>
      </c>
      <c r="G1312" t="s">
        <v>12</v>
      </c>
      <c r="H1312" t="s">
        <v>7</v>
      </c>
      <c r="I1312" t="s">
        <v>1050</v>
      </c>
    </row>
    <row r="1313" spans="1:9" hidden="1" x14ac:dyDescent="0.25">
      <c r="A1313" t="s">
        <v>1141</v>
      </c>
      <c r="B1313" t="s">
        <v>139</v>
      </c>
      <c r="C1313" s="2">
        <f>HYPERLINK("https://cao.dolgi.msk.ru/account/1080260885/", 1080260885)</f>
        <v>1080260885</v>
      </c>
      <c r="D1313" t="s">
        <v>1201</v>
      </c>
      <c r="E1313">
        <v>-3584.22</v>
      </c>
      <c r="F1313">
        <v>-1.24</v>
      </c>
      <c r="G1313" t="s">
        <v>12</v>
      </c>
      <c r="H1313" t="s">
        <v>7</v>
      </c>
      <c r="I1313" t="s">
        <v>1050</v>
      </c>
    </row>
    <row r="1314" spans="1:9" hidden="1" x14ac:dyDescent="0.25">
      <c r="A1314" t="s">
        <v>1141</v>
      </c>
      <c r="B1314" t="s">
        <v>141</v>
      </c>
      <c r="C1314" s="2">
        <f>HYPERLINK("https://cao.dolgi.msk.ru/account/1080260893/", 1080260893)</f>
        <v>1080260893</v>
      </c>
      <c r="D1314" t="s">
        <v>1202</v>
      </c>
      <c r="E1314">
        <v>-282.2</v>
      </c>
      <c r="F1314">
        <v>-0.08</v>
      </c>
      <c r="G1314" t="s">
        <v>12</v>
      </c>
      <c r="H1314" t="s">
        <v>7</v>
      </c>
      <c r="I1314" t="s">
        <v>1050</v>
      </c>
    </row>
    <row r="1315" spans="1:9" hidden="1" x14ac:dyDescent="0.25">
      <c r="A1315" t="s">
        <v>1141</v>
      </c>
      <c r="B1315" t="s">
        <v>141</v>
      </c>
      <c r="C1315" s="2">
        <f>HYPERLINK("https://cao.dolgi.msk.ru/account/1080260906/", 1080260906)</f>
        <v>1080260906</v>
      </c>
      <c r="D1315" t="s">
        <v>1202</v>
      </c>
      <c r="E1315">
        <v>-54.73</v>
      </c>
      <c r="F1315">
        <v>-0.01</v>
      </c>
      <c r="G1315" t="s">
        <v>12</v>
      </c>
      <c r="H1315" t="s">
        <v>7</v>
      </c>
      <c r="I1315" t="s">
        <v>1050</v>
      </c>
    </row>
    <row r="1316" spans="1:9" hidden="1" x14ac:dyDescent="0.25">
      <c r="A1316" t="s">
        <v>1141</v>
      </c>
      <c r="B1316" t="s">
        <v>143</v>
      </c>
      <c r="C1316" s="2">
        <f>HYPERLINK("https://cao.dolgi.msk.ru/account/1080260914/", 1080260914)</f>
        <v>1080260914</v>
      </c>
      <c r="D1316" t="s">
        <v>62</v>
      </c>
      <c r="E1316">
        <v>96.91</v>
      </c>
      <c r="F1316">
        <v>0.02</v>
      </c>
      <c r="G1316" t="s">
        <v>12</v>
      </c>
      <c r="I1316" t="s">
        <v>1050</v>
      </c>
    </row>
    <row r="1317" spans="1:9" hidden="1" x14ac:dyDescent="0.25">
      <c r="A1317" t="s">
        <v>1141</v>
      </c>
      <c r="B1317" t="s">
        <v>145</v>
      </c>
      <c r="C1317" s="2">
        <f>HYPERLINK("https://cao.dolgi.msk.ru/account/1080260922/", 1080260922)</f>
        <v>1080260922</v>
      </c>
      <c r="D1317" t="s">
        <v>1203</v>
      </c>
      <c r="E1317">
        <v>-4233.37</v>
      </c>
      <c r="F1317">
        <v>-1.19</v>
      </c>
      <c r="G1317" t="s">
        <v>12</v>
      </c>
      <c r="I1317" t="s">
        <v>1050</v>
      </c>
    </row>
    <row r="1318" spans="1:9" hidden="1" x14ac:dyDescent="0.25">
      <c r="A1318" t="s">
        <v>1141</v>
      </c>
      <c r="B1318" t="s">
        <v>147</v>
      </c>
      <c r="C1318" s="2">
        <f>HYPERLINK("https://cao.dolgi.msk.ru/account/1080260949/", 1080260949)</f>
        <v>1080260949</v>
      </c>
      <c r="D1318" t="s">
        <v>1204</v>
      </c>
      <c r="E1318">
        <v>-28.85</v>
      </c>
      <c r="F1318">
        <v>0</v>
      </c>
      <c r="G1318" t="s">
        <v>12</v>
      </c>
      <c r="I1318" t="s">
        <v>1050</v>
      </c>
    </row>
    <row r="1319" spans="1:9" hidden="1" x14ac:dyDescent="0.25">
      <c r="A1319" t="s">
        <v>1141</v>
      </c>
      <c r="B1319" t="s">
        <v>149</v>
      </c>
      <c r="C1319" s="2">
        <f>HYPERLINK("https://cao.dolgi.msk.ru/account/1080260957/", 1080260957)</f>
        <v>1080260957</v>
      </c>
      <c r="D1319" t="s">
        <v>1205</v>
      </c>
      <c r="E1319">
        <v>0</v>
      </c>
      <c r="F1319">
        <v>0</v>
      </c>
      <c r="G1319" t="s">
        <v>12</v>
      </c>
      <c r="H1319" t="s">
        <v>7</v>
      </c>
      <c r="I1319" t="s">
        <v>1050</v>
      </c>
    </row>
    <row r="1320" spans="1:9" hidden="1" x14ac:dyDescent="0.25">
      <c r="A1320" t="s">
        <v>1141</v>
      </c>
      <c r="B1320" t="s">
        <v>149</v>
      </c>
      <c r="C1320" s="2">
        <f>HYPERLINK("https://cao.dolgi.msk.ru/account/1080260965/", 1080260965)</f>
        <v>1080260965</v>
      </c>
      <c r="D1320" t="s">
        <v>1205</v>
      </c>
      <c r="E1320">
        <v>-4436.93</v>
      </c>
      <c r="F1320">
        <v>-1.1499999999999999</v>
      </c>
      <c r="G1320" t="s">
        <v>12</v>
      </c>
      <c r="H1320" t="s">
        <v>7</v>
      </c>
      <c r="I1320" t="s">
        <v>1050</v>
      </c>
    </row>
    <row r="1321" spans="1:9" hidden="1" x14ac:dyDescent="0.25">
      <c r="A1321" t="s">
        <v>1141</v>
      </c>
      <c r="B1321" t="s">
        <v>151</v>
      </c>
      <c r="C1321" s="2">
        <f>HYPERLINK("https://cao.dolgi.msk.ru/account/1080260973/", 1080260973)</f>
        <v>1080260973</v>
      </c>
      <c r="D1321" t="s">
        <v>1206</v>
      </c>
      <c r="E1321">
        <v>-7019.04</v>
      </c>
      <c r="F1321">
        <v>-2.0699999999999998</v>
      </c>
      <c r="G1321" t="s">
        <v>12</v>
      </c>
      <c r="I1321" t="s">
        <v>1050</v>
      </c>
    </row>
    <row r="1322" spans="1:9" hidden="1" x14ac:dyDescent="0.25">
      <c r="A1322" t="s">
        <v>1141</v>
      </c>
      <c r="B1322" t="s">
        <v>153</v>
      </c>
      <c r="C1322" s="2">
        <f>HYPERLINK("https://cao.dolgi.msk.ru/account/1080260981/", 1080260981)</f>
        <v>1080260981</v>
      </c>
      <c r="D1322" t="s">
        <v>1207</v>
      </c>
      <c r="E1322">
        <v>-19403.3</v>
      </c>
      <c r="F1322">
        <v>-1.17</v>
      </c>
      <c r="G1322" t="s">
        <v>12</v>
      </c>
      <c r="I1322" t="s">
        <v>1050</v>
      </c>
    </row>
    <row r="1323" spans="1:9" hidden="1" x14ac:dyDescent="0.25">
      <c r="A1323" t="s">
        <v>1141</v>
      </c>
      <c r="B1323" t="s">
        <v>155</v>
      </c>
      <c r="C1323" s="2">
        <f>HYPERLINK("https://cao.dolgi.msk.ru/account/1080261001/", 1080261001)</f>
        <v>1080261001</v>
      </c>
      <c r="D1323" t="s">
        <v>1208</v>
      </c>
      <c r="E1323">
        <v>-4967.24</v>
      </c>
      <c r="F1323">
        <v>-1.24</v>
      </c>
      <c r="G1323" t="s">
        <v>12</v>
      </c>
      <c r="I1323" t="s">
        <v>1050</v>
      </c>
    </row>
    <row r="1324" spans="1:9" hidden="1" x14ac:dyDescent="0.25">
      <c r="A1324" t="s">
        <v>1209</v>
      </c>
      <c r="B1324" t="s">
        <v>10</v>
      </c>
      <c r="C1324" s="2">
        <f>HYPERLINK("https://cao.dolgi.msk.ru/account/1080266267/", 1080266267)</f>
        <v>1080266267</v>
      </c>
      <c r="D1324" t="s">
        <v>1210</v>
      </c>
      <c r="E1324">
        <v>-911.71</v>
      </c>
      <c r="F1324">
        <v>-0.12</v>
      </c>
      <c r="G1324" t="s">
        <v>12</v>
      </c>
      <c r="I1324" t="s">
        <v>1050</v>
      </c>
    </row>
    <row r="1325" spans="1:9" hidden="1" x14ac:dyDescent="0.25">
      <c r="A1325" t="s">
        <v>1209</v>
      </c>
      <c r="B1325" t="s">
        <v>16</v>
      </c>
      <c r="C1325" s="2">
        <f>HYPERLINK("https://cao.dolgi.msk.ru/account/1080266275/", 1080266275)</f>
        <v>1080266275</v>
      </c>
      <c r="D1325" t="s">
        <v>1211</v>
      </c>
      <c r="E1325">
        <v>-6100.83</v>
      </c>
      <c r="F1325">
        <v>-1.19</v>
      </c>
      <c r="G1325" t="s">
        <v>12</v>
      </c>
      <c r="I1325" t="s">
        <v>1050</v>
      </c>
    </row>
    <row r="1326" spans="1:9" x14ac:dyDescent="0.25">
      <c r="A1326" t="s">
        <v>1209</v>
      </c>
      <c r="B1326" t="s">
        <v>18</v>
      </c>
      <c r="C1326" s="2">
        <f>HYPERLINK("https://cao.dolgi.msk.ru/account/1080266283/", 1080266283)</f>
        <v>1080266283</v>
      </c>
      <c r="D1326" t="s">
        <v>1212</v>
      </c>
      <c r="E1326">
        <v>48264.32</v>
      </c>
      <c r="F1326">
        <v>1.62</v>
      </c>
      <c r="G1326" t="s">
        <v>12</v>
      </c>
      <c r="I1326" t="s">
        <v>1050</v>
      </c>
    </row>
    <row r="1327" spans="1:9" hidden="1" x14ac:dyDescent="0.25">
      <c r="A1327" t="s">
        <v>1209</v>
      </c>
      <c r="B1327" t="s">
        <v>20</v>
      </c>
      <c r="C1327" s="2">
        <f>HYPERLINK("https://cao.dolgi.msk.ru/account/1080266291/", 1080266291)</f>
        <v>1080266291</v>
      </c>
      <c r="D1327" t="s">
        <v>1213</v>
      </c>
      <c r="E1327">
        <v>-36.4</v>
      </c>
      <c r="F1327">
        <v>-0.02</v>
      </c>
      <c r="G1327" t="s">
        <v>12</v>
      </c>
      <c r="I1327" t="s">
        <v>1050</v>
      </c>
    </row>
    <row r="1328" spans="1:9" hidden="1" x14ac:dyDescent="0.25">
      <c r="A1328" t="s">
        <v>1209</v>
      </c>
      <c r="B1328" t="s">
        <v>20</v>
      </c>
      <c r="C1328" s="2">
        <f>HYPERLINK("https://cao.dolgi.msk.ru/account/1080320227/", 1080320227)</f>
        <v>1080320227</v>
      </c>
      <c r="D1328" t="s">
        <v>15</v>
      </c>
      <c r="E1328">
        <v>-30.58</v>
      </c>
      <c r="F1328">
        <v>-0.05</v>
      </c>
      <c r="G1328" t="s">
        <v>12</v>
      </c>
      <c r="I1328" t="s">
        <v>1050</v>
      </c>
    </row>
    <row r="1329" spans="1:9" hidden="1" x14ac:dyDescent="0.25">
      <c r="A1329" t="s">
        <v>1209</v>
      </c>
      <c r="B1329" t="s">
        <v>21</v>
      </c>
      <c r="C1329" s="2">
        <f>HYPERLINK("https://cao.dolgi.msk.ru/account/1080266304/", 1080266304)</f>
        <v>1080266304</v>
      </c>
      <c r="D1329" t="s">
        <v>1214</v>
      </c>
      <c r="E1329">
        <v>-7558.84</v>
      </c>
      <c r="F1329">
        <v>-1.64</v>
      </c>
      <c r="G1329" t="s">
        <v>12</v>
      </c>
      <c r="I1329" t="s">
        <v>1050</v>
      </c>
    </row>
    <row r="1330" spans="1:9" hidden="1" x14ac:dyDescent="0.25">
      <c r="A1330" t="s">
        <v>1209</v>
      </c>
      <c r="B1330" t="s">
        <v>22</v>
      </c>
      <c r="C1330" s="2">
        <f>HYPERLINK("https://cao.dolgi.msk.ru/account/1080266312/", 1080266312)</f>
        <v>1080266312</v>
      </c>
      <c r="D1330" t="s">
        <v>1215</v>
      </c>
      <c r="E1330">
        <v>-1674.22</v>
      </c>
      <c r="F1330">
        <v>-1.0900000000000001</v>
      </c>
      <c r="G1330" t="s">
        <v>12</v>
      </c>
      <c r="H1330" t="s">
        <v>7</v>
      </c>
      <c r="I1330" t="s">
        <v>1050</v>
      </c>
    </row>
    <row r="1331" spans="1:9" hidden="1" x14ac:dyDescent="0.25">
      <c r="A1331" t="s">
        <v>1209</v>
      </c>
      <c r="B1331" t="s">
        <v>22</v>
      </c>
      <c r="C1331" s="2">
        <f>HYPERLINK("https://cao.dolgi.msk.ru/account/1080266339/", 1080266339)</f>
        <v>1080266339</v>
      </c>
      <c r="D1331" t="s">
        <v>1216</v>
      </c>
      <c r="E1331">
        <v>-3496.14</v>
      </c>
      <c r="F1331">
        <v>-1.1000000000000001</v>
      </c>
      <c r="G1331" t="s">
        <v>12</v>
      </c>
      <c r="H1331" t="s">
        <v>7</v>
      </c>
      <c r="I1331" t="s">
        <v>1050</v>
      </c>
    </row>
    <row r="1332" spans="1:9" hidden="1" x14ac:dyDescent="0.25">
      <c r="A1332" t="s">
        <v>1209</v>
      </c>
      <c r="B1332" t="s">
        <v>23</v>
      </c>
      <c r="C1332" s="2">
        <f>HYPERLINK("https://cao.dolgi.msk.ru/account/1080266347/", 1080266347)</f>
        <v>1080266347</v>
      </c>
      <c r="D1332" t="s">
        <v>1217</v>
      </c>
      <c r="E1332">
        <v>-6372.75</v>
      </c>
      <c r="F1332">
        <v>-1.29</v>
      </c>
      <c r="G1332" t="s">
        <v>12</v>
      </c>
      <c r="I1332" t="s">
        <v>1050</v>
      </c>
    </row>
    <row r="1333" spans="1:9" hidden="1" x14ac:dyDescent="0.25">
      <c r="A1333" t="s">
        <v>1209</v>
      </c>
      <c r="B1333" t="s">
        <v>24</v>
      </c>
      <c r="C1333" s="2">
        <f>HYPERLINK("https://cao.dolgi.msk.ru/account/1080266355/", 1080266355)</f>
        <v>1080266355</v>
      </c>
      <c r="D1333" t="s">
        <v>1218</v>
      </c>
      <c r="E1333">
        <v>-3132.9</v>
      </c>
      <c r="F1333">
        <v>-0.57999999999999996</v>
      </c>
      <c r="G1333" t="s">
        <v>12</v>
      </c>
      <c r="I1333" t="s">
        <v>1050</v>
      </c>
    </row>
    <row r="1334" spans="1:9" hidden="1" x14ac:dyDescent="0.25">
      <c r="A1334" t="s">
        <v>1209</v>
      </c>
      <c r="B1334" t="s">
        <v>27</v>
      </c>
      <c r="C1334" s="2">
        <f>HYPERLINK("https://cao.dolgi.msk.ru/account/1080266363/", 1080266363)</f>
        <v>1080266363</v>
      </c>
      <c r="D1334" t="s">
        <v>1219</v>
      </c>
      <c r="E1334">
        <v>-7702.48</v>
      </c>
      <c r="F1334">
        <v>-1.0900000000000001</v>
      </c>
      <c r="G1334" t="s">
        <v>12</v>
      </c>
      <c r="I1334" t="s">
        <v>1050</v>
      </c>
    </row>
    <row r="1335" spans="1:9" hidden="1" x14ac:dyDescent="0.25">
      <c r="A1335" t="s">
        <v>1209</v>
      </c>
      <c r="B1335" t="s">
        <v>29</v>
      </c>
      <c r="C1335" s="2">
        <f>HYPERLINK("https://cao.dolgi.msk.ru/account/1080266371/", 1080266371)</f>
        <v>1080266371</v>
      </c>
      <c r="D1335" t="s">
        <v>1220</v>
      </c>
      <c r="E1335">
        <v>-7527.31</v>
      </c>
      <c r="F1335">
        <v>-1</v>
      </c>
      <c r="G1335" t="s">
        <v>12</v>
      </c>
      <c r="I1335" t="s">
        <v>1050</v>
      </c>
    </row>
    <row r="1336" spans="1:9" hidden="1" x14ac:dyDescent="0.25">
      <c r="A1336" t="s">
        <v>1209</v>
      </c>
      <c r="B1336" t="s">
        <v>31</v>
      </c>
      <c r="C1336" s="2">
        <f>HYPERLINK("https://cao.dolgi.msk.ru/account/1080266398/", 1080266398)</f>
        <v>1080266398</v>
      </c>
      <c r="D1336" t="s">
        <v>1221</v>
      </c>
      <c r="E1336">
        <v>-6113.24</v>
      </c>
      <c r="F1336">
        <v>-1.1499999999999999</v>
      </c>
      <c r="G1336" t="s">
        <v>12</v>
      </c>
      <c r="I1336" t="s">
        <v>1050</v>
      </c>
    </row>
    <row r="1337" spans="1:9" hidden="1" x14ac:dyDescent="0.25">
      <c r="A1337" t="s">
        <v>1209</v>
      </c>
      <c r="B1337" t="s">
        <v>33</v>
      </c>
      <c r="C1337" s="2">
        <f>HYPERLINK("https://cao.dolgi.msk.ru/account/1080266419/", 1080266419)</f>
        <v>1080266419</v>
      </c>
      <c r="D1337" t="s">
        <v>1222</v>
      </c>
      <c r="E1337">
        <v>-4320.95</v>
      </c>
      <c r="F1337">
        <v>-1.4</v>
      </c>
      <c r="G1337" t="s">
        <v>12</v>
      </c>
      <c r="I1337" t="s">
        <v>1050</v>
      </c>
    </row>
    <row r="1338" spans="1:9" hidden="1" x14ac:dyDescent="0.25">
      <c r="A1338" t="s">
        <v>1209</v>
      </c>
      <c r="B1338" t="s">
        <v>34</v>
      </c>
      <c r="C1338" s="2">
        <f>HYPERLINK("https://cao.dolgi.msk.ru/account/1080266427/", 1080266427)</f>
        <v>1080266427</v>
      </c>
      <c r="D1338" t="s">
        <v>1223</v>
      </c>
      <c r="E1338">
        <v>0</v>
      </c>
      <c r="F1338">
        <v>0</v>
      </c>
      <c r="G1338" t="s">
        <v>12</v>
      </c>
      <c r="I1338" t="s">
        <v>1050</v>
      </c>
    </row>
    <row r="1339" spans="1:9" hidden="1" x14ac:dyDescent="0.25">
      <c r="A1339" t="s">
        <v>1209</v>
      </c>
      <c r="B1339" t="s">
        <v>36</v>
      </c>
      <c r="C1339" s="2">
        <f>HYPERLINK("https://cao.dolgi.msk.ru/account/1080266435/", 1080266435)</f>
        <v>1080266435</v>
      </c>
      <c r="D1339" t="s">
        <v>1224</v>
      </c>
      <c r="E1339">
        <v>-11796.74</v>
      </c>
      <c r="F1339">
        <v>-3.17</v>
      </c>
      <c r="G1339" t="s">
        <v>12</v>
      </c>
      <c r="I1339" t="s">
        <v>1050</v>
      </c>
    </row>
    <row r="1340" spans="1:9" hidden="1" x14ac:dyDescent="0.25">
      <c r="A1340" t="s">
        <v>1209</v>
      </c>
      <c r="B1340" t="s">
        <v>38</v>
      </c>
      <c r="C1340" s="2">
        <f>HYPERLINK("https://cao.dolgi.msk.ru/account/1080266443/", 1080266443)</f>
        <v>1080266443</v>
      </c>
      <c r="D1340" t="s">
        <v>1225</v>
      </c>
      <c r="E1340">
        <v>0</v>
      </c>
      <c r="F1340">
        <v>0</v>
      </c>
      <c r="G1340" t="s">
        <v>12</v>
      </c>
      <c r="I1340" t="s">
        <v>1050</v>
      </c>
    </row>
    <row r="1341" spans="1:9" hidden="1" x14ac:dyDescent="0.25">
      <c r="A1341" t="s">
        <v>1209</v>
      </c>
      <c r="B1341" t="s">
        <v>39</v>
      </c>
      <c r="C1341" s="2">
        <f>HYPERLINK("https://cao.dolgi.msk.ru/account/1080266451/", 1080266451)</f>
        <v>1080266451</v>
      </c>
      <c r="D1341" t="s">
        <v>1226</v>
      </c>
      <c r="E1341">
        <v>-7201.28</v>
      </c>
      <c r="F1341">
        <v>-1.1000000000000001</v>
      </c>
      <c r="G1341" t="s">
        <v>12</v>
      </c>
      <c r="I1341" t="s">
        <v>1050</v>
      </c>
    </row>
    <row r="1342" spans="1:9" hidden="1" x14ac:dyDescent="0.25">
      <c r="A1342" t="s">
        <v>1209</v>
      </c>
      <c r="B1342" t="s">
        <v>40</v>
      </c>
      <c r="C1342" s="2">
        <f>HYPERLINK("https://cao.dolgi.msk.ru/account/1080266478/", 1080266478)</f>
        <v>1080266478</v>
      </c>
      <c r="D1342" t="s">
        <v>1227</v>
      </c>
      <c r="E1342">
        <v>-4452.08</v>
      </c>
      <c r="F1342">
        <v>-1.08</v>
      </c>
      <c r="G1342" t="s">
        <v>12</v>
      </c>
      <c r="I1342" t="s">
        <v>1050</v>
      </c>
    </row>
    <row r="1343" spans="1:9" hidden="1" x14ac:dyDescent="0.25">
      <c r="A1343" t="s">
        <v>1209</v>
      </c>
      <c r="B1343" t="s">
        <v>41</v>
      </c>
      <c r="C1343" s="2">
        <f>HYPERLINK("https://cao.dolgi.msk.ru/account/1080266486/", 1080266486)</f>
        <v>1080266486</v>
      </c>
      <c r="D1343" t="s">
        <v>1228</v>
      </c>
      <c r="E1343">
        <v>-58.2</v>
      </c>
      <c r="F1343">
        <v>-0.01</v>
      </c>
      <c r="G1343" t="s">
        <v>12</v>
      </c>
      <c r="I1343" t="s">
        <v>1050</v>
      </c>
    </row>
    <row r="1344" spans="1:9" hidden="1" x14ac:dyDescent="0.25">
      <c r="A1344" t="s">
        <v>1209</v>
      </c>
      <c r="B1344" t="s">
        <v>42</v>
      </c>
      <c r="C1344" s="2">
        <f>HYPERLINK("https://cao.dolgi.msk.ru/account/1080266494/", 1080266494)</f>
        <v>1080266494</v>
      </c>
      <c r="D1344" t="s">
        <v>1229</v>
      </c>
      <c r="E1344">
        <v>-4645.05</v>
      </c>
      <c r="F1344">
        <v>-1.1499999999999999</v>
      </c>
      <c r="G1344" t="s">
        <v>12</v>
      </c>
      <c r="I1344" t="s">
        <v>1050</v>
      </c>
    </row>
    <row r="1345" spans="1:9" hidden="1" x14ac:dyDescent="0.25">
      <c r="A1345" t="s">
        <v>1209</v>
      </c>
      <c r="B1345" t="s">
        <v>44</v>
      </c>
      <c r="C1345" s="2">
        <f>HYPERLINK("https://cao.dolgi.msk.ru/account/1080266507/", 1080266507)</f>
        <v>1080266507</v>
      </c>
      <c r="D1345" t="s">
        <v>1230</v>
      </c>
      <c r="E1345">
        <v>-4498.22</v>
      </c>
      <c r="F1345">
        <v>-1.04</v>
      </c>
      <c r="G1345" t="s">
        <v>12</v>
      </c>
      <c r="I1345" t="s">
        <v>1050</v>
      </c>
    </row>
    <row r="1346" spans="1:9" hidden="1" x14ac:dyDescent="0.25">
      <c r="A1346" t="s">
        <v>1209</v>
      </c>
      <c r="B1346" t="s">
        <v>66</v>
      </c>
      <c r="C1346" s="2">
        <f>HYPERLINK("https://cao.dolgi.msk.ru/account/1080266515/", 1080266515)</f>
        <v>1080266515</v>
      </c>
      <c r="D1346" t="s">
        <v>1231</v>
      </c>
      <c r="E1346">
        <v>-3027.6</v>
      </c>
      <c r="F1346">
        <v>-1.06</v>
      </c>
      <c r="G1346" t="s">
        <v>12</v>
      </c>
      <c r="I1346" t="s">
        <v>1050</v>
      </c>
    </row>
    <row r="1347" spans="1:9" hidden="1" x14ac:dyDescent="0.25">
      <c r="A1347" t="s">
        <v>1209</v>
      </c>
      <c r="B1347" t="s">
        <v>68</v>
      </c>
      <c r="C1347" s="2">
        <f>HYPERLINK("https://cao.dolgi.msk.ru/account/1080266523/", 1080266523)</f>
        <v>1080266523</v>
      </c>
      <c r="D1347" t="s">
        <v>1232</v>
      </c>
      <c r="E1347">
        <v>-5418.29</v>
      </c>
      <c r="F1347">
        <v>-1.1399999999999999</v>
      </c>
      <c r="G1347" t="s">
        <v>12</v>
      </c>
      <c r="I1347" t="s">
        <v>1050</v>
      </c>
    </row>
    <row r="1348" spans="1:9" hidden="1" x14ac:dyDescent="0.25">
      <c r="A1348" t="s">
        <v>1209</v>
      </c>
      <c r="B1348" t="s">
        <v>70</v>
      </c>
      <c r="C1348" s="2">
        <f>HYPERLINK("https://cao.dolgi.msk.ru/account/1080266531/", 1080266531)</f>
        <v>1080266531</v>
      </c>
      <c r="D1348" t="s">
        <v>1233</v>
      </c>
      <c r="E1348">
        <v>-3800.33</v>
      </c>
      <c r="F1348">
        <v>-1.08</v>
      </c>
      <c r="G1348" t="s">
        <v>12</v>
      </c>
      <c r="I1348" t="s">
        <v>1050</v>
      </c>
    </row>
    <row r="1349" spans="1:9" x14ac:dyDescent="0.25">
      <c r="A1349" t="s">
        <v>1209</v>
      </c>
      <c r="B1349" t="s">
        <v>72</v>
      </c>
      <c r="C1349" s="2">
        <f>HYPERLINK("https://cao.dolgi.msk.ru/account/1080266558/", 1080266558)</f>
        <v>1080266558</v>
      </c>
      <c r="D1349" t="s">
        <v>1234</v>
      </c>
      <c r="E1349">
        <v>66922.570000000007</v>
      </c>
      <c r="F1349">
        <v>3.19</v>
      </c>
      <c r="G1349" t="s">
        <v>12</v>
      </c>
      <c r="I1349" t="s">
        <v>1050</v>
      </c>
    </row>
    <row r="1350" spans="1:9" hidden="1" x14ac:dyDescent="0.25">
      <c r="A1350" t="s">
        <v>1209</v>
      </c>
      <c r="B1350" t="s">
        <v>74</v>
      </c>
      <c r="C1350" s="2">
        <f>HYPERLINK("https://cao.dolgi.msk.ru/account/1080266566/", 1080266566)</f>
        <v>1080266566</v>
      </c>
      <c r="D1350" t="s">
        <v>1235</v>
      </c>
      <c r="E1350">
        <v>-5169.7299999999996</v>
      </c>
      <c r="F1350">
        <v>-1.24</v>
      </c>
      <c r="G1350" t="s">
        <v>12</v>
      </c>
      <c r="I1350" t="s">
        <v>1050</v>
      </c>
    </row>
    <row r="1351" spans="1:9" hidden="1" x14ac:dyDescent="0.25">
      <c r="A1351" t="s">
        <v>1209</v>
      </c>
      <c r="B1351" t="s">
        <v>76</v>
      </c>
      <c r="C1351" s="2">
        <f>HYPERLINK("https://cao.dolgi.msk.ru/account/1080266574/", 1080266574)</f>
        <v>1080266574</v>
      </c>
      <c r="D1351" t="s">
        <v>1236</v>
      </c>
      <c r="E1351">
        <v>-4617.95</v>
      </c>
      <c r="F1351">
        <v>-1.24</v>
      </c>
      <c r="G1351" t="s">
        <v>12</v>
      </c>
      <c r="I1351" t="s">
        <v>1050</v>
      </c>
    </row>
    <row r="1352" spans="1:9" hidden="1" x14ac:dyDescent="0.25">
      <c r="A1352" t="s">
        <v>1209</v>
      </c>
      <c r="B1352" t="s">
        <v>78</v>
      </c>
      <c r="C1352" s="2">
        <f>HYPERLINK("https://cao.dolgi.msk.ru/account/1080266582/", 1080266582)</f>
        <v>1080266582</v>
      </c>
      <c r="D1352" t="s">
        <v>1237</v>
      </c>
      <c r="E1352">
        <v>-4271.74</v>
      </c>
      <c r="F1352">
        <v>-1.2</v>
      </c>
      <c r="G1352" t="s">
        <v>12</v>
      </c>
      <c r="I1352" t="s">
        <v>1050</v>
      </c>
    </row>
    <row r="1353" spans="1:9" hidden="1" x14ac:dyDescent="0.25">
      <c r="A1353" t="s">
        <v>1209</v>
      </c>
      <c r="B1353" t="s">
        <v>80</v>
      </c>
      <c r="C1353" s="2">
        <f>HYPERLINK("https://cao.dolgi.msk.ru/account/1080266603/", 1080266603)</f>
        <v>1080266603</v>
      </c>
      <c r="D1353" t="s">
        <v>1238</v>
      </c>
      <c r="E1353">
        <v>0</v>
      </c>
      <c r="F1353">
        <v>0</v>
      </c>
      <c r="G1353" t="s">
        <v>12</v>
      </c>
      <c r="I1353" t="s">
        <v>1050</v>
      </c>
    </row>
    <row r="1354" spans="1:9" hidden="1" x14ac:dyDescent="0.25">
      <c r="A1354" t="s">
        <v>1209</v>
      </c>
      <c r="B1354" t="s">
        <v>82</v>
      </c>
      <c r="C1354" s="2">
        <f>HYPERLINK("https://cao.dolgi.msk.ru/account/1080266611/", 1080266611)</f>
        <v>1080266611</v>
      </c>
      <c r="D1354" t="s">
        <v>1239</v>
      </c>
      <c r="E1354">
        <v>-6441.69</v>
      </c>
      <c r="F1354">
        <v>-1.07</v>
      </c>
      <c r="G1354" t="s">
        <v>12</v>
      </c>
      <c r="I1354" t="s">
        <v>1050</v>
      </c>
    </row>
    <row r="1355" spans="1:9" hidden="1" x14ac:dyDescent="0.25">
      <c r="A1355" t="s">
        <v>1209</v>
      </c>
      <c r="B1355" t="s">
        <v>84</v>
      </c>
      <c r="C1355" s="2">
        <f>HYPERLINK("https://cao.dolgi.msk.ru/account/1080266638/", 1080266638)</f>
        <v>1080266638</v>
      </c>
      <c r="D1355" t="s">
        <v>1240</v>
      </c>
      <c r="E1355">
        <v>-5478.77</v>
      </c>
      <c r="F1355">
        <v>-1.02</v>
      </c>
      <c r="G1355" t="s">
        <v>12</v>
      </c>
      <c r="I1355" t="s">
        <v>1050</v>
      </c>
    </row>
    <row r="1356" spans="1:9" hidden="1" x14ac:dyDescent="0.25">
      <c r="A1356" t="s">
        <v>1209</v>
      </c>
      <c r="B1356" t="s">
        <v>86</v>
      </c>
      <c r="C1356" s="2">
        <f>HYPERLINK("https://cao.dolgi.msk.ru/account/1080266646/", 1080266646)</f>
        <v>1080266646</v>
      </c>
      <c r="D1356" t="s">
        <v>1241</v>
      </c>
      <c r="E1356">
        <v>-3875.77</v>
      </c>
      <c r="F1356">
        <v>-0.97</v>
      </c>
      <c r="G1356" t="s">
        <v>12</v>
      </c>
      <c r="I1356" t="s">
        <v>1050</v>
      </c>
    </row>
    <row r="1357" spans="1:9" hidden="1" x14ac:dyDescent="0.25">
      <c r="A1357" t="s">
        <v>1209</v>
      </c>
      <c r="B1357" t="s">
        <v>88</v>
      </c>
      <c r="C1357" s="2">
        <f>HYPERLINK("https://cao.dolgi.msk.ru/account/1080266654/", 1080266654)</f>
        <v>1080266654</v>
      </c>
      <c r="D1357" t="s">
        <v>1242</v>
      </c>
      <c r="E1357">
        <v>4461.2</v>
      </c>
      <c r="F1357">
        <v>0.99</v>
      </c>
      <c r="G1357" t="s">
        <v>12</v>
      </c>
      <c r="I1357" t="s">
        <v>1050</v>
      </c>
    </row>
    <row r="1358" spans="1:9" hidden="1" x14ac:dyDescent="0.25">
      <c r="A1358" t="s">
        <v>1209</v>
      </c>
      <c r="B1358" t="s">
        <v>90</v>
      </c>
      <c r="C1358" s="2">
        <f>HYPERLINK("https://cao.dolgi.msk.ru/account/1080266662/", 1080266662)</f>
        <v>1080266662</v>
      </c>
      <c r="D1358" t="s">
        <v>1243</v>
      </c>
      <c r="E1358">
        <v>0</v>
      </c>
      <c r="F1358">
        <v>0</v>
      </c>
      <c r="G1358" t="s">
        <v>12</v>
      </c>
      <c r="I1358" t="s">
        <v>1050</v>
      </c>
    </row>
    <row r="1359" spans="1:9" hidden="1" x14ac:dyDescent="0.25">
      <c r="A1359" t="s">
        <v>1209</v>
      </c>
      <c r="B1359" t="s">
        <v>92</v>
      </c>
      <c r="C1359" s="2">
        <f>HYPERLINK("https://cao.dolgi.msk.ru/account/1080266689/", 1080266689)</f>
        <v>1080266689</v>
      </c>
      <c r="D1359" t="s">
        <v>15</v>
      </c>
      <c r="E1359">
        <v>-4349.63</v>
      </c>
      <c r="F1359">
        <v>-1.25</v>
      </c>
      <c r="G1359" t="s">
        <v>12</v>
      </c>
      <c r="I1359" t="s">
        <v>1050</v>
      </c>
    </row>
    <row r="1360" spans="1:9" hidden="1" x14ac:dyDescent="0.25">
      <c r="A1360" t="s">
        <v>1209</v>
      </c>
      <c r="B1360" t="s">
        <v>94</v>
      </c>
      <c r="C1360" s="2">
        <f>HYPERLINK("https://cao.dolgi.msk.ru/account/1080266697/", 1080266697)</f>
        <v>1080266697</v>
      </c>
      <c r="D1360" t="s">
        <v>1244</v>
      </c>
      <c r="E1360">
        <v>0</v>
      </c>
      <c r="F1360">
        <v>0</v>
      </c>
      <c r="G1360" t="s">
        <v>12</v>
      </c>
      <c r="I1360" t="s">
        <v>1050</v>
      </c>
    </row>
    <row r="1361" spans="1:9" hidden="1" x14ac:dyDescent="0.25">
      <c r="A1361" t="s">
        <v>1209</v>
      </c>
      <c r="B1361" t="s">
        <v>96</v>
      </c>
      <c r="C1361" s="2">
        <f>HYPERLINK("https://cao.dolgi.msk.ru/account/1080266718/", 1080266718)</f>
        <v>1080266718</v>
      </c>
      <c r="D1361" t="s">
        <v>1245</v>
      </c>
      <c r="E1361">
        <v>-1210.01</v>
      </c>
      <c r="F1361">
        <v>-0.28999999999999998</v>
      </c>
      <c r="G1361" t="s">
        <v>12</v>
      </c>
      <c r="I1361" t="s">
        <v>1050</v>
      </c>
    </row>
    <row r="1362" spans="1:9" hidden="1" x14ac:dyDescent="0.25">
      <c r="A1362" t="s">
        <v>1209</v>
      </c>
      <c r="B1362" t="s">
        <v>98</v>
      </c>
      <c r="C1362" s="2">
        <f>HYPERLINK("https://cao.dolgi.msk.ru/account/1080266726/", 1080266726)</f>
        <v>1080266726</v>
      </c>
      <c r="D1362" t="s">
        <v>1246</v>
      </c>
      <c r="E1362">
        <v>-5515.58</v>
      </c>
      <c r="F1362">
        <v>-1.19</v>
      </c>
      <c r="G1362" t="s">
        <v>12</v>
      </c>
      <c r="I1362" t="s">
        <v>1050</v>
      </c>
    </row>
    <row r="1363" spans="1:9" hidden="1" x14ac:dyDescent="0.25">
      <c r="A1363" t="s">
        <v>1209</v>
      </c>
      <c r="B1363" t="s">
        <v>100</v>
      </c>
      <c r="C1363" s="2">
        <f>HYPERLINK("https://cao.dolgi.msk.ru/account/1080266742/", 1080266742)</f>
        <v>1080266742</v>
      </c>
      <c r="D1363" t="s">
        <v>1247</v>
      </c>
      <c r="E1363">
        <v>-2485.67</v>
      </c>
      <c r="F1363">
        <v>-0.48</v>
      </c>
      <c r="G1363" t="s">
        <v>12</v>
      </c>
      <c r="I1363" t="s">
        <v>1050</v>
      </c>
    </row>
    <row r="1364" spans="1:9" hidden="1" x14ac:dyDescent="0.25">
      <c r="A1364" t="s">
        <v>1209</v>
      </c>
      <c r="B1364" t="s">
        <v>102</v>
      </c>
      <c r="C1364" s="2">
        <f>HYPERLINK("https://cao.dolgi.msk.ru/account/1080266769/", 1080266769)</f>
        <v>1080266769</v>
      </c>
      <c r="D1364" t="s">
        <v>1248</v>
      </c>
      <c r="E1364">
        <v>-6361.57</v>
      </c>
      <c r="F1364">
        <v>-1.75</v>
      </c>
      <c r="G1364" t="s">
        <v>12</v>
      </c>
      <c r="I1364" t="s">
        <v>1050</v>
      </c>
    </row>
    <row r="1365" spans="1:9" hidden="1" x14ac:dyDescent="0.25">
      <c r="A1365" t="s">
        <v>1209</v>
      </c>
      <c r="B1365" t="s">
        <v>104</v>
      </c>
      <c r="C1365" s="2">
        <f>HYPERLINK("https://cao.dolgi.msk.ru/account/1080266777/", 1080266777)</f>
        <v>1080266777</v>
      </c>
      <c r="D1365" t="s">
        <v>1249</v>
      </c>
      <c r="E1365">
        <v>-18.5</v>
      </c>
      <c r="F1365">
        <v>0</v>
      </c>
      <c r="G1365" t="s">
        <v>12</v>
      </c>
      <c r="I1365" t="s">
        <v>1050</v>
      </c>
    </row>
    <row r="1366" spans="1:9" hidden="1" x14ac:dyDescent="0.25">
      <c r="A1366" t="s">
        <v>1209</v>
      </c>
      <c r="B1366" t="s">
        <v>106</v>
      </c>
      <c r="C1366" s="2">
        <f>HYPERLINK("https://cao.dolgi.msk.ru/account/1080266785/", 1080266785)</f>
        <v>1080266785</v>
      </c>
      <c r="D1366" t="s">
        <v>1250</v>
      </c>
      <c r="E1366">
        <v>-82.38</v>
      </c>
      <c r="F1366">
        <v>-0.01</v>
      </c>
      <c r="G1366" t="s">
        <v>12</v>
      </c>
      <c r="I1366" t="s">
        <v>1050</v>
      </c>
    </row>
    <row r="1367" spans="1:9" hidden="1" x14ac:dyDescent="0.25">
      <c r="A1367" t="s">
        <v>1209</v>
      </c>
      <c r="B1367" t="s">
        <v>108</v>
      </c>
      <c r="C1367" s="2">
        <f>HYPERLINK("https://cao.dolgi.msk.ru/account/1080266793/", 1080266793)</f>
        <v>1080266793</v>
      </c>
      <c r="D1367" t="s">
        <v>1251</v>
      </c>
      <c r="E1367">
        <v>-7299.28</v>
      </c>
      <c r="F1367">
        <v>-1.71</v>
      </c>
      <c r="G1367" t="s">
        <v>12</v>
      </c>
      <c r="I1367" t="s">
        <v>1050</v>
      </c>
    </row>
    <row r="1368" spans="1:9" hidden="1" x14ac:dyDescent="0.25">
      <c r="A1368" t="s">
        <v>1209</v>
      </c>
      <c r="B1368" t="s">
        <v>110</v>
      </c>
      <c r="C1368" s="2">
        <f>HYPERLINK("https://cao.dolgi.msk.ru/account/1080266806/", 1080266806)</f>
        <v>1080266806</v>
      </c>
      <c r="D1368" t="s">
        <v>15</v>
      </c>
      <c r="E1368">
        <v>262.88</v>
      </c>
      <c r="F1368">
        <v>0.04</v>
      </c>
      <c r="G1368" t="s">
        <v>12</v>
      </c>
      <c r="I1368" t="s">
        <v>1050</v>
      </c>
    </row>
    <row r="1369" spans="1:9" x14ac:dyDescent="0.25">
      <c r="A1369" t="s">
        <v>1209</v>
      </c>
      <c r="B1369" t="s">
        <v>112</v>
      </c>
      <c r="C1369" s="2">
        <f>HYPERLINK("https://cao.dolgi.msk.ru/account/1080266814/", 1080266814)</f>
        <v>1080266814</v>
      </c>
      <c r="D1369" t="s">
        <v>1252</v>
      </c>
      <c r="E1369">
        <v>21284.33</v>
      </c>
      <c r="F1369">
        <v>4.24</v>
      </c>
      <c r="G1369" t="s">
        <v>12</v>
      </c>
      <c r="I1369" t="s">
        <v>1050</v>
      </c>
    </row>
    <row r="1370" spans="1:9" hidden="1" x14ac:dyDescent="0.25">
      <c r="A1370" t="s">
        <v>1209</v>
      </c>
      <c r="B1370" t="s">
        <v>114</v>
      </c>
      <c r="C1370" s="2">
        <f>HYPERLINK("https://cao.dolgi.msk.ru/account/1080266822/", 1080266822)</f>
        <v>1080266822</v>
      </c>
      <c r="D1370" t="s">
        <v>1253</v>
      </c>
      <c r="E1370">
        <v>-17050.47</v>
      </c>
      <c r="F1370">
        <v>-1.05</v>
      </c>
      <c r="G1370" t="s">
        <v>12</v>
      </c>
      <c r="I1370" t="s">
        <v>1050</v>
      </c>
    </row>
    <row r="1371" spans="1:9" hidden="1" x14ac:dyDescent="0.25">
      <c r="A1371" t="s">
        <v>1209</v>
      </c>
      <c r="B1371" t="s">
        <v>114</v>
      </c>
      <c r="C1371" s="2">
        <f>HYPERLINK("https://cao.dolgi.msk.ru/account/1089126316/", 1089126316)</f>
        <v>1089126316</v>
      </c>
      <c r="D1371" t="s">
        <v>15</v>
      </c>
      <c r="E1371">
        <v>-388.34</v>
      </c>
      <c r="G1371" t="s">
        <v>14</v>
      </c>
      <c r="I1371" t="s">
        <v>1050</v>
      </c>
    </row>
    <row r="1372" spans="1:9" hidden="1" x14ac:dyDescent="0.25">
      <c r="A1372" t="s">
        <v>1209</v>
      </c>
      <c r="B1372" t="s">
        <v>116</v>
      </c>
      <c r="C1372" s="2">
        <f>HYPERLINK("https://cao.dolgi.msk.ru/account/1080266849/", 1080266849)</f>
        <v>1080266849</v>
      </c>
      <c r="D1372" t="s">
        <v>1254</v>
      </c>
      <c r="E1372">
        <v>-4168.6099999999997</v>
      </c>
      <c r="F1372">
        <v>-1.1499999999999999</v>
      </c>
      <c r="G1372" t="s">
        <v>12</v>
      </c>
      <c r="I1372" t="s">
        <v>1050</v>
      </c>
    </row>
    <row r="1373" spans="1:9" hidden="1" x14ac:dyDescent="0.25">
      <c r="A1373" t="s">
        <v>1209</v>
      </c>
      <c r="B1373" t="s">
        <v>118</v>
      </c>
      <c r="C1373" s="2">
        <f>HYPERLINK("https://cao.dolgi.msk.ru/account/1080266857/", 1080266857)</f>
        <v>1080266857</v>
      </c>
      <c r="D1373" t="s">
        <v>1255</v>
      </c>
      <c r="E1373">
        <v>-4888.7700000000004</v>
      </c>
      <c r="F1373">
        <v>-1.05</v>
      </c>
      <c r="G1373" t="s">
        <v>12</v>
      </c>
      <c r="I1373" t="s">
        <v>1050</v>
      </c>
    </row>
    <row r="1374" spans="1:9" hidden="1" x14ac:dyDescent="0.25">
      <c r="A1374" t="s">
        <v>1209</v>
      </c>
      <c r="B1374" t="s">
        <v>120</v>
      </c>
      <c r="C1374" s="2">
        <f>HYPERLINK("https://cao.dolgi.msk.ru/account/1080266865/", 1080266865)</f>
        <v>1080266865</v>
      </c>
      <c r="D1374" t="s">
        <v>1256</v>
      </c>
      <c r="E1374">
        <v>0</v>
      </c>
      <c r="F1374">
        <v>0</v>
      </c>
      <c r="G1374" t="s">
        <v>12</v>
      </c>
      <c r="I1374" t="s">
        <v>1050</v>
      </c>
    </row>
    <row r="1375" spans="1:9" hidden="1" x14ac:dyDescent="0.25">
      <c r="A1375" t="s">
        <v>1209</v>
      </c>
      <c r="B1375" t="s">
        <v>122</v>
      </c>
      <c r="C1375" s="2">
        <f>HYPERLINK("https://cao.dolgi.msk.ru/account/1080266873/", 1080266873)</f>
        <v>1080266873</v>
      </c>
      <c r="D1375" t="s">
        <v>1257</v>
      </c>
      <c r="E1375">
        <v>-3185</v>
      </c>
      <c r="F1375">
        <v>-1.1599999999999999</v>
      </c>
      <c r="G1375" t="s">
        <v>12</v>
      </c>
      <c r="I1375" t="s">
        <v>1050</v>
      </c>
    </row>
    <row r="1376" spans="1:9" hidden="1" x14ac:dyDescent="0.25">
      <c r="A1376" t="s">
        <v>1209</v>
      </c>
      <c r="B1376" t="s">
        <v>122</v>
      </c>
      <c r="C1376" s="2">
        <f>HYPERLINK("https://cao.dolgi.msk.ru/account/1083273307/", 1083273307)</f>
        <v>1083273307</v>
      </c>
      <c r="D1376" t="s">
        <v>15</v>
      </c>
      <c r="E1376">
        <v>-4259.6099999999997</v>
      </c>
      <c r="F1376">
        <v>-2.5099999999999998</v>
      </c>
      <c r="G1376" t="s">
        <v>12</v>
      </c>
      <c r="I1376" t="s">
        <v>1050</v>
      </c>
    </row>
    <row r="1377" spans="1:9" hidden="1" x14ac:dyDescent="0.25">
      <c r="A1377" t="s">
        <v>1209</v>
      </c>
      <c r="B1377" t="s">
        <v>124</v>
      </c>
      <c r="C1377" s="2">
        <f>HYPERLINK("https://cao.dolgi.msk.ru/account/1080266881/", 1080266881)</f>
        <v>1080266881</v>
      </c>
      <c r="D1377" t="s">
        <v>1258</v>
      </c>
      <c r="E1377">
        <v>-6404.02</v>
      </c>
      <c r="F1377">
        <v>-1.1399999999999999</v>
      </c>
      <c r="G1377" t="s">
        <v>12</v>
      </c>
      <c r="I1377" t="s">
        <v>1050</v>
      </c>
    </row>
    <row r="1378" spans="1:9" hidden="1" x14ac:dyDescent="0.25">
      <c r="A1378" t="s">
        <v>1209</v>
      </c>
      <c r="B1378" t="s">
        <v>126</v>
      </c>
      <c r="C1378" s="2">
        <f>HYPERLINK("https://cao.dolgi.msk.ru/account/1080266902/", 1080266902)</f>
        <v>1080266902</v>
      </c>
      <c r="D1378" t="s">
        <v>1259</v>
      </c>
      <c r="E1378">
        <v>-540.23</v>
      </c>
      <c r="F1378">
        <v>-0.12</v>
      </c>
      <c r="G1378" t="s">
        <v>12</v>
      </c>
      <c r="I1378" t="s">
        <v>1050</v>
      </c>
    </row>
    <row r="1379" spans="1:9" hidden="1" x14ac:dyDescent="0.25">
      <c r="A1379" t="s">
        <v>1209</v>
      </c>
      <c r="B1379" t="s">
        <v>128</v>
      </c>
      <c r="C1379" s="2">
        <f>HYPERLINK("https://cao.dolgi.msk.ru/account/1080266929/", 1080266929)</f>
        <v>1080266929</v>
      </c>
      <c r="D1379" t="s">
        <v>1260</v>
      </c>
      <c r="E1379">
        <v>-5675.93</v>
      </c>
      <c r="F1379">
        <v>-0.92</v>
      </c>
      <c r="G1379" t="s">
        <v>12</v>
      </c>
      <c r="I1379" t="s">
        <v>1050</v>
      </c>
    </row>
    <row r="1380" spans="1:9" hidden="1" x14ac:dyDescent="0.25">
      <c r="A1380" t="s">
        <v>1209</v>
      </c>
      <c r="B1380" t="s">
        <v>130</v>
      </c>
      <c r="C1380" s="2">
        <f>HYPERLINK("https://cao.dolgi.msk.ru/account/1080266937/", 1080266937)</f>
        <v>1080266937</v>
      </c>
      <c r="D1380" t="s">
        <v>1261</v>
      </c>
      <c r="E1380">
        <v>-28424.65</v>
      </c>
      <c r="F1380">
        <v>-6.92</v>
      </c>
      <c r="G1380" t="s">
        <v>12</v>
      </c>
      <c r="I1380" t="s">
        <v>1050</v>
      </c>
    </row>
    <row r="1381" spans="1:9" hidden="1" x14ac:dyDescent="0.25">
      <c r="A1381" t="s">
        <v>1209</v>
      </c>
      <c r="B1381" t="s">
        <v>132</v>
      </c>
      <c r="C1381" s="2">
        <f>HYPERLINK("https://cao.dolgi.msk.ru/account/1080266945/", 1080266945)</f>
        <v>1080266945</v>
      </c>
      <c r="D1381" t="s">
        <v>1262</v>
      </c>
      <c r="E1381">
        <v>-213.81</v>
      </c>
      <c r="F1381">
        <v>-0.04</v>
      </c>
      <c r="G1381" t="s">
        <v>12</v>
      </c>
      <c r="I1381" t="s">
        <v>1050</v>
      </c>
    </row>
    <row r="1382" spans="1:9" hidden="1" x14ac:dyDescent="0.25">
      <c r="A1382" t="s">
        <v>1263</v>
      </c>
      <c r="B1382" t="s">
        <v>10</v>
      </c>
      <c r="C1382" s="2">
        <f>HYPERLINK("https://cao.dolgi.msk.ru/account/1080284414/", 1080284414)</f>
        <v>1080284414</v>
      </c>
      <c r="D1382" t="s">
        <v>1264</v>
      </c>
      <c r="E1382">
        <v>-2120.83</v>
      </c>
      <c r="G1382" t="s">
        <v>14</v>
      </c>
      <c r="I1382" t="s">
        <v>1050</v>
      </c>
    </row>
    <row r="1383" spans="1:9" hidden="1" x14ac:dyDescent="0.25">
      <c r="A1383" t="s">
        <v>1263</v>
      </c>
      <c r="B1383" t="s">
        <v>10</v>
      </c>
      <c r="C1383" s="2">
        <f>HYPERLINK("https://cao.dolgi.msk.ru/account/1080284422/", 1080284422)</f>
        <v>1080284422</v>
      </c>
      <c r="D1383" t="s">
        <v>1265</v>
      </c>
      <c r="E1383">
        <v>-5956.24</v>
      </c>
      <c r="F1383">
        <v>-0.96</v>
      </c>
      <c r="G1383" t="s">
        <v>12</v>
      </c>
      <c r="I1383" t="s">
        <v>1050</v>
      </c>
    </row>
    <row r="1384" spans="1:9" x14ac:dyDescent="0.25">
      <c r="A1384" t="s">
        <v>1263</v>
      </c>
      <c r="B1384" t="s">
        <v>16</v>
      </c>
      <c r="C1384" s="2">
        <f>HYPERLINK("https://cao.dolgi.msk.ru/account/1080284473/", 1080284473)</f>
        <v>1080284473</v>
      </c>
      <c r="D1384" t="s">
        <v>62</v>
      </c>
      <c r="E1384">
        <v>112762.16</v>
      </c>
      <c r="F1384">
        <v>47.48</v>
      </c>
      <c r="G1384" t="s">
        <v>12</v>
      </c>
      <c r="H1384" t="s">
        <v>7</v>
      </c>
      <c r="I1384" t="s">
        <v>1050</v>
      </c>
    </row>
    <row r="1385" spans="1:9" hidden="1" x14ac:dyDescent="0.25">
      <c r="A1385" t="s">
        <v>1263</v>
      </c>
      <c r="B1385" t="s">
        <v>16</v>
      </c>
      <c r="C1385" s="2">
        <f>HYPERLINK("https://cao.dolgi.msk.ru/account/1080284481/", 1080284481)</f>
        <v>1080284481</v>
      </c>
      <c r="D1385" t="s">
        <v>1266</v>
      </c>
      <c r="E1385">
        <v>-3913.65</v>
      </c>
      <c r="F1385">
        <v>-0.93</v>
      </c>
      <c r="G1385" t="s">
        <v>12</v>
      </c>
      <c r="H1385" t="s">
        <v>7</v>
      </c>
      <c r="I1385" t="s">
        <v>1050</v>
      </c>
    </row>
    <row r="1386" spans="1:9" x14ac:dyDescent="0.25">
      <c r="A1386" t="s">
        <v>1263</v>
      </c>
      <c r="B1386" t="s">
        <v>18</v>
      </c>
      <c r="C1386" s="2">
        <f>HYPERLINK("https://cao.dolgi.msk.ru/account/1080284502/", 1080284502)</f>
        <v>1080284502</v>
      </c>
      <c r="D1386" t="s">
        <v>1267</v>
      </c>
      <c r="E1386">
        <v>11577.46</v>
      </c>
      <c r="F1386">
        <v>4</v>
      </c>
      <c r="G1386" t="s">
        <v>12</v>
      </c>
      <c r="H1386" t="s">
        <v>7</v>
      </c>
      <c r="I1386" t="s">
        <v>1050</v>
      </c>
    </row>
    <row r="1387" spans="1:9" hidden="1" x14ac:dyDescent="0.25">
      <c r="A1387" t="s">
        <v>1263</v>
      </c>
      <c r="B1387" t="s">
        <v>18</v>
      </c>
      <c r="C1387" s="2">
        <f>HYPERLINK("https://cao.dolgi.msk.ru/account/1080284529/", 1080284529)</f>
        <v>1080284529</v>
      </c>
      <c r="D1387" t="s">
        <v>1268</v>
      </c>
      <c r="E1387">
        <v>429.77</v>
      </c>
      <c r="F1387">
        <v>0.13</v>
      </c>
      <c r="G1387" t="s">
        <v>12</v>
      </c>
      <c r="H1387" t="s">
        <v>7</v>
      </c>
      <c r="I1387" t="s">
        <v>1050</v>
      </c>
    </row>
    <row r="1388" spans="1:9" hidden="1" x14ac:dyDescent="0.25">
      <c r="A1388" t="s">
        <v>1263</v>
      </c>
      <c r="B1388" t="s">
        <v>18</v>
      </c>
      <c r="C1388" s="2">
        <f>HYPERLINK("https://cao.dolgi.msk.ru/account/1080284537/", 1080284537)</f>
        <v>1080284537</v>
      </c>
      <c r="D1388" t="s">
        <v>1268</v>
      </c>
      <c r="E1388">
        <v>-2717.37</v>
      </c>
      <c r="F1388">
        <v>-0.97</v>
      </c>
      <c r="G1388" t="s">
        <v>12</v>
      </c>
      <c r="H1388" t="s">
        <v>7</v>
      </c>
      <c r="I1388" t="s">
        <v>1050</v>
      </c>
    </row>
    <row r="1389" spans="1:9" hidden="1" x14ac:dyDescent="0.25">
      <c r="A1389" t="s">
        <v>1263</v>
      </c>
      <c r="B1389" t="s">
        <v>20</v>
      </c>
      <c r="C1389" s="2">
        <f>HYPERLINK("https://cao.dolgi.msk.ru/account/1080284545/", 1080284545)</f>
        <v>1080284545</v>
      </c>
      <c r="D1389" t="s">
        <v>1269</v>
      </c>
      <c r="E1389">
        <v>-4170.66</v>
      </c>
      <c r="F1389">
        <v>-0.71</v>
      </c>
      <c r="G1389" t="s">
        <v>12</v>
      </c>
      <c r="H1389" t="s">
        <v>7</v>
      </c>
      <c r="I1389" t="s">
        <v>1050</v>
      </c>
    </row>
    <row r="1390" spans="1:9" hidden="1" x14ac:dyDescent="0.25">
      <c r="A1390" t="s">
        <v>1263</v>
      </c>
      <c r="B1390" t="s">
        <v>20</v>
      </c>
      <c r="C1390" s="2">
        <f>HYPERLINK("https://cao.dolgi.msk.ru/account/1080284553/", 1080284553)</f>
        <v>1080284553</v>
      </c>
      <c r="D1390" t="s">
        <v>15</v>
      </c>
      <c r="E1390">
        <v>-1120.3699999999999</v>
      </c>
      <c r="F1390">
        <v>-0.88</v>
      </c>
      <c r="G1390" t="s">
        <v>12</v>
      </c>
      <c r="H1390" t="s">
        <v>7</v>
      </c>
      <c r="I1390" t="s">
        <v>1050</v>
      </c>
    </row>
    <row r="1391" spans="1:9" hidden="1" x14ac:dyDescent="0.25">
      <c r="A1391" t="s">
        <v>1263</v>
      </c>
      <c r="B1391" t="s">
        <v>21</v>
      </c>
      <c r="C1391" s="2">
        <f>HYPERLINK("https://cao.dolgi.msk.ru/account/1080284588/", 1080284588)</f>
        <v>1080284588</v>
      </c>
      <c r="D1391" t="s">
        <v>15</v>
      </c>
      <c r="E1391">
        <v>-1225.19</v>
      </c>
      <c r="G1391" t="s">
        <v>14</v>
      </c>
      <c r="H1391" t="s">
        <v>7</v>
      </c>
      <c r="I1391" t="s">
        <v>1050</v>
      </c>
    </row>
    <row r="1392" spans="1:9" hidden="1" x14ac:dyDescent="0.25">
      <c r="A1392" t="s">
        <v>1263</v>
      </c>
      <c r="B1392" t="s">
        <v>21</v>
      </c>
      <c r="C1392" s="2">
        <f>HYPERLINK("https://cao.dolgi.msk.ru/account/1080284596/", 1080284596)</f>
        <v>1080284596</v>
      </c>
      <c r="D1392" t="s">
        <v>1270</v>
      </c>
      <c r="E1392">
        <v>-3824.33</v>
      </c>
      <c r="F1392">
        <v>-1.17</v>
      </c>
      <c r="G1392" t="s">
        <v>12</v>
      </c>
      <c r="H1392" t="s">
        <v>7</v>
      </c>
      <c r="I1392" t="s">
        <v>1050</v>
      </c>
    </row>
    <row r="1393" spans="1:9" hidden="1" x14ac:dyDescent="0.25">
      <c r="A1393" t="s">
        <v>1263</v>
      </c>
      <c r="B1393" t="s">
        <v>21</v>
      </c>
      <c r="C1393" s="2">
        <f>HYPERLINK("https://cao.dolgi.msk.ru/account/1080284609/", 1080284609)</f>
        <v>1080284609</v>
      </c>
      <c r="D1393" t="s">
        <v>1271</v>
      </c>
      <c r="E1393">
        <v>-5191.76</v>
      </c>
      <c r="F1393">
        <v>-1.23</v>
      </c>
      <c r="G1393" t="s">
        <v>12</v>
      </c>
      <c r="H1393" t="s">
        <v>7</v>
      </c>
      <c r="I1393" t="s">
        <v>1050</v>
      </c>
    </row>
    <row r="1394" spans="1:9" hidden="1" x14ac:dyDescent="0.25">
      <c r="A1394" t="s">
        <v>1263</v>
      </c>
      <c r="B1394" t="s">
        <v>22</v>
      </c>
      <c r="C1394" s="2">
        <f>HYPERLINK("https://cao.dolgi.msk.ru/account/1080284617/", 1080284617)</f>
        <v>1080284617</v>
      </c>
      <c r="D1394" t="s">
        <v>1272</v>
      </c>
      <c r="E1394">
        <v>125.63</v>
      </c>
      <c r="G1394" t="s">
        <v>14</v>
      </c>
      <c r="I1394" t="s">
        <v>1050</v>
      </c>
    </row>
    <row r="1395" spans="1:9" x14ac:dyDescent="0.25">
      <c r="A1395" t="s">
        <v>1263</v>
      </c>
      <c r="B1395" t="s">
        <v>22</v>
      </c>
      <c r="C1395" s="2">
        <f>HYPERLINK("https://cao.dolgi.msk.ru/account/1080284625/", 1080284625)</f>
        <v>1080284625</v>
      </c>
      <c r="D1395" t="s">
        <v>1272</v>
      </c>
      <c r="E1395">
        <v>8606.64</v>
      </c>
      <c r="F1395">
        <v>1.1399999999999999</v>
      </c>
      <c r="G1395" t="s">
        <v>12</v>
      </c>
      <c r="I1395" t="s">
        <v>1050</v>
      </c>
    </row>
    <row r="1396" spans="1:9" hidden="1" x14ac:dyDescent="0.25">
      <c r="A1396" t="s">
        <v>1263</v>
      </c>
      <c r="B1396" t="s">
        <v>22</v>
      </c>
      <c r="C1396" s="2">
        <f>HYPERLINK("https://cao.dolgi.msk.ru/account/1080325634/", 1080325634)</f>
        <v>1080325634</v>
      </c>
      <c r="D1396" t="s">
        <v>1273</v>
      </c>
      <c r="E1396">
        <v>0</v>
      </c>
      <c r="G1396" t="s">
        <v>14</v>
      </c>
      <c r="I1396" t="s">
        <v>1050</v>
      </c>
    </row>
    <row r="1397" spans="1:9" hidden="1" x14ac:dyDescent="0.25">
      <c r="A1397" t="s">
        <v>1263</v>
      </c>
      <c r="B1397" t="s">
        <v>22</v>
      </c>
      <c r="C1397" s="2">
        <f>HYPERLINK("https://cao.dolgi.msk.ru/account/1080325642/", 1080325642)</f>
        <v>1080325642</v>
      </c>
      <c r="D1397" t="s">
        <v>15</v>
      </c>
      <c r="E1397">
        <v>0</v>
      </c>
      <c r="G1397" t="s">
        <v>14</v>
      </c>
      <c r="I1397" t="s">
        <v>1050</v>
      </c>
    </row>
    <row r="1398" spans="1:9" hidden="1" x14ac:dyDescent="0.25">
      <c r="A1398" t="s">
        <v>1263</v>
      </c>
      <c r="B1398" t="s">
        <v>23</v>
      </c>
      <c r="C1398" s="2">
        <f>HYPERLINK("https://cao.dolgi.msk.ru/account/1080284633/", 1080284633)</f>
        <v>1080284633</v>
      </c>
      <c r="D1398" t="s">
        <v>1274</v>
      </c>
      <c r="E1398">
        <v>-2911.79</v>
      </c>
      <c r="F1398">
        <v>-0.92</v>
      </c>
      <c r="G1398" t="s">
        <v>12</v>
      </c>
      <c r="H1398" t="s">
        <v>7</v>
      </c>
      <c r="I1398" t="s">
        <v>1050</v>
      </c>
    </row>
    <row r="1399" spans="1:9" hidden="1" x14ac:dyDescent="0.25">
      <c r="A1399" t="s">
        <v>1263</v>
      </c>
      <c r="B1399" t="s">
        <v>23</v>
      </c>
      <c r="C1399" s="2">
        <f>HYPERLINK("https://cao.dolgi.msk.ru/account/1080284641/", 1080284641)</f>
        <v>1080284641</v>
      </c>
      <c r="D1399" t="s">
        <v>15</v>
      </c>
      <c r="E1399">
        <v>164.18</v>
      </c>
      <c r="F1399">
        <v>0.1</v>
      </c>
      <c r="G1399" t="s">
        <v>12</v>
      </c>
      <c r="H1399" t="s">
        <v>7</v>
      </c>
      <c r="I1399" t="s">
        <v>1050</v>
      </c>
    </row>
    <row r="1400" spans="1:9" hidden="1" x14ac:dyDescent="0.25">
      <c r="A1400" t="s">
        <v>1263</v>
      </c>
      <c r="B1400" t="s">
        <v>23</v>
      </c>
      <c r="C1400" s="2">
        <f>HYPERLINK("https://cao.dolgi.msk.ru/account/1080284668/", 1080284668)</f>
        <v>1080284668</v>
      </c>
      <c r="D1400" t="s">
        <v>1274</v>
      </c>
      <c r="E1400">
        <v>-2527.83</v>
      </c>
      <c r="F1400">
        <v>-0.93</v>
      </c>
      <c r="G1400" t="s">
        <v>12</v>
      </c>
      <c r="H1400" t="s">
        <v>7</v>
      </c>
      <c r="I1400" t="s">
        <v>1050</v>
      </c>
    </row>
    <row r="1401" spans="1:9" hidden="1" x14ac:dyDescent="0.25">
      <c r="A1401" t="s">
        <v>1263</v>
      </c>
      <c r="B1401" t="s">
        <v>24</v>
      </c>
      <c r="C1401" s="2">
        <f>HYPERLINK("https://cao.dolgi.msk.ru/account/1080284676/", 1080284676)</f>
        <v>1080284676</v>
      </c>
      <c r="D1401" t="s">
        <v>15</v>
      </c>
      <c r="G1401" t="s">
        <v>14</v>
      </c>
      <c r="I1401" t="s">
        <v>1050</v>
      </c>
    </row>
    <row r="1402" spans="1:9" hidden="1" x14ac:dyDescent="0.25">
      <c r="A1402" t="s">
        <v>1263</v>
      </c>
      <c r="B1402" t="s">
        <v>24</v>
      </c>
      <c r="C1402" s="2">
        <f>HYPERLINK("https://cao.dolgi.msk.ru/account/1080284684/", 1080284684)</f>
        <v>1080284684</v>
      </c>
      <c r="D1402" t="s">
        <v>1275</v>
      </c>
      <c r="E1402">
        <v>-7179.15</v>
      </c>
      <c r="F1402">
        <v>-1.01</v>
      </c>
      <c r="G1402" t="s">
        <v>12</v>
      </c>
      <c r="I1402" t="s">
        <v>1050</v>
      </c>
    </row>
    <row r="1403" spans="1:9" hidden="1" x14ac:dyDescent="0.25">
      <c r="A1403" t="s">
        <v>1263</v>
      </c>
      <c r="B1403" t="s">
        <v>27</v>
      </c>
      <c r="C1403" s="2">
        <f>HYPERLINK("https://cao.dolgi.msk.ru/account/1080284692/", 1080284692)</f>
        <v>1080284692</v>
      </c>
      <c r="D1403" t="s">
        <v>1276</v>
      </c>
      <c r="E1403">
        <v>-5651.71</v>
      </c>
      <c r="F1403">
        <v>-0.93</v>
      </c>
      <c r="G1403" t="s">
        <v>12</v>
      </c>
      <c r="I1403" t="s">
        <v>1050</v>
      </c>
    </row>
    <row r="1404" spans="1:9" hidden="1" x14ac:dyDescent="0.25">
      <c r="A1404" t="s">
        <v>1263</v>
      </c>
      <c r="B1404" t="s">
        <v>29</v>
      </c>
      <c r="C1404" s="2">
        <f>HYPERLINK("https://cao.dolgi.msk.ru/account/1080284705/", 1080284705)</f>
        <v>1080284705</v>
      </c>
      <c r="D1404" t="s">
        <v>1277</v>
      </c>
      <c r="E1404">
        <v>-6169.68</v>
      </c>
      <c r="F1404">
        <v>-0.94</v>
      </c>
      <c r="G1404" t="s">
        <v>12</v>
      </c>
      <c r="I1404" t="s">
        <v>1050</v>
      </c>
    </row>
    <row r="1405" spans="1:9" hidden="1" x14ac:dyDescent="0.25">
      <c r="A1405" t="s">
        <v>1263</v>
      </c>
      <c r="B1405" t="s">
        <v>31</v>
      </c>
      <c r="C1405" s="2">
        <f>HYPERLINK("https://cao.dolgi.msk.ru/account/1080284713/", 1080284713)</f>
        <v>1080284713</v>
      </c>
      <c r="D1405" t="s">
        <v>1278</v>
      </c>
      <c r="E1405">
        <v>255.05</v>
      </c>
      <c r="G1405" t="s">
        <v>14</v>
      </c>
      <c r="I1405" t="s">
        <v>1050</v>
      </c>
    </row>
    <row r="1406" spans="1:9" hidden="1" x14ac:dyDescent="0.25">
      <c r="A1406" t="s">
        <v>1263</v>
      </c>
      <c r="B1406" t="s">
        <v>33</v>
      </c>
      <c r="C1406" s="2">
        <f>HYPERLINK("https://cao.dolgi.msk.ru/account/1080284721/", 1080284721)</f>
        <v>1080284721</v>
      </c>
      <c r="D1406" t="s">
        <v>1279</v>
      </c>
      <c r="E1406">
        <v>-5618.91</v>
      </c>
      <c r="F1406">
        <v>-0.93</v>
      </c>
      <c r="G1406" t="s">
        <v>12</v>
      </c>
      <c r="I1406" t="s">
        <v>1050</v>
      </c>
    </row>
    <row r="1407" spans="1:9" hidden="1" x14ac:dyDescent="0.25">
      <c r="A1407" t="s">
        <v>1263</v>
      </c>
      <c r="B1407" t="s">
        <v>34</v>
      </c>
      <c r="C1407" s="2">
        <f>HYPERLINK("https://cao.dolgi.msk.ru/account/1080284756/", 1080284756)</f>
        <v>1080284756</v>
      </c>
      <c r="D1407" t="s">
        <v>1280</v>
      </c>
      <c r="E1407">
        <v>-6629.42</v>
      </c>
      <c r="F1407">
        <v>-0.94</v>
      </c>
      <c r="G1407" t="s">
        <v>12</v>
      </c>
      <c r="I1407" t="s">
        <v>1050</v>
      </c>
    </row>
    <row r="1408" spans="1:9" hidden="1" x14ac:dyDescent="0.25">
      <c r="A1408" t="s">
        <v>1263</v>
      </c>
      <c r="B1408" t="s">
        <v>36</v>
      </c>
      <c r="C1408" s="2">
        <f>HYPERLINK("https://cao.dolgi.msk.ru/account/1080284772/", 1080284772)</f>
        <v>1080284772</v>
      </c>
      <c r="D1408" t="s">
        <v>15</v>
      </c>
      <c r="E1408">
        <v>-332.39</v>
      </c>
      <c r="F1408">
        <v>-0.08</v>
      </c>
      <c r="G1408" t="s">
        <v>12</v>
      </c>
      <c r="H1408" t="s">
        <v>7</v>
      </c>
      <c r="I1408" t="s">
        <v>1050</v>
      </c>
    </row>
    <row r="1409" spans="1:9" hidden="1" x14ac:dyDescent="0.25">
      <c r="A1409" t="s">
        <v>1263</v>
      </c>
      <c r="B1409" t="s">
        <v>36</v>
      </c>
      <c r="C1409" s="2">
        <f>HYPERLINK("https://cao.dolgi.msk.ru/account/1080284799/", 1080284799)</f>
        <v>1080284799</v>
      </c>
      <c r="D1409" t="s">
        <v>1281</v>
      </c>
      <c r="E1409">
        <v>-1222.26</v>
      </c>
      <c r="F1409">
        <v>-0.85</v>
      </c>
      <c r="G1409" t="s">
        <v>12</v>
      </c>
      <c r="H1409" t="s">
        <v>7</v>
      </c>
      <c r="I1409" t="s">
        <v>1050</v>
      </c>
    </row>
    <row r="1410" spans="1:9" hidden="1" x14ac:dyDescent="0.25">
      <c r="A1410" t="s">
        <v>1263</v>
      </c>
      <c r="B1410" t="s">
        <v>38</v>
      </c>
      <c r="C1410" s="2">
        <f>HYPERLINK("https://cao.dolgi.msk.ru/account/1080284801/", 1080284801)</f>
        <v>1080284801</v>
      </c>
      <c r="D1410" t="s">
        <v>1282</v>
      </c>
      <c r="E1410">
        <v>-3706.9</v>
      </c>
      <c r="F1410">
        <v>-0.96</v>
      </c>
      <c r="G1410" t="s">
        <v>12</v>
      </c>
      <c r="I1410" t="s">
        <v>1050</v>
      </c>
    </row>
    <row r="1411" spans="1:9" hidden="1" x14ac:dyDescent="0.25">
      <c r="A1411" t="s">
        <v>1263</v>
      </c>
      <c r="B1411" t="s">
        <v>39</v>
      </c>
      <c r="C1411" s="2">
        <f>HYPERLINK("https://cao.dolgi.msk.ru/account/1080284828/", 1080284828)</f>
        <v>1080284828</v>
      </c>
      <c r="D1411" t="s">
        <v>1283</v>
      </c>
      <c r="E1411">
        <v>81.36</v>
      </c>
      <c r="F1411">
        <v>0.06</v>
      </c>
      <c r="G1411" t="s">
        <v>12</v>
      </c>
      <c r="H1411" t="s">
        <v>7</v>
      </c>
      <c r="I1411" t="s">
        <v>1050</v>
      </c>
    </row>
    <row r="1412" spans="1:9" x14ac:dyDescent="0.25">
      <c r="A1412" t="s">
        <v>1263</v>
      </c>
      <c r="B1412" t="s">
        <v>39</v>
      </c>
      <c r="C1412" s="2">
        <f>HYPERLINK("https://cao.dolgi.msk.ru/account/1080284836/", 1080284836)</f>
        <v>1080284836</v>
      </c>
      <c r="D1412" t="s">
        <v>1284</v>
      </c>
      <c r="E1412">
        <v>11266.53</v>
      </c>
      <c r="F1412">
        <v>6.08</v>
      </c>
      <c r="G1412" t="s">
        <v>12</v>
      </c>
      <c r="H1412" t="s">
        <v>7</v>
      </c>
      <c r="I1412" t="s">
        <v>1050</v>
      </c>
    </row>
    <row r="1413" spans="1:9" hidden="1" x14ac:dyDescent="0.25">
      <c r="A1413" t="s">
        <v>1263</v>
      </c>
      <c r="B1413" t="s">
        <v>39</v>
      </c>
      <c r="C1413" s="2">
        <f>HYPERLINK("https://cao.dolgi.msk.ru/account/1080284844/", 1080284844)</f>
        <v>1080284844</v>
      </c>
      <c r="D1413" t="s">
        <v>62</v>
      </c>
      <c r="E1413">
        <v>106.08</v>
      </c>
      <c r="F1413">
        <v>7.0000000000000007E-2</v>
      </c>
      <c r="G1413" t="s">
        <v>12</v>
      </c>
      <c r="H1413" t="s">
        <v>7</v>
      </c>
      <c r="I1413" t="s">
        <v>1050</v>
      </c>
    </row>
    <row r="1414" spans="1:9" hidden="1" x14ac:dyDescent="0.25">
      <c r="A1414" t="s">
        <v>1263</v>
      </c>
      <c r="B1414" t="s">
        <v>40</v>
      </c>
      <c r="C1414" s="2">
        <f>HYPERLINK("https://cao.dolgi.msk.ru/account/1080284852/", 1080284852)</f>
        <v>1080284852</v>
      </c>
      <c r="D1414" t="s">
        <v>1285</v>
      </c>
      <c r="E1414">
        <v>-137.79</v>
      </c>
      <c r="F1414">
        <v>-0.02</v>
      </c>
      <c r="G1414" t="s">
        <v>12</v>
      </c>
      <c r="I1414" t="s">
        <v>1050</v>
      </c>
    </row>
    <row r="1415" spans="1:9" x14ac:dyDescent="0.25">
      <c r="A1415" t="s">
        <v>1263</v>
      </c>
      <c r="B1415" t="s">
        <v>41</v>
      </c>
      <c r="C1415" s="2">
        <f>HYPERLINK("https://cao.dolgi.msk.ru/account/1080284879/", 1080284879)</f>
        <v>1080284879</v>
      </c>
      <c r="D1415" t="s">
        <v>1286</v>
      </c>
      <c r="E1415">
        <v>2686.91</v>
      </c>
      <c r="F1415">
        <v>1.62</v>
      </c>
      <c r="G1415" t="s">
        <v>12</v>
      </c>
      <c r="H1415" t="s">
        <v>7</v>
      </c>
      <c r="I1415" t="s">
        <v>1050</v>
      </c>
    </row>
    <row r="1416" spans="1:9" x14ac:dyDescent="0.25">
      <c r="A1416" t="s">
        <v>1263</v>
      </c>
      <c r="B1416" t="s">
        <v>41</v>
      </c>
      <c r="C1416" s="2">
        <f>HYPERLINK("https://cao.dolgi.msk.ru/account/1080284887/", 1080284887)</f>
        <v>1080284887</v>
      </c>
      <c r="D1416" t="s">
        <v>1286</v>
      </c>
      <c r="E1416">
        <v>2794.48</v>
      </c>
      <c r="F1416">
        <v>1.03</v>
      </c>
      <c r="G1416" t="s">
        <v>12</v>
      </c>
      <c r="H1416" t="s">
        <v>7</v>
      </c>
      <c r="I1416" t="s">
        <v>1050</v>
      </c>
    </row>
    <row r="1417" spans="1:9" x14ac:dyDescent="0.25">
      <c r="A1417" t="s">
        <v>1263</v>
      </c>
      <c r="B1417" t="s">
        <v>42</v>
      </c>
      <c r="C1417" s="2">
        <f>HYPERLINK("https://cao.dolgi.msk.ru/account/1080284895/", 1080284895)</f>
        <v>1080284895</v>
      </c>
      <c r="D1417" t="s">
        <v>1287</v>
      </c>
      <c r="E1417">
        <v>25149.3</v>
      </c>
      <c r="F1417">
        <v>3.73</v>
      </c>
      <c r="G1417" t="s">
        <v>12</v>
      </c>
      <c r="I1417" t="s">
        <v>1050</v>
      </c>
    </row>
    <row r="1418" spans="1:9" hidden="1" x14ac:dyDescent="0.25">
      <c r="A1418" t="s">
        <v>1263</v>
      </c>
      <c r="B1418" t="s">
        <v>44</v>
      </c>
      <c r="C1418" s="2">
        <f>HYPERLINK("https://cao.dolgi.msk.ru/account/1080284916/", 1080284916)</f>
        <v>1080284916</v>
      </c>
      <c r="D1418" t="s">
        <v>1288</v>
      </c>
      <c r="E1418">
        <v>-1991.31</v>
      </c>
      <c r="F1418">
        <v>-0.83</v>
      </c>
      <c r="G1418" t="s">
        <v>12</v>
      </c>
      <c r="H1418" t="s">
        <v>7</v>
      </c>
      <c r="I1418" t="s">
        <v>1050</v>
      </c>
    </row>
    <row r="1419" spans="1:9" hidden="1" x14ac:dyDescent="0.25">
      <c r="A1419" t="s">
        <v>1263</v>
      </c>
      <c r="B1419" t="s">
        <v>44</v>
      </c>
      <c r="C1419" s="2">
        <f>HYPERLINK("https://cao.dolgi.msk.ru/account/1080284924/", 1080284924)</f>
        <v>1080284924</v>
      </c>
      <c r="D1419" t="s">
        <v>1288</v>
      </c>
      <c r="E1419">
        <v>-231.96</v>
      </c>
      <c r="F1419">
        <v>-0.06</v>
      </c>
      <c r="G1419" t="s">
        <v>12</v>
      </c>
      <c r="H1419" t="s">
        <v>7</v>
      </c>
      <c r="I1419" t="s">
        <v>1050</v>
      </c>
    </row>
    <row r="1420" spans="1:9" hidden="1" x14ac:dyDescent="0.25">
      <c r="A1420" t="s">
        <v>1263</v>
      </c>
      <c r="B1420" t="s">
        <v>66</v>
      </c>
      <c r="C1420" s="2">
        <f>HYPERLINK("https://cao.dolgi.msk.ru/account/1080284932/", 1080284932)</f>
        <v>1080284932</v>
      </c>
      <c r="D1420" t="s">
        <v>1289</v>
      </c>
      <c r="E1420">
        <v>-3918.18</v>
      </c>
      <c r="F1420">
        <v>-0.97</v>
      </c>
      <c r="G1420" t="s">
        <v>12</v>
      </c>
      <c r="I1420" t="s">
        <v>1050</v>
      </c>
    </row>
    <row r="1421" spans="1:9" hidden="1" x14ac:dyDescent="0.25">
      <c r="A1421" t="s">
        <v>1263</v>
      </c>
      <c r="B1421" t="s">
        <v>68</v>
      </c>
      <c r="C1421" s="2">
        <f>HYPERLINK("https://cao.dolgi.msk.ru/account/1080284748/", 1080284748)</f>
        <v>1080284748</v>
      </c>
      <c r="D1421" t="s">
        <v>15</v>
      </c>
      <c r="E1421">
        <v>-1822.41</v>
      </c>
      <c r="F1421">
        <v>-0.76</v>
      </c>
      <c r="G1421" t="s">
        <v>12</v>
      </c>
      <c r="H1421" t="s">
        <v>7</v>
      </c>
      <c r="I1421" t="s">
        <v>1050</v>
      </c>
    </row>
    <row r="1422" spans="1:9" hidden="1" x14ac:dyDescent="0.25">
      <c r="A1422" t="s">
        <v>1263</v>
      </c>
      <c r="B1422" t="s">
        <v>68</v>
      </c>
      <c r="C1422" s="2">
        <f>HYPERLINK("https://cao.dolgi.msk.ru/account/1080284959/", 1080284959)</f>
        <v>1080284959</v>
      </c>
      <c r="D1422" t="s">
        <v>1290</v>
      </c>
      <c r="E1422">
        <v>-439.46</v>
      </c>
      <c r="F1422">
        <v>-0.34</v>
      </c>
      <c r="G1422" t="s">
        <v>12</v>
      </c>
      <c r="H1422" t="s">
        <v>7</v>
      </c>
      <c r="I1422" t="s">
        <v>1050</v>
      </c>
    </row>
    <row r="1423" spans="1:9" hidden="1" x14ac:dyDescent="0.25">
      <c r="A1423" t="s">
        <v>1263</v>
      </c>
      <c r="B1423" t="s">
        <v>68</v>
      </c>
      <c r="C1423" s="2">
        <f>HYPERLINK("https://cao.dolgi.msk.ru/account/1080285046/", 1080285046)</f>
        <v>1080285046</v>
      </c>
      <c r="D1423" t="s">
        <v>1290</v>
      </c>
      <c r="E1423">
        <v>-1360.34</v>
      </c>
      <c r="F1423">
        <v>-0.96</v>
      </c>
      <c r="G1423" t="s">
        <v>12</v>
      </c>
      <c r="H1423" t="s">
        <v>7</v>
      </c>
      <c r="I1423" t="s">
        <v>1050</v>
      </c>
    </row>
    <row r="1424" spans="1:9" hidden="1" x14ac:dyDescent="0.25">
      <c r="A1424" t="s">
        <v>1263</v>
      </c>
      <c r="B1424" t="s">
        <v>68</v>
      </c>
      <c r="C1424" s="2">
        <f>HYPERLINK("https://cao.dolgi.msk.ru/account/1089123289/", 1089123289)</f>
        <v>1089123289</v>
      </c>
      <c r="D1424" t="s">
        <v>1291</v>
      </c>
      <c r="E1424">
        <v>-1938.01</v>
      </c>
      <c r="F1424">
        <v>-0.93</v>
      </c>
      <c r="G1424" t="s">
        <v>12</v>
      </c>
      <c r="H1424" t="s">
        <v>7</v>
      </c>
      <c r="I1424" t="s">
        <v>1050</v>
      </c>
    </row>
    <row r="1425" spans="1:9" hidden="1" x14ac:dyDescent="0.25">
      <c r="A1425" t="s">
        <v>1263</v>
      </c>
      <c r="B1425" t="s">
        <v>70</v>
      </c>
      <c r="C1425" s="2">
        <f>HYPERLINK("https://cao.dolgi.msk.ru/account/1080284983/", 1080284983)</f>
        <v>1080284983</v>
      </c>
      <c r="D1425" t="s">
        <v>1292</v>
      </c>
      <c r="E1425">
        <v>-3201.69</v>
      </c>
      <c r="F1425">
        <v>-0.91</v>
      </c>
      <c r="G1425" t="s">
        <v>12</v>
      </c>
      <c r="I1425" t="s">
        <v>1050</v>
      </c>
    </row>
    <row r="1426" spans="1:9" hidden="1" x14ac:dyDescent="0.25">
      <c r="A1426" t="s">
        <v>1263</v>
      </c>
      <c r="B1426" t="s">
        <v>72</v>
      </c>
      <c r="C1426" s="2">
        <f>HYPERLINK("https://cao.dolgi.msk.ru/account/1080284991/", 1080284991)</f>
        <v>1080284991</v>
      </c>
      <c r="D1426" t="s">
        <v>1293</v>
      </c>
      <c r="E1426">
        <v>-4200.53</v>
      </c>
      <c r="F1426">
        <v>-0.61</v>
      </c>
      <c r="G1426" t="s">
        <v>12</v>
      </c>
      <c r="I1426" t="s">
        <v>1050</v>
      </c>
    </row>
    <row r="1427" spans="1:9" hidden="1" x14ac:dyDescent="0.25">
      <c r="A1427" t="s">
        <v>1263</v>
      </c>
      <c r="B1427" t="s">
        <v>74</v>
      </c>
      <c r="C1427" s="2">
        <f>HYPERLINK("https://cao.dolgi.msk.ru/account/1080285003/", 1080285003)</f>
        <v>1080285003</v>
      </c>
      <c r="D1427" t="s">
        <v>1294</v>
      </c>
      <c r="E1427">
        <v>-73.05</v>
      </c>
      <c r="F1427">
        <v>-0.01</v>
      </c>
      <c r="G1427" t="s">
        <v>12</v>
      </c>
      <c r="I1427" t="s">
        <v>1050</v>
      </c>
    </row>
    <row r="1428" spans="1:9" hidden="1" x14ac:dyDescent="0.25">
      <c r="A1428" t="s">
        <v>1263</v>
      </c>
      <c r="B1428" t="s">
        <v>76</v>
      </c>
      <c r="C1428" s="2">
        <f>HYPERLINK("https://cao.dolgi.msk.ru/account/1080285011/", 1080285011)</f>
        <v>1080285011</v>
      </c>
      <c r="D1428" t="s">
        <v>1295</v>
      </c>
      <c r="E1428">
        <v>3572.15</v>
      </c>
      <c r="F1428">
        <v>0.44</v>
      </c>
      <c r="G1428" t="s">
        <v>12</v>
      </c>
      <c r="I1428" t="s">
        <v>1050</v>
      </c>
    </row>
    <row r="1429" spans="1:9" hidden="1" x14ac:dyDescent="0.25">
      <c r="A1429" t="s">
        <v>1263</v>
      </c>
      <c r="B1429" t="s">
        <v>78</v>
      </c>
      <c r="C1429" s="2">
        <f>HYPERLINK("https://cao.dolgi.msk.ru/account/1080285054/", 1080285054)</f>
        <v>1080285054</v>
      </c>
      <c r="D1429" t="s">
        <v>1296</v>
      </c>
      <c r="E1429">
        <v>-6378.63</v>
      </c>
      <c r="F1429">
        <v>-0.91</v>
      </c>
      <c r="G1429" t="s">
        <v>12</v>
      </c>
      <c r="I1429" t="s">
        <v>1050</v>
      </c>
    </row>
    <row r="1430" spans="1:9" hidden="1" x14ac:dyDescent="0.25">
      <c r="A1430" t="s">
        <v>1263</v>
      </c>
      <c r="B1430" t="s">
        <v>80</v>
      </c>
      <c r="C1430" s="2">
        <f>HYPERLINK("https://cao.dolgi.msk.ru/account/1080285062/", 1080285062)</f>
        <v>1080285062</v>
      </c>
      <c r="D1430" t="s">
        <v>1297</v>
      </c>
      <c r="E1430">
        <v>-8169.92</v>
      </c>
      <c r="F1430">
        <v>-0.95</v>
      </c>
      <c r="G1430" t="s">
        <v>12</v>
      </c>
      <c r="I1430" t="s">
        <v>1050</v>
      </c>
    </row>
    <row r="1431" spans="1:9" hidden="1" x14ac:dyDescent="0.25">
      <c r="A1431" t="s">
        <v>1263</v>
      </c>
      <c r="B1431" t="s">
        <v>82</v>
      </c>
      <c r="C1431" s="2">
        <f>HYPERLINK("https://cao.dolgi.msk.ru/account/1080264499/", 1080264499)</f>
        <v>1080264499</v>
      </c>
      <c r="D1431" t="s">
        <v>1298</v>
      </c>
      <c r="E1431">
        <v>-1600.48</v>
      </c>
      <c r="F1431">
        <v>-0.96</v>
      </c>
      <c r="G1431" t="s">
        <v>12</v>
      </c>
      <c r="H1431" t="s">
        <v>7</v>
      </c>
      <c r="I1431" t="s">
        <v>1050</v>
      </c>
    </row>
    <row r="1432" spans="1:9" hidden="1" x14ac:dyDescent="0.25">
      <c r="A1432" t="s">
        <v>1263</v>
      </c>
      <c r="B1432" t="s">
        <v>82</v>
      </c>
      <c r="C1432" s="2">
        <f>HYPERLINK("https://cao.dolgi.msk.ru/account/1080285089/", 1080285089)</f>
        <v>1080285089</v>
      </c>
      <c r="D1432" t="s">
        <v>1299</v>
      </c>
      <c r="E1432">
        <v>-3258.69</v>
      </c>
      <c r="F1432">
        <v>-1.1200000000000001</v>
      </c>
      <c r="G1432" t="s">
        <v>12</v>
      </c>
      <c r="H1432" t="s">
        <v>7</v>
      </c>
      <c r="I1432" t="s">
        <v>1050</v>
      </c>
    </row>
    <row r="1433" spans="1:9" x14ac:dyDescent="0.25">
      <c r="A1433" t="s">
        <v>1263</v>
      </c>
      <c r="B1433" t="s">
        <v>84</v>
      </c>
      <c r="C1433" s="2">
        <f>HYPERLINK("https://cao.dolgi.msk.ru/account/1080284908/", 1080284908)</f>
        <v>1080284908</v>
      </c>
      <c r="D1433" t="s">
        <v>1300</v>
      </c>
      <c r="E1433">
        <v>4766.63</v>
      </c>
      <c r="F1433">
        <v>1.23</v>
      </c>
      <c r="G1433" t="s">
        <v>12</v>
      </c>
      <c r="H1433" t="s">
        <v>7</v>
      </c>
      <c r="I1433" t="s">
        <v>1050</v>
      </c>
    </row>
    <row r="1434" spans="1:9" hidden="1" x14ac:dyDescent="0.25">
      <c r="A1434" t="s">
        <v>1263</v>
      </c>
      <c r="B1434" t="s">
        <v>84</v>
      </c>
      <c r="C1434" s="2">
        <f>HYPERLINK("https://cao.dolgi.msk.ru/account/1080285118/", 1080285118)</f>
        <v>1080285118</v>
      </c>
      <c r="D1434" t="s">
        <v>1301</v>
      </c>
      <c r="E1434">
        <v>-3143.95</v>
      </c>
      <c r="F1434">
        <v>-0.76</v>
      </c>
      <c r="G1434" t="s">
        <v>12</v>
      </c>
      <c r="H1434" t="s">
        <v>7</v>
      </c>
      <c r="I1434" t="s">
        <v>1050</v>
      </c>
    </row>
    <row r="1435" spans="1:9" hidden="1" x14ac:dyDescent="0.25">
      <c r="A1435" t="s">
        <v>1302</v>
      </c>
      <c r="B1435" t="s">
        <v>10</v>
      </c>
      <c r="C1435" s="2">
        <f>HYPERLINK("https://cao.dolgi.msk.ru/account/1080285126/", 1080285126)</f>
        <v>1080285126</v>
      </c>
      <c r="D1435" t="s">
        <v>1303</v>
      </c>
      <c r="E1435">
        <v>1336.43</v>
      </c>
      <c r="F1435">
        <v>0.36</v>
      </c>
      <c r="G1435" t="s">
        <v>12</v>
      </c>
      <c r="I1435" t="s">
        <v>1050</v>
      </c>
    </row>
    <row r="1436" spans="1:9" hidden="1" x14ac:dyDescent="0.25">
      <c r="A1436" t="s">
        <v>1302</v>
      </c>
      <c r="B1436" t="s">
        <v>16</v>
      </c>
      <c r="C1436" s="2">
        <f>HYPERLINK("https://cao.dolgi.msk.ru/account/1080285134/", 1080285134)</f>
        <v>1080285134</v>
      </c>
      <c r="D1436" t="s">
        <v>1304</v>
      </c>
      <c r="G1436" t="s">
        <v>14</v>
      </c>
      <c r="I1436" t="s">
        <v>1050</v>
      </c>
    </row>
    <row r="1437" spans="1:9" hidden="1" x14ac:dyDescent="0.25">
      <c r="A1437" t="s">
        <v>1302</v>
      </c>
      <c r="B1437" t="s">
        <v>16</v>
      </c>
      <c r="C1437" s="2">
        <f>HYPERLINK("https://cao.dolgi.msk.ru/account/1080285142/", 1080285142)</f>
        <v>1080285142</v>
      </c>
      <c r="D1437" t="s">
        <v>1304</v>
      </c>
      <c r="E1437">
        <v>0</v>
      </c>
      <c r="F1437">
        <v>0</v>
      </c>
      <c r="G1437" t="s">
        <v>12</v>
      </c>
      <c r="H1437" t="s">
        <v>7</v>
      </c>
      <c r="I1437" t="s">
        <v>1050</v>
      </c>
    </row>
    <row r="1438" spans="1:9" hidden="1" x14ac:dyDescent="0.25">
      <c r="A1438" t="s">
        <v>1302</v>
      </c>
      <c r="B1438" t="s">
        <v>18</v>
      </c>
      <c r="C1438" s="2">
        <f>HYPERLINK("https://cao.dolgi.msk.ru/account/1080285169/", 1080285169)</f>
        <v>1080285169</v>
      </c>
      <c r="D1438" t="s">
        <v>1305</v>
      </c>
      <c r="E1438">
        <v>134.46</v>
      </c>
      <c r="F1438">
        <v>0.01</v>
      </c>
      <c r="G1438" t="s">
        <v>12</v>
      </c>
      <c r="I1438" t="s">
        <v>1050</v>
      </c>
    </row>
    <row r="1439" spans="1:9" hidden="1" x14ac:dyDescent="0.25">
      <c r="A1439" t="s">
        <v>1302</v>
      </c>
      <c r="B1439" t="s">
        <v>20</v>
      </c>
      <c r="C1439" s="2">
        <f>HYPERLINK("https://cao.dolgi.msk.ru/account/1080285177/", 1080285177)</f>
        <v>1080285177</v>
      </c>
      <c r="D1439" t="s">
        <v>1306</v>
      </c>
      <c r="E1439">
        <v>-9915.4</v>
      </c>
      <c r="F1439">
        <v>-0.99</v>
      </c>
      <c r="G1439" t="s">
        <v>12</v>
      </c>
      <c r="I1439" t="s">
        <v>1050</v>
      </c>
    </row>
    <row r="1440" spans="1:9" hidden="1" x14ac:dyDescent="0.25">
      <c r="A1440" t="s">
        <v>1302</v>
      </c>
      <c r="B1440" t="s">
        <v>21</v>
      </c>
      <c r="C1440" s="2">
        <f>HYPERLINK("https://cao.dolgi.msk.ru/account/1080285185/", 1080285185)</f>
        <v>1080285185</v>
      </c>
      <c r="D1440" t="s">
        <v>1307</v>
      </c>
      <c r="E1440">
        <v>-8734.75</v>
      </c>
      <c r="F1440">
        <v>-0.99</v>
      </c>
      <c r="G1440" t="s">
        <v>12</v>
      </c>
      <c r="I1440" t="s">
        <v>1050</v>
      </c>
    </row>
    <row r="1441" spans="1:9" hidden="1" x14ac:dyDescent="0.25">
      <c r="A1441" t="s">
        <v>1302</v>
      </c>
      <c r="B1441" t="s">
        <v>22</v>
      </c>
      <c r="C1441" s="2">
        <f>HYPERLINK("https://cao.dolgi.msk.ru/account/1080285193/", 1080285193)</f>
        <v>1080285193</v>
      </c>
      <c r="D1441" t="s">
        <v>1308</v>
      </c>
      <c r="E1441">
        <v>-422.9</v>
      </c>
      <c r="F1441">
        <v>-0.17</v>
      </c>
      <c r="G1441" t="s">
        <v>12</v>
      </c>
      <c r="H1441" t="s">
        <v>7</v>
      </c>
      <c r="I1441" t="s">
        <v>1050</v>
      </c>
    </row>
    <row r="1442" spans="1:9" hidden="1" x14ac:dyDescent="0.25">
      <c r="A1442" t="s">
        <v>1302</v>
      </c>
      <c r="B1442" t="s">
        <v>22</v>
      </c>
      <c r="C1442" s="2">
        <f>HYPERLINK("https://cao.dolgi.msk.ru/account/1080285206/", 1080285206)</f>
        <v>1080285206</v>
      </c>
      <c r="D1442" t="s">
        <v>1308</v>
      </c>
      <c r="E1442">
        <v>-5914.66</v>
      </c>
      <c r="F1442">
        <v>-1.1200000000000001</v>
      </c>
      <c r="G1442" t="s">
        <v>12</v>
      </c>
      <c r="H1442" t="s">
        <v>7</v>
      </c>
      <c r="I1442" t="s">
        <v>1050</v>
      </c>
    </row>
    <row r="1443" spans="1:9" hidden="1" x14ac:dyDescent="0.25">
      <c r="A1443" t="s">
        <v>1302</v>
      </c>
      <c r="B1443" t="s">
        <v>23</v>
      </c>
      <c r="C1443" s="2">
        <f>HYPERLINK("https://cao.dolgi.msk.ru/account/1080285214/", 1080285214)</f>
        <v>1080285214</v>
      </c>
      <c r="D1443" t="s">
        <v>1309</v>
      </c>
      <c r="E1443">
        <v>101.81</v>
      </c>
      <c r="F1443">
        <v>0.02</v>
      </c>
      <c r="G1443" t="s">
        <v>12</v>
      </c>
      <c r="I1443" t="s">
        <v>1050</v>
      </c>
    </row>
    <row r="1444" spans="1:9" hidden="1" x14ac:dyDescent="0.25">
      <c r="A1444" t="s">
        <v>1302</v>
      </c>
      <c r="B1444" t="s">
        <v>24</v>
      </c>
      <c r="C1444" s="2">
        <f>HYPERLINK("https://cao.dolgi.msk.ru/account/1080285249/", 1080285249)</f>
        <v>1080285249</v>
      </c>
      <c r="D1444" t="s">
        <v>1310</v>
      </c>
      <c r="E1444">
        <v>-6093.62</v>
      </c>
      <c r="F1444">
        <v>-0.98</v>
      </c>
      <c r="G1444" t="s">
        <v>12</v>
      </c>
      <c r="I1444" t="s">
        <v>1050</v>
      </c>
    </row>
    <row r="1445" spans="1:9" hidden="1" x14ac:dyDescent="0.25">
      <c r="A1445" t="s">
        <v>1302</v>
      </c>
      <c r="B1445" t="s">
        <v>27</v>
      </c>
      <c r="C1445" s="2">
        <f>HYPERLINK("https://cao.dolgi.msk.ru/account/1080285265/", 1080285265)</f>
        <v>1080285265</v>
      </c>
      <c r="D1445" t="s">
        <v>1311</v>
      </c>
      <c r="E1445">
        <v>0</v>
      </c>
      <c r="F1445">
        <v>0</v>
      </c>
      <c r="G1445" t="s">
        <v>12</v>
      </c>
      <c r="I1445" t="s">
        <v>1050</v>
      </c>
    </row>
    <row r="1446" spans="1:9" hidden="1" x14ac:dyDescent="0.25">
      <c r="A1446" t="s">
        <v>1302</v>
      </c>
      <c r="B1446" t="s">
        <v>29</v>
      </c>
      <c r="C1446" s="2">
        <f>HYPERLINK("https://cao.dolgi.msk.ru/account/1080285281/", 1080285281)</f>
        <v>1080285281</v>
      </c>
      <c r="D1446" t="s">
        <v>1312</v>
      </c>
      <c r="E1446">
        <v>0</v>
      </c>
      <c r="F1446">
        <v>0</v>
      </c>
      <c r="G1446" t="s">
        <v>12</v>
      </c>
      <c r="I1446" t="s">
        <v>1050</v>
      </c>
    </row>
    <row r="1447" spans="1:9" hidden="1" x14ac:dyDescent="0.25">
      <c r="A1447" t="s">
        <v>1302</v>
      </c>
      <c r="B1447" t="s">
        <v>31</v>
      </c>
      <c r="C1447" s="2">
        <f>HYPERLINK("https://cao.dolgi.msk.ru/account/1080285302/", 1080285302)</f>
        <v>1080285302</v>
      </c>
      <c r="D1447" t="s">
        <v>15</v>
      </c>
      <c r="E1447">
        <v>18.37</v>
      </c>
      <c r="F1447">
        <v>0</v>
      </c>
      <c r="G1447" t="s">
        <v>12</v>
      </c>
      <c r="I1447" t="s">
        <v>1050</v>
      </c>
    </row>
    <row r="1448" spans="1:9" hidden="1" x14ac:dyDescent="0.25">
      <c r="A1448" t="s">
        <v>1302</v>
      </c>
      <c r="B1448" t="s">
        <v>33</v>
      </c>
      <c r="C1448" s="2">
        <f>HYPERLINK("https://cao.dolgi.msk.ru/account/1080285329/", 1080285329)</f>
        <v>1080285329</v>
      </c>
      <c r="D1448" t="s">
        <v>1313</v>
      </c>
      <c r="E1448">
        <v>-2297.46</v>
      </c>
      <c r="G1448" t="s">
        <v>14</v>
      </c>
      <c r="I1448" t="s">
        <v>1050</v>
      </c>
    </row>
    <row r="1449" spans="1:9" hidden="1" x14ac:dyDescent="0.25">
      <c r="A1449" t="s">
        <v>1302</v>
      </c>
      <c r="B1449" t="s">
        <v>33</v>
      </c>
      <c r="C1449" s="2">
        <f>HYPERLINK("https://cao.dolgi.msk.ru/account/1080285337/", 1080285337)</f>
        <v>1080285337</v>
      </c>
      <c r="D1449" t="s">
        <v>15</v>
      </c>
      <c r="E1449">
        <v>-7720.46</v>
      </c>
      <c r="F1449">
        <v>-0.9</v>
      </c>
      <c r="G1449" t="s">
        <v>12</v>
      </c>
      <c r="I1449" t="s">
        <v>1050</v>
      </c>
    </row>
    <row r="1450" spans="1:9" hidden="1" x14ac:dyDescent="0.25">
      <c r="A1450" t="s">
        <v>1302</v>
      </c>
      <c r="B1450" t="s">
        <v>34</v>
      </c>
      <c r="C1450" s="2">
        <f>HYPERLINK("https://cao.dolgi.msk.ru/account/1080285345/", 1080285345)</f>
        <v>1080285345</v>
      </c>
      <c r="D1450" t="s">
        <v>1314</v>
      </c>
      <c r="E1450">
        <v>-6728.68</v>
      </c>
      <c r="F1450">
        <v>-1.18</v>
      </c>
      <c r="G1450" t="s">
        <v>12</v>
      </c>
      <c r="H1450" t="s">
        <v>7</v>
      </c>
      <c r="I1450" t="s">
        <v>1050</v>
      </c>
    </row>
    <row r="1451" spans="1:9" hidden="1" x14ac:dyDescent="0.25">
      <c r="A1451" t="s">
        <v>1302</v>
      </c>
      <c r="B1451" t="s">
        <v>34</v>
      </c>
      <c r="C1451" s="2">
        <f>HYPERLINK("https://cao.dolgi.msk.ru/account/1080285353/", 1080285353)</f>
        <v>1080285353</v>
      </c>
      <c r="D1451" t="s">
        <v>1315</v>
      </c>
      <c r="E1451">
        <v>-3179.89</v>
      </c>
      <c r="F1451">
        <v>-1.05</v>
      </c>
      <c r="G1451" t="s">
        <v>12</v>
      </c>
      <c r="H1451" t="s">
        <v>7</v>
      </c>
      <c r="I1451" t="s">
        <v>1050</v>
      </c>
    </row>
    <row r="1452" spans="1:9" hidden="1" x14ac:dyDescent="0.25">
      <c r="A1452" t="s">
        <v>1302</v>
      </c>
      <c r="B1452" t="s">
        <v>34</v>
      </c>
      <c r="C1452" s="2">
        <f>HYPERLINK("https://cao.dolgi.msk.ru/account/1080324498/", 1080324498)</f>
        <v>1080324498</v>
      </c>
      <c r="D1452" t="s">
        <v>15</v>
      </c>
      <c r="E1452">
        <v>-4269.07</v>
      </c>
      <c r="F1452">
        <v>-1.1499999999999999</v>
      </c>
      <c r="G1452" t="s">
        <v>12</v>
      </c>
      <c r="H1452" t="s">
        <v>7</v>
      </c>
      <c r="I1452" t="s">
        <v>1050</v>
      </c>
    </row>
    <row r="1453" spans="1:9" hidden="1" x14ac:dyDescent="0.25">
      <c r="A1453" t="s">
        <v>1302</v>
      </c>
      <c r="B1453" t="s">
        <v>36</v>
      </c>
      <c r="C1453" s="2">
        <f>HYPERLINK("https://cao.dolgi.msk.ru/account/1080285388/", 1080285388)</f>
        <v>1080285388</v>
      </c>
      <c r="D1453" t="s">
        <v>15</v>
      </c>
      <c r="E1453">
        <v>-7516.77</v>
      </c>
      <c r="F1453">
        <v>-1.06</v>
      </c>
      <c r="G1453" t="s">
        <v>12</v>
      </c>
      <c r="I1453" t="s">
        <v>1050</v>
      </c>
    </row>
    <row r="1454" spans="1:9" hidden="1" x14ac:dyDescent="0.25">
      <c r="A1454" t="s">
        <v>1302</v>
      </c>
      <c r="B1454" t="s">
        <v>36</v>
      </c>
      <c r="C1454" s="2">
        <f>HYPERLINK("https://cao.dolgi.msk.ru/account/1080285396/", 1080285396)</f>
        <v>1080285396</v>
      </c>
      <c r="D1454" t="s">
        <v>1316</v>
      </c>
      <c r="E1454">
        <v>3993.14</v>
      </c>
      <c r="F1454">
        <v>2</v>
      </c>
      <c r="G1454" t="s">
        <v>14</v>
      </c>
      <c r="I1454" t="s">
        <v>1050</v>
      </c>
    </row>
    <row r="1455" spans="1:9" hidden="1" x14ac:dyDescent="0.25">
      <c r="A1455" t="s">
        <v>1302</v>
      </c>
      <c r="B1455" t="s">
        <v>36</v>
      </c>
      <c r="C1455" s="2">
        <f>HYPERLINK("https://cao.dolgi.msk.ru/account/1080285409/", 1080285409)</f>
        <v>1080285409</v>
      </c>
      <c r="D1455" t="s">
        <v>1316</v>
      </c>
      <c r="E1455">
        <v>7019.17</v>
      </c>
      <c r="F1455">
        <v>2</v>
      </c>
      <c r="G1455" t="s">
        <v>14</v>
      </c>
      <c r="I1455" t="s">
        <v>1050</v>
      </c>
    </row>
    <row r="1456" spans="1:9" hidden="1" x14ac:dyDescent="0.25">
      <c r="A1456" t="s">
        <v>1302</v>
      </c>
      <c r="B1456" t="s">
        <v>38</v>
      </c>
      <c r="C1456" s="2">
        <f>HYPERLINK("https://cao.dolgi.msk.ru/account/1080285417/", 1080285417)</f>
        <v>1080285417</v>
      </c>
      <c r="D1456" t="s">
        <v>1317</v>
      </c>
      <c r="E1456">
        <v>-5711.19</v>
      </c>
      <c r="F1456">
        <v>-0.93</v>
      </c>
      <c r="G1456" t="s">
        <v>12</v>
      </c>
      <c r="I1456" t="s">
        <v>1050</v>
      </c>
    </row>
    <row r="1457" spans="1:9" x14ac:dyDescent="0.25">
      <c r="A1457" t="s">
        <v>1302</v>
      </c>
      <c r="B1457" t="s">
        <v>39</v>
      </c>
      <c r="C1457" s="2">
        <f>HYPERLINK("https://cao.dolgi.msk.ru/account/1080285425/", 1080285425)</f>
        <v>1080285425</v>
      </c>
      <c r="D1457" t="s">
        <v>1318</v>
      </c>
      <c r="E1457">
        <v>5271.49</v>
      </c>
      <c r="F1457">
        <v>1.95</v>
      </c>
      <c r="G1457" t="s">
        <v>12</v>
      </c>
      <c r="H1457" t="s">
        <v>7</v>
      </c>
      <c r="I1457" t="s">
        <v>1050</v>
      </c>
    </row>
    <row r="1458" spans="1:9" x14ac:dyDescent="0.25">
      <c r="A1458" t="s">
        <v>1302</v>
      </c>
      <c r="B1458" t="s">
        <v>39</v>
      </c>
      <c r="C1458" s="2">
        <f>HYPERLINK("https://cao.dolgi.msk.ru/account/1080285433/", 1080285433)</f>
        <v>1080285433</v>
      </c>
      <c r="D1458" t="s">
        <v>1318</v>
      </c>
      <c r="E1458">
        <v>1419.32</v>
      </c>
      <c r="F1458">
        <v>1.04</v>
      </c>
      <c r="G1458" t="s">
        <v>12</v>
      </c>
      <c r="H1458" t="s">
        <v>7</v>
      </c>
      <c r="I1458" t="s">
        <v>1050</v>
      </c>
    </row>
    <row r="1459" spans="1:9" hidden="1" x14ac:dyDescent="0.25">
      <c r="A1459" t="s">
        <v>1302</v>
      </c>
      <c r="B1459" t="s">
        <v>39</v>
      </c>
      <c r="C1459" s="2">
        <f>HYPERLINK("https://cao.dolgi.msk.ru/account/1080285441/", 1080285441)</f>
        <v>1080285441</v>
      </c>
      <c r="D1459" t="s">
        <v>1318</v>
      </c>
      <c r="E1459">
        <v>-2469.23</v>
      </c>
      <c r="F1459">
        <v>-0.84</v>
      </c>
      <c r="G1459" t="s">
        <v>12</v>
      </c>
      <c r="H1459" t="s">
        <v>7</v>
      </c>
      <c r="I1459" t="s">
        <v>1050</v>
      </c>
    </row>
    <row r="1460" spans="1:9" hidden="1" x14ac:dyDescent="0.25">
      <c r="A1460" t="s">
        <v>1302</v>
      </c>
      <c r="B1460" t="s">
        <v>40</v>
      </c>
      <c r="C1460" s="2">
        <f>HYPERLINK("https://cao.dolgi.msk.ru/account/1080285468/", 1080285468)</f>
        <v>1080285468</v>
      </c>
      <c r="D1460" t="s">
        <v>1319</v>
      </c>
      <c r="E1460">
        <v>-931.44</v>
      </c>
      <c r="F1460">
        <v>-0.15</v>
      </c>
      <c r="G1460" t="s">
        <v>12</v>
      </c>
      <c r="I1460" t="s">
        <v>1050</v>
      </c>
    </row>
    <row r="1461" spans="1:9" hidden="1" x14ac:dyDescent="0.25">
      <c r="A1461" t="s">
        <v>1302</v>
      </c>
      <c r="B1461" t="s">
        <v>41</v>
      </c>
      <c r="C1461" s="2">
        <f>HYPERLINK("https://cao.dolgi.msk.ru/account/1080285361/", 1080285361)</f>
        <v>1080285361</v>
      </c>
      <c r="D1461" t="s">
        <v>1320</v>
      </c>
      <c r="E1461">
        <v>0</v>
      </c>
      <c r="F1461">
        <v>0</v>
      </c>
      <c r="G1461" t="s">
        <v>12</v>
      </c>
      <c r="H1461" t="s">
        <v>7</v>
      </c>
      <c r="I1461" t="s">
        <v>1050</v>
      </c>
    </row>
    <row r="1462" spans="1:9" hidden="1" x14ac:dyDescent="0.25">
      <c r="A1462" t="s">
        <v>1302</v>
      </c>
      <c r="B1462" t="s">
        <v>41</v>
      </c>
      <c r="C1462" s="2">
        <f>HYPERLINK("https://cao.dolgi.msk.ru/account/1080285476/", 1080285476)</f>
        <v>1080285476</v>
      </c>
      <c r="D1462" t="s">
        <v>1082</v>
      </c>
      <c r="E1462">
        <v>-3133.24</v>
      </c>
      <c r="F1462">
        <v>-1.66</v>
      </c>
      <c r="G1462" t="s">
        <v>12</v>
      </c>
      <c r="H1462" t="s">
        <v>7</v>
      </c>
      <c r="I1462" t="s">
        <v>1050</v>
      </c>
    </row>
    <row r="1463" spans="1:9" hidden="1" x14ac:dyDescent="0.25">
      <c r="A1463" t="s">
        <v>1302</v>
      </c>
      <c r="B1463" t="s">
        <v>42</v>
      </c>
      <c r="C1463" s="2">
        <f>HYPERLINK("https://cao.dolgi.msk.ru/account/1080285484/", 1080285484)</f>
        <v>1080285484</v>
      </c>
      <c r="D1463" t="s">
        <v>1321</v>
      </c>
      <c r="E1463">
        <v>-8345.7199999999993</v>
      </c>
      <c r="F1463">
        <v>-0.99</v>
      </c>
      <c r="G1463" t="s">
        <v>12</v>
      </c>
      <c r="I1463" t="s">
        <v>1050</v>
      </c>
    </row>
    <row r="1464" spans="1:9" hidden="1" x14ac:dyDescent="0.25">
      <c r="A1464" t="s">
        <v>1302</v>
      </c>
      <c r="B1464" t="s">
        <v>44</v>
      </c>
      <c r="C1464" s="2">
        <f>HYPERLINK("https://cao.dolgi.msk.ru/account/1080285492/", 1080285492)</f>
        <v>1080285492</v>
      </c>
      <c r="D1464" t="s">
        <v>15</v>
      </c>
      <c r="E1464">
        <v>-1761.91</v>
      </c>
      <c r="F1464">
        <v>-0.97</v>
      </c>
      <c r="G1464" t="s">
        <v>12</v>
      </c>
      <c r="H1464" t="s">
        <v>7</v>
      </c>
      <c r="I1464" t="s">
        <v>1050</v>
      </c>
    </row>
    <row r="1465" spans="1:9" x14ac:dyDescent="0.25">
      <c r="A1465" t="s">
        <v>1302</v>
      </c>
      <c r="B1465" t="s">
        <v>44</v>
      </c>
      <c r="C1465" s="2">
        <f>HYPERLINK("https://cao.dolgi.msk.ru/account/1080285505/", 1080285505)</f>
        <v>1080285505</v>
      </c>
      <c r="D1465" t="s">
        <v>15</v>
      </c>
      <c r="E1465">
        <v>503072.36</v>
      </c>
      <c r="F1465">
        <v>48.78</v>
      </c>
      <c r="G1465" t="s">
        <v>12</v>
      </c>
      <c r="H1465" t="s">
        <v>7</v>
      </c>
      <c r="I1465" t="s">
        <v>1050</v>
      </c>
    </row>
    <row r="1466" spans="1:9" hidden="1" x14ac:dyDescent="0.25">
      <c r="A1466" t="s">
        <v>1302</v>
      </c>
      <c r="B1466" t="s">
        <v>44</v>
      </c>
      <c r="C1466" s="2">
        <f>HYPERLINK("https://cao.dolgi.msk.ru/account/1080285513/", 1080285513)</f>
        <v>1080285513</v>
      </c>
      <c r="D1466" t="s">
        <v>15</v>
      </c>
      <c r="E1466">
        <v>-30.16</v>
      </c>
      <c r="F1466">
        <v>-0.01</v>
      </c>
      <c r="G1466" t="s">
        <v>12</v>
      </c>
      <c r="H1466" t="s">
        <v>7</v>
      </c>
      <c r="I1466" t="s">
        <v>1050</v>
      </c>
    </row>
    <row r="1467" spans="1:9" hidden="1" x14ac:dyDescent="0.25">
      <c r="A1467" t="s">
        <v>1302</v>
      </c>
      <c r="B1467" t="s">
        <v>66</v>
      </c>
      <c r="C1467" s="2">
        <f>HYPERLINK("https://cao.dolgi.msk.ru/account/1080285521/", 1080285521)</f>
        <v>1080285521</v>
      </c>
      <c r="D1467" t="s">
        <v>1322</v>
      </c>
      <c r="E1467">
        <v>-15.9</v>
      </c>
      <c r="F1467">
        <v>0</v>
      </c>
      <c r="G1467" t="s">
        <v>12</v>
      </c>
      <c r="H1467" t="s">
        <v>7</v>
      </c>
      <c r="I1467" t="s">
        <v>1050</v>
      </c>
    </row>
    <row r="1468" spans="1:9" x14ac:dyDescent="0.25">
      <c r="A1468" t="s">
        <v>1302</v>
      </c>
      <c r="B1468" t="s">
        <v>66</v>
      </c>
      <c r="C1468" s="2">
        <f>HYPERLINK("https://cao.dolgi.msk.ru/account/1080285548/", 1080285548)</f>
        <v>1080285548</v>
      </c>
      <c r="D1468" t="s">
        <v>1322</v>
      </c>
      <c r="E1468">
        <v>6424.96</v>
      </c>
      <c r="F1468">
        <v>1.19</v>
      </c>
      <c r="G1468" t="s">
        <v>12</v>
      </c>
      <c r="H1468" t="s">
        <v>7</v>
      </c>
      <c r="I1468" t="s">
        <v>1050</v>
      </c>
    </row>
    <row r="1469" spans="1:9" hidden="1" x14ac:dyDescent="0.25">
      <c r="A1469" t="s">
        <v>1302</v>
      </c>
      <c r="B1469" t="s">
        <v>68</v>
      </c>
      <c r="C1469" s="2">
        <f>HYPERLINK("https://cao.dolgi.msk.ru/account/1080285556/", 1080285556)</f>
        <v>1080285556</v>
      </c>
      <c r="D1469" t="s">
        <v>1323</v>
      </c>
      <c r="E1469">
        <v>-9197.6200000000008</v>
      </c>
      <c r="F1469">
        <v>-1</v>
      </c>
      <c r="G1469" t="s">
        <v>12</v>
      </c>
      <c r="H1469" t="s">
        <v>7</v>
      </c>
      <c r="I1469" t="s">
        <v>1050</v>
      </c>
    </row>
    <row r="1470" spans="1:9" hidden="1" x14ac:dyDescent="0.25">
      <c r="A1470" t="s">
        <v>1302</v>
      </c>
      <c r="B1470" t="s">
        <v>68</v>
      </c>
      <c r="C1470" s="2">
        <f>HYPERLINK("https://cao.dolgi.msk.ru/account/1080285564/", 1080285564)</f>
        <v>1080285564</v>
      </c>
      <c r="D1470" t="s">
        <v>1324</v>
      </c>
      <c r="E1470">
        <v>-24342.87</v>
      </c>
      <c r="F1470">
        <v>-3.59</v>
      </c>
      <c r="G1470" t="s">
        <v>12</v>
      </c>
      <c r="H1470" t="s">
        <v>7</v>
      </c>
      <c r="I1470" t="s">
        <v>1050</v>
      </c>
    </row>
    <row r="1471" spans="1:9" hidden="1" x14ac:dyDescent="0.25">
      <c r="A1471" t="s">
        <v>1302</v>
      </c>
      <c r="B1471" t="s">
        <v>70</v>
      </c>
      <c r="C1471" s="2">
        <f>HYPERLINK("https://cao.dolgi.msk.ru/account/1080285572/", 1080285572)</f>
        <v>1080285572</v>
      </c>
      <c r="D1471" t="s">
        <v>15</v>
      </c>
      <c r="E1471">
        <v>-7964.65</v>
      </c>
      <c r="F1471">
        <v>-4.33</v>
      </c>
      <c r="G1471" t="s">
        <v>12</v>
      </c>
      <c r="H1471" t="s">
        <v>7</v>
      </c>
      <c r="I1471" t="s">
        <v>1050</v>
      </c>
    </row>
    <row r="1472" spans="1:9" hidden="1" x14ac:dyDescent="0.25">
      <c r="A1472" t="s">
        <v>1302</v>
      </c>
      <c r="B1472" t="s">
        <v>70</v>
      </c>
      <c r="C1472" s="2">
        <f>HYPERLINK("https://cao.dolgi.msk.ru/account/1080285599/", 1080285599)</f>
        <v>1080285599</v>
      </c>
      <c r="D1472" t="s">
        <v>1325</v>
      </c>
      <c r="E1472">
        <v>-4004.73</v>
      </c>
      <c r="F1472">
        <v>-0.61</v>
      </c>
      <c r="G1472" t="s">
        <v>12</v>
      </c>
      <c r="H1472" t="s">
        <v>7</v>
      </c>
      <c r="I1472" t="s">
        <v>1050</v>
      </c>
    </row>
    <row r="1473" spans="1:9" hidden="1" x14ac:dyDescent="0.25">
      <c r="A1473" t="s">
        <v>1302</v>
      </c>
      <c r="B1473" t="s">
        <v>70</v>
      </c>
      <c r="C1473" s="2">
        <f>HYPERLINK("https://cao.dolgi.msk.ru/account/1080285863/", 1080285863)</f>
        <v>1080285863</v>
      </c>
      <c r="D1473" t="s">
        <v>1325</v>
      </c>
      <c r="E1473">
        <v>-392.07</v>
      </c>
      <c r="F1473">
        <v>-0.21</v>
      </c>
      <c r="G1473" t="s">
        <v>12</v>
      </c>
      <c r="H1473" t="s">
        <v>7</v>
      </c>
      <c r="I1473" t="s">
        <v>1050</v>
      </c>
    </row>
    <row r="1474" spans="1:9" hidden="1" x14ac:dyDescent="0.25">
      <c r="A1474" t="s">
        <v>1302</v>
      </c>
      <c r="B1474" t="s">
        <v>74</v>
      </c>
      <c r="C1474" s="2">
        <f>HYPERLINK("https://cao.dolgi.msk.ru/account/1080285601/", 1080285601)</f>
        <v>1080285601</v>
      </c>
      <c r="D1474" t="s">
        <v>1326</v>
      </c>
      <c r="E1474">
        <v>-7269.85</v>
      </c>
      <c r="F1474">
        <v>-0.98</v>
      </c>
      <c r="G1474" t="s">
        <v>12</v>
      </c>
      <c r="I1474" t="s">
        <v>1050</v>
      </c>
    </row>
    <row r="1475" spans="1:9" hidden="1" x14ac:dyDescent="0.25">
      <c r="A1475" t="s">
        <v>1302</v>
      </c>
      <c r="B1475" t="s">
        <v>76</v>
      </c>
      <c r="C1475" s="2">
        <f>HYPERLINK("https://cao.dolgi.msk.ru/account/1080285628/", 1080285628)</f>
        <v>1080285628</v>
      </c>
      <c r="D1475" t="s">
        <v>1327</v>
      </c>
      <c r="E1475">
        <v>-10132.73</v>
      </c>
      <c r="F1475">
        <v>-1</v>
      </c>
      <c r="G1475" t="s">
        <v>12</v>
      </c>
      <c r="I1475" t="s">
        <v>1050</v>
      </c>
    </row>
    <row r="1476" spans="1:9" hidden="1" x14ac:dyDescent="0.25">
      <c r="A1476" t="s">
        <v>1302</v>
      </c>
      <c r="B1476" t="s">
        <v>78</v>
      </c>
      <c r="C1476" s="2">
        <f>HYPERLINK("https://cao.dolgi.msk.ru/account/1080285636/", 1080285636)</f>
        <v>1080285636</v>
      </c>
      <c r="D1476" t="s">
        <v>1328</v>
      </c>
      <c r="E1476">
        <v>-5568.69</v>
      </c>
      <c r="F1476">
        <v>-1.24</v>
      </c>
      <c r="G1476" t="s">
        <v>12</v>
      </c>
      <c r="H1476" t="s">
        <v>7</v>
      </c>
      <c r="I1476" t="s">
        <v>1050</v>
      </c>
    </row>
    <row r="1477" spans="1:9" hidden="1" x14ac:dyDescent="0.25">
      <c r="A1477" t="s">
        <v>1302</v>
      </c>
      <c r="B1477" t="s">
        <v>78</v>
      </c>
      <c r="C1477" s="2">
        <f>HYPERLINK("https://cao.dolgi.msk.ru/account/1080285644/", 1080285644)</f>
        <v>1080285644</v>
      </c>
      <c r="D1477" t="s">
        <v>1328</v>
      </c>
      <c r="E1477">
        <v>-3284.12</v>
      </c>
      <c r="F1477">
        <v>-1.26</v>
      </c>
      <c r="G1477" t="s">
        <v>12</v>
      </c>
      <c r="H1477" t="s">
        <v>7</v>
      </c>
      <c r="I1477" t="s">
        <v>1050</v>
      </c>
    </row>
    <row r="1478" spans="1:9" hidden="1" x14ac:dyDescent="0.25">
      <c r="A1478" t="s">
        <v>1302</v>
      </c>
      <c r="B1478" t="s">
        <v>80</v>
      </c>
      <c r="C1478" s="2">
        <f>HYPERLINK("https://cao.dolgi.msk.ru/account/1080285652/", 1080285652)</f>
        <v>1080285652</v>
      </c>
      <c r="D1478" t="s">
        <v>1329</v>
      </c>
      <c r="E1478">
        <v>-443.55</v>
      </c>
      <c r="F1478">
        <v>-0.08</v>
      </c>
      <c r="G1478" t="s">
        <v>12</v>
      </c>
      <c r="I1478" t="s">
        <v>1050</v>
      </c>
    </row>
    <row r="1479" spans="1:9" hidden="1" x14ac:dyDescent="0.25">
      <c r="A1479" t="s">
        <v>1302</v>
      </c>
      <c r="B1479" t="s">
        <v>82</v>
      </c>
      <c r="C1479" s="2">
        <f>HYPERLINK("https://cao.dolgi.msk.ru/account/1080285679/", 1080285679)</f>
        <v>1080285679</v>
      </c>
      <c r="D1479" t="s">
        <v>1330</v>
      </c>
      <c r="E1479">
        <v>-8885.4599999999991</v>
      </c>
      <c r="F1479">
        <v>-0.99</v>
      </c>
      <c r="G1479" t="s">
        <v>12</v>
      </c>
      <c r="I1479" t="s">
        <v>1050</v>
      </c>
    </row>
    <row r="1480" spans="1:9" hidden="1" x14ac:dyDescent="0.25">
      <c r="A1480" t="s">
        <v>1302</v>
      </c>
      <c r="B1480" t="s">
        <v>84</v>
      </c>
      <c r="C1480" s="2">
        <f>HYPERLINK("https://cao.dolgi.msk.ru/account/1080285687/", 1080285687)</f>
        <v>1080285687</v>
      </c>
      <c r="D1480" t="s">
        <v>1331</v>
      </c>
      <c r="E1480">
        <v>0</v>
      </c>
      <c r="F1480">
        <v>0</v>
      </c>
      <c r="G1480" t="s">
        <v>12</v>
      </c>
      <c r="I1480" t="s">
        <v>1050</v>
      </c>
    </row>
    <row r="1481" spans="1:9" hidden="1" x14ac:dyDescent="0.25">
      <c r="A1481" t="s">
        <v>1302</v>
      </c>
      <c r="B1481" t="s">
        <v>86</v>
      </c>
      <c r="C1481" s="2">
        <f>HYPERLINK("https://cao.dolgi.msk.ru/account/1080285695/", 1080285695)</f>
        <v>1080285695</v>
      </c>
      <c r="D1481" t="s">
        <v>1332</v>
      </c>
      <c r="E1481">
        <v>-9134.0499999999993</v>
      </c>
      <c r="F1481">
        <v>-0.99</v>
      </c>
      <c r="G1481" t="s">
        <v>12</v>
      </c>
      <c r="I1481" t="s">
        <v>1050</v>
      </c>
    </row>
    <row r="1482" spans="1:9" hidden="1" x14ac:dyDescent="0.25">
      <c r="A1482" t="s">
        <v>1302</v>
      </c>
      <c r="B1482" t="s">
        <v>88</v>
      </c>
      <c r="C1482" s="2">
        <f>HYPERLINK("https://cao.dolgi.msk.ru/account/1080285708/", 1080285708)</f>
        <v>1080285708</v>
      </c>
      <c r="D1482" t="s">
        <v>1333</v>
      </c>
      <c r="E1482">
        <v>-6860.63</v>
      </c>
      <c r="F1482">
        <v>-0.98</v>
      </c>
      <c r="G1482" t="s">
        <v>12</v>
      </c>
      <c r="I1482" t="s">
        <v>1050</v>
      </c>
    </row>
    <row r="1483" spans="1:9" hidden="1" x14ac:dyDescent="0.25">
      <c r="A1483" t="s">
        <v>1302</v>
      </c>
      <c r="B1483" t="s">
        <v>88</v>
      </c>
      <c r="C1483" s="2">
        <f>HYPERLINK("https://cao.dolgi.msk.ru/account/1080286292/", 1080286292)</f>
        <v>1080286292</v>
      </c>
      <c r="D1483" t="s">
        <v>1334</v>
      </c>
      <c r="G1483" t="s">
        <v>14</v>
      </c>
      <c r="I1483" t="s">
        <v>1050</v>
      </c>
    </row>
    <row r="1484" spans="1:9" hidden="1" x14ac:dyDescent="0.25">
      <c r="A1484" t="s">
        <v>1302</v>
      </c>
      <c r="B1484" t="s">
        <v>90</v>
      </c>
      <c r="C1484" s="2">
        <f>HYPERLINK("https://cao.dolgi.msk.ru/account/1080285724/", 1080285724)</f>
        <v>1080285724</v>
      </c>
      <c r="D1484" t="s">
        <v>1335</v>
      </c>
      <c r="E1484">
        <v>-8071.68</v>
      </c>
      <c r="F1484">
        <v>-0.98</v>
      </c>
      <c r="G1484" t="s">
        <v>12</v>
      </c>
      <c r="I1484" t="s">
        <v>1050</v>
      </c>
    </row>
    <row r="1485" spans="1:9" hidden="1" x14ac:dyDescent="0.25">
      <c r="A1485" t="s">
        <v>1302</v>
      </c>
      <c r="B1485" t="s">
        <v>92</v>
      </c>
      <c r="C1485" s="2">
        <f>HYPERLINK("https://cao.dolgi.msk.ru/account/1080285732/", 1080285732)</f>
        <v>1080285732</v>
      </c>
      <c r="D1485" t="s">
        <v>1336</v>
      </c>
      <c r="E1485">
        <v>-5676.25</v>
      </c>
      <c r="F1485">
        <v>-1.04</v>
      </c>
      <c r="G1485" t="s">
        <v>12</v>
      </c>
      <c r="I1485" t="s">
        <v>1050</v>
      </c>
    </row>
    <row r="1486" spans="1:9" hidden="1" x14ac:dyDescent="0.25">
      <c r="A1486" t="s">
        <v>1302</v>
      </c>
      <c r="B1486" t="s">
        <v>94</v>
      </c>
      <c r="C1486" s="2">
        <f>HYPERLINK("https://cao.dolgi.msk.ru/account/1080285759/", 1080285759)</f>
        <v>1080285759</v>
      </c>
      <c r="D1486" t="s">
        <v>1337</v>
      </c>
      <c r="E1486">
        <v>-1921.95</v>
      </c>
      <c r="F1486">
        <v>-0.31</v>
      </c>
      <c r="G1486" t="s">
        <v>12</v>
      </c>
      <c r="I1486" t="s">
        <v>1050</v>
      </c>
    </row>
    <row r="1487" spans="1:9" hidden="1" x14ac:dyDescent="0.25">
      <c r="A1487" t="s">
        <v>1302</v>
      </c>
      <c r="B1487" t="s">
        <v>96</v>
      </c>
      <c r="C1487" s="2">
        <f>HYPERLINK("https://cao.dolgi.msk.ru/account/1080285767/", 1080285767)</f>
        <v>1080285767</v>
      </c>
      <c r="D1487" t="s">
        <v>15</v>
      </c>
      <c r="G1487" t="s">
        <v>14</v>
      </c>
      <c r="I1487" t="s">
        <v>1050</v>
      </c>
    </row>
    <row r="1488" spans="1:9" hidden="1" x14ac:dyDescent="0.25">
      <c r="A1488" t="s">
        <v>1302</v>
      </c>
      <c r="B1488" t="s">
        <v>96</v>
      </c>
      <c r="C1488" s="2">
        <f>HYPERLINK("https://cao.dolgi.msk.ru/account/1080285775/", 1080285775)</f>
        <v>1080285775</v>
      </c>
      <c r="D1488" t="s">
        <v>1338</v>
      </c>
      <c r="E1488">
        <v>-6896.53</v>
      </c>
      <c r="F1488">
        <v>-0.9</v>
      </c>
      <c r="G1488" t="s">
        <v>12</v>
      </c>
      <c r="I1488" t="s">
        <v>1050</v>
      </c>
    </row>
    <row r="1489" spans="1:9" hidden="1" x14ac:dyDescent="0.25">
      <c r="A1489" t="s">
        <v>1302</v>
      </c>
      <c r="B1489" t="s">
        <v>96</v>
      </c>
      <c r="C1489" s="2">
        <f>HYPERLINK("https://cao.dolgi.msk.ru/account/1080285783/", 1080285783)</f>
        <v>1080285783</v>
      </c>
      <c r="D1489" t="s">
        <v>1338</v>
      </c>
      <c r="E1489">
        <v>0</v>
      </c>
      <c r="G1489" t="s">
        <v>14</v>
      </c>
      <c r="I1489" t="s">
        <v>1050</v>
      </c>
    </row>
    <row r="1490" spans="1:9" hidden="1" x14ac:dyDescent="0.25">
      <c r="A1490" t="s">
        <v>1302</v>
      </c>
      <c r="B1490" t="s">
        <v>96</v>
      </c>
      <c r="C1490" s="2">
        <f>HYPERLINK("https://cao.dolgi.msk.ru/account/1083383215/", 1083383215)</f>
        <v>1083383215</v>
      </c>
      <c r="D1490" t="s">
        <v>15</v>
      </c>
      <c r="E1490">
        <v>0</v>
      </c>
      <c r="G1490" t="s">
        <v>14</v>
      </c>
      <c r="I1490" t="s">
        <v>1050</v>
      </c>
    </row>
    <row r="1491" spans="1:9" hidden="1" x14ac:dyDescent="0.25">
      <c r="A1491" t="s">
        <v>1302</v>
      </c>
      <c r="B1491" t="s">
        <v>98</v>
      </c>
      <c r="C1491" s="2">
        <f>HYPERLINK("https://cao.dolgi.msk.ru/account/1080285791/", 1080285791)</f>
        <v>1080285791</v>
      </c>
      <c r="D1491" t="s">
        <v>1339</v>
      </c>
      <c r="E1491">
        <v>1191.52</v>
      </c>
      <c r="G1491" t="s">
        <v>14</v>
      </c>
      <c r="I1491" t="s">
        <v>1050</v>
      </c>
    </row>
    <row r="1492" spans="1:9" x14ac:dyDescent="0.25">
      <c r="A1492" t="s">
        <v>1302</v>
      </c>
      <c r="B1492" t="s">
        <v>98</v>
      </c>
      <c r="C1492" s="2">
        <f>HYPERLINK("https://cao.dolgi.msk.ru/account/1080285804/", 1080285804)</f>
        <v>1080285804</v>
      </c>
      <c r="D1492" t="s">
        <v>15</v>
      </c>
      <c r="E1492">
        <v>32885.67</v>
      </c>
      <c r="F1492">
        <v>2.97</v>
      </c>
      <c r="G1492" t="s">
        <v>12</v>
      </c>
      <c r="I1492" t="s">
        <v>1050</v>
      </c>
    </row>
    <row r="1493" spans="1:9" hidden="1" x14ac:dyDescent="0.25">
      <c r="A1493" t="s">
        <v>1302</v>
      </c>
      <c r="B1493" t="s">
        <v>100</v>
      </c>
      <c r="C1493" s="2">
        <f>HYPERLINK("https://cao.dolgi.msk.ru/account/1080285812/", 1080285812)</f>
        <v>1080285812</v>
      </c>
      <c r="D1493" t="s">
        <v>1340</v>
      </c>
      <c r="E1493">
        <v>-6116.85</v>
      </c>
      <c r="F1493">
        <v>-0.98</v>
      </c>
      <c r="G1493" t="s">
        <v>12</v>
      </c>
      <c r="I1493" t="s">
        <v>1050</v>
      </c>
    </row>
    <row r="1494" spans="1:9" x14ac:dyDescent="0.25">
      <c r="A1494" t="s">
        <v>1302</v>
      </c>
      <c r="B1494" t="s">
        <v>102</v>
      </c>
      <c r="C1494" s="2">
        <f>HYPERLINK("https://cao.dolgi.msk.ru/account/1080285839/", 1080285839)</f>
        <v>1080285839</v>
      </c>
      <c r="D1494" t="s">
        <v>1341</v>
      </c>
      <c r="E1494">
        <v>7343.9</v>
      </c>
      <c r="F1494">
        <v>1.88</v>
      </c>
      <c r="G1494" t="s">
        <v>12</v>
      </c>
      <c r="H1494" t="s">
        <v>7</v>
      </c>
      <c r="I1494" t="s">
        <v>1050</v>
      </c>
    </row>
    <row r="1495" spans="1:9" hidden="1" x14ac:dyDescent="0.25">
      <c r="A1495" t="s">
        <v>1302</v>
      </c>
      <c r="B1495" t="s">
        <v>102</v>
      </c>
      <c r="C1495" s="2">
        <f>HYPERLINK("https://cao.dolgi.msk.ru/account/1080285847/", 1080285847)</f>
        <v>1080285847</v>
      </c>
      <c r="D1495" t="s">
        <v>1342</v>
      </c>
      <c r="E1495">
        <v>-7663.73</v>
      </c>
      <c r="F1495">
        <v>-1.02</v>
      </c>
      <c r="G1495" t="s">
        <v>12</v>
      </c>
      <c r="H1495" t="s">
        <v>7</v>
      </c>
      <c r="I1495" t="s">
        <v>1050</v>
      </c>
    </row>
    <row r="1496" spans="1:9" x14ac:dyDescent="0.25">
      <c r="A1496" t="s">
        <v>1302</v>
      </c>
      <c r="B1496" t="s">
        <v>102</v>
      </c>
      <c r="C1496" s="2">
        <f>HYPERLINK("https://cao.dolgi.msk.ru/account/1080285855/", 1080285855)</f>
        <v>1080285855</v>
      </c>
      <c r="D1496" t="s">
        <v>1343</v>
      </c>
      <c r="E1496">
        <v>19238.759999999998</v>
      </c>
      <c r="F1496">
        <v>2.97</v>
      </c>
      <c r="G1496" t="s">
        <v>12</v>
      </c>
      <c r="H1496" t="s">
        <v>7</v>
      </c>
      <c r="I1496" t="s">
        <v>1050</v>
      </c>
    </row>
    <row r="1497" spans="1:9" hidden="1" x14ac:dyDescent="0.25">
      <c r="A1497" t="s">
        <v>1302</v>
      </c>
      <c r="B1497" t="s">
        <v>104</v>
      </c>
      <c r="C1497" s="2">
        <f>HYPERLINK("https://cao.dolgi.msk.ru/account/1080285871/", 1080285871)</f>
        <v>1080285871</v>
      </c>
      <c r="D1497" t="s">
        <v>1344</v>
      </c>
      <c r="E1497">
        <v>-6201.89</v>
      </c>
      <c r="F1497">
        <v>-0.96</v>
      </c>
      <c r="G1497" t="s">
        <v>12</v>
      </c>
      <c r="I1497" t="s">
        <v>1050</v>
      </c>
    </row>
    <row r="1498" spans="1:9" hidden="1" x14ac:dyDescent="0.25">
      <c r="A1498" t="s">
        <v>1302</v>
      </c>
      <c r="B1498" t="s">
        <v>106</v>
      </c>
      <c r="C1498" s="2">
        <f>HYPERLINK("https://cao.dolgi.msk.ru/account/1080285898/", 1080285898)</f>
        <v>1080285898</v>
      </c>
      <c r="D1498" t="s">
        <v>1345</v>
      </c>
      <c r="E1498">
        <v>0</v>
      </c>
      <c r="F1498">
        <v>0</v>
      </c>
      <c r="G1498" t="s">
        <v>12</v>
      </c>
      <c r="H1498" t="s">
        <v>7</v>
      </c>
      <c r="I1498" t="s">
        <v>1050</v>
      </c>
    </row>
    <row r="1499" spans="1:9" hidden="1" x14ac:dyDescent="0.25">
      <c r="A1499" t="s">
        <v>1302</v>
      </c>
      <c r="B1499" t="s">
        <v>106</v>
      </c>
      <c r="C1499" s="2">
        <f>HYPERLINK("https://cao.dolgi.msk.ru/account/1080285919/", 1080285919)</f>
        <v>1080285919</v>
      </c>
      <c r="D1499" t="s">
        <v>1345</v>
      </c>
      <c r="E1499">
        <v>0</v>
      </c>
      <c r="F1499">
        <v>0</v>
      </c>
      <c r="G1499" t="s">
        <v>12</v>
      </c>
      <c r="H1499" t="s">
        <v>7</v>
      </c>
      <c r="I1499" t="s">
        <v>1050</v>
      </c>
    </row>
    <row r="1500" spans="1:9" hidden="1" x14ac:dyDescent="0.25">
      <c r="A1500" t="s">
        <v>1302</v>
      </c>
      <c r="B1500" t="s">
        <v>108</v>
      </c>
      <c r="C1500" s="2">
        <f>HYPERLINK("https://cao.dolgi.msk.ru/account/1080285927/", 1080285927)</f>
        <v>1080285927</v>
      </c>
      <c r="D1500" t="s">
        <v>1346</v>
      </c>
      <c r="E1500">
        <v>-6939.71</v>
      </c>
      <c r="F1500">
        <v>-0.98</v>
      </c>
      <c r="G1500" t="s">
        <v>12</v>
      </c>
      <c r="I1500" t="s">
        <v>1050</v>
      </c>
    </row>
    <row r="1501" spans="1:9" hidden="1" x14ac:dyDescent="0.25">
      <c r="A1501" t="s">
        <v>1302</v>
      </c>
      <c r="B1501" t="s">
        <v>110</v>
      </c>
      <c r="C1501" s="2">
        <f>HYPERLINK("https://cao.dolgi.msk.ru/account/1080285935/", 1080285935)</f>
        <v>1080285935</v>
      </c>
      <c r="D1501" t="s">
        <v>1347</v>
      </c>
      <c r="E1501">
        <v>-1157.76</v>
      </c>
      <c r="F1501">
        <v>-0.19</v>
      </c>
      <c r="G1501" t="s">
        <v>12</v>
      </c>
      <c r="I1501" t="s">
        <v>1050</v>
      </c>
    </row>
    <row r="1502" spans="1:9" hidden="1" x14ac:dyDescent="0.25">
      <c r="A1502" t="s">
        <v>1302</v>
      </c>
      <c r="B1502" t="s">
        <v>112</v>
      </c>
      <c r="C1502" s="2">
        <f>HYPERLINK("https://cao.dolgi.msk.ru/account/1080285943/", 1080285943)</f>
        <v>1080285943</v>
      </c>
      <c r="D1502" t="s">
        <v>1348</v>
      </c>
      <c r="E1502">
        <v>-6542.57</v>
      </c>
      <c r="F1502">
        <v>-0.92</v>
      </c>
      <c r="G1502" t="s">
        <v>12</v>
      </c>
      <c r="I1502" t="s">
        <v>1050</v>
      </c>
    </row>
    <row r="1503" spans="1:9" hidden="1" x14ac:dyDescent="0.25">
      <c r="A1503" t="s">
        <v>1302</v>
      </c>
      <c r="B1503" t="s">
        <v>112</v>
      </c>
      <c r="C1503" s="2">
        <f>HYPERLINK("https://cao.dolgi.msk.ru/account/1080285951/", 1080285951)</f>
        <v>1080285951</v>
      </c>
      <c r="D1503" t="s">
        <v>1349</v>
      </c>
      <c r="E1503">
        <v>160.03</v>
      </c>
      <c r="F1503">
        <v>0.03</v>
      </c>
      <c r="G1503" t="s">
        <v>14</v>
      </c>
      <c r="I1503" t="s">
        <v>1050</v>
      </c>
    </row>
    <row r="1504" spans="1:9" hidden="1" x14ac:dyDescent="0.25">
      <c r="A1504" t="s">
        <v>1302</v>
      </c>
      <c r="B1504" t="s">
        <v>114</v>
      </c>
      <c r="C1504" s="2">
        <f>HYPERLINK("https://cao.dolgi.msk.ru/account/1080285986/", 1080285986)</f>
        <v>1080285986</v>
      </c>
      <c r="D1504" t="s">
        <v>1350</v>
      </c>
      <c r="E1504">
        <v>-7253.65</v>
      </c>
      <c r="F1504">
        <v>-1.21</v>
      </c>
      <c r="G1504" t="s">
        <v>12</v>
      </c>
      <c r="H1504" t="s">
        <v>7</v>
      </c>
      <c r="I1504" t="s">
        <v>1050</v>
      </c>
    </row>
    <row r="1505" spans="1:9" hidden="1" x14ac:dyDescent="0.25">
      <c r="A1505" t="s">
        <v>1302</v>
      </c>
      <c r="B1505" t="s">
        <v>116</v>
      </c>
      <c r="C1505" s="2">
        <f>HYPERLINK("https://cao.dolgi.msk.ru/account/1080285994/", 1080285994)</f>
        <v>1080285994</v>
      </c>
      <c r="D1505" t="s">
        <v>1351</v>
      </c>
      <c r="E1505">
        <v>-5695.85</v>
      </c>
      <c r="F1505">
        <v>-1.19</v>
      </c>
      <c r="G1505" t="s">
        <v>12</v>
      </c>
      <c r="I1505" t="s">
        <v>1050</v>
      </c>
    </row>
    <row r="1506" spans="1:9" hidden="1" x14ac:dyDescent="0.25">
      <c r="A1506" t="s">
        <v>1302</v>
      </c>
      <c r="B1506" t="s">
        <v>118</v>
      </c>
      <c r="C1506" s="2">
        <f>HYPERLINK("https://cao.dolgi.msk.ru/account/1080286006/", 1080286006)</f>
        <v>1080286006</v>
      </c>
      <c r="D1506" t="s">
        <v>1352</v>
      </c>
      <c r="E1506">
        <v>-10329.75</v>
      </c>
      <c r="F1506">
        <v>-1.03</v>
      </c>
      <c r="G1506" t="s">
        <v>12</v>
      </c>
      <c r="I1506" t="s">
        <v>1050</v>
      </c>
    </row>
    <row r="1507" spans="1:9" x14ac:dyDescent="0.25">
      <c r="A1507" t="s">
        <v>1302</v>
      </c>
      <c r="B1507" t="s">
        <v>120</v>
      </c>
      <c r="C1507" s="2">
        <f>HYPERLINK("https://cao.dolgi.msk.ru/account/1080286014/", 1080286014)</f>
        <v>1080286014</v>
      </c>
      <c r="D1507" t="s">
        <v>1353</v>
      </c>
      <c r="E1507">
        <v>21237.45</v>
      </c>
      <c r="F1507">
        <v>3.01</v>
      </c>
      <c r="G1507" t="s">
        <v>12</v>
      </c>
      <c r="I1507" t="s">
        <v>1050</v>
      </c>
    </row>
    <row r="1508" spans="1:9" x14ac:dyDescent="0.25">
      <c r="A1508" t="s">
        <v>1302</v>
      </c>
      <c r="B1508" t="s">
        <v>122</v>
      </c>
      <c r="C1508" s="2">
        <f>HYPERLINK("https://cao.dolgi.msk.ru/account/1080286022/", 1080286022)</f>
        <v>1080286022</v>
      </c>
      <c r="D1508" t="s">
        <v>1354</v>
      </c>
      <c r="E1508">
        <v>145559.76</v>
      </c>
      <c r="F1508">
        <v>32.72</v>
      </c>
      <c r="G1508" t="s">
        <v>12</v>
      </c>
      <c r="H1508" t="s">
        <v>7</v>
      </c>
      <c r="I1508" t="s">
        <v>1050</v>
      </c>
    </row>
    <row r="1509" spans="1:9" hidden="1" x14ac:dyDescent="0.25">
      <c r="A1509" t="s">
        <v>1302</v>
      </c>
      <c r="B1509" t="s">
        <v>122</v>
      </c>
      <c r="C1509" s="2">
        <f>HYPERLINK("https://cao.dolgi.msk.ru/account/1080286049/", 1080286049)</f>
        <v>1080286049</v>
      </c>
      <c r="D1509" t="s">
        <v>1354</v>
      </c>
      <c r="E1509">
        <v>-2346.1</v>
      </c>
      <c r="F1509">
        <v>-0.99</v>
      </c>
      <c r="G1509" t="s">
        <v>12</v>
      </c>
      <c r="H1509" t="s">
        <v>7</v>
      </c>
      <c r="I1509" t="s">
        <v>1050</v>
      </c>
    </row>
    <row r="1510" spans="1:9" hidden="1" x14ac:dyDescent="0.25">
      <c r="A1510" t="s">
        <v>1302</v>
      </c>
      <c r="B1510" t="s">
        <v>122</v>
      </c>
      <c r="C1510" s="2">
        <f>HYPERLINK("https://cao.dolgi.msk.ru/account/1080286057/", 1080286057)</f>
        <v>1080286057</v>
      </c>
      <c r="D1510" t="s">
        <v>1354</v>
      </c>
      <c r="E1510">
        <v>-1848.97</v>
      </c>
      <c r="F1510">
        <v>-0.98</v>
      </c>
      <c r="G1510" t="s">
        <v>12</v>
      </c>
      <c r="H1510" t="s">
        <v>7</v>
      </c>
      <c r="I1510" t="s">
        <v>1050</v>
      </c>
    </row>
    <row r="1511" spans="1:9" hidden="1" x14ac:dyDescent="0.25">
      <c r="A1511" t="s">
        <v>1302</v>
      </c>
      <c r="B1511" t="s">
        <v>124</v>
      </c>
      <c r="C1511" s="2">
        <f>HYPERLINK("https://cao.dolgi.msk.ru/account/1080286065/", 1080286065)</f>
        <v>1080286065</v>
      </c>
      <c r="D1511" t="s">
        <v>1355</v>
      </c>
      <c r="E1511">
        <v>0</v>
      </c>
      <c r="F1511">
        <v>0</v>
      </c>
      <c r="G1511" t="s">
        <v>12</v>
      </c>
      <c r="I1511" t="s">
        <v>1050</v>
      </c>
    </row>
    <row r="1512" spans="1:9" hidden="1" x14ac:dyDescent="0.25">
      <c r="A1512" t="s">
        <v>1302</v>
      </c>
      <c r="B1512" t="s">
        <v>126</v>
      </c>
      <c r="C1512" s="2">
        <f>HYPERLINK("https://cao.dolgi.msk.ru/account/1080286073/", 1080286073)</f>
        <v>1080286073</v>
      </c>
      <c r="D1512" t="s">
        <v>1356</v>
      </c>
      <c r="E1512">
        <v>-5117.79</v>
      </c>
      <c r="F1512">
        <v>-0.94</v>
      </c>
      <c r="G1512" t="s">
        <v>12</v>
      </c>
      <c r="I1512" t="s">
        <v>1050</v>
      </c>
    </row>
    <row r="1513" spans="1:9" hidden="1" x14ac:dyDescent="0.25">
      <c r="A1513" t="s">
        <v>1302</v>
      </c>
      <c r="B1513" t="s">
        <v>128</v>
      </c>
      <c r="C1513" s="2">
        <f>HYPERLINK("https://cao.dolgi.msk.ru/account/1080286081/", 1080286081)</f>
        <v>1080286081</v>
      </c>
      <c r="D1513" t="s">
        <v>1357</v>
      </c>
      <c r="E1513">
        <v>-6694.66</v>
      </c>
      <c r="F1513">
        <v>-1.1100000000000001</v>
      </c>
      <c r="G1513" t="s">
        <v>12</v>
      </c>
      <c r="I1513" t="s">
        <v>1050</v>
      </c>
    </row>
    <row r="1514" spans="1:9" hidden="1" x14ac:dyDescent="0.25">
      <c r="A1514" t="s">
        <v>1302</v>
      </c>
      <c r="B1514" t="s">
        <v>130</v>
      </c>
      <c r="C1514" s="2">
        <f>HYPERLINK("https://cao.dolgi.msk.ru/account/1080286102/", 1080286102)</f>
        <v>1080286102</v>
      </c>
      <c r="D1514" t="s">
        <v>15</v>
      </c>
      <c r="E1514">
        <v>-2325.0500000000002</v>
      </c>
      <c r="F1514">
        <v>-1.3</v>
      </c>
      <c r="G1514" t="s">
        <v>12</v>
      </c>
      <c r="H1514" t="s">
        <v>7</v>
      </c>
      <c r="I1514" t="s">
        <v>1050</v>
      </c>
    </row>
    <row r="1515" spans="1:9" x14ac:dyDescent="0.25">
      <c r="A1515" t="s">
        <v>1302</v>
      </c>
      <c r="B1515" t="s">
        <v>130</v>
      </c>
      <c r="C1515" s="2">
        <f>HYPERLINK("https://cao.dolgi.msk.ru/account/1080286129/", 1080286129)</f>
        <v>1080286129</v>
      </c>
      <c r="D1515" t="s">
        <v>15</v>
      </c>
      <c r="E1515">
        <v>5612.13</v>
      </c>
      <c r="F1515">
        <v>3.59</v>
      </c>
      <c r="G1515" t="s">
        <v>12</v>
      </c>
      <c r="H1515" t="s">
        <v>7</v>
      </c>
      <c r="I1515" t="s">
        <v>1050</v>
      </c>
    </row>
    <row r="1516" spans="1:9" hidden="1" x14ac:dyDescent="0.25">
      <c r="A1516" t="s">
        <v>1302</v>
      </c>
      <c r="B1516" t="s">
        <v>130</v>
      </c>
      <c r="C1516" s="2">
        <f>HYPERLINK("https://cao.dolgi.msk.ru/account/1080286137/", 1080286137)</f>
        <v>1080286137</v>
      </c>
      <c r="D1516" t="s">
        <v>15</v>
      </c>
      <c r="E1516">
        <v>-3928.57</v>
      </c>
      <c r="F1516">
        <v>-0.95</v>
      </c>
      <c r="G1516" t="s">
        <v>12</v>
      </c>
      <c r="H1516" t="s">
        <v>7</v>
      </c>
      <c r="I1516" t="s">
        <v>1050</v>
      </c>
    </row>
    <row r="1517" spans="1:9" hidden="1" x14ac:dyDescent="0.25">
      <c r="A1517" t="s">
        <v>1302</v>
      </c>
      <c r="B1517" t="s">
        <v>130</v>
      </c>
      <c r="C1517" s="2">
        <f>HYPERLINK("https://cao.dolgi.msk.ru/account/1080415007/", 1080415007)</f>
        <v>1080415007</v>
      </c>
      <c r="D1517" t="s">
        <v>15</v>
      </c>
      <c r="G1517" t="s">
        <v>14</v>
      </c>
      <c r="H1517" t="s">
        <v>7</v>
      </c>
      <c r="I1517" t="s">
        <v>1050</v>
      </c>
    </row>
    <row r="1518" spans="1:9" hidden="1" x14ac:dyDescent="0.25">
      <c r="A1518" t="s">
        <v>1302</v>
      </c>
      <c r="B1518" t="s">
        <v>132</v>
      </c>
      <c r="C1518" s="2">
        <f>HYPERLINK("https://cao.dolgi.msk.ru/account/1080286145/", 1080286145)</f>
        <v>1080286145</v>
      </c>
      <c r="D1518" t="s">
        <v>1358</v>
      </c>
      <c r="E1518">
        <v>9848.23</v>
      </c>
      <c r="F1518">
        <v>0.99</v>
      </c>
      <c r="G1518" t="s">
        <v>12</v>
      </c>
      <c r="I1518" t="s">
        <v>1050</v>
      </c>
    </row>
    <row r="1519" spans="1:9" x14ac:dyDescent="0.25">
      <c r="A1519" t="s">
        <v>1302</v>
      </c>
      <c r="B1519" t="s">
        <v>133</v>
      </c>
      <c r="C1519" s="2">
        <f>HYPERLINK("https://cao.dolgi.msk.ru/account/1080286161/", 1080286161)</f>
        <v>1080286161</v>
      </c>
      <c r="D1519" t="s">
        <v>1359</v>
      </c>
      <c r="E1519">
        <v>29158.18</v>
      </c>
      <c r="F1519">
        <v>3.2</v>
      </c>
      <c r="G1519" t="s">
        <v>12</v>
      </c>
      <c r="H1519" t="s">
        <v>7</v>
      </c>
      <c r="I1519" t="s">
        <v>1050</v>
      </c>
    </row>
    <row r="1520" spans="1:9" hidden="1" x14ac:dyDescent="0.25">
      <c r="A1520" t="s">
        <v>1302</v>
      </c>
      <c r="B1520" t="s">
        <v>133</v>
      </c>
      <c r="C1520" s="2">
        <f>HYPERLINK("https://cao.dolgi.msk.ru/account/1080286188/", 1080286188)</f>
        <v>1080286188</v>
      </c>
      <c r="D1520" t="s">
        <v>1359</v>
      </c>
      <c r="E1520">
        <v>-2559.41</v>
      </c>
      <c r="F1520">
        <v>-1.01</v>
      </c>
      <c r="G1520" t="s">
        <v>12</v>
      </c>
      <c r="H1520" t="s">
        <v>7</v>
      </c>
      <c r="I1520" t="s">
        <v>1050</v>
      </c>
    </row>
    <row r="1521" spans="1:9" hidden="1" x14ac:dyDescent="0.25">
      <c r="A1521" t="s">
        <v>1302</v>
      </c>
      <c r="B1521" t="s">
        <v>135</v>
      </c>
      <c r="C1521" s="2">
        <f>HYPERLINK("https://cao.dolgi.msk.ru/account/1080286196/", 1080286196)</f>
        <v>1080286196</v>
      </c>
      <c r="D1521" t="s">
        <v>1360</v>
      </c>
      <c r="E1521">
        <v>-6378.56</v>
      </c>
      <c r="F1521">
        <v>-1.01</v>
      </c>
      <c r="G1521" t="s">
        <v>12</v>
      </c>
      <c r="I1521" t="s">
        <v>1050</v>
      </c>
    </row>
    <row r="1522" spans="1:9" hidden="1" x14ac:dyDescent="0.25">
      <c r="A1522" t="s">
        <v>1302</v>
      </c>
      <c r="B1522" t="s">
        <v>137</v>
      </c>
      <c r="C1522" s="2">
        <f>HYPERLINK("https://cao.dolgi.msk.ru/account/1080286217/", 1080286217)</f>
        <v>1080286217</v>
      </c>
      <c r="D1522" t="s">
        <v>1361</v>
      </c>
      <c r="E1522">
        <v>-7671.78</v>
      </c>
      <c r="F1522">
        <v>-0.98</v>
      </c>
      <c r="G1522" t="s">
        <v>12</v>
      </c>
      <c r="I1522" t="s">
        <v>1050</v>
      </c>
    </row>
    <row r="1523" spans="1:9" hidden="1" x14ac:dyDescent="0.25">
      <c r="A1523" t="s">
        <v>1302</v>
      </c>
      <c r="B1523" t="s">
        <v>139</v>
      </c>
      <c r="C1523" s="2">
        <f>HYPERLINK("https://cao.dolgi.msk.ru/account/1080286153/", 1080286153)</f>
        <v>1080286153</v>
      </c>
      <c r="D1523" t="s">
        <v>1362</v>
      </c>
      <c r="E1523">
        <v>-6260.82</v>
      </c>
      <c r="F1523">
        <v>-0.87</v>
      </c>
      <c r="G1523" t="s">
        <v>12</v>
      </c>
      <c r="I1523" t="s">
        <v>1050</v>
      </c>
    </row>
    <row r="1524" spans="1:9" hidden="1" x14ac:dyDescent="0.25">
      <c r="A1524" t="s">
        <v>1302</v>
      </c>
      <c r="B1524" t="s">
        <v>141</v>
      </c>
      <c r="C1524" s="2">
        <f>HYPERLINK("https://cao.dolgi.msk.ru/account/1080286225/", 1080286225)</f>
        <v>1080286225</v>
      </c>
      <c r="D1524" t="s">
        <v>1363</v>
      </c>
      <c r="E1524">
        <v>-5884.42</v>
      </c>
      <c r="F1524">
        <v>-1</v>
      </c>
      <c r="G1524" t="s">
        <v>12</v>
      </c>
      <c r="I1524" t="s">
        <v>1050</v>
      </c>
    </row>
    <row r="1525" spans="1:9" hidden="1" x14ac:dyDescent="0.25">
      <c r="A1525" t="s">
        <v>1302</v>
      </c>
      <c r="B1525" t="s">
        <v>143</v>
      </c>
      <c r="C1525" s="2">
        <f>HYPERLINK("https://cao.dolgi.msk.ru/account/1080286233/", 1080286233)</f>
        <v>1080286233</v>
      </c>
      <c r="D1525" t="s">
        <v>15</v>
      </c>
      <c r="E1525">
        <v>-5214.2</v>
      </c>
      <c r="F1525">
        <v>-1.06</v>
      </c>
      <c r="G1525" t="s">
        <v>12</v>
      </c>
      <c r="I1525" t="s">
        <v>1050</v>
      </c>
    </row>
    <row r="1526" spans="1:9" hidden="1" x14ac:dyDescent="0.25">
      <c r="A1526" t="s">
        <v>1302</v>
      </c>
      <c r="B1526" t="s">
        <v>145</v>
      </c>
      <c r="C1526" s="2">
        <f>HYPERLINK("https://cao.dolgi.msk.ru/account/1080285222/", 1080285222)</f>
        <v>1080285222</v>
      </c>
      <c r="D1526" t="s">
        <v>15</v>
      </c>
      <c r="E1526">
        <v>0</v>
      </c>
      <c r="G1526" t="s">
        <v>14</v>
      </c>
      <c r="H1526" t="s">
        <v>7</v>
      </c>
      <c r="I1526" t="s">
        <v>1050</v>
      </c>
    </row>
    <row r="1527" spans="1:9" hidden="1" x14ac:dyDescent="0.25">
      <c r="A1527" t="s">
        <v>1302</v>
      </c>
      <c r="B1527" t="s">
        <v>145</v>
      </c>
      <c r="C1527" s="2">
        <f>HYPERLINK("https://cao.dolgi.msk.ru/account/1080286268/", 1080286268)</f>
        <v>1080286268</v>
      </c>
      <c r="D1527" t="s">
        <v>1364</v>
      </c>
      <c r="E1527">
        <v>777.64</v>
      </c>
      <c r="F1527">
        <v>0.09</v>
      </c>
      <c r="G1527" t="s">
        <v>12</v>
      </c>
      <c r="H1527" t="s">
        <v>7</v>
      </c>
      <c r="I1527" t="s">
        <v>1050</v>
      </c>
    </row>
    <row r="1528" spans="1:9" hidden="1" x14ac:dyDescent="0.25">
      <c r="A1528" t="s">
        <v>1302</v>
      </c>
      <c r="B1528" t="s">
        <v>145</v>
      </c>
      <c r="C1528" s="2">
        <f>HYPERLINK("https://cao.dolgi.msk.ru/account/1080286276/", 1080286276)</f>
        <v>1080286276</v>
      </c>
      <c r="D1528" t="s">
        <v>15</v>
      </c>
      <c r="E1528">
        <v>-836.84</v>
      </c>
      <c r="F1528">
        <v>-0.25</v>
      </c>
      <c r="G1528" t="s">
        <v>12</v>
      </c>
      <c r="H1528" t="s">
        <v>7</v>
      </c>
      <c r="I1528" t="s">
        <v>1050</v>
      </c>
    </row>
    <row r="1529" spans="1:9" hidden="1" x14ac:dyDescent="0.25">
      <c r="A1529" t="s">
        <v>1302</v>
      </c>
      <c r="B1529" t="s">
        <v>147</v>
      </c>
      <c r="C1529" s="2">
        <f>HYPERLINK("https://cao.dolgi.msk.ru/account/1080286284/", 1080286284)</f>
        <v>1080286284</v>
      </c>
      <c r="D1529" t="s">
        <v>1365</v>
      </c>
      <c r="E1529">
        <v>312.74</v>
      </c>
      <c r="F1529">
        <v>0.05</v>
      </c>
      <c r="G1529" t="s">
        <v>12</v>
      </c>
      <c r="I1529" t="s">
        <v>1050</v>
      </c>
    </row>
    <row r="1530" spans="1:9" hidden="1" x14ac:dyDescent="0.25">
      <c r="A1530" t="s">
        <v>1366</v>
      </c>
      <c r="B1530" t="s">
        <v>10</v>
      </c>
      <c r="C1530" s="2">
        <f>HYPERLINK("https://cao.dolgi.msk.ru/account/1080286305/", 1080286305)</f>
        <v>1080286305</v>
      </c>
      <c r="D1530" t="s">
        <v>1367</v>
      </c>
      <c r="E1530">
        <v>-3864.27</v>
      </c>
      <c r="G1530" t="s">
        <v>12</v>
      </c>
      <c r="H1530" t="s">
        <v>7</v>
      </c>
      <c r="I1530" t="s">
        <v>1050</v>
      </c>
    </row>
    <row r="1531" spans="1:9" hidden="1" x14ac:dyDescent="0.25">
      <c r="A1531" t="s">
        <v>1366</v>
      </c>
      <c r="B1531" t="s">
        <v>10</v>
      </c>
      <c r="C1531" s="2">
        <f>HYPERLINK("https://cao.dolgi.msk.ru/account/1080286313/", 1080286313)</f>
        <v>1080286313</v>
      </c>
      <c r="D1531" t="s">
        <v>1368</v>
      </c>
      <c r="E1531">
        <v>-1928.63</v>
      </c>
      <c r="F1531">
        <v>-0.99</v>
      </c>
      <c r="G1531" t="s">
        <v>12</v>
      </c>
      <c r="H1531" t="s">
        <v>7</v>
      </c>
      <c r="I1531" t="s">
        <v>1050</v>
      </c>
    </row>
    <row r="1532" spans="1:9" hidden="1" x14ac:dyDescent="0.25">
      <c r="A1532" t="s">
        <v>1366</v>
      </c>
      <c r="B1532" t="s">
        <v>10</v>
      </c>
      <c r="C1532" s="2">
        <f>HYPERLINK("https://cao.dolgi.msk.ru/account/1080286321/", 1080286321)</f>
        <v>1080286321</v>
      </c>
      <c r="D1532" t="s">
        <v>1369</v>
      </c>
      <c r="E1532">
        <v>-5272.98</v>
      </c>
      <c r="F1532">
        <v>-0.87</v>
      </c>
      <c r="G1532" t="s">
        <v>12</v>
      </c>
      <c r="H1532" t="s">
        <v>7</v>
      </c>
      <c r="I1532" t="s">
        <v>1050</v>
      </c>
    </row>
    <row r="1533" spans="1:9" hidden="1" x14ac:dyDescent="0.25">
      <c r="A1533" t="s">
        <v>1366</v>
      </c>
      <c r="B1533" t="s">
        <v>10</v>
      </c>
      <c r="C1533" s="2">
        <f>HYPERLINK("https://cao.dolgi.msk.ru/account/1080286348/", 1080286348)</f>
        <v>1080286348</v>
      </c>
      <c r="D1533" t="s">
        <v>1369</v>
      </c>
      <c r="E1533">
        <v>1122.03</v>
      </c>
      <c r="F1533">
        <v>0.32</v>
      </c>
      <c r="G1533" t="s">
        <v>12</v>
      </c>
      <c r="H1533" t="s">
        <v>7</v>
      </c>
      <c r="I1533" t="s">
        <v>1050</v>
      </c>
    </row>
    <row r="1534" spans="1:9" hidden="1" x14ac:dyDescent="0.25">
      <c r="A1534" t="s">
        <v>1366</v>
      </c>
      <c r="B1534" t="s">
        <v>10</v>
      </c>
      <c r="C1534" s="2">
        <f>HYPERLINK("https://cao.dolgi.msk.ru/account/1080286356/", 1080286356)</f>
        <v>1080286356</v>
      </c>
      <c r="D1534" t="s">
        <v>1369</v>
      </c>
      <c r="E1534">
        <v>-1739.28</v>
      </c>
      <c r="F1534">
        <v>-0.85</v>
      </c>
      <c r="G1534" t="s">
        <v>12</v>
      </c>
      <c r="H1534" t="s">
        <v>7</v>
      </c>
      <c r="I1534" t="s">
        <v>1050</v>
      </c>
    </row>
    <row r="1535" spans="1:9" x14ac:dyDescent="0.25">
      <c r="A1535" t="s">
        <v>1366</v>
      </c>
      <c r="B1535" t="s">
        <v>16</v>
      </c>
      <c r="C1535" s="2">
        <f>HYPERLINK("https://cao.dolgi.msk.ru/account/1080286364/", 1080286364)</f>
        <v>1080286364</v>
      </c>
      <c r="D1535" t="s">
        <v>1370</v>
      </c>
      <c r="E1535">
        <v>37067.699999999997</v>
      </c>
      <c r="F1535">
        <v>10.06</v>
      </c>
      <c r="G1535" t="s">
        <v>12</v>
      </c>
      <c r="H1535" t="s">
        <v>7</v>
      </c>
      <c r="I1535" t="s">
        <v>1050</v>
      </c>
    </row>
    <row r="1536" spans="1:9" x14ac:dyDescent="0.25">
      <c r="A1536" t="s">
        <v>1366</v>
      </c>
      <c r="B1536" t="s">
        <v>16</v>
      </c>
      <c r="C1536" s="2">
        <f>HYPERLINK("https://cao.dolgi.msk.ru/account/1080286372/", 1080286372)</f>
        <v>1080286372</v>
      </c>
      <c r="D1536" t="s">
        <v>1370</v>
      </c>
      <c r="E1536">
        <v>196935.75</v>
      </c>
      <c r="F1536">
        <v>31.07</v>
      </c>
      <c r="G1536" t="s">
        <v>12</v>
      </c>
      <c r="H1536" t="s">
        <v>7</v>
      </c>
      <c r="I1536" t="s">
        <v>1050</v>
      </c>
    </row>
    <row r="1537" spans="1:9" hidden="1" x14ac:dyDescent="0.25">
      <c r="A1537" t="s">
        <v>1366</v>
      </c>
      <c r="B1537" t="s">
        <v>16</v>
      </c>
      <c r="C1537" s="2">
        <f>HYPERLINK("https://cao.dolgi.msk.ru/account/1083283986/", 1083283986)</f>
        <v>1083283986</v>
      </c>
      <c r="D1537" t="s">
        <v>1370</v>
      </c>
      <c r="E1537">
        <v>0</v>
      </c>
      <c r="G1537" t="s">
        <v>14</v>
      </c>
      <c r="H1537" t="s">
        <v>7</v>
      </c>
      <c r="I1537" t="s">
        <v>1050</v>
      </c>
    </row>
    <row r="1538" spans="1:9" hidden="1" x14ac:dyDescent="0.25">
      <c r="A1538" t="s">
        <v>1366</v>
      </c>
      <c r="B1538" t="s">
        <v>18</v>
      </c>
      <c r="C1538" s="2">
        <f>HYPERLINK("https://cao.dolgi.msk.ru/account/1080284449/", 1080284449)</f>
        <v>1080284449</v>
      </c>
      <c r="D1538" t="s">
        <v>15</v>
      </c>
      <c r="E1538">
        <v>-52</v>
      </c>
      <c r="F1538">
        <v>-0.01</v>
      </c>
      <c r="G1538" t="s">
        <v>12</v>
      </c>
      <c r="H1538" t="s">
        <v>7</v>
      </c>
      <c r="I1538" t="s">
        <v>1050</v>
      </c>
    </row>
    <row r="1539" spans="1:9" x14ac:dyDescent="0.25">
      <c r="A1539" t="s">
        <v>1366</v>
      </c>
      <c r="B1539" t="s">
        <v>18</v>
      </c>
      <c r="C1539" s="2">
        <f>HYPERLINK("https://cao.dolgi.msk.ru/account/1080284457/", 1080284457)</f>
        <v>1080284457</v>
      </c>
      <c r="D1539" t="s">
        <v>1371</v>
      </c>
      <c r="E1539">
        <v>3643.26</v>
      </c>
      <c r="F1539">
        <v>1.4</v>
      </c>
      <c r="G1539" t="s">
        <v>12</v>
      </c>
      <c r="H1539" t="s">
        <v>7</v>
      </c>
      <c r="I1539" t="s">
        <v>1050</v>
      </c>
    </row>
    <row r="1540" spans="1:9" hidden="1" x14ac:dyDescent="0.25">
      <c r="A1540" t="s">
        <v>1366</v>
      </c>
      <c r="B1540" t="s">
        <v>18</v>
      </c>
      <c r="C1540" s="2">
        <f>HYPERLINK("https://cao.dolgi.msk.ru/account/1080284465/", 1080284465)</f>
        <v>1080284465</v>
      </c>
      <c r="D1540" t="s">
        <v>1371</v>
      </c>
      <c r="E1540">
        <v>-694.67</v>
      </c>
      <c r="F1540">
        <v>-0.28000000000000003</v>
      </c>
      <c r="G1540" t="s">
        <v>12</v>
      </c>
      <c r="H1540" t="s">
        <v>7</v>
      </c>
      <c r="I1540" t="s">
        <v>1050</v>
      </c>
    </row>
    <row r="1541" spans="1:9" hidden="1" x14ac:dyDescent="0.25">
      <c r="A1541" t="s">
        <v>1366</v>
      </c>
      <c r="B1541" t="s">
        <v>18</v>
      </c>
      <c r="C1541" s="2">
        <f>HYPERLINK("https://cao.dolgi.msk.ru/account/1080286399/", 1080286399)</f>
        <v>1080286399</v>
      </c>
      <c r="D1541" t="s">
        <v>1371</v>
      </c>
      <c r="E1541">
        <v>-60.88</v>
      </c>
      <c r="F1541">
        <v>-0.03</v>
      </c>
      <c r="G1541" t="s">
        <v>12</v>
      </c>
      <c r="H1541" t="s">
        <v>7</v>
      </c>
      <c r="I1541" t="s">
        <v>1050</v>
      </c>
    </row>
    <row r="1542" spans="1:9" x14ac:dyDescent="0.25">
      <c r="A1542" t="s">
        <v>1366</v>
      </c>
      <c r="B1542" t="s">
        <v>18</v>
      </c>
      <c r="C1542" s="2">
        <f>HYPERLINK("https://cao.dolgi.msk.ru/account/1080286401/", 1080286401)</f>
        <v>1080286401</v>
      </c>
      <c r="D1542" t="s">
        <v>1371</v>
      </c>
      <c r="E1542">
        <v>7273.83</v>
      </c>
      <c r="F1542">
        <v>1.01</v>
      </c>
      <c r="G1542" t="s">
        <v>12</v>
      </c>
      <c r="H1542" t="s">
        <v>7</v>
      </c>
      <c r="I1542" t="s">
        <v>1050</v>
      </c>
    </row>
    <row r="1543" spans="1:9" hidden="1" x14ac:dyDescent="0.25">
      <c r="A1543" t="s">
        <v>1366</v>
      </c>
      <c r="B1543" t="s">
        <v>20</v>
      </c>
      <c r="C1543" s="2">
        <f>HYPERLINK("https://cao.dolgi.msk.ru/account/1080286428/", 1080286428)</f>
        <v>1080286428</v>
      </c>
      <c r="D1543" t="s">
        <v>1372</v>
      </c>
      <c r="E1543">
        <v>-380.37</v>
      </c>
      <c r="F1543">
        <v>-0.05</v>
      </c>
      <c r="G1543" t="s">
        <v>12</v>
      </c>
      <c r="I1543" t="s">
        <v>1050</v>
      </c>
    </row>
    <row r="1544" spans="1:9" hidden="1" x14ac:dyDescent="0.25">
      <c r="A1544" t="s">
        <v>1366</v>
      </c>
      <c r="B1544" t="s">
        <v>21</v>
      </c>
      <c r="C1544" s="2">
        <f>HYPERLINK("https://cao.dolgi.msk.ru/account/1080286436/", 1080286436)</f>
        <v>1080286436</v>
      </c>
      <c r="D1544" t="s">
        <v>1373</v>
      </c>
      <c r="E1544">
        <v>-274.82</v>
      </c>
      <c r="F1544">
        <v>-0.08</v>
      </c>
      <c r="G1544" t="s">
        <v>12</v>
      </c>
      <c r="H1544" t="s">
        <v>7</v>
      </c>
      <c r="I1544" t="s">
        <v>1050</v>
      </c>
    </row>
    <row r="1545" spans="1:9" x14ac:dyDescent="0.25">
      <c r="A1545" t="s">
        <v>1366</v>
      </c>
      <c r="B1545" t="s">
        <v>21</v>
      </c>
      <c r="C1545" s="2">
        <f>HYPERLINK("https://cao.dolgi.msk.ru/account/1080286444/", 1080286444)</f>
        <v>1080286444</v>
      </c>
      <c r="D1545" t="s">
        <v>1374</v>
      </c>
      <c r="E1545">
        <v>16511.04</v>
      </c>
      <c r="F1545">
        <v>2.02</v>
      </c>
      <c r="G1545" t="s">
        <v>12</v>
      </c>
      <c r="H1545" t="s">
        <v>7</v>
      </c>
      <c r="I1545" t="s">
        <v>1050</v>
      </c>
    </row>
    <row r="1546" spans="1:9" hidden="1" x14ac:dyDescent="0.25">
      <c r="A1546" t="s">
        <v>1366</v>
      </c>
      <c r="B1546" t="s">
        <v>21</v>
      </c>
      <c r="C1546" s="2">
        <f>HYPERLINK("https://cao.dolgi.msk.ru/account/1080286452/", 1080286452)</f>
        <v>1080286452</v>
      </c>
      <c r="D1546" t="s">
        <v>1374</v>
      </c>
      <c r="E1546">
        <v>-4066.03</v>
      </c>
      <c r="F1546">
        <v>-1.03</v>
      </c>
      <c r="G1546" t="s">
        <v>12</v>
      </c>
      <c r="H1546" t="s">
        <v>7</v>
      </c>
      <c r="I1546" t="s">
        <v>1050</v>
      </c>
    </row>
    <row r="1547" spans="1:9" hidden="1" x14ac:dyDescent="0.25">
      <c r="A1547" t="s">
        <v>1366</v>
      </c>
      <c r="B1547" t="s">
        <v>21</v>
      </c>
      <c r="C1547" s="2">
        <f>HYPERLINK("https://cao.dolgi.msk.ru/account/1080286479/", 1080286479)</f>
        <v>1080286479</v>
      </c>
      <c r="D1547" t="s">
        <v>1374</v>
      </c>
      <c r="E1547">
        <v>-1796.2</v>
      </c>
      <c r="F1547">
        <v>-0.95</v>
      </c>
      <c r="G1547" t="s">
        <v>12</v>
      </c>
      <c r="H1547" t="s">
        <v>7</v>
      </c>
      <c r="I1547" t="s">
        <v>1050</v>
      </c>
    </row>
    <row r="1548" spans="1:9" hidden="1" x14ac:dyDescent="0.25">
      <c r="A1548" t="s">
        <v>1366</v>
      </c>
      <c r="B1548" t="s">
        <v>22</v>
      </c>
      <c r="C1548" s="2">
        <f>HYPERLINK("https://cao.dolgi.msk.ru/account/1080286487/", 1080286487)</f>
        <v>1080286487</v>
      </c>
      <c r="D1548" t="s">
        <v>1375</v>
      </c>
      <c r="E1548">
        <v>-3845.48</v>
      </c>
      <c r="F1548">
        <v>-0.44</v>
      </c>
      <c r="G1548" t="s">
        <v>12</v>
      </c>
      <c r="I1548" t="s">
        <v>1050</v>
      </c>
    </row>
    <row r="1549" spans="1:9" hidden="1" x14ac:dyDescent="0.25">
      <c r="A1549" t="s">
        <v>1366</v>
      </c>
      <c r="B1549" t="s">
        <v>23</v>
      </c>
      <c r="C1549" s="2">
        <f>HYPERLINK("https://cao.dolgi.msk.ru/account/1080286495/", 1080286495)</f>
        <v>1080286495</v>
      </c>
      <c r="D1549" t="s">
        <v>1376</v>
      </c>
      <c r="E1549">
        <v>3517.37</v>
      </c>
      <c r="F1549">
        <v>1</v>
      </c>
      <c r="G1549" t="s">
        <v>12</v>
      </c>
      <c r="H1549" t="s">
        <v>7</v>
      </c>
      <c r="I1549" t="s">
        <v>1050</v>
      </c>
    </row>
    <row r="1550" spans="1:9" hidden="1" x14ac:dyDescent="0.25">
      <c r="A1550" t="s">
        <v>1366</v>
      </c>
      <c r="B1550" t="s">
        <v>23</v>
      </c>
      <c r="C1550" s="2">
        <f>HYPERLINK("https://cao.dolgi.msk.ru/account/1080286508/", 1080286508)</f>
        <v>1080286508</v>
      </c>
      <c r="D1550" t="s">
        <v>1377</v>
      </c>
      <c r="E1550">
        <v>-11318.69</v>
      </c>
      <c r="F1550">
        <v>-1.02</v>
      </c>
      <c r="G1550" t="s">
        <v>12</v>
      </c>
      <c r="H1550" t="s">
        <v>7</v>
      </c>
      <c r="I1550" t="s">
        <v>1050</v>
      </c>
    </row>
    <row r="1551" spans="1:9" x14ac:dyDescent="0.25">
      <c r="A1551" t="s">
        <v>1366</v>
      </c>
      <c r="B1551" t="s">
        <v>23</v>
      </c>
      <c r="C1551" s="2">
        <f>HYPERLINK("https://cao.dolgi.msk.ru/account/1083371142/", 1083371142)</f>
        <v>1083371142</v>
      </c>
      <c r="D1551" t="s">
        <v>15</v>
      </c>
      <c r="E1551">
        <v>10142.56</v>
      </c>
      <c r="F1551">
        <v>3.01</v>
      </c>
      <c r="G1551" t="s">
        <v>12</v>
      </c>
      <c r="H1551" t="s">
        <v>7</v>
      </c>
      <c r="I1551" t="s">
        <v>1050</v>
      </c>
    </row>
    <row r="1552" spans="1:9" hidden="1" x14ac:dyDescent="0.25">
      <c r="A1552" t="s">
        <v>1366</v>
      </c>
      <c r="B1552" t="s">
        <v>24</v>
      </c>
      <c r="C1552" s="2">
        <f>HYPERLINK("https://cao.dolgi.msk.ru/account/1080286516/", 1080286516)</f>
        <v>1080286516</v>
      </c>
      <c r="D1552" t="s">
        <v>1378</v>
      </c>
      <c r="E1552">
        <v>8818.4500000000007</v>
      </c>
      <c r="F1552">
        <v>0.99</v>
      </c>
      <c r="G1552" t="s">
        <v>12</v>
      </c>
      <c r="I1552" t="s">
        <v>1050</v>
      </c>
    </row>
    <row r="1553" spans="1:9" x14ac:dyDescent="0.25">
      <c r="A1553" t="s">
        <v>1366</v>
      </c>
      <c r="B1553" t="s">
        <v>27</v>
      </c>
      <c r="C1553" s="2">
        <f>HYPERLINK("https://cao.dolgi.msk.ru/account/1080286524/", 1080286524)</f>
        <v>1080286524</v>
      </c>
      <c r="D1553" t="s">
        <v>1379</v>
      </c>
      <c r="E1553">
        <v>22171.29</v>
      </c>
      <c r="F1553">
        <v>1.8</v>
      </c>
      <c r="G1553" t="s">
        <v>12</v>
      </c>
      <c r="I1553" t="s">
        <v>1050</v>
      </c>
    </row>
    <row r="1554" spans="1:9" hidden="1" x14ac:dyDescent="0.25">
      <c r="A1554" t="s">
        <v>1366</v>
      </c>
      <c r="B1554" t="s">
        <v>29</v>
      </c>
      <c r="C1554" s="2">
        <f>HYPERLINK("https://cao.dolgi.msk.ru/account/1080286532/", 1080286532)</f>
        <v>1080286532</v>
      </c>
      <c r="D1554" t="s">
        <v>15</v>
      </c>
      <c r="E1554">
        <v>-9133.2999999999993</v>
      </c>
      <c r="F1554">
        <v>-1</v>
      </c>
      <c r="G1554" t="s">
        <v>12</v>
      </c>
      <c r="H1554" t="s">
        <v>7</v>
      </c>
      <c r="I1554" t="s">
        <v>1050</v>
      </c>
    </row>
    <row r="1555" spans="1:9" hidden="1" x14ac:dyDescent="0.25">
      <c r="A1555" t="s">
        <v>1366</v>
      </c>
      <c r="B1555" t="s">
        <v>29</v>
      </c>
      <c r="C1555" s="2">
        <f>HYPERLINK("https://cao.dolgi.msk.ru/account/1080286559/", 1080286559)</f>
        <v>1080286559</v>
      </c>
      <c r="D1555" t="s">
        <v>15</v>
      </c>
      <c r="E1555">
        <v>-6290.3</v>
      </c>
      <c r="F1555">
        <v>-0.93</v>
      </c>
      <c r="G1555" t="s">
        <v>12</v>
      </c>
      <c r="H1555" t="s">
        <v>7</v>
      </c>
      <c r="I1555" t="s">
        <v>1050</v>
      </c>
    </row>
    <row r="1556" spans="1:9" hidden="1" x14ac:dyDescent="0.25">
      <c r="A1556" t="s">
        <v>1366</v>
      </c>
      <c r="B1556" t="s">
        <v>29</v>
      </c>
      <c r="C1556" s="2">
        <f>HYPERLINK("https://cao.dolgi.msk.ru/account/1080286567/", 1080286567)</f>
        <v>1080286567</v>
      </c>
      <c r="D1556" t="s">
        <v>15</v>
      </c>
      <c r="E1556">
        <v>-1889.61</v>
      </c>
      <c r="F1556">
        <v>-0.28999999999999998</v>
      </c>
      <c r="G1556" t="s">
        <v>12</v>
      </c>
      <c r="H1556" t="s">
        <v>7</v>
      </c>
      <c r="I1556" t="s">
        <v>1050</v>
      </c>
    </row>
    <row r="1557" spans="1:9" hidden="1" x14ac:dyDescent="0.25">
      <c r="A1557" t="s">
        <v>1366</v>
      </c>
      <c r="B1557" t="s">
        <v>31</v>
      </c>
      <c r="C1557" s="2">
        <f>HYPERLINK("https://cao.dolgi.msk.ru/account/1080286575/", 1080286575)</f>
        <v>1080286575</v>
      </c>
      <c r="D1557" t="s">
        <v>1380</v>
      </c>
      <c r="E1557">
        <v>182.52</v>
      </c>
      <c r="F1557">
        <v>0.03</v>
      </c>
      <c r="G1557" t="s">
        <v>12</v>
      </c>
      <c r="I1557" t="s">
        <v>1050</v>
      </c>
    </row>
    <row r="1558" spans="1:9" hidden="1" x14ac:dyDescent="0.25">
      <c r="A1558" t="s">
        <v>1366</v>
      </c>
      <c r="B1558" t="s">
        <v>33</v>
      </c>
      <c r="C1558" s="2">
        <f>HYPERLINK("https://cao.dolgi.msk.ru/account/1080286583/", 1080286583)</f>
        <v>1080286583</v>
      </c>
      <c r="D1558" t="s">
        <v>1381</v>
      </c>
      <c r="E1558">
        <v>-563.27</v>
      </c>
      <c r="F1558">
        <v>-7.0000000000000007E-2</v>
      </c>
      <c r="G1558" t="s">
        <v>12</v>
      </c>
      <c r="I1558" t="s">
        <v>1050</v>
      </c>
    </row>
    <row r="1559" spans="1:9" hidden="1" x14ac:dyDescent="0.25">
      <c r="A1559" t="s">
        <v>1366</v>
      </c>
      <c r="B1559" t="s">
        <v>34</v>
      </c>
      <c r="C1559" s="2">
        <f>HYPERLINK("https://cao.dolgi.msk.ru/account/1080286591/", 1080286591)</f>
        <v>1080286591</v>
      </c>
      <c r="D1559" t="s">
        <v>1382</v>
      </c>
      <c r="E1559">
        <v>-7531.33</v>
      </c>
      <c r="F1559">
        <v>-1.03</v>
      </c>
      <c r="G1559" t="s">
        <v>12</v>
      </c>
      <c r="I1559" t="s">
        <v>1050</v>
      </c>
    </row>
    <row r="1560" spans="1:9" hidden="1" x14ac:dyDescent="0.25">
      <c r="A1560" t="s">
        <v>1366</v>
      </c>
      <c r="B1560" t="s">
        <v>34</v>
      </c>
      <c r="C1560" s="2">
        <f>HYPERLINK("https://cao.dolgi.msk.ru/account/1083269447/", 1083269447)</f>
        <v>1083269447</v>
      </c>
      <c r="D1560" t="s">
        <v>15</v>
      </c>
      <c r="E1560">
        <v>0</v>
      </c>
      <c r="G1560" t="s">
        <v>14</v>
      </c>
      <c r="I1560" t="s">
        <v>1050</v>
      </c>
    </row>
    <row r="1561" spans="1:9" hidden="1" x14ac:dyDescent="0.25">
      <c r="A1561" t="s">
        <v>1366</v>
      </c>
      <c r="B1561" t="s">
        <v>36</v>
      </c>
      <c r="C1561" s="2">
        <f>HYPERLINK("https://cao.dolgi.msk.ru/account/1080286604/", 1080286604)</f>
        <v>1080286604</v>
      </c>
      <c r="D1561" t="s">
        <v>1383</v>
      </c>
      <c r="E1561">
        <v>0</v>
      </c>
      <c r="F1561">
        <v>0</v>
      </c>
      <c r="G1561" t="s">
        <v>12</v>
      </c>
      <c r="I1561" t="s">
        <v>1050</v>
      </c>
    </row>
    <row r="1562" spans="1:9" hidden="1" x14ac:dyDescent="0.25">
      <c r="A1562" t="s">
        <v>1366</v>
      </c>
      <c r="B1562" t="s">
        <v>38</v>
      </c>
      <c r="C1562" s="2">
        <f>HYPERLINK("https://cao.dolgi.msk.ru/account/1080286612/", 1080286612)</f>
        <v>1080286612</v>
      </c>
      <c r="D1562" t="s">
        <v>1384</v>
      </c>
      <c r="E1562">
        <v>-7033.4</v>
      </c>
      <c r="F1562">
        <v>-0.99</v>
      </c>
      <c r="G1562" t="s">
        <v>12</v>
      </c>
      <c r="I1562" t="s">
        <v>1050</v>
      </c>
    </row>
    <row r="1563" spans="1:9" hidden="1" x14ac:dyDescent="0.25">
      <c r="A1563" t="s">
        <v>1366</v>
      </c>
      <c r="B1563" t="s">
        <v>39</v>
      </c>
      <c r="C1563" s="2">
        <f>HYPERLINK("https://cao.dolgi.msk.ru/account/1080286639/", 1080286639)</f>
        <v>1080286639</v>
      </c>
      <c r="D1563" t="s">
        <v>1385</v>
      </c>
      <c r="E1563">
        <v>0</v>
      </c>
      <c r="G1563" t="s">
        <v>12</v>
      </c>
      <c r="H1563" t="s">
        <v>7</v>
      </c>
      <c r="I1563" t="s">
        <v>1050</v>
      </c>
    </row>
    <row r="1564" spans="1:9" hidden="1" x14ac:dyDescent="0.25">
      <c r="A1564" t="s">
        <v>1366</v>
      </c>
      <c r="B1564" t="s">
        <v>39</v>
      </c>
      <c r="C1564" s="2">
        <f>HYPERLINK("https://cao.dolgi.msk.ru/account/1080286647/", 1080286647)</f>
        <v>1080286647</v>
      </c>
      <c r="D1564" t="s">
        <v>1385</v>
      </c>
      <c r="E1564">
        <v>-1181.6300000000001</v>
      </c>
      <c r="F1564">
        <v>-0.9</v>
      </c>
      <c r="G1564" t="s">
        <v>12</v>
      </c>
      <c r="H1564" t="s">
        <v>7</v>
      </c>
      <c r="I1564" t="s">
        <v>1050</v>
      </c>
    </row>
    <row r="1565" spans="1:9" hidden="1" x14ac:dyDescent="0.25">
      <c r="A1565" t="s">
        <v>1366</v>
      </c>
      <c r="B1565" t="s">
        <v>39</v>
      </c>
      <c r="C1565" s="2">
        <f>HYPERLINK("https://cao.dolgi.msk.ru/account/1080286655/", 1080286655)</f>
        <v>1080286655</v>
      </c>
      <c r="D1565" t="s">
        <v>1385</v>
      </c>
      <c r="E1565">
        <v>-241.58</v>
      </c>
      <c r="F1565">
        <v>-0.04</v>
      </c>
      <c r="G1565" t="s">
        <v>12</v>
      </c>
      <c r="H1565" t="s">
        <v>7</v>
      </c>
      <c r="I1565" t="s">
        <v>1050</v>
      </c>
    </row>
    <row r="1566" spans="1:9" hidden="1" x14ac:dyDescent="0.25">
      <c r="A1566" t="s">
        <v>1366</v>
      </c>
      <c r="B1566" t="s">
        <v>40</v>
      </c>
      <c r="C1566" s="2">
        <f>HYPERLINK("https://cao.dolgi.msk.ru/account/1080286663/", 1080286663)</f>
        <v>1080286663</v>
      </c>
      <c r="D1566" t="s">
        <v>1386</v>
      </c>
      <c r="E1566">
        <v>5602.76</v>
      </c>
      <c r="F1566">
        <v>1</v>
      </c>
      <c r="G1566" t="s">
        <v>12</v>
      </c>
      <c r="H1566" t="s">
        <v>7</v>
      </c>
      <c r="I1566" t="s">
        <v>1050</v>
      </c>
    </row>
    <row r="1567" spans="1:9" hidden="1" x14ac:dyDescent="0.25">
      <c r="A1567" t="s">
        <v>1366</v>
      </c>
      <c r="B1567" t="s">
        <v>40</v>
      </c>
      <c r="C1567" s="2">
        <f>HYPERLINK("https://cao.dolgi.msk.ru/account/1080286671/", 1080286671)</f>
        <v>1080286671</v>
      </c>
      <c r="D1567" t="s">
        <v>1386</v>
      </c>
      <c r="E1567">
        <v>5031.88</v>
      </c>
      <c r="F1567">
        <v>1</v>
      </c>
      <c r="G1567" t="s">
        <v>12</v>
      </c>
      <c r="H1567" t="s">
        <v>7</v>
      </c>
      <c r="I1567" t="s">
        <v>1050</v>
      </c>
    </row>
    <row r="1568" spans="1:9" hidden="1" x14ac:dyDescent="0.25">
      <c r="A1568" t="s">
        <v>1366</v>
      </c>
      <c r="B1568" t="s">
        <v>41</v>
      </c>
      <c r="C1568" s="2">
        <f>HYPERLINK("https://cao.dolgi.msk.ru/account/1080286698/", 1080286698)</f>
        <v>1080286698</v>
      </c>
      <c r="D1568" t="s">
        <v>15</v>
      </c>
      <c r="E1568">
        <v>-2643.55</v>
      </c>
      <c r="F1568">
        <v>-1.01</v>
      </c>
      <c r="G1568" t="s">
        <v>12</v>
      </c>
      <c r="H1568" t="s">
        <v>7</v>
      </c>
      <c r="I1568" t="s">
        <v>1050</v>
      </c>
    </row>
    <row r="1569" spans="1:9" hidden="1" x14ac:dyDescent="0.25">
      <c r="A1569" t="s">
        <v>1366</v>
      </c>
      <c r="B1569" t="s">
        <v>41</v>
      </c>
      <c r="C1569" s="2">
        <f>HYPERLINK("https://cao.dolgi.msk.ru/account/1080286719/", 1080286719)</f>
        <v>1080286719</v>
      </c>
      <c r="D1569" t="s">
        <v>1082</v>
      </c>
      <c r="E1569">
        <v>0</v>
      </c>
      <c r="F1569">
        <v>0</v>
      </c>
      <c r="G1569" t="s">
        <v>14</v>
      </c>
      <c r="H1569" t="s">
        <v>7</v>
      </c>
      <c r="I1569" t="s">
        <v>1050</v>
      </c>
    </row>
    <row r="1570" spans="1:9" hidden="1" x14ac:dyDescent="0.25">
      <c r="A1570" t="s">
        <v>1366</v>
      </c>
      <c r="B1570" t="s">
        <v>41</v>
      </c>
      <c r="C1570" s="2">
        <f>HYPERLINK("https://cao.dolgi.msk.ru/account/1080286727/", 1080286727)</f>
        <v>1080286727</v>
      </c>
      <c r="D1570" t="s">
        <v>15</v>
      </c>
      <c r="E1570">
        <v>-1865.42</v>
      </c>
      <c r="F1570">
        <v>-0.34</v>
      </c>
      <c r="G1570" t="s">
        <v>12</v>
      </c>
      <c r="H1570" t="s">
        <v>7</v>
      </c>
      <c r="I1570" t="s">
        <v>1050</v>
      </c>
    </row>
    <row r="1571" spans="1:9" hidden="1" x14ac:dyDescent="0.25">
      <c r="A1571" t="s">
        <v>1366</v>
      </c>
      <c r="B1571" t="s">
        <v>42</v>
      </c>
      <c r="C1571" s="2">
        <f>HYPERLINK("https://cao.dolgi.msk.ru/account/1080286735/", 1080286735)</f>
        <v>1080286735</v>
      </c>
      <c r="D1571" t="s">
        <v>1387</v>
      </c>
      <c r="E1571">
        <v>0</v>
      </c>
      <c r="F1571">
        <v>0</v>
      </c>
      <c r="G1571" t="s">
        <v>12</v>
      </c>
      <c r="H1571" t="s">
        <v>7</v>
      </c>
      <c r="I1571" t="s">
        <v>1050</v>
      </c>
    </row>
    <row r="1572" spans="1:9" hidden="1" x14ac:dyDescent="0.25">
      <c r="A1572" t="s">
        <v>1366</v>
      </c>
      <c r="B1572" t="s">
        <v>42</v>
      </c>
      <c r="C1572" s="2">
        <f>HYPERLINK("https://cao.dolgi.msk.ru/account/1080286743/", 1080286743)</f>
        <v>1080286743</v>
      </c>
      <c r="D1572" t="s">
        <v>1387</v>
      </c>
      <c r="E1572">
        <v>0</v>
      </c>
      <c r="F1572">
        <v>0</v>
      </c>
      <c r="G1572" t="s">
        <v>12</v>
      </c>
      <c r="H1572" t="s">
        <v>7</v>
      </c>
      <c r="I1572" t="s">
        <v>1050</v>
      </c>
    </row>
    <row r="1573" spans="1:9" hidden="1" x14ac:dyDescent="0.25">
      <c r="A1573" t="s">
        <v>1366</v>
      </c>
      <c r="B1573" t="s">
        <v>44</v>
      </c>
      <c r="C1573" s="2">
        <f>HYPERLINK("https://cao.dolgi.msk.ru/account/1080286751/", 1080286751)</f>
        <v>1080286751</v>
      </c>
      <c r="D1573" t="s">
        <v>15</v>
      </c>
      <c r="E1573">
        <v>-359.96</v>
      </c>
      <c r="F1573">
        <v>-0.12</v>
      </c>
      <c r="G1573" t="s">
        <v>12</v>
      </c>
      <c r="H1573" t="s">
        <v>7</v>
      </c>
      <c r="I1573" t="s">
        <v>1050</v>
      </c>
    </row>
    <row r="1574" spans="1:9" hidden="1" x14ac:dyDescent="0.25">
      <c r="A1574" t="s">
        <v>1366</v>
      </c>
      <c r="B1574" t="s">
        <v>44</v>
      </c>
      <c r="C1574" s="2">
        <f>HYPERLINK("https://cao.dolgi.msk.ru/account/1080286778/", 1080286778)</f>
        <v>1080286778</v>
      </c>
      <c r="D1574" t="s">
        <v>15</v>
      </c>
      <c r="E1574">
        <v>289.57</v>
      </c>
      <c r="F1574">
        <v>0.05</v>
      </c>
      <c r="G1574" t="s">
        <v>12</v>
      </c>
      <c r="H1574" t="s">
        <v>7</v>
      </c>
      <c r="I1574" t="s">
        <v>1050</v>
      </c>
    </row>
    <row r="1575" spans="1:9" hidden="1" x14ac:dyDescent="0.25">
      <c r="A1575" t="s">
        <v>1366</v>
      </c>
      <c r="B1575" t="s">
        <v>66</v>
      </c>
      <c r="C1575" s="2">
        <f>HYPERLINK("https://cao.dolgi.msk.ru/account/1080286786/", 1080286786)</f>
        <v>1080286786</v>
      </c>
      <c r="D1575" t="s">
        <v>1388</v>
      </c>
      <c r="E1575">
        <v>-8744.36</v>
      </c>
      <c r="F1575">
        <v>-1.01</v>
      </c>
      <c r="G1575" t="s">
        <v>12</v>
      </c>
      <c r="I1575" t="s">
        <v>1050</v>
      </c>
    </row>
    <row r="1576" spans="1:9" hidden="1" x14ac:dyDescent="0.25">
      <c r="A1576" t="s">
        <v>1366</v>
      </c>
      <c r="B1576" t="s">
        <v>68</v>
      </c>
      <c r="C1576" s="2">
        <f>HYPERLINK("https://cao.dolgi.msk.ru/account/1080286794/", 1080286794)</f>
        <v>1080286794</v>
      </c>
      <c r="D1576" t="s">
        <v>1389</v>
      </c>
      <c r="E1576">
        <v>-4565.08</v>
      </c>
      <c r="F1576">
        <v>-0.9</v>
      </c>
      <c r="G1576" t="s">
        <v>12</v>
      </c>
      <c r="H1576" t="s">
        <v>7</v>
      </c>
      <c r="I1576" t="s">
        <v>1050</v>
      </c>
    </row>
    <row r="1577" spans="1:9" hidden="1" x14ac:dyDescent="0.25">
      <c r="A1577" t="s">
        <v>1366</v>
      </c>
      <c r="B1577" t="s">
        <v>68</v>
      </c>
      <c r="C1577" s="2">
        <f>HYPERLINK("https://cao.dolgi.msk.ru/account/1080286807/", 1080286807)</f>
        <v>1080286807</v>
      </c>
      <c r="D1577" t="s">
        <v>15</v>
      </c>
      <c r="E1577">
        <v>-3069.68</v>
      </c>
      <c r="F1577">
        <v>-1.56</v>
      </c>
      <c r="G1577" t="s">
        <v>12</v>
      </c>
      <c r="H1577" t="s">
        <v>7</v>
      </c>
      <c r="I1577" t="s">
        <v>1050</v>
      </c>
    </row>
    <row r="1578" spans="1:9" hidden="1" x14ac:dyDescent="0.25">
      <c r="A1578" t="s">
        <v>1366</v>
      </c>
      <c r="B1578" t="s">
        <v>68</v>
      </c>
      <c r="C1578" s="2">
        <f>HYPERLINK("https://cao.dolgi.msk.ru/account/1080286815/", 1080286815)</f>
        <v>1080286815</v>
      </c>
      <c r="D1578" t="s">
        <v>15</v>
      </c>
      <c r="E1578">
        <v>-2531.2800000000002</v>
      </c>
      <c r="F1578">
        <v>-0.66</v>
      </c>
      <c r="G1578" t="s">
        <v>12</v>
      </c>
      <c r="H1578" t="s">
        <v>7</v>
      </c>
      <c r="I1578" t="s">
        <v>1050</v>
      </c>
    </row>
    <row r="1579" spans="1:9" hidden="1" x14ac:dyDescent="0.25">
      <c r="A1579" t="s">
        <v>1366</v>
      </c>
      <c r="B1579" t="s">
        <v>70</v>
      </c>
      <c r="C1579" s="2">
        <f>HYPERLINK("https://cao.dolgi.msk.ru/account/1080286823/", 1080286823)</f>
        <v>1080286823</v>
      </c>
      <c r="D1579" t="s">
        <v>1390</v>
      </c>
      <c r="E1579">
        <v>-3522.15</v>
      </c>
      <c r="F1579">
        <v>-0.67</v>
      </c>
      <c r="G1579" t="s">
        <v>12</v>
      </c>
      <c r="I1579" t="s">
        <v>1050</v>
      </c>
    </row>
    <row r="1580" spans="1:9" hidden="1" x14ac:dyDescent="0.25">
      <c r="A1580" t="s">
        <v>1366</v>
      </c>
      <c r="B1580" t="s">
        <v>72</v>
      </c>
      <c r="C1580" s="2">
        <f>HYPERLINK("https://cao.dolgi.msk.ru/account/1080286831/", 1080286831)</f>
        <v>1080286831</v>
      </c>
      <c r="D1580" t="s">
        <v>1391</v>
      </c>
      <c r="E1580">
        <v>0</v>
      </c>
      <c r="F1580">
        <v>0</v>
      </c>
      <c r="G1580" t="s">
        <v>12</v>
      </c>
      <c r="H1580" t="s">
        <v>7</v>
      </c>
      <c r="I1580" t="s">
        <v>1050</v>
      </c>
    </row>
    <row r="1581" spans="1:9" x14ac:dyDescent="0.25">
      <c r="A1581" t="s">
        <v>1366</v>
      </c>
      <c r="B1581" t="s">
        <v>72</v>
      </c>
      <c r="C1581" s="2">
        <f>HYPERLINK("https://cao.dolgi.msk.ru/account/1080286858/", 1080286858)</f>
        <v>1080286858</v>
      </c>
      <c r="D1581" t="s">
        <v>1392</v>
      </c>
      <c r="E1581">
        <v>22310.53</v>
      </c>
      <c r="F1581">
        <v>4.47</v>
      </c>
      <c r="G1581" t="s">
        <v>12</v>
      </c>
      <c r="H1581" t="s">
        <v>7</v>
      </c>
      <c r="I1581" t="s">
        <v>1050</v>
      </c>
    </row>
    <row r="1582" spans="1:9" hidden="1" x14ac:dyDescent="0.25">
      <c r="A1582" t="s">
        <v>1393</v>
      </c>
      <c r="B1582" t="s">
        <v>74</v>
      </c>
      <c r="C1582" s="2">
        <f>HYPERLINK("https://cao.dolgi.msk.ru/account/1080286866/", 1080286866)</f>
        <v>1080286866</v>
      </c>
      <c r="D1582" t="s">
        <v>1394</v>
      </c>
      <c r="E1582">
        <v>-22082.46</v>
      </c>
      <c r="F1582">
        <v>-4.25</v>
      </c>
      <c r="G1582" t="s">
        <v>12</v>
      </c>
      <c r="I1582" t="s">
        <v>1050</v>
      </c>
    </row>
    <row r="1583" spans="1:9" hidden="1" x14ac:dyDescent="0.25">
      <c r="A1583" t="s">
        <v>1393</v>
      </c>
      <c r="B1583" t="s">
        <v>76</v>
      </c>
      <c r="C1583" s="2">
        <f>HYPERLINK("https://cao.dolgi.msk.ru/account/1080286874/", 1080286874)</f>
        <v>1080286874</v>
      </c>
      <c r="D1583" t="s">
        <v>15</v>
      </c>
      <c r="E1583">
        <v>-6913.04</v>
      </c>
      <c r="F1583">
        <v>-1.04</v>
      </c>
      <c r="G1583" t="s">
        <v>12</v>
      </c>
      <c r="I1583" t="s">
        <v>1050</v>
      </c>
    </row>
    <row r="1584" spans="1:9" hidden="1" x14ac:dyDescent="0.25">
      <c r="A1584" t="s">
        <v>1393</v>
      </c>
      <c r="B1584" t="s">
        <v>78</v>
      </c>
      <c r="C1584" s="2">
        <f>HYPERLINK("https://cao.dolgi.msk.ru/account/1080286882/", 1080286882)</f>
        <v>1080286882</v>
      </c>
      <c r="D1584" t="s">
        <v>1395</v>
      </c>
      <c r="E1584">
        <v>-1649.59</v>
      </c>
      <c r="F1584">
        <v>-1.1299999999999999</v>
      </c>
      <c r="G1584" t="s">
        <v>12</v>
      </c>
      <c r="I1584" t="s">
        <v>1050</v>
      </c>
    </row>
    <row r="1585" spans="1:9" hidden="1" x14ac:dyDescent="0.25">
      <c r="A1585" t="s">
        <v>1393</v>
      </c>
      <c r="B1585" t="s">
        <v>78</v>
      </c>
      <c r="C1585" s="2">
        <f>HYPERLINK("https://cao.dolgi.msk.ru/account/1089124329/", 1089124329)</f>
        <v>1089124329</v>
      </c>
      <c r="D1585" t="s">
        <v>15</v>
      </c>
      <c r="E1585">
        <v>-3303.16</v>
      </c>
      <c r="F1585">
        <v>-1.25</v>
      </c>
      <c r="G1585" t="s">
        <v>12</v>
      </c>
      <c r="I1585" t="s">
        <v>1050</v>
      </c>
    </row>
    <row r="1586" spans="1:9" hidden="1" x14ac:dyDescent="0.25">
      <c r="A1586" t="s">
        <v>1393</v>
      </c>
      <c r="B1586" t="s">
        <v>80</v>
      </c>
      <c r="C1586" s="2">
        <f>HYPERLINK("https://cao.dolgi.msk.ru/account/1080286903/", 1080286903)</f>
        <v>1080286903</v>
      </c>
      <c r="D1586" t="s">
        <v>1396</v>
      </c>
      <c r="E1586">
        <v>-2945.14</v>
      </c>
      <c r="F1586">
        <v>-0.89</v>
      </c>
      <c r="G1586" t="s">
        <v>12</v>
      </c>
      <c r="H1586" t="s">
        <v>7</v>
      </c>
      <c r="I1586" t="s">
        <v>1050</v>
      </c>
    </row>
    <row r="1587" spans="1:9" hidden="1" x14ac:dyDescent="0.25">
      <c r="A1587" t="s">
        <v>1393</v>
      </c>
      <c r="B1587" t="s">
        <v>80</v>
      </c>
      <c r="C1587" s="2">
        <f>HYPERLINK("https://cao.dolgi.msk.ru/account/1080286911/", 1080286911)</f>
        <v>1080286911</v>
      </c>
      <c r="D1587" t="s">
        <v>1396</v>
      </c>
      <c r="E1587">
        <v>-2267.29</v>
      </c>
      <c r="F1587">
        <v>-0.9</v>
      </c>
      <c r="G1587" t="s">
        <v>12</v>
      </c>
      <c r="H1587" t="s">
        <v>7</v>
      </c>
      <c r="I1587" t="s">
        <v>1050</v>
      </c>
    </row>
    <row r="1588" spans="1:9" hidden="1" x14ac:dyDescent="0.25">
      <c r="A1588" t="s">
        <v>1393</v>
      </c>
      <c r="B1588" t="s">
        <v>80</v>
      </c>
      <c r="C1588" s="2">
        <f>HYPERLINK("https://cao.dolgi.msk.ru/account/1080286938/", 1080286938)</f>
        <v>1080286938</v>
      </c>
      <c r="D1588" t="s">
        <v>1397</v>
      </c>
      <c r="E1588">
        <v>-1342.39</v>
      </c>
      <c r="F1588">
        <v>-1.07</v>
      </c>
      <c r="G1588" t="s">
        <v>12</v>
      </c>
      <c r="H1588" t="s">
        <v>7</v>
      </c>
      <c r="I1588" t="s">
        <v>1050</v>
      </c>
    </row>
    <row r="1589" spans="1:9" hidden="1" x14ac:dyDescent="0.25">
      <c r="A1589" t="s">
        <v>1393</v>
      </c>
      <c r="B1589" t="s">
        <v>82</v>
      </c>
      <c r="C1589" s="2">
        <f>HYPERLINK("https://cao.dolgi.msk.ru/account/1080286946/", 1080286946)</f>
        <v>1080286946</v>
      </c>
      <c r="D1589" t="s">
        <v>1398</v>
      </c>
      <c r="E1589">
        <v>-942.7</v>
      </c>
      <c r="F1589">
        <v>-0.18</v>
      </c>
      <c r="G1589" t="s">
        <v>12</v>
      </c>
      <c r="I1589" t="s">
        <v>1050</v>
      </c>
    </row>
    <row r="1590" spans="1:9" hidden="1" x14ac:dyDescent="0.25">
      <c r="A1590" t="s">
        <v>1393</v>
      </c>
      <c r="B1590" t="s">
        <v>84</v>
      </c>
      <c r="C1590" s="2">
        <f>HYPERLINK("https://cao.dolgi.msk.ru/account/1080286954/", 1080286954)</f>
        <v>1080286954</v>
      </c>
      <c r="D1590" t="s">
        <v>1399</v>
      </c>
      <c r="E1590">
        <v>-8078.52</v>
      </c>
      <c r="F1590">
        <v>-1.19</v>
      </c>
      <c r="G1590" t="s">
        <v>12</v>
      </c>
      <c r="I1590" t="s">
        <v>1050</v>
      </c>
    </row>
    <row r="1591" spans="1:9" hidden="1" x14ac:dyDescent="0.25">
      <c r="A1591" t="s">
        <v>1393</v>
      </c>
      <c r="B1591" t="s">
        <v>86</v>
      </c>
      <c r="C1591" s="2">
        <f>HYPERLINK("https://cao.dolgi.msk.ru/account/1080286962/", 1080286962)</f>
        <v>1080286962</v>
      </c>
      <c r="D1591" t="s">
        <v>1400</v>
      </c>
      <c r="E1591">
        <v>-9747.2199999999993</v>
      </c>
      <c r="F1591">
        <v>-1.1599999999999999</v>
      </c>
      <c r="G1591" t="s">
        <v>12</v>
      </c>
      <c r="I1591" t="s">
        <v>1050</v>
      </c>
    </row>
    <row r="1592" spans="1:9" hidden="1" x14ac:dyDescent="0.25">
      <c r="A1592" t="s">
        <v>1393</v>
      </c>
      <c r="B1592" t="s">
        <v>88</v>
      </c>
      <c r="C1592" s="2">
        <f>HYPERLINK("https://cao.dolgi.msk.ru/account/1080286989/", 1080286989)</f>
        <v>1080286989</v>
      </c>
      <c r="D1592" t="s">
        <v>1401</v>
      </c>
      <c r="E1592">
        <v>0</v>
      </c>
      <c r="F1592">
        <v>0</v>
      </c>
      <c r="G1592" t="s">
        <v>12</v>
      </c>
      <c r="I1592" t="s">
        <v>1050</v>
      </c>
    </row>
    <row r="1593" spans="1:9" hidden="1" x14ac:dyDescent="0.25">
      <c r="A1593" t="s">
        <v>1393</v>
      </c>
      <c r="B1593" t="s">
        <v>88</v>
      </c>
      <c r="C1593" s="2">
        <f>HYPERLINK("https://cao.dolgi.msk.ru/account/1080286997/", 1080286997)</f>
        <v>1080286997</v>
      </c>
      <c r="D1593" t="s">
        <v>1402</v>
      </c>
      <c r="E1593">
        <v>0</v>
      </c>
      <c r="G1593" t="s">
        <v>14</v>
      </c>
      <c r="I1593" t="s">
        <v>1050</v>
      </c>
    </row>
    <row r="1594" spans="1:9" hidden="1" x14ac:dyDescent="0.25">
      <c r="A1594" t="s">
        <v>1393</v>
      </c>
      <c r="B1594" t="s">
        <v>88</v>
      </c>
      <c r="C1594" s="2">
        <f>HYPERLINK("https://cao.dolgi.msk.ru/account/1080322353/", 1080322353)</f>
        <v>1080322353</v>
      </c>
      <c r="D1594" t="s">
        <v>15</v>
      </c>
      <c r="E1594">
        <v>-4442.47</v>
      </c>
      <c r="G1594" t="s">
        <v>14</v>
      </c>
      <c r="I1594" t="s">
        <v>1050</v>
      </c>
    </row>
    <row r="1595" spans="1:9" hidden="1" x14ac:dyDescent="0.25">
      <c r="A1595" t="s">
        <v>1393</v>
      </c>
      <c r="B1595" t="s">
        <v>90</v>
      </c>
      <c r="C1595" s="2">
        <f>HYPERLINK("https://cao.dolgi.msk.ru/account/1080287009/", 1080287009)</f>
        <v>1080287009</v>
      </c>
      <c r="D1595" t="s">
        <v>1403</v>
      </c>
      <c r="E1595">
        <v>-8205</v>
      </c>
      <c r="F1595">
        <v>-1.1000000000000001</v>
      </c>
      <c r="G1595" t="s">
        <v>12</v>
      </c>
      <c r="I1595" t="s">
        <v>1050</v>
      </c>
    </row>
    <row r="1596" spans="1:9" hidden="1" x14ac:dyDescent="0.25">
      <c r="A1596" t="s">
        <v>1393</v>
      </c>
      <c r="B1596" t="s">
        <v>90</v>
      </c>
      <c r="C1596" s="2">
        <f>HYPERLINK("https://cao.dolgi.msk.ru/account/1080321107/", 1080321107)</f>
        <v>1080321107</v>
      </c>
      <c r="D1596" t="s">
        <v>15</v>
      </c>
      <c r="G1596" t="s">
        <v>14</v>
      </c>
      <c r="I1596" t="s">
        <v>1050</v>
      </c>
    </row>
    <row r="1597" spans="1:9" hidden="1" x14ac:dyDescent="0.25">
      <c r="A1597" t="s">
        <v>1393</v>
      </c>
      <c r="B1597" t="s">
        <v>92</v>
      </c>
      <c r="C1597" s="2">
        <f>HYPERLINK("https://cao.dolgi.msk.ru/account/1080287017/", 1080287017)</f>
        <v>1080287017</v>
      </c>
      <c r="D1597" t="s">
        <v>1404</v>
      </c>
      <c r="E1597">
        <v>-13267.87</v>
      </c>
      <c r="F1597">
        <v>-1.18</v>
      </c>
      <c r="G1597" t="s">
        <v>12</v>
      </c>
      <c r="I1597" t="s">
        <v>1050</v>
      </c>
    </row>
    <row r="1598" spans="1:9" hidden="1" x14ac:dyDescent="0.25">
      <c r="A1598" t="s">
        <v>1393</v>
      </c>
      <c r="B1598" t="s">
        <v>92</v>
      </c>
      <c r="C1598" s="2">
        <f>HYPERLINK("https://cao.dolgi.msk.ru/account/1080287033/", 1080287033)</f>
        <v>1080287033</v>
      </c>
      <c r="D1598" t="s">
        <v>1404</v>
      </c>
      <c r="E1598">
        <v>-6.49</v>
      </c>
      <c r="G1598" t="s">
        <v>14</v>
      </c>
      <c r="I1598" t="s">
        <v>1050</v>
      </c>
    </row>
    <row r="1599" spans="1:9" x14ac:dyDescent="0.25">
      <c r="A1599" t="s">
        <v>1393</v>
      </c>
      <c r="B1599" t="s">
        <v>94</v>
      </c>
      <c r="C1599" s="2">
        <f>HYPERLINK("https://cao.dolgi.msk.ru/account/1080287041/", 1080287041)</f>
        <v>1080287041</v>
      </c>
      <c r="D1599" t="s">
        <v>1405</v>
      </c>
      <c r="E1599">
        <v>21957.97</v>
      </c>
      <c r="F1599">
        <v>2.4700000000000002</v>
      </c>
      <c r="G1599" t="s">
        <v>12</v>
      </c>
      <c r="H1599" t="s">
        <v>7</v>
      </c>
      <c r="I1599" t="s">
        <v>1050</v>
      </c>
    </row>
    <row r="1600" spans="1:9" hidden="1" x14ac:dyDescent="0.25">
      <c r="A1600" t="s">
        <v>1393</v>
      </c>
      <c r="B1600" t="s">
        <v>94</v>
      </c>
      <c r="C1600" s="2">
        <f>HYPERLINK("https://cao.dolgi.msk.ru/account/1080287068/", 1080287068)</f>
        <v>1080287068</v>
      </c>
      <c r="D1600" t="s">
        <v>1405</v>
      </c>
      <c r="E1600">
        <v>0</v>
      </c>
      <c r="G1600" t="s">
        <v>12</v>
      </c>
      <c r="H1600" t="s">
        <v>7</v>
      </c>
      <c r="I1600" t="s">
        <v>1050</v>
      </c>
    </row>
    <row r="1601" spans="1:9" hidden="1" x14ac:dyDescent="0.25">
      <c r="A1601" t="s">
        <v>1393</v>
      </c>
      <c r="B1601" t="s">
        <v>96</v>
      </c>
      <c r="C1601" s="2">
        <f>HYPERLINK("https://cao.dolgi.msk.ru/account/1080287076/", 1080287076)</f>
        <v>1080287076</v>
      </c>
      <c r="D1601" t="s">
        <v>1406</v>
      </c>
      <c r="E1601">
        <v>162.26</v>
      </c>
      <c r="F1601">
        <v>0.01</v>
      </c>
      <c r="G1601" t="s">
        <v>12</v>
      </c>
      <c r="I1601" t="s">
        <v>1050</v>
      </c>
    </row>
    <row r="1602" spans="1:9" hidden="1" x14ac:dyDescent="0.25">
      <c r="A1602" t="s">
        <v>1393</v>
      </c>
      <c r="B1602" t="s">
        <v>98</v>
      </c>
      <c r="C1602" s="2">
        <f>HYPERLINK("https://cao.dolgi.msk.ru/account/1080287084/", 1080287084)</f>
        <v>1080287084</v>
      </c>
      <c r="D1602" t="s">
        <v>1407</v>
      </c>
      <c r="E1602">
        <v>-8516.9699999999993</v>
      </c>
      <c r="F1602">
        <v>-1.1599999999999999</v>
      </c>
      <c r="G1602" t="s">
        <v>12</v>
      </c>
      <c r="I1602" t="s">
        <v>1050</v>
      </c>
    </row>
    <row r="1603" spans="1:9" hidden="1" x14ac:dyDescent="0.25">
      <c r="A1603" t="s">
        <v>1393</v>
      </c>
      <c r="B1603" t="s">
        <v>100</v>
      </c>
      <c r="C1603" s="2">
        <f>HYPERLINK("https://cao.dolgi.msk.ru/account/1080287092/", 1080287092)</f>
        <v>1080287092</v>
      </c>
      <c r="D1603" t="s">
        <v>1408</v>
      </c>
      <c r="E1603">
        <v>-7160.46</v>
      </c>
      <c r="F1603">
        <v>-1.47</v>
      </c>
      <c r="G1603" t="s">
        <v>12</v>
      </c>
      <c r="I1603" t="s">
        <v>1050</v>
      </c>
    </row>
    <row r="1604" spans="1:9" hidden="1" x14ac:dyDescent="0.25">
      <c r="A1604" t="s">
        <v>1393</v>
      </c>
      <c r="B1604" t="s">
        <v>102</v>
      </c>
      <c r="C1604" s="2">
        <f>HYPERLINK("https://cao.dolgi.msk.ru/account/1080287105/", 1080287105)</f>
        <v>1080287105</v>
      </c>
      <c r="D1604" t="s">
        <v>1409</v>
      </c>
      <c r="E1604">
        <v>-5580.83</v>
      </c>
      <c r="F1604">
        <v>-1.07</v>
      </c>
      <c r="G1604" t="s">
        <v>12</v>
      </c>
      <c r="I1604" t="s">
        <v>1050</v>
      </c>
    </row>
    <row r="1605" spans="1:9" hidden="1" x14ac:dyDescent="0.25">
      <c r="A1605" t="s">
        <v>1393</v>
      </c>
      <c r="B1605" t="s">
        <v>104</v>
      </c>
      <c r="C1605" s="2">
        <f>HYPERLINK("https://cao.dolgi.msk.ru/account/1080287113/", 1080287113)</f>
        <v>1080287113</v>
      </c>
      <c r="D1605" t="s">
        <v>1410</v>
      </c>
      <c r="E1605">
        <v>-6824.08</v>
      </c>
      <c r="F1605">
        <v>-1.0900000000000001</v>
      </c>
      <c r="G1605" t="s">
        <v>12</v>
      </c>
      <c r="I1605" t="s">
        <v>1050</v>
      </c>
    </row>
    <row r="1606" spans="1:9" hidden="1" x14ac:dyDescent="0.25">
      <c r="A1606" t="s">
        <v>1393</v>
      </c>
      <c r="B1606" t="s">
        <v>106</v>
      </c>
      <c r="C1606" s="2">
        <f>HYPERLINK("https://cao.dolgi.msk.ru/account/1080287121/", 1080287121)</f>
        <v>1080287121</v>
      </c>
      <c r="D1606" t="s">
        <v>1411</v>
      </c>
      <c r="E1606">
        <v>-7527.12</v>
      </c>
      <c r="F1606">
        <v>-1.1100000000000001</v>
      </c>
      <c r="G1606" t="s">
        <v>12</v>
      </c>
      <c r="I1606" t="s">
        <v>1050</v>
      </c>
    </row>
    <row r="1607" spans="1:9" hidden="1" x14ac:dyDescent="0.25">
      <c r="A1607" t="s">
        <v>1393</v>
      </c>
      <c r="B1607" t="s">
        <v>108</v>
      </c>
      <c r="C1607" s="2">
        <f>HYPERLINK("https://cao.dolgi.msk.ru/account/1080287148/", 1080287148)</f>
        <v>1080287148</v>
      </c>
      <c r="D1607" t="s">
        <v>1412</v>
      </c>
      <c r="E1607">
        <v>-5313.57</v>
      </c>
      <c r="F1607">
        <v>-1.18</v>
      </c>
      <c r="G1607" t="s">
        <v>12</v>
      </c>
      <c r="I1607" t="s">
        <v>1050</v>
      </c>
    </row>
    <row r="1608" spans="1:9" hidden="1" x14ac:dyDescent="0.25">
      <c r="A1608" t="s">
        <v>1393</v>
      </c>
      <c r="B1608" t="s">
        <v>110</v>
      </c>
      <c r="C1608" s="2">
        <f>HYPERLINK("https://cao.dolgi.msk.ru/account/1080287156/", 1080287156)</f>
        <v>1080287156</v>
      </c>
      <c r="D1608" t="s">
        <v>1413</v>
      </c>
      <c r="E1608">
        <v>-1238.5899999999999</v>
      </c>
      <c r="F1608">
        <v>-1.18</v>
      </c>
      <c r="G1608" t="s">
        <v>12</v>
      </c>
      <c r="H1608" t="s">
        <v>7</v>
      </c>
      <c r="I1608" t="s">
        <v>1050</v>
      </c>
    </row>
    <row r="1609" spans="1:9" hidden="1" x14ac:dyDescent="0.25">
      <c r="A1609" t="s">
        <v>1393</v>
      </c>
      <c r="B1609" t="s">
        <v>110</v>
      </c>
      <c r="C1609" s="2">
        <f>HYPERLINK("https://cao.dolgi.msk.ru/account/1080287164/", 1080287164)</f>
        <v>1080287164</v>
      </c>
      <c r="D1609" t="s">
        <v>1151</v>
      </c>
      <c r="E1609">
        <v>0</v>
      </c>
      <c r="F1609">
        <v>0</v>
      </c>
      <c r="G1609" t="s">
        <v>12</v>
      </c>
      <c r="H1609" t="s">
        <v>7</v>
      </c>
      <c r="I1609" t="s">
        <v>1050</v>
      </c>
    </row>
    <row r="1610" spans="1:9" hidden="1" x14ac:dyDescent="0.25">
      <c r="A1610" t="s">
        <v>1393</v>
      </c>
      <c r="B1610" t="s">
        <v>110</v>
      </c>
      <c r="C1610" s="2">
        <f>HYPERLINK("https://cao.dolgi.msk.ru/account/1080287172/", 1080287172)</f>
        <v>1080287172</v>
      </c>
      <c r="D1610" t="s">
        <v>1414</v>
      </c>
      <c r="E1610">
        <v>-2293.1799999999998</v>
      </c>
      <c r="F1610">
        <v>-1.0900000000000001</v>
      </c>
      <c r="G1610" t="s">
        <v>12</v>
      </c>
      <c r="H1610" t="s">
        <v>7</v>
      </c>
      <c r="I1610" t="s">
        <v>1050</v>
      </c>
    </row>
    <row r="1611" spans="1:9" hidden="1" x14ac:dyDescent="0.25">
      <c r="A1611" t="s">
        <v>1393</v>
      </c>
      <c r="B1611" t="s">
        <v>112</v>
      </c>
      <c r="C1611" s="2">
        <f>HYPERLINK("https://cao.dolgi.msk.ru/account/1080287199/", 1080287199)</f>
        <v>1080287199</v>
      </c>
      <c r="D1611" t="s">
        <v>1415</v>
      </c>
      <c r="E1611">
        <v>-14941.31</v>
      </c>
      <c r="F1611">
        <v>-1.22</v>
      </c>
      <c r="G1611" t="s">
        <v>12</v>
      </c>
      <c r="I1611" t="s">
        <v>1050</v>
      </c>
    </row>
    <row r="1612" spans="1:9" hidden="1" x14ac:dyDescent="0.25">
      <c r="A1612" t="s">
        <v>1393</v>
      </c>
      <c r="B1612" t="s">
        <v>114</v>
      </c>
      <c r="C1612" s="2">
        <f>HYPERLINK("https://cao.dolgi.msk.ru/account/1080287201/", 1080287201)</f>
        <v>1080287201</v>
      </c>
      <c r="D1612" t="s">
        <v>1416</v>
      </c>
      <c r="E1612">
        <v>-7069.3</v>
      </c>
      <c r="F1612">
        <v>-1.8</v>
      </c>
      <c r="G1612" t="s">
        <v>12</v>
      </c>
      <c r="I1612" t="s">
        <v>1050</v>
      </c>
    </row>
    <row r="1613" spans="1:9" hidden="1" x14ac:dyDescent="0.25">
      <c r="A1613" t="s">
        <v>1393</v>
      </c>
      <c r="B1613" t="s">
        <v>116</v>
      </c>
      <c r="C1613" s="2">
        <f>HYPERLINK("https://cao.dolgi.msk.ru/account/1080287228/", 1080287228)</f>
        <v>1080287228</v>
      </c>
      <c r="D1613" t="s">
        <v>1417</v>
      </c>
      <c r="E1613">
        <v>90.17</v>
      </c>
      <c r="F1613">
        <v>0.02</v>
      </c>
      <c r="G1613" t="s">
        <v>12</v>
      </c>
      <c r="I1613" t="s">
        <v>1050</v>
      </c>
    </row>
    <row r="1614" spans="1:9" hidden="1" x14ac:dyDescent="0.25">
      <c r="A1614" t="s">
        <v>1393</v>
      </c>
      <c r="B1614" t="s">
        <v>116</v>
      </c>
      <c r="C1614" s="2">
        <f>HYPERLINK("https://cao.dolgi.msk.ru/account/1089126797/", 1089126797)</f>
        <v>1089126797</v>
      </c>
      <c r="D1614" t="s">
        <v>15</v>
      </c>
      <c r="E1614">
        <v>-1505.37</v>
      </c>
      <c r="F1614">
        <v>-1.1399999999999999</v>
      </c>
      <c r="G1614" t="s">
        <v>12</v>
      </c>
      <c r="I1614" t="s">
        <v>1050</v>
      </c>
    </row>
    <row r="1615" spans="1:9" hidden="1" x14ac:dyDescent="0.25">
      <c r="A1615" t="s">
        <v>1393</v>
      </c>
      <c r="B1615" t="s">
        <v>118</v>
      </c>
      <c r="C1615" s="2">
        <f>HYPERLINK("https://cao.dolgi.msk.ru/account/1080287236/", 1080287236)</f>
        <v>1080287236</v>
      </c>
      <c r="D1615" t="s">
        <v>1418</v>
      </c>
      <c r="E1615">
        <v>529.03</v>
      </c>
      <c r="F1615">
        <v>0.08</v>
      </c>
      <c r="G1615" t="s">
        <v>12</v>
      </c>
      <c r="I1615" t="s">
        <v>1050</v>
      </c>
    </row>
    <row r="1616" spans="1:9" hidden="1" x14ac:dyDescent="0.25">
      <c r="A1616" t="s">
        <v>1393</v>
      </c>
      <c r="B1616" t="s">
        <v>120</v>
      </c>
      <c r="C1616" s="2">
        <f>HYPERLINK("https://cao.dolgi.msk.ru/account/1080287244/", 1080287244)</f>
        <v>1080287244</v>
      </c>
      <c r="D1616" t="s">
        <v>1419</v>
      </c>
      <c r="E1616">
        <v>-7270.44</v>
      </c>
      <c r="F1616">
        <v>-1.08</v>
      </c>
      <c r="G1616" t="s">
        <v>12</v>
      </c>
      <c r="I1616" t="s">
        <v>1050</v>
      </c>
    </row>
    <row r="1617" spans="1:9" hidden="1" x14ac:dyDescent="0.25">
      <c r="A1617" t="s">
        <v>1393</v>
      </c>
      <c r="B1617" t="s">
        <v>122</v>
      </c>
      <c r="C1617" s="2">
        <f>HYPERLINK("https://cao.dolgi.msk.ru/account/1080287252/", 1080287252)</f>
        <v>1080287252</v>
      </c>
      <c r="D1617" t="s">
        <v>1420</v>
      </c>
      <c r="E1617">
        <v>-6833.63</v>
      </c>
      <c r="F1617">
        <v>-1.04</v>
      </c>
      <c r="G1617" t="s">
        <v>12</v>
      </c>
      <c r="I1617" t="s">
        <v>1050</v>
      </c>
    </row>
    <row r="1618" spans="1:9" hidden="1" x14ac:dyDescent="0.25">
      <c r="A1618" t="s">
        <v>1393</v>
      </c>
      <c r="B1618" t="s">
        <v>124</v>
      </c>
      <c r="C1618" s="2">
        <f>HYPERLINK("https://cao.dolgi.msk.ru/account/1080287279/", 1080287279)</f>
        <v>1080287279</v>
      </c>
      <c r="D1618" t="s">
        <v>1421</v>
      </c>
      <c r="E1618">
        <v>-6270.76</v>
      </c>
      <c r="F1618">
        <v>-1.1000000000000001</v>
      </c>
      <c r="G1618" t="s">
        <v>12</v>
      </c>
      <c r="I1618" t="s">
        <v>1050</v>
      </c>
    </row>
    <row r="1619" spans="1:9" hidden="1" x14ac:dyDescent="0.25">
      <c r="A1619" t="s">
        <v>1393</v>
      </c>
      <c r="B1619" t="s">
        <v>126</v>
      </c>
      <c r="C1619" s="2">
        <f>HYPERLINK("https://cao.dolgi.msk.ru/account/1080287287/", 1080287287)</f>
        <v>1080287287</v>
      </c>
      <c r="D1619" t="s">
        <v>1422</v>
      </c>
      <c r="E1619">
        <v>-2510.64</v>
      </c>
      <c r="F1619">
        <v>-0.67</v>
      </c>
      <c r="G1619" t="s">
        <v>12</v>
      </c>
      <c r="I1619" t="s">
        <v>1050</v>
      </c>
    </row>
    <row r="1620" spans="1:9" hidden="1" x14ac:dyDescent="0.25">
      <c r="A1620" t="s">
        <v>1393</v>
      </c>
      <c r="B1620" t="s">
        <v>128</v>
      </c>
      <c r="C1620" s="2">
        <f>HYPERLINK("https://cao.dolgi.msk.ru/account/1080287295/", 1080287295)</f>
        <v>1080287295</v>
      </c>
      <c r="D1620" t="s">
        <v>1423</v>
      </c>
      <c r="E1620">
        <v>-6668.75</v>
      </c>
      <c r="F1620">
        <v>-1.17</v>
      </c>
      <c r="G1620" t="s">
        <v>12</v>
      </c>
      <c r="I1620" t="s">
        <v>1050</v>
      </c>
    </row>
    <row r="1621" spans="1:9" hidden="1" x14ac:dyDescent="0.25">
      <c r="A1621" t="s">
        <v>1393</v>
      </c>
      <c r="B1621" t="s">
        <v>130</v>
      </c>
      <c r="C1621" s="2">
        <f>HYPERLINK("https://cao.dolgi.msk.ru/account/1080287308/", 1080287308)</f>
        <v>1080287308</v>
      </c>
      <c r="D1621" t="s">
        <v>1424</v>
      </c>
      <c r="E1621">
        <v>-7301.05</v>
      </c>
      <c r="F1621">
        <v>-1.0900000000000001</v>
      </c>
      <c r="G1621" t="s">
        <v>12</v>
      </c>
      <c r="I1621" t="s">
        <v>1050</v>
      </c>
    </row>
    <row r="1622" spans="1:9" hidden="1" x14ac:dyDescent="0.25">
      <c r="A1622" t="s">
        <v>1393</v>
      </c>
      <c r="B1622" t="s">
        <v>132</v>
      </c>
      <c r="C1622" s="2">
        <f>HYPERLINK("https://cao.dolgi.msk.ru/account/1080287316/", 1080287316)</f>
        <v>1080287316</v>
      </c>
      <c r="D1622" t="s">
        <v>1425</v>
      </c>
      <c r="E1622">
        <v>-21985.41</v>
      </c>
      <c r="F1622">
        <v>-3.49</v>
      </c>
      <c r="G1622" t="s">
        <v>12</v>
      </c>
      <c r="I1622" t="s">
        <v>1050</v>
      </c>
    </row>
    <row r="1623" spans="1:9" hidden="1" x14ac:dyDescent="0.25">
      <c r="A1623" t="s">
        <v>1426</v>
      </c>
      <c r="B1623" t="s">
        <v>16</v>
      </c>
      <c r="C1623" s="2">
        <f>HYPERLINK("https://cao.dolgi.msk.ru/account/1080229829/", 1080229829)</f>
        <v>1080229829</v>
      </c>
      <c r="D1623" t="s">
        <v>1427</v>
      </c>
      <c r="E1623">
        <v>-7652.27</v>
      </c>
      <c r="F1623">
        <v>-1.01</v>
      </c>
      <c r="G1623" t="s">
        <v>12</v>
      </c>
      <c r="I1623" t="s">
        <v>1428</v>
      </c>
    </row>
    <row r="1624" spans="1:9" hidden="1" x14ac:dyDescent="0.25">
      <c r="A1624" t="s">
        <v>1426</v>
      </c>
      <c r="B1624" t="s">
        <v>18</v>
      </c>
      <c r="C1624" s="2">
        <f>HYPERLINK("https://cao.dolgi.msk.ru/account/1080229837/", 1080229837)</f>
        <v>1080229837</v>
      </c>
      <c r="D1624" t="s">
        <v>1429</v>
      </c>
      <c r="E1624">
        <v>-10981.33</v>
      </c>
      <c r="F1624">
        <v>-1.17</v>
      </c>
      <c r="G1624" t="s">
        <v>12</v>
      </c>
      <c r="I1624" t="s">
        <v>1428</v>
      </c>
    </row>
    <row r="1625" spans="1:9" hidden="1" x14ac:dyDescent="0.25">
      <c r="A1625" t="s">
        <v>1426</v>
      </c>
      <c r="B1625" t="s">
        <v>20</v>
      </c>
      <c r="C1625" s="2">
        <f>HYPERLINK("https://cao.dolgi.msk.ru/account/1080229845/", 1080229845)</f>
        <v>1080229845</v>
      </c>
      <c r="D1625" t="s">
        <v>1430</v>
      </c>
      <c r="E1625">
        <v>-3340.32</v>
      </c>
      <c r="F1625">
        <v>-0.3</v>
      </c>
      <c r="G1625" t="s">
        <v>12</v>
      </c>
      <c r="I1625" t="s">
        <v>1428</v>
      </c>
    </row>
    <row r="1626" spans="1:9" hidden="1" x14ac:dyDescent="0.25">
      <c r="A1626" t="s">
        <v>1426</v>
      </c>
      <c r="B1626" t="s">
        <v>21</v>
      </c>
      <c r="C1626" s="2">
        <f>HYPERLINK("https://cao.dolgi.msk.ru/account/1080229853/", 1080229853)</f>
        <v>1080229853</v>
      </c>
      <c r="D1626" t="s">
        <v>1431</v>
      </c>
      <c r="E1626">
        <v>-6398.99</v>
      </c>
      <c r="F1626">
        <v>-1.1599999999999999</v>
      </c>
      <c r="G1626" t="s">
        <v>12</v>
      </c>
      <c r="I1626" t="s">
        <v>1428</v>
      </c>
    </row>
    <row r="1627" spans="1:9" hidden="1" x14ac:dyDescent="0.25">
      <c r="A1627" t="s">
        <v>1426</v>
      </c>
      <c r="B1627" t="s">
        <v>22</v>
      </c>
      <c r="C1627" s="2">
        <f>HYPERLINK("https://cao.dolgi.msk.ru/account/1080229861/", 1080229861)</f>
        <v>1080229861</v>
      </c>
      <c r="D1627" t="s">
        <v>1432</v>
      </c>
      <c r="E1627">
        <v>82</v>
      </c>
      <c r="F1627">
        <v>0.01</v>
      </c>
      <c r="G1627" t="s">
        <v>12</v>
      </c>
      <c r="I1627" t="s">
        <v>1428</v>
      </c>
    </row>
    <row r="1628" spans="1:9" x14ac:dyDescent="0.25">
      <c r="A1628" t="s">
        <v>1426</v>
      </c>
      <c r="B1628" t="s">
        <v>23</v>
      </c>
      <c r="C1628" s="2">
        <f>HYPERLINK("https://cao.dolgi.msk.ru/account/1080229888/", 1080229888)</f>
        <v>1080229888</v>
      </c>
      <c r="D1628" t="s">
        <v>1433</v>
      </c>
      <c r="E1628">
        <v>14709.25</v>
      </c>
      <c r="F1628">
        <v>3.56</v>
      </c>
      <c r="G1628" t="s">
        <v>12</v>
      </c>
      <c r="H1628" t="s">
        <v>7</v>
      </c>
      <c r="I1628" t="s">
        <v>1428</v>
      </c>
    </row>
    <row r="1629" spans="1:9" hidden="1" x14ac:dyDescent="0.25">
      <c r="A1629" t="s">
        <v>1426</v>
      </c>
      <c r="B1629" t="s">
        <v>23</v>
      </c>
      <c r="C1629" s="2">
        <f>HYPERLINK("https://cao.dolgi.msk.ru/account/1080324121/", 1080324121)</f>
        <v>1080324121</v>
      </c>
      <c r="D1629" t="s">
        <v>1082</v>
      </c>
      <c r="E1629">
        <v>2970.91</v>
      </c>
      <c r="F1629">
        <v>0.85</v>
      </c>
      <c r="G1629" t="s">
        <v>12</v>
      </c>
      <c r="H1629" t="s">
        <v>7</v>
      </c>
      <c r="I1629" t="s">
        <v>1428</v>
      </c>
    </row>
    <row r="1630" spans="1:9" hidden="1" x14ac:dyDescent="0.25">
      <c r="A1630" t="s">
        <v>1426</v>
      </c>
      <c r="B1630" t="s">
        <v>24</v>
      </c>
      <c r="C1630" s="2">
        <f>HYPERLINK("https://cao.dolgi.msk.ru/account/1080229896/", 1080229896)</f>
        <v>1080229896</v>
      </c>
      <c r="D1630" t="s">
        <v>1434</v>
      </c>
      <c r="E1630">
        <v>1553.1</v>
      </c>
      <c r="F1630">
        <v>0.25</v>
      </c>
      <c r="G1630" t="s">
        <v>12</v>
      </c>
      <c r="I1630" t="s">
        <v>1428</v>
      </c>
    </row>
    <row r="1631" spans="1:9" hidden="1" x14ac:dyDescent="0.25">
      <c r="A1631" t="s">
        <v>1426</v>
      </c>
      <c r="B1631" t="s">
        <v>27</v>
      </c>
      <c r="C1631" s="2">
        <f>HYPERLINK("https://cao.dolgi.msk.ru/account/1080229909/", 1080229909)</f>
        <v>1080229909</v>
      </c>
      <c r="D1631" t="s">
        <v>1435</v>
      </c>
      <c r="E1631">
        <v>-822.56</v>
      </c>
      <c r="G1631" t="s">
        <v>14</v>
      </c>
      <c r="I1631" t="s">
        <v>1428</v>
      </c>
    </row>
    <row r="1632" spans="1:9" hidden="1" x14ac:dyDescent="0.25">
      <c r="A1632" t="s">
        <v>1426</v>
      </c>
      <c r="B1632" t="s">
        <v>27</v>
      </c>
      <c r="C1632" s="2">
        <f>HYPERLINK("https://cao.dolgi.msk.ru/account/1080229917/", 1080229917)</f>
        <v>1080229917</v>
      </c>
      <c r="D1632" t="s">
        <v>1436</v>
      </c>
      <c r="E1632">
        <v>-5247.81</v>
      </c>
      <c r="F1632">
        <v>-0.47</v>
      </c>
      <c r="G1632" t="s">
        <v>12</v>
      </c>
      <c r="I1632" t="s">
        <v>1428</v>
      </c>
    </row>
    <row r="1633" spans="1:9" hidden="1" x14ac:dyDescent="0.25">
      <c r="A1633" t="s">
        <v>1426</v>
      </c>
      <c r="B1633" t="s">
        <v>27</v>
      </c>
      <c r="C1633" s="2">
        <f>HYPERLINK("https://cao.dolgi.msk.ru/account/1080229925/", 1080229925)</f>
        <v>1080229925</v>
      </c>
      <c r="D1633" t="s">
        <v>1435</v>
      </c>
      <c r="G1633" t="s">
        <v>14</v>
      </c>
      <c r="I1633" t="s">
        <v>1428</v>
      </c>
    </row>
    <row r="1634" spans="1:9" hidden="1" x14ac:dyDescent="0.25">
      <c r="A1634" t="s">
        <v>1426</v>
      </c>
      <c r="B1634" t="s">
        <v>29</v>
      </c>
      <c r="C1634" s="2">
        <f>HYPERLINK("https://cao.dolgi.msk.ru/account/1080229933/", 1080229933)</f>
        <v>1080229933</v>
      </c>
      <c r="D1634" t="s">
        <v>15</v>
      </c>
      <c r="E1634">
        <v>6185.62</v>
      </c>
      <c r="F1634">
        <v>0.98</v>
      </c>
      <c r="G1634" t="s">
        <v>12</v>
      </c>
      <c r="I1634" t="s">
        <v>1428</v>
      </c>
    </row>
    <row r="1635" spans="1:9" hidden="1" x14ac:dyDescent="0.25">
      <c r="A1635" t="s">
        <v>1426</v>
      </c>
      <c r="B1635" t="s">
        <v>29</v>
      </c>
      <c r="C1635" s="2">
        <f>HYPERLINK("https://cao.dolgi.msk.ru/account/1080229941/", 1080229941)</f>
        <v>1080229941</v>
      </c>
      <c r="D1635" t="s">
        <v>1437</v>
      </c>
      <c r="E1635">
        <v>-5.55</v>
      </c>
      <c r="G1635" t="s">
        <v>14</v>
      </c>
      <c r="I1635" t="s">
        <v>1428</v>
      </c>
    </row>
    <row r="1636" spans="1:9" hidden="1" x14ac:dyDescent="0.25">
      <c r="A1636" t="s">
        <v>1426</v>
      </c>
      <c r="B1636" t="s">
        <v>31</v>
      </c>
      <c r="C1636" s="2">
        <f>HYPERLINK("https://cao.dolgi.msk.ru/account/1080229968/", 1080229968)</f>
        <v>1080229968</v>
      </c>
      <c r="D1636" t="s">
        <v>1438</v>
      </c>
      <c r="E1636">
        <v>0</v>
      </c>
      <c r="F1636">
        <v>0</v>
      </c>
      <c r="G1636" t="s">
        <v>12</v>
      </c>
      <c r="I1636" t="s">
        <v>1428</v>
      </c>
    </row>
    <row r="1637" spans="1:9" hidden="1" x14ac:dyDescent="0.25">
      <c r="A1637" t="s">
        <v>1426</v>
      </c>
      <c r="B1637" t="s">
        <v>33</v>
      </c>
      <c r="C1637" s="2">
        <f>HYPERLINK("https://cao.dolgi.msk.ru/account/1080229976/", 1080229976)</f>
        <v>1080229976</v>
      </c>
      <c r="D1637" t="s">
        <v>1439</v>
      </c>
      <c r="E1637">
        <v>-32.06</v>
      </c>
      <c r="F1637">
        <v>-0.01</v>
      </c>
      <c r="G1637" t="s">
        <v>12</v>
      </c>
      <c r="I1637" t="s">
        <v>1428</v>
      </c>
    </row>
    <row r="1638" spans="1:9" hidden="1" x14ac:dyDescent="0.25">
      <c r="A1638" t="s">
        <v>1426</v>
      </c>
      <c r="B1638" t="s">
        <v>34</v>
      </c>
      <c r="C1638" s="2">
        <f>HYPERLINK("https://cao.dolgi.msk.ru/account/1080229984/", 1080229984)</f>
        <v>1080229984</v>
      </c>
      <c r="D1638" t="s">
        <v>1440</v>
      </c>
      <c r="E1638">
        <v>-2990.8</v>
      </c>
      <c r="F1638">
        <v>-0.83</v>
      </c>
      <c r="G1638" t="s">
        <v>12</v>
      </c>
      <c r="I1638" t="s">
        <v>1428</v>
      </c>
    </row>
    <row r="1639" spans="1:9" hidden="1" x14ac:dyDescent="0.25">
      <c r="A1639" t="s">
        <v>1426</v>
      </c>
      <c r="B1639" t="s">
        <v>34</v>
      </c>
      <c r="C1639" s="2">
        <f>HYPERLINK("https://cao.dolgi.msk.ru/account/1083269981/", 1083269981)</f>
        <v>1083269981</v>
      </c>
      <c r="D1639" t="s">
        <v>1440</v>
      </c>
      <c r="E1639">
        <v>-6098.35</v>
      </c>
      <c r="F1639">
        <v>-0.93</v>
      </c>
      <c r="G1639" t="s">
        <v>12</v>
      </c>
      <c r="I1639" t="s">
        <v>1428</v>
      </c>
    </row>
    <row r="1640" spans="1:9" hidden="1" x14ac:dyDescent="0.25">
      <c r="A1640" t="s">
        <v>1426</v>
      </c>
      <c r="B1640" t="s">
        <v>36</v>
      </c>
      <c r="C1640" s="2">
        <f>HYPERLINK("https://cao.dolgi.msk.ru/account/1080229992/", 1080229992)</f>
        <v>1080229992</v>
      </c>
      <c r="D1640" t="s">
        <v>15</v>
      </c>
      <c r="E1640">
        <v>0</v>
      </c>
      <c r="G1640" t="s">
        <v>12</v>
      </c>
      <c r="H1640" t="s">
        <v>7</v>
      </c>
      <c r="I1640" t="s">
        <v>1428</v>
      </c>
    </row>
    <row r="1641" spans="1:9" hidden="1" x14ac:dyDescent="0.25">
      <c r="A1641" t="s">
        <v>1426</v>
      </c>
      <c r="B1641" t="s">
        <v>36</v>
      </c>
      <c r="C1641" s="2">
        <f>HYPERLINK("https://cao.dolgi.msk.ru/account/1080230002/", 1080230002)</f>
        <v>1080230002</v>
      </c>
      <c r="D1641" t="s">
        <v>1082</v>
      </c>
      <c r="E1641">
        <v>0</v>
      </c>
      <c r="F1641">
        <v>0</v>
      </c>
      <c r="G1641" t="s">
        <v>12</v>
      </c>
      <c r="H1641" t="s">
        <v>7</v>
      </c>
      <c r="I1641" t="s">
        <v>1428</v>
      </c>
    </row>
    <row r="1642" spans="1:9" hidden="1" x14ac:dyDescent="0.25">
      <c r="A1642" t="s">
        <v>1426</v>
      </c>
      <c r="B1642" t="s">
        <v>38</v>
      </c>
      <c r="C1642" s="2">
        <f>HYPERLINK("https://cao.dolgi.msk.ru/account/1080230029/", 1080230029)</f>
        <v>1080230029</v>
      </c>
      <c r="D1642" t="s">
        <v>1441</v>
      </c>
      <c r="E1642">
        <v>-8927.57</v>
      </c>
      <c r="F1642">
        <v>-1.1200000000000001</v>
      </c>
      <c r="G1642" t="s">
        <v>12</v>
      </c>
      <c r="I1642" t="s">
        <v>1428</v>
      </c>
    </row>
    <row r="1643" spans="1:9" hidden="1" x14ac:dyDescent="0.25">
      <c r="A1643" t="s">
        <v>1426</v>
      </c>
      <c r="B1643" t="s">
        <v>39</v>
      </c>
      <c r="C1643" s="2">
        <f>HYPERLINK("https://cao.dolgi.msk.ru/account/1080230037/", 1080230037)</f>
        <v>1080230037</v>
      </c>
      <c r="D1643" t="s">
        <v>1442</v>
      </c>
      <c r="E1643">
        <v>-7223.39</v>
      </c>
      <c r="F1643">
        <v>-1.1000000000000001</v>
      </c>
      <c r="G1643" t="s">
        <v>12</v>
      </c>
      <c r="I1643" t="s">
        <v>1428</v>
      </c>
    </row>
    <row r="1644" spans="1:9" hidden="1" x14ac:dyDescent="0.25">
      <c r="A1644" t="s">
        <v>1426</v>
      </c>
      <c r="B1644" t="s">
        <v>40</v>
      </c>
      <c r="C1644" s="2">
        <f>HYPERLINK("https://cao.dolgi.msk.ru/account/1080230053/", 1080230053)</f>
        <v>1080230053</v>
      </c>
      <c r="D1644" t="s">
        <v>1443</v>
      </c>
      <c r="E1644">
        <v>-5968.54</v>
      </c>
      <c r="F1644">
        <v>-1</v>
      </c>
      <c r="G1644" t="s">
        <v>12</v>
      </c>
      <c r="H1644" t="s">
        <v>7</v>
      </c>
      <c r="I1644" t="s">
        <v>1428</v>
      </c>
    </row>
    <row r="1645" spans="1:9" x14ac:dyDescent="0.25">
      <c r="A1645" t="s">
        <v>1426</v>
      </c>
      <c r="B1645" t="s">
        <v>40</v>
      </c>
      <c r="C1645" s="2">
        <f>HYPERLINK("https://cao.dolgi.msk.ru/account/1080230061/", 1080230061)</f>
        <v>1080230061</v>
      </c>
      <c r="D1645" t="s">
        <v>1444</v>
      </c>
      <c r="E1645">
        <v>10745.55</v>
      </c>
      <c r="F1645">
        <v>1.17</v>
      </c>
      <c r="G1645" t="s">
        <v>12</v>
      </c>
      <c r="H1645" t="s">
        <v>7</v>
      </c>
      <c r="I1645" t="s">
        <v>1428</v>
      </c>
    </row>
    <row r="1646" spans="1:9" hidden="1" x14ac:dyDescent="0.25">
      <c r="A1646" t="s">
        <v>1426</v>
      </c>
      <c r="B1646" t="s">
        <v>40</v>
      </c>
      <c r="C1646" s="2">
        <f>HYPERLINK("https://cao.dolgi.msk.ru/account/1080230088/", 1080230088)</f>
        <v>1080230088</v>
      </c>
      <c r="D1646" t="s">
        <v>1445</v>
      </c>
      <c r="E1646">
        <v>0</v>
      </c>
      <c r="F1646">
        <v>0</v>
      </c>
      <c r="G1646" t="s">
        <v>12</v>
      </c>
      <c r="H1646" t="s">
        <v>7</v>
      </c>
      <c r="I1646" t="s">
        <v>1428</v>
      </c>
    </row>
    <row r="1647" spans="1:9" hidden="1" x14ac:dyDescent="0.25">
      <c r="A1647" t="s">
        <v>1426</v>
      </c>
      <c r="B1647" t="s">
        <v>42</v>
      </c>
      <c r="C1647" s="2">
        <f>HYPERLINK("https://cao.dolgi.msk.ru/account/1080230096/", 1080230096)</f>
        <v>1080230096</v>
      </c>
      <c r="D1647" t="s">
        <v>1446</v>
      </c>
      <c r="E1647">
        <v>-6943.24</v>
      </c>
      <c r="F1647">
        <v>-1.17</v>
      </c>
      <c r="G1647" t="s">
        <v>12</v>
      </c>
      <c r="I1647" t="s">
        <v>1428</v>
      </c>
    </row>
    <row r="1648" spans="1:9" hidden="1" x14ac:dyDescent="0.25">
      <c r="A1648" t="s">
        <v>1426</v>
      </c>
      <c r="B1648" t="s">
        <v>44</v>
      </c>
      <c r="C1648" s="2">
        <f>HYPERLINK("https://cao.dolgi.msk.ru/account/1080230109/", 1080230109)</f>
        <v>1080230109</v>
      </c>
      <c r="D1648" t="s">
        <v>1447</v>
      </c>
      <c r="E1648">
        <v>0</v>
      </c>
      <c r="F1648">
        <v>0</v>
      </c>
      <c r="G1648" t="s">
        <v>12</v>
      </c>
      <c r="I1648" t="s">
        <v>1428</v>
      </c>
    </row>
    <row r="1649" spans="1:9" hidden="1" x14ac:dyDescent="0.25">
      <c r="A1649" t="s">
        <v>1426</v>
      </c>
      <c r="B1649" t="s">
        <v>66</v>
      </c>
      <c r="C1649" s="2">
        <f>HYPERLINK("https://cao.dolgi.msk.ru/account/1080230125/", 1080230125)</f>
        <v>1080230125</v>
      </c>
      <c r="D1649" t="s">
        <v>1448</v>
      </c>
      <c r="E1649">
        <v>0</v>
      </c>
      <c r="F1649">
        <v>0</v>
      </c>
      <c r="G1649" t="s">
        <v>12</v>
      </c>
      <c r="I1649" t="s">
        <v>1428</v>
      </c>
    </row>
    <row r="1650" spans="1:9" hidden="1" x14ac:dyDescent="0.25">
      <c r="A1650" t="s">
        <v>1426</v>
      </c>
      <c r="B1650" t="s">
        <v>68</v>
      </c>
      <c r="C1650" s="2">
        <f>HYPERLINK("https://cao.dolgi.msk.ru/account/1080230133/", 1080230133)</f>
        <v>1080230133</v>
      </c>
      <c r="D1650" t="s">
        <v>1449</v>
      </c>
      <c r="E1650">
        <v>-3706.11</v>
      </c>
      <c r="F1650">
        <v>-1.1399999999999999</v>
      </c>
      <c r="G1650" t="s">
        <v>12</v>
      </c>
      <c r="I1650" t="s">
        <v>1428</v>
      </c>
    </row>
    <row r="1651" spans="1:9" hidden="1" x14ac:dyDescent="0.25">
      <c r="A1651" t="s">
        <v>1426</v>
      </c>
      <c r="B1651" t="s">
        <v>70</v>
      </c>
      <c r="C1651" s="2">
        <f>HYPERLINK("https://cao.dolgi.msk.ru/account/1080230141/", 1080230141)</f>
        <v>1080230141</v>
      </c>
      <c r="D1651" t="s">
        <v>1450</v>
      </c>
      <c r="E1651">
        <v>-8839.1200000000008</v>
      </c>
      <c r="F1651">
        <v>-1.1100000000000001</v>
      </c>
      <c r="G1651" t="s">
        <v>12</v>
      </c>
      <c r="I1651" t="s">
        <v>1428</v>
      </c>
    </row>
    <row r="1652" spans="1:9" hidden="1" x14ac:dyDescent="0.25">
      <c r="A1652" t="s">
        <v>1426</v>
      </c>
      <c r="B1652" t="s">
        <v>72</v>
      </c>
      <c r="C1652" s="2">
        <f>HYPERLINK("https://cao.dolgi.msk.ru/account/1080230168/", 1080230168)</f>
        <v>1080230168</v>
      </c>
      <c r="D1652" t="s">
        <v>1451</v>
      </c>
      <c r="E1652">
        <v>9982.7000000000007</v>
      </c>
      <c r="F1652">
        <v>1</v>
      </c>
      <c r="G1652" t="s">
        <v>12</v>
      </c>
      <c r="I1652" t="s">
        <v>1428</v>
      </c>
    </row>
    <row r="1653" spans="1:9" hidden="1" x14ac:dyDescent="0.25">
      <c r="A1653" t="s">
        <v>1426</v>
      </c>
      <c r="B1653" t="s">
        <v>74</v>
      </c>
      <c r="C1653" s="2">
        <f>HYPERLINK("https://cao.dolgi.msk.ru/account/1080230176/", 1080230176)</f>
        <v>1080230176</v>
      </c>
      <c r="D1653" t="s">
        <v>1452</v>
      </c>
      <c r="E1653">
        <v>-15046.05</v>
      </c>
      <c r="F1653">
        <v>-2.21</v>
      </c>
      <c r="G1653" t="s">
        <v>12</v>
      </c>
      <c r="I1653" t="s">
        <v>1428</v>
      </c>
    </row>
    <row r="1654" spans="1:9" hidden="1" x14ac:dyDescent="0.25">
      <c r="A1654" t="s">
        <v>1426</v>
      </c>
      <c r="B1654" t="s">
        <v>76</v>
      </c>
      <c r="C1654" s="2">
        <f>HYPERLINK("https://cao.dolgi.msk.ru/account/1080230184/", 1080230184)</f>
        <v>1080230184</v>
      </c>
      <c r="D1654" t="s">
        <v>1453</v>
      </c>
      <c r="E1654">
        <v>0</v>
      </c>
      <c r="F1654">
        <v>0</v>
      </c>
      <c r="G1654" t="s">
        <v>12</v>
      </c>
      <c r="I1654" t="s">
        <v>1428</v>
      </c>
    </row>
    <row r="1655" spans="1:9" hidden="1" x14ac:dyDescent="0.25">
      <c r="A1655" t="s">
        <v>1426</v>
      </c>
      <c r="B1655" t="s">
        <v>78</v>
      </c>
      <c r="C1655" s="2">
        <f>HYPERLINK("https://cao.dolgi.msk.ru/account/1080230192/", 1080230192)</f>
        <v>1080230192</v>
      </c>
      <c r="D1655" t="s">
        <v>1454</v>
      </c>
      <c r="E1655">
        <v>-14743.49</v>
      </c>
      <c r="F1655">
        <v>-2.86</v>
      </c>
      <c r="G1655" t="s">
        <v>12</v>
      </c>
      <c r="I1655" t="s">
        <v>1428</v>
      </c>
    </row>
    <row r="1656" spans="1:9" hidden="1" x14ac:dyDescent="0.25">
      <c r="A1656" t="s">
        <v>1426</v>
      </c>
      <c r="B1656" t="s">
        <v>78</v>
      </c>
      <c r="C1656" s="2">
        <f>HYPERLINK("https://cao.dolgi.msk.ru/account/1080326565/", 1080326565)</f>
        <v>1080326565</v>
      </c>
      <c r="D1656" t="s">
        <v>15</v>
      </c>
      <c r="G1656" t="s">
        <v>14</v>
      </c>
      <c r="I1656" t="s">
        <v>1428</v>
      </c>
    </row>
    <row r="1657" spans="1:9" hidden="1" x14ac:dyDescent="0.25">
      <c r="A1657" t="s">
        <v>1426</v>
      </c>
      <c r="B1657" t="s">
        <v>80</v>
      </c>
      <c r="C1657" s="2">
        <f>HYPERLINK("https://cao.dolgi.msk.ru/account/1080230205/", 1080230205)</f>
        <v>1080230205</v>
      </c>
      <c r="D1657" t="s">
        <v>1455</v>
      </c>
      <c r="E1657">
        <v>0</v>
      </c>
      <c r="F1657">
        <v>0</v>
      </c>
      <c r="G1657" t="s">
        <v>12</v>
      </c>
      <c r="H1657" t="s">
        <v>7</v>
      </c>
      <c r="I1657" t="s">
        <v>1428</v>
      </c>
    </row>
    <row r="1658" spans="1:9" hidden="1" x14ac:dyDescent="0.25">
      <c r="A1658" t="s">
        <v>1426</v>
      </c>
      <c r="B1658" t="s">
        <v>80</v>
      </c>
      <c r="C1658" s="2">
        <f>HYPERLINK("https://cao.dolgi.msk.ru/account/1080230213/", 1080230213)</f>
        <v>1080230213</v>
      </c>
      <c r="D1658" t="s">
        <v>1455</v>
      </c>
      <c r="E1658">
        <v>-3829.28</v>
      </c>
      <c r="F1658">
        <v>-1.1399999999999999</v>
      </c>
      <c r="G1658" t="s">
        <v>12</v>
      </c>
      <c r="H1658" t="s">
        <v>7</v>
      </c>
      <c r="I1658" t="s">
        <v>1428</v>
      </c>
    </row>
    <row r="1659" spans="1:9" hidden="1" x14ac:dyDescent="0.25">
      <c r="A1659" t="s">
        <v>1426</v>
      </c>
      <c r="B1659" t="s">
        <v>80</v>
      </c>
      <c r="C1659" s="2">
        <f>HYPERLINK("https://cao.dolgi.msk.ru/account/1080230221/", 1080230221)</f>
        <v>1080230221</v>
      </c>
      <c r="D1659" t="s">
        <v>1455</v>
      </c>
      <c r="E1659">
        <v>2604.4499999999998</v>
      </c>
      <c r="F1659">
        <v>0.89</v>
      </c>
      <c r="G1659" t="s">
        <v>12</v>
      </c>
      <c r="H1659" t="s">
        <v>7</v>
      </c>
      <c r="I1659" t="s">
        <v>1428</v>
      </c>
    </row>
    <row r="1660" spans="1:9" hidden="1" x14ac:dyDescent="0.25">
      <c r="A1660" t="s">
        <v>1426</v>
      </c>
      <c r="B1660" t="s">
        <v>82</v>
      </c>
      <c r="C1660" s="2">
        <f>HYPERLINK("https://cao.dolgi.msk.ru/account/1080230248/", 1080230248)</f>
        <v>1080230248</v>
      </c>
      <c r="D1660" t="s">
        <v>1456</v>
      </c>
      <c r="E1660">
        <v>0</v>
      </c>
      <c r="F1660">
        <v>0</v>
      </c>
      <c r="G1660" t="s">
        <v>12</v>
      </c>
      <c r="I1660" t="s">
        <v>1428</v>
      </c>
    </row>
    <row r="1661" spans="1:9" hidden="1" x14ac:dyDescent="0.25">
      <c r="A1661" t="s">
        <v>1426</v>
      </c>
      <c r="B1661" t="s">
        <v>84</v>
      </c>
      <c r="C1661" s="2">
        <f>HYPERLINK("https://cao.dolgi.msk.ru/account/1080230256/", 1080230256)</f>
        <v>1080230256</v>
      </c>
      <c r="D1661" t="s">
        <v>1457</v>
      </c>
      <c r="E1661">
        <v>-0.2</v>
      </c>
      <c r="F1661">
        <v>0</v>
      </c>
      <c r="G1661" t="s">
        <v>12</v>
      </c>
      <c r="H1661" t="s">
        <v>7</v>
      </c>
      <c r="I1661" t="s">
        <v>1428</v>
      </c>
    </row>
    <row r="1662" spans="1:9" hidden="1" x14ac:dyDescent="0.25">
      <c r="A1662" t="s">
        <v>1426</v>
      </c>
      <c r="B1662" t="s">
        <v>84</v>
      </c>
      <c r="C1662" s="2">
        <f>HYPERLINK("https://cao.dolgi.msk.ru/account/1080230264/", 1080230264)</f>
        <v>1080230264</v>
      </c>
      <c r="D1662" t="s">
        <v>1457</v>
      </c>
      <c r="E1662">
        <v>-1640.27</v>
      </c>
      <c r="F1662">
        <v>-0.55000000000000004</v>
      </c>
      <c r="G1662" t="s">
        <v>12</v>
      </c>
      <c r="H1662" t="s">
        <v>7</v>
      </c>
      <c r="I1662" t="s">
        <v>1428</v>
      </c>
    </row>
    <row r="1663" spans="1:9" hidden="1" x14ac:dyDescent="0.25">
      <c r="A1663" t="s">
        <v>1426</v>
      </c>
      <c r="B1663" t="s">
        <v>86</v>
      </c>
      <c r="C1663" s="2">
        <f>HYPERLINK("https://cao.dolgi.msk.ru/account/1080230272/", 1080230272)</f>
        <v>1080230272</v>
      </c>
      <c r="D1663" t="s">
        <v>1458</v>
      </c>
      <c r="E1663">
        <v>-10292.59</v>
      </c>
      <c r="F1663">
        <v>-2.76</v>
      </c>
      <c r="G1663" t="s">
        <v>12</v>
      </c>
      <c r="H1663" t="s">
        <v>7</v>
      </c>
      <c r="I1663" t="s">
        <v>1428</v>
      </c>
    </row>
    <row r="1664" spans="1:9" hidden="1" x14ac:dyDescent="0.25">
      <c r="A1664" t="s">
        <v>1426</v>
      </c>
      <c r="B1664" t="s">
        <v>86</v>
      </c>
      <c r="C1664" s="2">
        <f>HYPERLINK("https://cao.dolgi.msk.ru/account/1080230301/", 1080230301)</f>
        <v>1080230301</v>
      </c>
      <c r="D1664" t="s">
        <v>1458</v>
      </c>
      <c r="E1664">
        <v>-6137.96</v>
      </c>
      <c r="F1664">
        <v>-1.1499999999999999</v>
      </c>
      <c r="G1664" t="s">
        <v>12</v>
      </c>
      <c r="H1664" t="s">
        <v>7</v>
      </c>
      <c r="I1664" t="s">
        <v>1428</v>
      </c>
    </row>
    <row r="1665" spans="1:9" x14ac:dyDescent="0.25">
      <c r="A1665" t="s">
        <v>1426</v>
      </c>
      <c r="B1665" t="s">
        <v>88</v>
      </c>
      <c r="C1665" s="2">
        <f>HYPERLINK("https://cao.dolgi.msk.ru/account/1080230299/", 1080230299)</f>
        <v>1080230299</v>
      </c>
      <c r="D1665" t="s">
        <v>1459</v>
      </c>
      <c r="E1665">
        <v>14462.01</v>
      </c>
      <c r="F1665">
        <v>1.57</v>
      </c>
      <c r="G1665" t="s">
        <v>12</v>
      </c>
      <c r="I1665" t="s">
        <v>1428</v>
      </c>
    </row>
    <row r="1666" spans="1:9" hidden="1" x14ac:dyDescent="0.25">
      <c r="A1666" t="s">
        <v>1426</v>
      </c>
      <c r="B1666" t="s">
        <v>90</v>
      </c>
      <c r="C1666" s="2">
        <f>HYPERLINK("https://cao.dolgi.msk.ru/account/1080230328/", 1080230328)</f>
        <v>1080230328</v>
      </c>
      <c r="D1666" t="s">
        <v>1460</v>
      </c>
      <c r="E1666">
        <v>-5552.09</v>
      </c>
      <c r="F1666">
        <v>-0.36</v>
      </c>
      <c r="G1666" t="s">
        <v>12</v>
      </c>
      <c r="I1666" t="s">
        <v>1428</v>
      </c>
    </row>
    <row r="1667" spans="1:9" hidden="1" x14ac:dyDescent="0.25">
      <c r="A1667" t="s">
        <v>1426</v>
      </c>
      <c r="B1667" t="s">
        <v>92</v>
      </c>
      <c r="C1667" s="2">
        <f>HYPERLINK("https://cao.dolgi.msk.ru/account/1080230336/", 1080230336)</f>
        <v>1080230336</v>
      </c>
      <c r="D1667" t="s">
        <v>15</v>
      </c>
      <c r="E1667">
        <v>-1817.25</v>
      </c>
      <c r="F1667">
        <v>-0.97</v>
      </c>
      <c r="G1667" t="s">
        <v>12</v>
      </c>
      <c r="H1667" t="s">
        <v>7</v>
      </c>
      <c r="I1667" t="s">
        <v>1428</v>
      </c>
    </row>
    <row r="1668" spans="1:9" hidden="1" x14ac:dyDescent="0.25">
      <c r="A1668" t="s">
        <v>1426</v>
      </c>
      <c r="B1668" t="s">
        <v>92</v>
      </c>
      <c r="C1668" s="2">
        <f>HYPERLINK("https://cao.dolgi.msk.ru/account/1080230344/", 1080230344)</f>
        <v>1080230344</v>
      </c>
      <c r="D1668" t="s">
        <v>15</v>
      </c>
      <c r="E1668">
        <v>-3389.54</v>
      </c>
      <c r="F1668">
        <v>-0.97</v>
      </c>
      <c r="G1668" t="s">
        <v>12</v>
      </c>
      <c r="H1668" t="s">
        <v>7</v>
      </c>
      <c r="I1668" t="s">
        <v>1428</v>
      </c>
    </row>
    <row r="1669" spans="1:9" hidden="1" x14ac:dyDescent="0.25">
      <c r="A1669" t="s">
        <v>1426</v>
      </c>
      <c r="B1669" t="s">
        <v>92</v>
      </c>
      <c r="C1669" s="2">
        <f>HYPERLINK("https://cao.dolgi.msk.ru/account/1080230352/", 1080230352)</f>
        <v>1080230352</v>
      </c>
      <c r="D1669" t="s">
        <v>15</v>
      </c>
      <c r="E1669">
        <v>-3095.53</v>
      </c>
      <c r="F1669">
        <v>-2.94</v>
      </c>
      <c r="G1669" t="s">
        <v>12</v>
      </c>
      <c r="H1669" t="s">
        <v>7</v>
      </c>
      <c r="I1669" t="s">
        <v>1428</v>
      </c>
    </row>
    <row r="1670" spans="1:9" hidden="1" x14ac:dyDescent="0.25">
      <c r="A1670" t="s">
        <v>1426</v>
      </c>
      <c r="B1670" t="s">
        <v>94</v>
      </c>
      <c r="C1670" s="2">
        <f>HYPERLINK("https://cao.dolgi.msk.ru/account/1080230379/", 1080230379)</f>
        <v>1080230379</v>
      </c>
      <c r="D1670" t="s">
        <v>1461</v>
      </c>
      <c r="E1670">
        <v>-11059.83</v>
      </c>
      <c r="F1670">
        <v>-1.92</v>
      </c>
      <c r="G1670" t="s">
        <v>12</v>
      </c>
      <c r="I1670" t="s">
        <v>1428</v>
      </c>
    </row>
    <row r="1671" spans="1:9" hidden="1" x14ac:dyDescent="0.25">
      <c r="A1671" t="s">
        <v>1426</v>
      </c>
      <c r="B1671" t="s">
        <v>96</v>
      </c>
      <c r="C1671" s="2">
        <f>HYPERLINK("https://cao.dolgi.msk.ru/account/1080230387/", 1080230387)</f>
        <v>1080230387</v>
      </c>
      <c r="D1671" t="s">
        <v>1462</v>
      </c>
      <c r="E1671">
        <v>-7963.92</v>
      </c>
      <c r="F1671">
        <v>-0.89</v>
      </c>
      <c r="G1671" t="s">
        <v>12</v>
      </c>
      <c r="I1671" t="s">
        <v>1428</v>
      </c>
    </row>
    <row r="1672" spans="1:9" hidden="1" x14ac:dyDescent="0.25">
      <c r="A1672" t="s">
        <v>1426</v>
      </c>
      <c r="B1672" t="s">
        <v>98</v>
      </c>
      <c r="C1672" s="2">
        <f>HYPERLINK("https://cao.dolgi.msk.ru/account/1080230395/", 1080230395)</f>
        <v>1080230395</v>
      </c>
      <c r="D1672" t="s">
        <v>1463</v>
      </c>
      <c r="E1672">
        <v>-12575.95</v>
      </c>
      <c r="F1672">
        <v>-0.9</v>
      </c>
      <c r="G1672" t="s">
        <v>12</v>
      </c>
      <c r="I1672" t="s">
        <v>1428</v>
      </c>
    </row>
    <row r="1673" spans="1:9" hidden="1" x14ac:dyDescent="0.25">
      <c r="A1673" t="s">
        <v>1464</v>
      </c>
      <c r="B1673" t="s">
        <v>10</v>
      </c>
      <c r="C1673" s="2">
        <f>HYPERLINK("https://cao.dolgi.msk.ru/account/1080287324/", 1080287324)</f>
        <v>1080287324</v>
      </c>
      <c r="D1673" t="s">
        <v>1465</v>
      </c>
      <c r="E1673">
        <v>-6424.05</v>
      </c>
      <c r="F1673">
        <v>-0.67</v>
      </c>
      <c r="G1673" t="s">
        <v>12</v>
      </c>
      <c r="I1673" t="s">
        <v>1050</v>
      </c>
    </row>
    <row r="1674" spans="1:9" hidden="1" x14ac:dyDescent="0.25">
      <c r="A1674" t="s">
        <v>1464</v>
      </c>
      <c r="B1674" t="s">
        <v>16</v>
      </c>
      <c r="C1674" s="2">
        <f>HYPERLINK("https://cao.dolgi.msk.ru/account/1080287359/", 1080287359)</f>
        <v>1080287359</v>
      </c>
      <c r="D1674" t="s">
        <v>1466</v>
      </c>
      <c r="E1674">
        <v>-6744.24</v>
      </c>
      <c r="F1674">
        <v>-0.92</v>
      </c>
      <c r="G1674" t="s">
        <v>12</v>
      </c>
      <c r="I1674" t="s">
        <v>1050</v>
      </c>
    </row>
    <row r="1675" spans="1:9" hidden="1" x14ac:dyDescent="0.25">
      <c r="A1675" t="s">
        <v>1464</v>
      </c>
      <c r="B1675" t="s">
        <v>16</v>
      </c>
      <c r="C1675" s="2">
        <f>HYPERLINK("https://cao.dolgi.msk.ru/account/1080287367/", 1080287367)</f>
        <v>1080287367</v>
      </c>
      <c r="D1675" t="s">
        <v>15</v>
      </c>
      <c r="E1675">
        <v>-4884.32</v>
      </c>
      <c r="G1675" t="s">
        <v>14</v>
      </c>
      <c r="I1675" t="s">
        <v>1050</v>
      </c>
    </row>
    <row r="1676" spans="1:9" hidden="1" x14ac:dyDescent="0.25">
      <c r="A1676" t="s">
        <v>1464</v>
      </c>
      <c r="B1676" t="s">
        <v>18</v>
      </c>
      <c r="C1676" s="2">
        <f>HYPERLINK("https://cao.dolgi.msk.ru/account/1080287375/", 1080287375)</f>
        <v>1080287375</v>
      </c>
      <c r="D1676" t="s">
        <v>1467</v>
      </c>
      <c r="E1676">
        <v>-10768.47</v>
      </c>
      <c r="F1676">
        <v>-1.25</v>
      </c>
      <c r="G1676" t="s">
        <v>12</v>
      </c>
      <c r="I1676" t="s">
        <v>1050</v>
      </c>
    </row>
    <row r="1677" spans="1:9" hidden="1" x14ac:dyDescent="0.25">
      <c r="A1677" t="s">
        <v>1464</v>
      </c>
      <c r="B1677" t="s">
        <v>20</v>
      </c>
      <c r="C1677" s="2">
        <f>HYPERLINK("https://cao.dolgi.msk.ru/account/1080287383/", 1080287383)</f>
        <v>1080287383</v>
      </c>
      <c r="D1677" t="s">
        <v>1468</v>
      </c>
      <c r="E1677">
        <v>-15811.2</v>
      </c>
      <c r="F1677">
        <v>-3.06</v>
      </c>
      <c r="G1677" t="s">
        <v>12</v>
      </c>
      <c r="I1677" t="s">
        <v>1050</v>
      </c>
    </row>
    <row r="1678" spans="1:9" hidden="1" x14ac:dyDescent="0.25">
      <c r="A1678" t="s">
        <v>1464</v>
      </c>
      <c r="B1678" t="s">
        <v>21</v>
      </c>
      <c r="C1678" s="2">
        <f>HYPERLINK("https://cao.dolgi.msk.ru/account/1080287404/", 1080287404)</f>
        <v>1080287404</v>
      </c>
      <c r="D1678" t="s">
        <v>1469</v>
      </c>
      <c r="E1678">
        <v>-9827.9699999999993</v>
      </c>
      <c r="F1678">
        <v>-0.9</v>
      </c>
      <c r="G1678" t="s">
        <v>12</v>
      </c>
      <c r="I1678" t="s">
        <v>1050</v>
      </c>
    </row>
    <row r="1679" spans="1:9" hidden="1" x14ac:dyDescent="0.25">
      <c r="A1679" t="s">
        <v>1464</v>
      </c>
      <c r="B1679" t="s">
        <v>22</v>
      </c>
      <c r="C1679" s="2">
        <f>HYPERLINK("https://cao.dolgi.msk.ru/account/1080287412/", 1080287412)</f>
        <v>1080287412</v>
      </c>
      <c r="D1679" t="s">
        <v>1470</v>
      </c>
      <c r="E1679">
        <v>1146.78</v>
      </c>
      <c r="F1679">
        <v>0.16</v>
      </c>
      <c r="G1679" t="s">
        <v>12</v>
      </c>
      <c r="I1679" t="s">
        <v>1050</v>
      </c>
    </row>
    <row r="1680" spans="1:9" hidden="1" x14ac:dyDescent="0.25">
      <c r="A1680" t="s">
        <v>1464</v>
      </c>
      <c r="B1680" t="s">
        <v>23</v>
      </c>
      <c r="C1680" s="2">
        <f>HYPERLINK("https://cao.dolgi.msk.ru/account/1080287439/", 1080287439)</f>
        <v>1080287439</v>
      </c>
      <c r="D1680" t="s">
        <v>1471</v>
      </c>
      <c r="E1680">
        <v>-979.92</v>
      </c>
      <c r="F1680">
        <v>-0.95</v>
      </c>
      <c r="G1680" t="s">
        <v>12</v>
      </c>
      <c r="H1680" t="s">
        <v>7</v>
      </c>
      <c r="I1680" t="s">
        <v>1050</v>
      </c>
    </row>
    <row r="1681" spans="1:9" hidden="1" x14ac:dyDescent="0.25">
      <c r="A1681" t="s">
        <v>1464</v>
      </c>
      <c r="B1681" t="s">
        <v>23</v>
      </c>
      <c r="C1681" s="2">
        <f>HYPERLINK("https://cao.dolgi.msk.ru/account/1080287447/", 1080287447)</f>
        <v>1080287447</v>
      </c>
      <c r="D1681" t="s">
        <v>1472</v>
      </c>
      <c r="E1681">
        <v>-4639</v>
      </c>
      <c r="F1681">
        <v>-0.94</v>
      </c>
      <c r="G1681" t="s">
        <v>12</v>
      </c>
      <c r="H1681" t="s">
        <v>7</v>
      </c>
      <c r="I1681" t="s">
        <v>1050</v>
      </c>
    </row>
    <row r="1682" spans="1:9" hidden="1" x14ac:dyDescent="0.25">
      <c r="A1682" t="s">
        <v>1464</v>
      </c>
      <c r="B1682" t="s">
        <v>24</v>
      </c>
      <c r="C1682" s="2">
        <f>HYPERLINK("https://cao.dolgi.msk.ru/account/1080287471/", 1080287471)</f>
        <v>1080287471</v>
      </c>
      <c r="D1682" t="s">
        <v>1473</v>
      </c>
      <c r="E1682">
        <v>1699.97</v>
      </c>
      <c r="F1682">
        <v>0.17</v>
      </c>
      <c r="G1682" t="s">
        <v>12</v>
      </c>
      <c r="I1682" t="s">
        <v>1050</v>
      </c>
    </row>
    <row r="1683" spans="1:9" hidden="1" x14ac:dyDescent="0.25">
      <c r="A1683" t="s">
        <v>1464</v>
      </c>
      <c r="B1683" t="s">
        <v>27</v>
      </c>
      <c r="C1683" s="2">
        <f>HYPERLINK("https://cao.dolgi.msk.ru/account/1080287498/", 1080287498)</f>
        <v>1080287498</v>
      </c>
      <c r="D1683" t="s">
        <v>1474</v>
      </c>
      <c r="E1683">
        <v>-11212.4</v>
      </c>
      <c r="F1683">
        <v>-0.97</v>
      </c>
      <c r="G1683" t="s">
        <v>12</v>
      </c>
      <c r="I1683" t="s">
        <v>1050</v>
      </c>
    </row>
    <row r="1684" spans="1:9" hidden="1" x14ac:dyDescent="0.25">
      <c r="A1684" t="s">
        <v>1464</v>
      </c>
      <c r="B1684" t="s">
        <v>29</v>
      </c>
      <c r="C1684" s="2">
        <f>HYPERLINK("https://cao.dolgi.msk.ru/account/1080287519/", 1080287519)</f>
        <v>1080287519</v>
      </c>
      <c r="D1684" t="s">
        <v>1475</v>
      </c>
      <c r="E1684">
        <v>-7461.17</v>
      </c>
      <c r="F1684">
        <v>-0.95</v>
      </c>
      <c r="G1684" t="s">
        <v>12</v>
      </c>
      <c r="I1684" t="s">
        <v>1050</v>
      </c>
    </row>
    <row r="1685" spans="1:9" hidden="1" x14ac:dyDescent="0.25">
      <c r="A1685" t="s">
        <v>1464</v>
      </c>
      <c r="B1685" t="s">
        <v>31</v>
      </c>
      <c r="C1685" s="2">
        <f>HYPERLINK("https://cao.dolgi.msk.ru/account/1080287527/", 1080287527)</f>
        <v>1080287527</v>
      </c>
      <c r="D1685" t="s">
        <v>1476</v>
      </c>
      <c r="E1685">
        <v>-5873.47</v>
      </c>
      <c r="F1685">
        <v>-0.96</v>
      </c>
      <c r="G1685" t="s">
        <v>12</v>
      </c>
      <c r="I1685" t="s">
        <v>1050</v>
      </c>
    </row>
    <row r="1686" spans="1:9" hidden="1" x14ac:dyDescent="0.25">
      <c r="A1686" t="s">
        <v>1464</v>
      </c>
      <c r="B1686" t="s">
        <v>33</v>
      </c>
      <c r="C1686" s="2">
        <f>HYPERLINK("https://cao.dolgi.msk.ru/account/1080287535/", 1080287535)</f>
        <v>1080287535</v>
      </c>
      <c r="D1686" t="s">
        <v>1477</v>
      </c>
      <c r="E1686">
        <v>0</v>
      </c>
      <c r="F1686">
        <v>0</v>
      </c>
      <c r="G1686" t="s">
        <v>12</v>
      </c>
      <c r="H1686" t="s">
        <v>7</v>
      </c>
      <c r="I1686" t="s">
        <v>1050</v>
      </c>
    </row>
    <row r="1687" spans="1:9" hidden="1" x14ac:dyDescent="0.25">
      <c r="A1687" t="s">
        <v>1464</v>
      </c>
      <c r="B1687" t="s">
        <v>33</v>
      </c>
      <c r="C1687" s="2">
        <f>HYPERLINK("https://cao.dolgi.msk.ru/account/1080287543/", 1080287543)</f>
        <v>1080287543</v>
      </c>
      <c r="D1687" t="s">
        <v>1477</v>
      </c>
      <c r="E1687">
        <v>-7029.83</v>
      </c>
      <c r="F1687">
        <v>-1.25</v>
      </c>
      <c r="G1687" t="s">
        <v>12</v>
      </c>
      <c r="H1687" t="s">
        <v>7</v>
      </c>
      <c r="I1687" t="s">
        <v>1050</v>
      </c>
    </row>
    <row r="1688" spans="1:9" hidden="1" x14ac:dyDescent="0.25">
      <c r="A1688" t="s">
        <v>1464</v>
      </c>
      <c r="B1688" t="s">
        <v>34</v>
      </c>
      <c r="C1688" s="2">
        <f>HYPERLINK("https://cao.dolgi.msk.ru/account/1080287551/", 1080287551)</f>
        <v>1080287551</v>
      </c>
      <c r="D1688" t="s">
        <v>1478</v>
      </c>
      <c r="E1688">
        <v>160.66999999999999</v>
      </c>
      <c r="F1688">
        <v>0.04</v>
      </c>
      <c r="G1688" t="s">
        <v>12</v>
      </c>
      <c r="H1688" t="s">
        <v>7</v>
      </c>
      <c r="I1688" t="s">
        <v>1050</v>
      </c>
    </row>
    <row r="1689" spans="1:9" x14ac:dyDescent="0.25">
      <c r="A1689" t="s">
        <v>1464</v>
      </c>
      <c r="B1689" t="s">
        <v>34</v>
      </c>
      <c r="C1689" s="2">
        <f>HYPERLINK("https://cao.dolgi.msk.ru/account/1080287578/", 1080287578)</f>
        <v>1080287578</v>
      </c>
      <c r="D1689" t="s">
        <v>1479</v>
      </c>
      <c r="E1689">
        <v>147158.53</v>
      </c>
      <c r="F1689">
        <v>42.41</v>
      </c>
      <c r="G1689" t="s">
        <v>12</v>
      </c>
      <c r="H1689" t="s">
        <v>7</v>
      </c>
      <c r="I1689" t="s">
        <v>1050</v>
      </c>
    </row>
    <row r="1690" spans="1:9" x14ac:dyDescent="0.25">
      <c r="A1690" t="s">
        <v>1464</v>
      </c>
      <c r="B1690" t="s">
        <v>34</v>
      </c>
      <c r="C1690" s="2">
        <f>HYPERLINK("https://cao.dolgi.msk.ru/account/1080287586/", 1080287586)</f>
        <v>1080287586</v>
      </c>
      <c r="D1690" t="s">
        <v>15</v>
      </c>
      <c r="E1690">
        <v>4823.53</v>
      </c>
      <c r="F1690">
        <v>2.4500000000000002</v>
      </c>
      <c r="G1690" t="s">
        <v>12</v>
      </c>
      <c r="H1690" t="s">
        <v>7</v>
      </c>
      <c r="I1690" t="s">
        <v>1050</v>
      </c>
    </row>
    <row r="1691" spans="1:9" hidden="1" x14ac:dyDescent="0.25">
      <c r="A1691" t="s">
        <v>1464</v>
      </c>
      <c r="B1691" t="s">
        <v>34</v>
      </c>
      <c r="C1691" s="2">
        <f>HYPERLINK("https://cao.dolgi.msk.ru/account/1080287877/", 1080287877)</f>
        <v>1080287877</v>
      </c>
      <c r="D1691" t="s">
        <v>1479</v>
      </c>
      <c r="E1691">
        <v>0</v>
      </c>
      <c r="G1691" t="s">
        <v>14</v>
      </c>
      <c r="I1691" t="s">
        <v>1050</v>
      </c>
    </row>
    <row r="1692" spans="1:9" hidden="1" x14ac:dyDescent="0.25">
      <c r="A1692" t="s">
        <v>1464</v>
      </c>
      <c r="B1692" t="s">
        <v>36</v>
      </c>
      <c r="C1692" s="2">
        <f>HYPERLINK("https://cao.dolgi.msk.ru/account/1080287594/", 1080287594)</f>
        <v>1080287594</v>
      </c>
      <c r="D1692" t="s">
        <v>1480</v>
      </c>
      <c r="E1692">
        <v>-1225.19</v>
      </c>
      <c r="F1692">
        <v>-0.65</v>
      </c>
      <c r="G1692" t="s">
        <v>12</v>
      </c>
      <c r="H1692" t="s">
        <v>7</v>
      </c>
      <c r="I1692" t="s">
        <v>1050</v>
      </c>
    </row>
    <row r="1693" spans="1:9" hidden="1" x14ac:dyDescent="0.25">
      <c r="A1693" t="s">
        <v>1464</v>
      </c>
      <c r="B1693" t="s">
        <v>36</v>
      </c>
      <c r="C1693" s="2">
        <f>HYPERLINK("https://cao.dolgi.msk.ru/account/1080287607/", 1080287607)</f>
        <v>1080287607</v>
      </c>
      <c r="D1693" t="s">
        <v>1481</v>
      </c>
      <c r="E1693">
        <v>-2535.61</v>
      </c>
      <c r="F1693">
        <v>-0.98</v>
      </c>
      <c r="G1693" t="s">
        <v>12</v>
      </c>
      <c r="H1693" t="s">
        <v>7</v>
      </c>
      <c r="I1693" t="s">
        <v>1050</v>
      </c>
    </row>
    <row r="1694" spans="1:9" hidden="1" x14ac:dyDescent="0.25">
      <c r="A1694" t="s">
        <v>1464</v>
      </c>
      <c r="B1694" t="s">
        <v>36</v>
      </c>
      <c r="C1694" s="2">
        <f>HYPERLINK("https://cao.dolgi.msk.ru/account/1080287615/", 1080287615)</f>
        <v>1080287615</v>
      </c>
      <c r="D1694" t="s">
        <v>62</v>
      </c>
      <c r="E1694">
        <v>-3210.14</v>
      </c>
      <c r="F1694">
        <v>-1</v>
      </c>
      <c r="G1694" t="s">
        <v>12</v>
      </c>
      <c r="H1694" t="s">
        <v>7</v>
      </c>
      <c r="I1694" t="s">
        <v>1050</v>
      </c>
    </row>
    <row r="1695" spans="1:9" x14ac:dyDescent="0.25">
      <c r="A1695" t="s">
        <v>1464</v>
      </c>
      <c r="B1695" t="s">
        <v>38</v>
      </c>
      <c r="C1695" s="2">
        <f>HYPERLINK("https://cao.dolgi.msk.ru/account/1080287623/", 1080287623)</f>
        <v>1080287623</v>
      </c>
      <c r="D1695" t="s">
        <v>1482</v>
      </c>
      <c r="E1695">
        <v>116966</v>
      </c>
      <c r="F1695">
        <v>17.850000000000001</v>
      </c>
      <c r="G1695" t="s">
        <v>12</v>
      </c>
      <c r="I1695" t="s">
        <v>1050</v>
      </c>
    </row>
    <row r="1696" spans="1:9" hidden="1" x14ac:dyDescent="0.25">
      <c r="A1696" t="s">
        <v>1464</v>
      </c>
      <c r="B1696" t="s">
        <v>39</v>
      </c>
      <c r="C1696" s="2">
        <f>HYPERLINK("https://cao.dolgi.msk.ru/account/1080287631/", 1080287631)</f>
        <v>1080287631</v>
      </c>
      <c r="D1696" t="s">
        <v>1483</v>
      </c>
      <c r="E1696">
        <v>-8134.33</v>
      </c>
      <c r="F1696">
        <v>-1.1200000000000001</v>
      </c>
      <c r="G1696" t="s">
        <v>12</v>
      </c>
      <c r="I1696" t="s">
        <v>1050</v>
      </c>
    </row>
    <row r="1697" spans="1:9" hidden="1" x14ac:dyDescent="0.25">
      <c r="A1697" t="s">
        <v>1464</v>
      </c>
      <c r="B1697" t="s">
        <v>40</v>
      </c>
      <c r="C1697" s="2">
        <f>HYPERLINK("https://cao.dolgi.msk.ru/account/1080287658/", 1080287658)</f>
        <v>1080287658</v>
      </c>
      <c r="D1697" t="s">
        <v>15</v>
      </c>
      <c r="E1697">
        <v>5189.05</v>
      </c>
      <c r="F1697">
        <v>0.53</v>
      </c>
      <c r="G1697" t="s">
        <v>12</v>
      </c>
      <c r="I1697" t="s">
        <v>1050</v>
      </c>
    </row>
    <row r="1698" spans="1:9" hidden="1" x14ac:dyDescent="0.25">
      <c r="A1698" t="s">
        <v>1464</v>
      </c>
      <c r="B1698" t="s">
        <v>41</v>
      </c>
      <c r="C1698" s="2">
        <f>HYPERLINK("https://cao.dolgi.msk.ru/account/1080287674/", 1080287674)</f>
        <v>1080287674</v>
      </c>
      <c r="D1698" t="s">
        <v>1484</v>
      </c>
      <c r="E1698">
        <v>309.97000000000003</v>
      </c>
      <c r="F1698">
        <v>0.03</v>
      </c>
      <c r="G1698" t="s">
        <v>12</v>
      </c>
      <c r="I1698" t="s">
        <v>1050</v>
      </c>
    </row>
    <row r="1699" spans="1:9" hidden="1" x14ac:dyDescent="0.25">
      <c r="A1699" t="s">
        <v>1464</v>
      </c>
      <c r="B1699" t="s">
        <v>42</v>
      </c>
      <c r="C1699" s="2">
        <f>HYPERLINK("https://cao.dolgi.msk.ru/account/1080287682/", 1080287682)</f>
        <v>1080287682</v>
      </c>
      <c r="D1699" t="s">
        <v>1485</v>
      </c>
      <c r="E1699">
        <v>-1832.3</v>
      </c>
      <c r="F1699">
        <v>-0.94</v>
      </c>
      <c r="G1699" t="s">
        <v>12</v>
      </c>
      <c r="H1699" t="s">
        <v>7</v>
      </c>
      <c r="I1699" t="s">
        <v>1050</v>
      </c>
    </row>
    <row r="1700" spans="1:9" x14ac:dyDescent="0.25">
      <c r="A1700" t="s">
        <v>1464</v>
      </c>
      <c r="B1700" t="s">
        <v>42</v>
      </c>
      <c r="C1700" s="2">
        <f>HYPERLINK("https://cao.dolgi.msk.ru/account/1080287703/", 1080287703)</f>
        <v>1080287703</v>
      </c>
      <c r="D1700" t="s">
        <v>1485</v>
      </c>
      <c r="E1700">
        <v>5118.66</v>
      </c>
      <c r="F1700">
        <v>1.72</v>
      </c>
      <c r="G1700" t="s">
        <v>12</v>
      </c>
      <c r="H1700" t="s">
        <v>7</v>
      </c>
      <c r="I1700" t="s">
        <v>1050</v>
      </c>
    </row>
    <row r="1701" spans="1:9" hidden="1" x14ac:dyDescent="0.25">
      <c r="A1701" t="s">
        <v>1464</v>
      </c>
      <c r="B1701" t="s">
        <v>42</v>
      </c>
      <c r="C1701" s="2">
        <f>HYPERLINK("https://cao.dolgi.msk.ru/account/1080287711/", 1080287711)</f>
        <v>1080287711</v>
      </c>
      <c r="D1701" t="s">
        <v>1485</v>
      </c>
      <c r="E1701">
        <v>-309.64</v>
      </c>
      <c r="F1701">
        <v>-0.93</v>
      </c>
      <c r="G1701" t="s">
        <v>12</v>
      </c>
      <c r="H1701" t="s">
        <v>7</v>
      </c>
      <c r="I1701" t="s">
        <v>1050</v>
      </c>
    </row>
    <row r="1702" spans="1:9" hidden="1" x14ac:dyDescent="0.25">
      <c r="A1702" t="s">
        <v>1464</v>
      </c>
      <c r="B1702" t="s">
        <v>42</v>
      </c>
      <c r="C1702" s="2">
        <f>HYPERLINK("https://cao.dolgi.msk.ru/account/1083273569/", 1083273569)</f>
        <v>1083273569</v>
      </c>
      <c r="D1702" t="s">
        <v>15</v>
      </c>
      <c r="E1702">
        <v>-533.54999999999995</v>
      </c>
      <c r="F1702">
        <v>-0.92</v>
      </c>
      <c r="G1702" t="s">
        <v>12</v>
      </c>
      <c r="H1702" t="s">
        <v>7</v>
      </c>
      <c r="I1702" t="s">
        <v>1050</v>
      </c>
    </row>
    <row r="1703" spans="1:9" hidden="1" x14ac:dyDescent="0.25">
      <c r="A1703" t="s">
        <v>1464</v>
      </c>
      <c r="B1703" t="s">
        <v>42</v>
      </c>
      <c r="C1703" s="2">
        <f>HYPERLINK("https://cao.dolgi.msk.ru/account/1083273577/", 1083273577)</f>
        <v>1083273577</v>
      </c>
      <c r="D1703" t="s">
        <v>15</v>
      </c>
      <c r="E1703">
        <v>0</v>
      </c>
      <c r="F1703">
        <v>0</v>
      </c>
      <c r="G1703" t="s">
        <v>12</v>
      </c>
      <c r="H1703" t="s">
        <v>7</v>
      </c>
      <c r="I1703" t="s">
        <v>1050</v>
      </c>
    </row>
    <row r="1704" spans="1:9" x14ac:dyDescent="0.25">
      <c r="A1704" t="s">
        <v>1464</v>
      </c>
      <c r="B1704" t="s">
        <v>42</v>
      </c>
      <c r="C1704" s="2">
        <f>HYPERLINK("https://cao.dolgi.msk.ru/account/1083273585/", 1083273585)</f>
        <v>1083273585</v>
      </c>
      <c r="D1704" t="s">
        <v>15</v>
      </c>
      <c r="E1704">
        <v>69138.460000000006</v>
      </c>
      <c r="F1704">
        <v>69.61</v>
      </c>
      <c r="G1704" t="s">
        <v>12</v>
      </c>
      <c r="H1704" t="s">
        <v>7</v>
      </c>
      <c r="I1704" t="s">
        <v>1050</v>
      </c>
    </row>
    <row r="1705" spans="1:9" hidden="1" x14ac:dyDescent="0.25">
      <c r="A1705" t="s">
        <v>1464</v>
      </c>
      <c r="B1705" t="s">
        <v>42</v>
      </c>
      <c r="C1705" s="2">
        <f>HYPERLINK("https://cao.dolgi.msk.ru/account/1083399655/", 1083399655)</f>
        <v>1083399655</v>
      </c>
      <c r="E1705">
        <v>0</v>
      </c>
      <c r="G1705" t="s">
        <v>12</v>
      </c>
      <c r="H1705" t="s">
        <v>7</v>
      </c>
      <c r="I1705" t="s">
        <v>1050</v>
      </c>
    </row>
    <row r="1706" spans="1:9" hidden="1" x14ac:dyDescent="0.25">
      <c r="A1706" t="s">
        <v>1464</v>
      </c>
      <c r="B1706" t="s">
        <v>44</v>
      </c>
      <c r="C1706" s="2">
        <f>HYPERLINK("https://cao.dolgi.msk.ru/account/1080287738/", 1080287738)</f>
        <v>1080287738</v>
      </c>
      <c r="D1706" t="s">
        <v>1486</v>
      </c>
      <c r="E1706">
        <v>-1931.85</v>
      </c>
      <c r="F1706">
        <v>-1.32</v>
      </c>
      <c r="G1706" t="s">
        <v>12</v>
      </c>
      <c r="H1706" t="s">
        <v>7</v>
      </c>
      <c r="I1706" t="s">
        <v>1050</v>
      </c>
    </row>
    <row r="1707" spans="1:9" hidden="1" x14ac:dyDescent="0.25">
      <c r="A1707" t="s">
        <v>1464</v>
      </c>
      <c r="B1707" t="s">
        <v>44</v>
      </c>
      <c r="C1707" s="2">
        <f>HYPERLINK("https://cao.dolgi.msk.ru/account/1080287746/", 1080287746)</f>
        <v>1080287746</v>
      </c>
      <c r="D1707" t="s">
        <v>1486</v>
      </c>
      <c r="E1707">
        <v>-3171.44</v>
      </c>
      <c r="F1707">
        <v>-0.93</v>
      </c>
      <c r="G1707" t="s">
        <v>12</v>
      </c>
      <c r="H1707" t="s">
        <v>7</v>
      </c>
      <c r="I1707" t="s">
        <v>1050</v>
      </c>
    </row>
    <row r="1708" spans="1:9" hidden="1" x14ac:dyDescent="0.25">
      <c r="A1708" t="s">
        <v>1464</v>
      </c>
      <c r="B1708" t="s">
        <v>44</v>
      </c>
      <c r="C1708" s="2">
        <f>HYPERLINK("https://cao.dolgi.msk.ru/account/1080287754/", 1080287754)</f>
        <v>1080287754</v>
      </c>
      <c r="D1708" t="s">
        <v>1487</v>
      </c>
      <c r="E1708">
        <v>-2678.99</v>
      </c>
      <c r="F1708">
        <v>-1.51</v>
      </c>
      <c r="G1708" t="s">
        <v>12</v>
      </c>
      <c r="H1708" t="s">
        <v>7</v>
      </c>
      <c r="I1708" t="s">
        <v>1050</v>
      </c>
    </row>
    <row r="1709" spans="1:9" hidden="1" x14ac:dyDescent="0.25">
      <c r="A1709" t="s">
        <v>1464</v>
      </c>
      <c r="B1709" t="s">
        <v>44</v>
      </c>
      <c r="C1709" s="2">
        <f>HYPERLINK("https://cao.dolgi.msk.ru/account/1083272881/", 1083272881)</f>
        <v>1083272881</v>
      </c>
      <c r="D1709" t="s">
        <v>15</v>
      </c>
      <c r="E1709">
        <v>-1796.07</v>
      </c>
      <c r="F1709">
        <v>-0.94</v>
      </c>
      <c r="G1709" t="s">
        <v>12</v>
      </c>
      <c r="H1709" t="s">
        <v>7</v>
      </c>
      <c r="I1709" t="s">
        <v>1050</v>
      </c>
    </row>
    <row r="1710" spans="1:9" hidden="1" x14ac:dyDescent="0.25">
      <c r="A1710" t="s">
        <v>1464</v>
      </c>
      <c r="B1710" t="s">
        <v>66</v>
      </c>
      <c r="C1710" s="2">
        <f>HYPERLINK("https://cao.dolgi.msk.ru/account/1080287762/", 1080287762)</f>
        <v>1080287762</v>
      </c>
      <c r="D1710" t="s">
        <v>1488</v>
      </c>
      <c r="E1710">
        <v>-7541.14</v>
      </c>
      <c r="F1710">
        <v>-0.95</v>
      </c>
      <c r="G1710" t="s">
        <v>12</v>
      </c>
      <c r="I1710" t="s">
        <v>1050</v>
      </c>
    </row>
    <row r="1711" spans="1:9" hidden="1" x14ac:dyDescent="0.25">
      <c r="A1711" t="s">
        <v>1464</v>
      </c>
      <c r="B1711" t="s">
        <v>66</v>
      </c>
      <c r="C1711" s="2">
        <f>HYPERLINK("https://cao.dolgi.msk.ru/account/1080287789/", 1080287789)</f>
        <v>1080287789</v>
      </c>
      <c r="D1711" t="s">
        <v>1488</v>
      </c>
      <c r="E1711">
        <v>1771.67</v>
      </c>
      <c r="G1711" t="s">
        <v>14</v>
      </c>
      <c r="I1711" t="s">
        <v>1050</v>
      </c>
    </row>
    <row r="1712" spans="1:9" hidden="1" x14ac:dyDescent="0.25">
      <c r="A1712" t="s">
        <v>1464</v>
      </c>
      <c r="B1712" t="s">
        <v>66</v>
      </c>
      <c r="C1712" s="2">
        <f>HYPERLINK("https://cao.dolgi.msk.ru/account/1080287797/", 1080287797)</f>
        <v>1080287797</v>
      </c>
      <c r="D1712" t="s">
        <v>1488</v>
      </c>
      <c r="E1712">
        <v>-2438.14</v>
      </c>
      <c r="G1712" t="s">
        <v>14</v>
      </c>
      <c r="I1712" t="s">
        <v>1050</v>
      </c>
    </row>
    <row r="1713" spans="1:9" hidden="1" x14ac:dyDescent="0.25">
      <c r="A1713" t="s">
        <v>1464</v>
      </c>
      <c r="B1713" t="s">
        <v>68</v>
      </c>
      <c r="C1713" s="2">
        <f>HYPERLINK("https://cao.dolgi.msk.ru/account/1080287818/", 1080287818)</f>
        <v>1080287818</v>
      </c>
      <c r="D1713" t="s">
        <v>1489</v>
      </c>
      <c r="E1713">
        <v>-8324.17</v>
      </c>
      <c r="F1713">
        <v>-0.89</v>
      </c>
      <c r="G1713" t="s">
        <v>12</v>
      </c>
      <c r="I1713" t="s">
        <v>1050</v>
      </c>
    </row>
    <row r="1714" spans="1:9" hidden="1" x14ac:dyDescent="0.25">
      <c r="A1714" t="s">
        <v>1464</v>
      </c>
      <c r="B1714" t="s">
        <v>70</v>
      </c>
      <c r="C1714" s="2">
        <f>HYPERLINK("https://cao.dolgi.msk.ru/account/1080287826/", 1080287826)</f>
        <v>1080287826</v>
      </c>
      <c r="D1714" t="s">
        <v>1490</v>
      </c>
      <c r="E1714">
        <v>-7871.68</v>
      </c>
      <c r="F1714">
        <v>-0.9</v>
      </c>
      <c r="G1714" t="s">
        <v>12</v>
      </c>
      <c r="I1714" t="s">
        <v>1050</v>
      </c>
    </row>
    <row r="1715" spans="1:9" hidden="1" x14ac:dyDescent="0.25">
      <c r="A1715" t="s">
        <v>1464</v>
      </c>
      <c r="B1715" t="s">
        <v>72</v>
      </c>
      <c r="C1715" s="2">
        <f>HYPERLINK("https://cao.dolgi.msk.ru/account/1080287834/", 1080287834)</f>
        <v>1080287834</v>
      </c>
      <c r="D1715" t="s">
        <v>1491</v>
      </c>
      <c r="E1715">
        <v>-2668</v>
      </c>
      <c r="F1715">
        <v>-0.95</v>
      </c>
      <c r="G1715" t="s">
        <v>12</v>
      </c>
      <c r="H1715" t="s">
        <v>7</v>
      </c>
      <c r="I1715" t="s">
        <v>1050</v>
      </c>
    </row>
    <row r="1716" spans="1:9" hidden="1" x14ac:dyDescent="0.25">
      <c r="A1716" t="s">
        <v>1464</v>
      </c>
      <c r="B1716" t="s">
        <v>72</v>
      </c>
      <c r="C1716" s="2">
        <f>HYPERLINK("https://cao.dolgi.msk.ru/account/1080287842/", 1080287842)</f>
        <v>1080287842</v>
      </c>
      <c r="D1716" t="s">
        <v>15</v>
      </c>
      <c r="E1716">
        <v>-5.44</v>
      </c>
      <c r="F1716">
        <v>0</v>
      </c>
      <c r="G1716" t="s">
        <v>12</v>
      </c>
      <c r="H1716" t="s">
        <v>7</v>
      </c>
      <c r="I1716" t="s">
        <v>1050</v>
      </c>
    </row>
    <row r="1717" spans="1:9" hidden="1" x14ac:dyDescent="0.25">
      <c r="A1717" t="s">
        <v>1464</v>
      </c>
      <c r="B1717" t="s">
        <v>72</v>
      </c>
      <c r="C1717" s="2">
        <f>HYPERLINK("https://cao.dolgi.msk.ru/account/1080287869/", 1080287869)</f>
        <v>1080287869</v>
      </c>
      <c r="D1717" t="s">
        <v>15</v>
      </c>
      <c r="E1717">
        <v>-3252.25</v>
      </c>
      <c r="F1717">
        <v>-0.73</v>
      </c>
      <c r="G1717" t="s">
        <v>12</v>
      </c>
      <c r="H1717" t="s">
        <v>7</v>
      </c>
      <c r="I1717" t="s">
        <v>1050</v>
      </c>
    </row>
    <row r="1718" spans="1:9" hidden="1" x14ac:dyDescent="0.25">
      <c r="A1718" t="s">
        <v>1492</v>
      </c>
      <c r="B1718" t="s">
        <v>10</v>
      </c>
      <c r="C1718" s="2">
        <f>HYPERLINK("https://cao.dolgi.msk.ru/account/1080230408/", 1080230408)</f>
        <v>1080230408</v>
      </c>
      <c r="D1718" t="s">
        <v>15</v>
      </c>
      <c r="E1718">
        <v>-9378.0400000000009</v>
      </c>
      <c r="F1718">
        <v>-0.93</v>
      </c>
      <c r="G1718" t="s">
        <v>12</v>
      </c>
      <c r="I1718" t="s">
        <v>1428</v>
      </c>
    </row>
    <row r="1719" spans="1:9" hidden="1" x14ac:dyDescent="0.25">
      <c r="A1719" t="s">
        <v>1492</v>
      </c>
      <c r="B1719" t="s">
        <v>10</v>
      </c>
      <c r="C1719" s="2">
        <f>HYPERLINK("https://cao.dolgi.msk.ru/account/1083270966/", 1083270966)</f>
        <v>1083270966</v>
      </c>
      <c r="D1719" t="s">
        <v>15</v>
      </c>
      <c r="E1719">
        <v>-861.7</v>
      </c>
      <c r="G1719" t="s">
        <v>14</v>
      </c>
      <c r="I1719" t="s">
        <v>1428</v>
      </c>
    </row>
    <row r="1720" spans="1:9" hidden="1" x14ac:dyDescent="0.25">
      <c r="A1720" t="s">
        <v>1492</v>
      </c>
      <c r="B1720" t="s">
        <v>16</v>
      </c>
      <c r="C1720" s="2">
        <f>HYPERLINK("https://cao.dolgi.msk.ru/account/1080230416/", 1080230416)</f>
        <v>1080230416</v>
      </c>
      <c r="D1720" t="s">
        <v>1493</v>
      </c>
      <c r="E1720">
        <v>-9388.52</v>
      </c>
      <c r="F1720">
        <v>-4.9800000000000004</v>
      </c>
      <c r="G1720" t="s">
        <v>12</v>
      </c>
      <c r="H1720" t="s">
        <v>7</v>
      </c>
      <c r="I1720" t="s">
        <v>1428</v>
      </c>
    </row>
    <row r="1721" spans="1:9" hidden="1" x14ac:dyDescent="0.25">
      <c r="A1721" t="s">
        <v>1492</v>
      </c>
      <c r="B1721" t="s">
        <v>16</v>
      </c>
      <c r="C1721" s="2">
        <f>HYPERLINK("https://cao.dolgi.msk.ru/account/1080230424/", 1080230424)</f>
        <v>1080230424</v>
      </c>
      <c r="D1721" t="s">
        <v>1493</v>
      </c>
      <c r="E1721">
        <v>-10008.799999999999</v>
      </c>
      <c r="F1721">
        <v>-5.35</v>
      </c>
      <c r="G1721" t="s">
        <v>12</v>
      </c>
      <c r="H1721" t="s">
        <v>7</v>
      </c>
      <c r="I1721" t="s">
        <v>1428</v>
      </c>
    </row>
    <row r="1722" spans="1:9" x14ac:dyDescent="0.25">
      <c r="A1722" t="s">
        <v>1492</v>
      </c>
      <c r="B1722" t="s">
        <v>16</v>
      </c>
      <c r="C1722" s="2">
        <f>HYPERLINK("https://cao.dolgi.msk.ru/account/1080230432/", 1080230432)</f>
        <v>1080230432</v>
      </c>
      <c r="D1722" t="s">
        <v>1493</v>
      </c>
      <c r="E1722">
        <v>45515.46</v>
      </c>
      <c r="F1722">
        <v>32.630000000000003</v>
      </c>
      <c r="G1722" t="s">
        <v>12</v>
      </c>
      <c r="H1722" t="s">
        <v>7</v>
      </c>
      <c r="I1722" t="s">
        <v>1428</v>
      </c>
    </row>
    <row r="1723" spans="1:9" hidden="1" x14ac:dyDescent="0.25">
      <c r="A1723" t="s">
        <v>1492</v>
      </c>
      <c r="B1723" t="s">
        <v>18</v>
      </c>
      <c r="C1723" s="2">
        <f>HYPERLINK("https://cao.dolgi.msk.ru/account/1080230459/", 1080230459)</f>
        <v>1080230459</v>
      </c>
      <c r="D1723" t="s">
        <v>1494</v>
      </c>
      <c r="E1723">
        <v>-8.18</v>
      </c>
      <c r="F1723">
        <v>0</v>
      </c>
      <c r="G1723" t="s">
        <v>12</v>
      </c>
      <c r="I1723" t="s">
        <v>1428</v>
      </c>
    </row>
    <row r="1724" spans="1:9" hidden="1" x14ac:dyDescent="0.25">
      <c r="A1724" t="s">
        <v>1492</v>
      </c>
      <c r="B1724" t="s">
        <v>20</v>
      </c>
      <c r="C1724" s="2">
        <f>HYPERLINK("https://cao.dolgi.msk.ru/account/1080230467/", 1080230467)</f>
        <v>1080230467</v>
      </c>
      <c r="D1724" t="s">
        <v>1495</v>
      </c>
      <c r="E1724">
        <v>-6696.65</v>
      </c>
      <c r="F1724">
        <v>-1.08</v>
      </c>
      <c r="G1724" t="s">
        <v>12</v>
      </c>
      <c r="I1724" t="s">
        <v>1428</v>
      </c>
    </row>
    <row r="1725" spans="1:9" hidden="1" x14ac:dyDescent="0.25">
      <c r="A1725" t="s">
        <v>1492</v>
      </c>
      <c r="B1725" t="s">
        <v>21</v>
      </c>
      <c r="C1725" s="2">
        <f>HYPERLINK("https://cao.dolgi.msk.ru/account/1080230475/", 1080230475)</f>
        <v>1080230475</v>
      </c>
      <c r="D1725" t="s">
        <v>1496</v>
      </c>
      <c r="E1725">
        <v>2393.62</v>
      </c>
      <c r="F1725">
        <v>1</v>
      </c>
      <c r="G1725" t="s">
        <v>12</v>
      </c>
      <c r="I1725" t="s">
        <v>1428</v>
      </c>
    </row>
    <row r="1726" spans="1:9" hidden="1" x14ac:dyDescent="0.25">
      <c r="A1726" t="s">
        <v>1492</v>
      </c>
      <c r="B1726" t="s">
        <v>21</v>
      </c>
      <c r="C1726" s="2">
        <f>HYPERLINK("https://cao.dolgi.msk.ru/account/1089126412/", 1089126412)</f>
        <v>1089126412</v>
      </c>
      <c r="D1726" t="s">
        <v>1496</v>
      </c>
      <c r="E1726">
        <v>-5289.1</v>
      </c>
      <c r="F1726">
        <v>-1.26</v>
      </c>
      <c r="G1726" t="s">
        <v>12</v>
      </c>
      <c r="I1726" t="s">
        <v>1428</v>
      </c>
    </row>
    <row r="1727" spans="1:9" hidden="1" x14ac:dyDescent="0.25">
      <c r="A1727" t="s">
        <v>1492</v>
      </c>
      <c r="B1727" t="s">
        <v>22</v>
      </c>
      <c r="C1727" s="2">
        <f>HYPERLINK("https://cao.dolgi.msk.ru/account/1080230483/", 1080230483)</f>
        <v>1080230483</v>
      </c>
      <c r="D1727" t="s">
        <v>1497</v>
      </c>
      <c r="E1727">
        <v>-6451.64</v>
      </c>
      <c r="F1727">
        <v>-1.1100000000000001</v>
      </c>
      <c r="G1727" t="s">
        <v>12</v>
      </c>
      <c r="I1727" t="s">
        <v>1428</v>
      </c>
    </row>
    <row r="1728" spans="1:9" hidden="1" x14ac:dyDescent="0.25">
      <c r="A1728" t="s">
        <v>1492</v>
      </c>
      <c r="B1728" t="s">
        <v>23</v>
      </c>
      <c r="C1728" s="2">
        <f>HYPERLINK("https://cao.dolgi.msk.ru/account/1080230504/", 1080230504)</f>
        <v>1080230504</v>
      </c>
      <c r="D1728" t="s">
        <v>1498</v>
      </c>
      <c r="E1728">
        <v>-4911.49</v>
      </c>
      <c r="F1728">
        <v>-1.03</v>
      </c>
      <c r="G1728" t="s">
        <v>12</v>
      </c>
      <c r="H1728" t="s">
        <v>7</v>
      </c>
      <c r="I1728" t="s">
        <v>1428</v>
      </c>
    </row>
    <row r="1729" spans="1:9" hidden="1" x14ac:dyDescent="0.25">
      <c r="A1729" t="s">
        <v>1492</v>
      </c>
      <c r="B1729" t="s">
        <v>23</v>
      </c>
      <c r="C1729" s="2">
        <f>HYPERLINK("https://cao.dolgi.msk.ru/account/1080230512/", 1080230512)</f>
        <v>1080230512</v>
      </c>
      <c r="D1729" t="s">
        <v>1498</v>
      </c>
      <c r="E1729">
        <v>-6386.73</v>
      </c>
      <c r="F1729">
        <v>-0.93</v>
      </c>
      <c r="G1729" t="s">
        <v>12</v>
      </c>
      <c r="H1729" t="s">
        <v>7</v>
      </c>
      <c r="I1729" t="s">
        <v>1428</v>
      </c>
    </row>
    <row r="1730" spans="1:9" hidden="1" x14ac:dyDescent="0.25">
      <c r="A1730" t="s">
        <v>1492</v>
      </c>
      <c r="B1730" t="s">
        <v>24</v>
      </c>
      <c r="C1730" s="2">
        <f>HYPERLINK("https://cao.dolgi.msk.ru/account/1080230539/", 1080230539)</f>
        <v>1080230539</v>
      </c>
      <c r="D1730" t="s">
        <v>1499</v>
      </c>
      <c r="E1730">
        <v>-4673.6899999999996</v>
      </c>
      <c r="F1730">
        <v>-1.1399999999999999</v>
      </c>
      <c r="G1730" t="s">
        <v>12</v>
      </c>
      <c r="I1730" t="s">
        <v>1428</v>
      </c>
    </row>
    <row r="1731" spans="1:9" hidden="1" x14ac:dyDescent="0.25">
      <c r="A1731" t="s">
        <v>1492</v>
      </c>
      <c r="B1731" t="s">
        <v>29</v>
      </c>
      <c r="C1731" s="2">
        <f>HYPERLINK("https://cao.dolgi.msk.ru/account/1080230555/", 1080230555)</f>
        <v>1080230555</v>
      </c>
      <c r="D1731" t="s">
        <v>1500</v>
      </c>
      <c r="E1731">
        <v>-6277.36</v>
      </c>
      <c r="F1731">
        <v>-1.1000000000000001</v>
      </c>
      <c r="G1731" t="s">
        <v>12</v>
      </c>
      <c r="I1731" t="s">
        <v>1428</v>
      </c>
    </row>
    <row r="1732" spans="1:9" hidden="1" x14ac:dyDescent="0.25">
      <c r="A1732" t="s">
        <v>1492</v>
      </c>
      <c r="B1732" t="s">
        <v>31</v>
      </c>
      <c r="C1732" s="2">
        <f>HYPERLINK("https://cao.dolgi.msk.ru/account/1080230563/", 1080230563)</f>
        <v>1080230563</v>
      </c>
      <c r="D1732" t="s">
        <v>736</v>
      </c>
      <c r="E1732">
        <v>-2554.6</v>
      </c>
      <c r="F1732">
        <v>-1.78</v>
      </c>
      <c r="G1732" t="s">
        <v>12</v>
      </c>
      <c r="H1732" t="s">
        <v>7</v>
      </c>
      <c r="I1732" t="s">
        <v>1428</v>
      </c>
    </row>
    <row r="1733" spans="1:9" hidden="1" x14ac:dyDescent="0.25">
      <c r="A1733" t="s">
        <v>1492</v>
      </c>
      <c r="B1733" t="s">
        <v>31</v>
      </c>
      <c r="C1733" s="2">
        <f>HYPERLINK("https://cao.dolgi.msk.ru/account/1080230926/", 1080230926)</f>
        <v>1080230926</v>
      </c>
      <c r="D1733" t="s">
        <v>736</v>
      </c>
      <c r="E1733">
        <v>0</v>
      </c>
      <c r="F1733">
        <v>0</v>
      </c>
      <c r="G1733" t="s">
        <v>12</v>
      </c>
      <c r="H1733" t="s">
        <v>7</v>
      </c>
      <c r="I1733" t="s">
        <v>1428</v>
      </c>
    </row>
    <row r="1734" spans="1:9" hidden="1" x14ac:dyDescent="0.25">
      <c r="A1734" t="s">
        <v>1492</v>
      </c>
      <c r="B1734" t="s">
        <v>33</v>
      </c>
      <c r="C1734" s="2">
        <f>HYPERLINK("https://cao.dolgi.msk.ru/account/1080230598/", 1080230598)</f>
        <v>1080230598</v>
      </c>
      <c r="D1734" t="s">
        <v>1501</v>
      </c>
      <c r="E1734">
        <v>-6405.17</v>
      </c>
      <c r="F1734">
        <v>-1.05</v>
      </c>
      <c r="G1734" t="s">
        <v>12</v>
      </c>
      <c r="I1734" t="s">
        <v>1428</v>
      </c>
    </row>
    <row r="1735" spans="1:9" hidden="1" x14ac:dyDescent="0.25">
      <c r="A1735" t="s">
        <v>1492</v>
      </c>
      <c r="B1735" t="s">
        <v>34</v>
      </c>
      <c r="C1735" s="2">
        <f>HYPERLINK("https://cao.dolgi.msk.ru/account/1080230627/", 1080230627)</f>
        <v>1080230627</v>
      </c>
      <c r="D1735" t="s">
        <v>1502</v>
      </c>
      <c r="E1735">
        <v>-2641.54</v>
      </c>
      <c r="F1735">
        <v>-0.69</v>
      </c>
      <c r="G1735" t="s">
        <v>12</v>
      </c>
      <c r="H1735" t="s">
        <v>7</v>
      </c>
      <c r="I1735" t="s">
        <v>1428</v>
      </c>
    </row>
    <row r="1736" spans="1:9" hidden="1" x14ac:dyDescent="0.25">
      <c r="A1736" t="s">
        <v>1492</v>
      </c>
      <c r="B1736" t="s">
        <v>34</v>
      </c>
      <c r="C1736" s="2">
        <f>HYPERLINK("https://cao.dolgi.msk.ru/account/1080230635/", 1080230635)</f>
        <v>1080230635</v>
      </c>
      <c r="D1736" t="s">
        <v>1502</v>
      </c>
      <c r="E1736">
        <v>-3649.63</v>
      </c>
      <c r="F1736">
        <v>-2.6</v>
      </c>
      <c r="G1736" t="s">
        <v>12</v>
      </c>
      <c r="H1736" t="s">
        <v>7</v>
      </c>
      <c r="I1736" t="s">
        <v>1428</v>
      </c>
    </row>
    <row r="1737" spans="1:9" hidden="1" x14ac:dyDescent="0.25">
      <c r="A1737" t="s">
        <v>1492</v>
      </c>
      <c r="B1737" t="s">
        <v>36</v>
      </c>
      <c r="C1737" s="2">
        <f>HYPERLINK("https://cao.dolgi.msk.ru/account/1080230643/", 1080230643)</f>
        <v>1080230643</v>
      </c>
      <c r="D1737" t="s">
        <v>1503</v>
      </c>
      <c r="E1737">
        <v>-4336.93</v>
      </c>
      <c r="F1737">
        <v>-1.72</v>
      </c>
      <c r="G1737" t="s">
        <v>12</v>
      </c>
      <c r="I1737" t="s">
        <v>1428</v>
      </c>
    </row>
    <row r="1738" spans="1:9" hidden="1" x14ac:dyDescent="0.25">
      <c r="A1738" t="s">
        <v>1492</v>
      </c>
      <c r="B1738" t="s">
        <v>36</v>
      </c>
      <c r="C1738" s="2">
        <f>HYPERLINK("https://cao.dolgi.msk.ru/account/1083283628/", 1083283628)</f>
        <v>1083283628</v>
      </c>
      <c r="D1738" t="s">
        <v>15</v>
      </c>
      <c r="E1738">
        <v>-4367.13</v>
      </c>
      <c r="F1738">
        <v>-1.04</v>
      </c>
      <c r="G1738" t="s">
        <v>12</v>
      </c>
      <c r="I1738" t="s">
        <v>1428</v>
      </c>
    </row>
    <row r="1739" spans="1:9" x14ac:dyDescent="0.25">
      <c r="A1739" t="s">
        <v>1492</v>
      </c>
      <c r="B1739" t="s">
        <v>36</v>
      </c>
      <c r="C1739" s="2">
        <f>HYPERLINK("https://cao.dolgi.msk.ru/account/1083283636/", 1083283636)</f>
        <v>1083283636</v>
      </c>
      <c r="D1739" t="s">
        <v>15</v>
      </c>
      <c r="E1739">
        <v>265763.93</v>
      </c>
      <c r="F1739">
        <v>63.22</v>
      </c>
      <c r="G1739" t="s">
        <v>12</v>
      </c>
      <c r="I1739" t="s">
        <v>1428</v>
      </c>
    </row>
    <row r="1740" spans="1:9" hidden="1" x14ac:dyDescent="0.25">
      <c r="A1740" t="s">
        <v>1492</v>
      </c>
      <c r="B1740" t="s">
        <v>38</v>
      </c>
      <c r="C1740" s="2">
        <f>HYPERLINK("https://cao.dolgi.msk.ru/account/1080230651/", 1080230651)</f>
        <v>1080230651</v>
      </c>
      <c r="D1740" t="s">
        <v>1504</v>
      </c>
      <c r="E1740">
        <v>-5928.26</v>
      </c>
      <c r="F1740">
        <v>-0.76</v>
      </c>
      <c r="G1740" t="s">
        <v>12</v>
      </c>
      <c r="I1740" t="s">
        <v>1428</v>
      </c>
    </row>
    <row r="1741" spans="1:9" hidden="1" x14ac:dyDescent="0.25">
      <c r="A1741" t="s">
        <v>1492</v>
      </c>
      <c r="B1741" t="s">
        <v>39</v>
      </c>
      <c r="C1741" s="2">
        <f>HYPERLINK("https://cao.dolgi.msk.ru/account/1080230678/", 1080230678)</f>
        <v>1080230678</v>
      </c>
      <c r="D1741" t="s">
        <v>1505</v>
      </c>
      <c r="E1741">
        <v>-9163.2099999999991</v>
      </c>
      <c r="F1741">
        <v>-1.06</v>
      </c>
      <c r="G1741" t="s">
        <v>12</v>
      </c>
      <c r="I1741" t="s">
        <v>1428</v>
      </c>
    </row>
    <row r="1742" spans="1:9" hidden="1" x14ac:dyDescent="0.25">
      <c r="A1742" t="s">
        <v>1492</v>
      </c>
      <c r="B1742" t="s">
        <v>40</v>
      </c>
      <c r="C1742" s="2">
        <f>HYPERLINK("https://cao.dolgi.msk.ru/account/1080230686/", 1080230686)</f>
        <v>1080230686</v>
      </c>
      <c r="D1742" t="s">
        <v>1506</v>
      </c>
      <c r="E1742">
        <v>-6865.78</v>
      </c>
      <c r="F1742">
        <v>-0.91</v>
      </c>
      <c r="G1742" t="s">
        <v>12</v>
      </c>
      <c r="I1742" t="s">
        <v>1428</v>
      </c>
    </row>
    <row r="1743" spans="1:9" x14ac:dyDescent="0.25">
      <c r="A1743" t="s">
        <v>1492</v>
      </c>
      <c r="B1743" t="s">
        <v>41</v>
      </c>
      <c r="C1743" s="2">
        <f>HYPERLINK("https://cao.dolgi.msk.ru/account/1080230694/", 1080230694)</f>
        <v>1080230694</v>
      </c>
      <c r="D1743" t="s">
        <v>1507</v>
      </c>
      <c r="E1743">
        <v>27491.64</v>
      </c>
      <c r="F1743">
        <v>3.91</v>
      </c>
      <c r="G1743" t="s">
        <v>12</v>
      </c>
      <c r="I1743" t="s">
        <v>1428</v>
      </c>
    </row>
    <row r="1744" spans="1:9" hidden="1" x14ac:dyDescent="0.25">
      <c r="A1744" t="s">
        <v>1492</v>
      </c>
      <c r="B1744" t="s">
        <v>42</v>
      </c>
      <c r="C1744" s="2">
        <f>HYPERLINK("https://cao.dolgi.msk.ru/account/1080230707/", 1080230707)</f>
        <v>1080230707</v>
      </c>
      <c r="D1744" t="s">
        <v>1508</v>
      </c>
      <c r="E1744">
        <v>0</v>
      </c>
      <c r="F1744">
        <v>0</v>
      </c>
      <c r="G1744" t="s">
        <v>12</v>
      </c>
      <c r="I1744" t="s">
        <v>1428</v>
      </c>
    </row>
    <row r="1745" spans="1:9" hidden="1" x14ac:dyDescent="0.25">
      <c r="A1745" t="s">
        <v>1492</v>
      </c>
      <c r="B1745" t="s">
        <v>44</v>
      </c>
      <c r="C1745" s="2">
        <f>HYPERLINK("https://cao.dolgi.msk.ru/account/1080230723/", 1080230723)</f>
        <v>1080230723</v>
      </c>
      <c r="D1745" t="s">
        <v>1509</v>
      </c>
      <c r="E1745">
        <v>-32446.43</v>
      </c>
      <c r="F1745">
        <v>-3.36</v>
      </c>
      <c r="G1745" t="s">
        <v>12</v>
      </c>
      <c r="I1745" t="s">
        <v>1428</v>
      </c>
    </row>
    <row r="1746" spans="1:9" hidden="1" x14ac:dyDescent="0.25">
      <c r="A1746" t="s">
        <v>1492</v>
      </c>
      <c r="B1746" t="s">
        <v>66</v>
      </c>
      <c r="C1746" s="2">
        <f>HYPERLINK("https://cao.dolgi.msk.ru/account/1080230731/", 1080230731)</f>
        <v>1080230731</v>
      </c>
      <c r="D1746" t="s">
        <v>1510</v>
      </c>
      <c r="E1746">
        <v>-7527.13</v>
      </c>
      <c r="F1746">
        <v>-1.05</v>
      </c>
      <c r="G1746" t="s">
        <v>12</v>
      </c>
      <c r="I1746" t="s">
        <v>1428</v>
      </c>
    </row>
    <row r="1747" spans="1:9" hidden="1" x14ac:dyDescent="0.25">
      <c r="A1747" t="s">
        <v>1492</v>
      </c>
      <c r="B1747" t="s">
        <v>68</v>
      </c>
      <c r="C1747" s="2">
        <f>HYPERLINK("https://cao.dolgi.msk.ru/account/1080230758/", 1080230758)</f>
        <v>1080230758</v>
      </c>
      <c r="D1747" t="s">
        <v>1511</v>
      </c>
      <c r="E1747">
        <v>-5442.98</v>
      </c>
      <c r="F1747">
        <v>-1.05</v>
      </c>
      <c r="G1747" t="s">
        <v>12</v>
      </c>
      <c r="I1747" t="s">
        <v>1428</v>
      </c>
    </row>
    <row r="1748" spans="1:9" hidden="1" x14ac:dyDescent="0.25">
      <c r="A1748" t="s">
        <v>1492</v>
      </c>
      <c r="B1748" t="s">
        <v>70</v>
      </c>
      <c r="C1748" s="2">
        <f>HYPERLINK("https://cao.dolgi.msk.ru/account/1080230766/", 1080230766)</f>
        <v>1080230766</v>
      </c>
      <c r="D1748" t="s">
        <v>1512</v>
      </c>
      <c r="E1748">
        <v>0</v>
      </c>
      <c r="F1748">
        <v>0</v>
      </c>
      <c r="G1748" t="s">
        <v>12</v>
      </c>
      <c r="I1748" t="s">
        <v>1428</v>
      </c>
    </row>
    <row r="1749" spans="1:9" hidden="1" x14ac:dyDescent="0.25">
      <c r="A1749" t="s">
        <v>1492</v>
      </c>
      <c r="B1749" t="s">
        <v>72</v>
      </c>
      <c r="C1749" s="2">
        <f>HYPERLINK("https://cao.dolgi.msk.ru/account/1080230774/", 1080230774)</f>
        <v>1080230774</v>
      </c>
      <c r="D1749" t="s">
        <v>1513</v>
      </c>
      <c r="E1749">
        <v>-5488.62</v>
      </c>
      <c r="F1749">
        <v>-0.95</v>
      </c>
      <c r="G1749" t="s">
        <v>12</v>
      </c>
      <c r="I1749" t="s">
        <v>1428</v>
      </c>
    </row>
    <row r="1750" spans="1:9" hidden="1" x14ac:dyDescent="0.25">
      <c r="A1750" t="s">
        <v>1492</v>
      </c>
      <c r="B1750" t="s">
        <v>74</v>
      </c>
      <c r="C1750" s="2">
        <f>HYPERLINK("https://cao.dolgi.msk.ru/account/1080230803/", 1080230803)</f>
        <v>1080230803</v>
      </c>
      <c r="D1750" t="s">
        <v>1514</v>
      </c>
      <c r="E1750">
        <v>-1456.28</v>
      </c>
      <c r="F1750">
        <v>-0.98</v>
      </c>
      <c r="G1750" t="s">
        <v>12</v>
      </c>
      <c r="H1750" t="s">
        <v>7</v>
      </c>
      <c r="I1750" t="s">
        <v>1428</v>
      </c>
    </row>
    <row r="1751" spans="1:9" hidden="1" x14ac:dyDescent="0.25">
      <c r="A1751" t="s">
        <v>1492</v>
      </c>
      <c r="B1751" t="s">
        <v>74</v>
      </c>
      <c r="C1751" s="2">
        <f>HYPERLINK("https://cao.dolgi.msk.ru/account/1080230811/", 1080230811)</f>
        <v>1080230811</v>
      </c>
      <c r="D1751" t="s">
        <v>1514</v>
      </c>
      <c r="E1751">
        <v>-5899</v>
      </c>
      <c r="F1751">
        <v>-1.04</v>
      </c>
      <c r="G1751" t="s">
        <v>12</v>
      </c>
      <c r="H1751" t="s">
        <v>7</v>
      </c>
      <c r="I1751" t="s">
        <v>1428</v>
      </c>
    </row>
    <row r="1752" spans="1:9" hidden="1" x14ac:dyDescent="0.25">
      <c r="A1752" t="s">
        <v>1492</v>
      </c>
      <c r="B1752" t="s">
        <v>76</v>
      </c>
      <c r="C1752" s="2">
        <f>HYPERLINK("https://cao.dolgi.msk.ru/account/1080230838/", 1080230838)</f>
        <v>1080230838</v>
      </c>
      <c r="D1752" t="s">
        <v>1515</v>
      </c>
      <c r="E1752">
        <v>-5096.92</v>
      </c>
      <c r="F1752">
        <v>-1.04</v>
      </c>
      <c r="G1752" t="s">
        <v>12</v>
      </c>
      <c r="I1752" t="s">
        <v>1428</v>
      </c>
    </row>
    <row r="1753" spans="1:9" hidden="1" x14ac:dyDescent="0.25">
      <c r="A1753" t="s">
        <v>1492</v>
      </c>
      <c r="B1753" t="s">
        <v>78</v>
      </c>
      <c r="C1753" s="2">
        <f>HYPERLINK("https://cao.dolgi.msk.ru/account/1080230846/", 1080230846)</f>
        <v>1080230846</v>
      </c>
      <c r="D1753" t="s">
        <v>1516</v>
      </c>
      <c r="E1753">
        <v>0</v>
      </c>
      <c r="F1753">
        <v>0</v>
      </c>
      <c r="G1753" t="s">
        <v>12</v>
      </c>
      <c r="I1753" t="s">
        <v>1428</v>
      </c>
    </row>
    <row r="1754" spans="1:9" hidden="1" x14ac:dyDescent="0.25">
      <c r="A1754" t="s">
        <v>1492</v>
      </c>
      <c r="B1754" t="s">
        <v>80</v>
      </c>
      <c r="C1754" s="2">
        <f>HYPERLINK("https://cao.dolgi.msk.ru/account/1080230854/", 1080230854)</f>
        <v>1080230854</v>
      </c>
      <c r="D1754" t="s">
        <v>1517</v>
      </c>
      <c r="E1754">
        <v>-99.12</v>
      </c>
      <c r="F1754">
        <v>-0.01</v>
      </c>
      <c r="G1754" t="s">
        <v>12</v>
      </c>
      <c r="H1754" t="s">
        <v>7</v>
      </c>
      <c r="I1754" t="s">
        <v>1428</v>
      </c>
    </row>
    <row r="1755" spans="1:9" hidden="1" x14ac:dyDescent="0.25">
      <c r="A1755" t="s">
        <v>1492</v>
      </c>
      <c r="B1755" t="s">
        <v>80</v>
      </c>
      <c r="C1755" s="2">
        <f>HYPERLINK("https://cao.dolgi.msk.ru/account/1080230862/", 1080230862)</f>
        <v>1080230862</v>
      </c>
      <c r="D1755" t="s">
        <v>15</v>
      </c>
      <c r="E1755">
        <v>-3518.64</v>
      </c>
      <c r="F1755">
        <v>-1.9</v>
      </c>
      <c r="G1755" t="s">
        <v>12</v>
      </c>
      <c r="H1755" t="s">
        <v>7</v>
      </c>
      <c r="I1755" t="s">
        <v>1428</v>
      </c>
    </row>
    <row r="1756" spans="1:9" hidden="1" x14ac:dyDescent="0.25">
      <c r="A1756" t="s">
        <v>1492</v>
      </c>
      <c r="B1756" t="s">
        <v>82</v>
      </c>
      <c r="C1756" s="2">
        <f>HYPERLINK("https://cao.dolgi.msk.ru/account/1080230889/", 1080230889)</f>
        <v>1080230889</v>
      </c>
      <c r="D1756" t="s">
        <v>1518</v>
      </c>
      <c r="E1756">
        <v>-5043.76</v>
      </c>
      <c r="F1756">
        <v>-1.1299999999999999</v>
      </c>
      <c r="G1756" t="s">
        <v>12</v>
      </c>
      <c r="I1756" t="s">
        <v>1428</v>
      </c>
    </row>
    <row r="1757" spans="1:9" hidden="1" x14ac:dyDescent="0.25">
      <c r="A1757" t="s">
        <v>1492</v>
      </c>
      <c r="B1757" t="s">
        <v>84</v>
      </c>
      <c r="C1757" s="2">
        <f>HYPERLINK("https://cao.dolgi.msk.ru/account/1080230897/", 1080230897)</f>
        <v>1080230897</v>
      </c>
      <c r="D1757" t="s">
        <v>1519</v>
      </c>
      <c r="E1757">
        <v>-5680.63</v>
      </c>
      <c r="F1757">
        <v>-1.06</v>
      </c>
      <c r="G1757" t="s">
        <v>12</v>
      </c>
      <c r="I1757" t="s">
        <v>1428</v>
      </c>
    </row>
    <row r="1758" spans="1:9" hidden="1" x14ac:dyDescent="0.25">
      <c r="A1758" t="s">
        <v>1492</v>
      </c>
      <c r="B1758" t="s">
        <v>90</v>
      </c>
      <c r="C1758" s="2">
        <f>HYPERLINK("https://cao.dolgi.msk.ru/account/1080230918/", 1080230918)</f>
        <v>1080230918</v>
      </c>
      <c r="D1758" t="s">
        <v>1520</v>
      </c>
      <c r="E1758">
        <v>-7903.69</v>
      </c>
      <c r="F1758">
        <v>-1.05</v>
      </c>
      <c r="G1758" t="s">
        <v>12</v>
      </c>
      <c r="I1758" t="s">
        <v>1428</v>
      </c>
    </row>
    <row r="1759" spans="1:9" hidden="1" x14ac:dyDescent="0.25">
      <c r="A1759" t="s">
        <v>1492</v>
      </c>
      <c r="B1759" t="s">
        <v>92</v>
      </c>
      <c r="C1759" s="2">
        <f>HYPERLINK("https://cao.dolgi.msk.ru/account/1080230934/", 1080230934)</f>
        <v>1080230934</v>
      </c>
      <c r="D1759" t="s">
        <v>1521</v>
      </c>
      <c r="E1759">
        <v>0</v>
      </c>
      <c r="F1759">
        <v>0</v>
      </c>
      <c r="G1759" t="s">
        <v>12</v>
      </c>
      <c r="I1759" t="s">
        <v>1428</v>
      </c>
    </row>
    <row r="1760" spans="1:9" hidden="1" x14ac:dyDescent="0.25">
      <c r="A1760" t="s">
        <v>1492</v>
      </c>
      <c r="B1760" t="s">
        <v>94</v>
      </c>
      <c r="C1760" s="2">
        <f>HYPERLINK("https://cao.dolgi.msk.ru/account/1080230942/", 1080230942)</f>
        <v>1080230942</v>
      </c>
      <c r="D1760" t="s">
        <v>1522</v>
      </c>
      <c r="E1760">
        <v>-6628.63</v>
      </c>
      <c r="F1760">
        <v>-0.98</v>
      </c>
      <c r="G1760" t="s">
        <v>12</v>
      </c>
      <c r="I1760" t="s">
        <v>1428</v>
      </c>
    </row>
    <row r="1761" spans="1:9" hidden="1" x14ac:dyDescent="0.25">
      <c r="A1761" t="s">
        <v>1492</v>
      </c>
      <c r="B1761" t="s">
        <v>96</v>
      </c>
      <c r="C1761" s="2">
        <f>HYPERLINK("https://cao.dolgi.msk.ru/account/1080230969/", 1080230969)</f>
        <v>1080230969</v>
      </c>
      <c r="D1761" t="s">
        <v>1523</v>
      </c>
      <c r="E1761">
        <v>-13246.46</v>
      </c>
      <c r="F1761">
        <v>-1.91</v>
      </c>
      <c r="G1761" t="s">
        <v>12</v>
      </c>
      <c r="I1761" t="s">
        <v>1428</v>
      </c>
    </row>
    <row r="1762" spans="1:9" hidden="1" x14ac:dyDescent="0.25">
      <c r="A1762" t="s">
        <v>1492</v>
      </c>
      <c r="B1762" t="s">
        <v>98</v>
      </c>
      <c r="C1762" s="2">
        <f>HYPERLINK("https://cao.dolgi.msk.ru/account/1080230977/", 1080230977)</f>
        <v>1080230977</v>
      </c>
      <c r="D1762" t="s">
        <v>1524</v>
      </c>
      <c r="E1762">
        <v>0</v>
      </c>
      <c r="F1762">
        <v>0</v>
      </c>
      <c r="G1762" t="s">
        <v>12</v>
      </c>
      <c r="I1762" t="s">
        <v>1428</v>
      </c>
    </row>
    <row r="1763" spans="1:9" hidden="1" x14ac:dyDescent="0.25">
      <c r="A1763" t="s">
        <v>1492</v>
      </c>
      <c r="B1763" t="s">
        <v>98</v>
      </c>
      <c r="C1763" s="2">
        <f>HYPERLINK("https://cao.dolgi.msk.ru/account/1080323049/", 1080323049)</f>
        <v>1080323049</v>
      </c>
      <c r="D1763" t="s">
        <v>1524</v>
      </c>
      <c r="E1763">
        <v>-1924.18</v>
      </c>
      <c r="F1763">
        <v>-2.8</v>
      </c>
      <c r="G1763" t="s">
        <v>12</v>
      </c>
      <c r="I1763" t="s">
        <v>1428</v>
      </c>
    </row>
    <row r="1764" spans="1:9" hidden="1" x14ac:dyDescent="0.25">
      <c r="A1764" t="s">
        <v>1492</v>
      </c>
      <c r="B1764" t="s">
        <v>100</v>
      </c>
      <c r="C1764" s="2">
        <f>HYPERLINK("https://cao.dolgi.msk.ru/account/1080230985/", 1080230985)</f>
        <v>1080230985</v>
      </c>
      <c r="D1764" t="s">
        <v>15</v>
      </c>
      <c r="E1764">
        <v>-7854.06</v>
      </c>
      <c r="F1764">
        <v>-1.28</v>
      </c>
      <c r="G1764" t="s">
        <v>12</v>
      </c>
      <c r="I1764" t="s">
        <v>1428</v>
      </c>
    </row>
    <row r="1765" spans="1:9" hidden="1" x14ac:dyDescent="0.25">
      <c r="A1765" t="s">
        <v>1492</v>
      </c>
      <c r="B1765" t="s">
        <v>100</v>
      </c>
      <c r="C1765" s="2">
        <f>HYPERLINK("https://cao.dolgi.msk.ru/account/1080230993/", 1080230993)</f>
        <v>1080230993</v>
      </c>
      <c r="D1765" t="s">
        <v>1525</v>
      </c>
      <c r="E1765">
        <v>0</v>
      </c>
      <c r="G1765" t="s">
        <v>14</v>
      </c>
      <c r="I1765" t="s">
        <v>1428</v>
      </c>
    </row>
    <row r="1766" spans="1:9" hidden="1" x14ac:dyDescent="0.25">
      <c r="A1766" t="s">
        <v>1492</v>
      </c>
      <c r="B1766" t="s">
        <v>102</v>
      </c>
      <c r="C1766" s="2">
        <f>HYPERLINK("https://cao.dolgi.msk.ru/account/1080231005/", 1080231005)</f>
        <v>1080231005</v>
      </c>
      <c r="D1766" t="s">
        <v>1526</v>
      </c>
      <c r="E1766">
        <v>-7259.97</v>
      </c>
      <c r="F1766">
        <v>-0.71</v>
      </c>
      <c r="G1766" t="s">
        <v>12</v>
      </c>
      <c r="I1766" t="s">
        <v>1428</v>
      </c>
    </row>
    <row r="1767" spans="1:9" hidden="1" x14ac:dyDescent="0.25">
      <c r="A1767" t="s">
        <v>1492</v>
      </c>
      <c r="B1767" t="s">
        <v>104</v>
      </c>
      <c r="C1767" s="2">
        <f>HYPERLINK("https://cao.dolgi.msk.ru/account/1080230715/", 1080230715)</f>
        <v>1080230715</v>
      </c>
      <c r="D1767" t="s">
        <v>1527</v>
      </c>
      <c r="E1767">
        <v>0</v>
      </c>
      <c r="F1767">
        <v>0</v>
      </c>
      <c r="G1767" t="s">
        <v>12</v>
      </c>
      <c r="I1767" t="s">
        <v>1428</v>
      </c>
    </row>
    <row r="1768" spans="1:9" hidden="1" x14ac:dyDescent="0.25">
      <c r="A1768" t="s">
        <v>1528</v>
      </c>
      <c r="B1768" t="s">
        <v>10</v>
      </c>
      <c r="C1768" s="2">
        <f>HYPERLINK("https://cao.dolgi.msk.ru/account/1080231013/", 1080231013)</f>
        <v>1080231013</v>
      </c>
      <c r="D1768" t="s">
        <v>1529</v>
      </c>
      <c r="E1768">
        <v>0</v>
      </c>
      <c r="F1768">
        <v>0</v>
      </c>
      <c r="G1768" t="s">
        <v>12</v>
      </c>
      <c r="I1768" t="s">
        <v>1428</v>
      </c>
    </row>
    <row r="1769" spans="1:9" hidden="1" x14ac:dyDescent="0.25">
      <c r="A1769" t="s">
        <v>1528</v>
      </c>
      <c r="B1769" t="s">
        <v>16</v>
      </c>
      <c r="C1769" s="2">
        <f>HYPERLINK("https://cao.dolgi.msk.ru/account/1080231021/", 1080231021)</f>
        <v>1080231021</v>
      </c>
      <c r="D1769" t="s">
        <v>1530</v>
      </c>
      <c r="E1769">
        <v>-7354.24</v>
      </c>
      <c r="F1769">
        <v>-0.98</v>
      </c>
      <c r="G1769" t="s">
        <v>12</v>
      </c>
      <c r="I1769" t="s">
        <v>1428</v>
      </c>
    </row>
    <row r="1770" spans="1:9" x14ac:dyDescent="0.25">
      <c r="A1770" t="s">
        <v>1528</v>
      </c>
      <c r="B1770" t="s">
        <v>18</v>
      </c>
      <c r="C1770" s="2">
        <f>HYPERLINK("https://cao.dolgi.msk.ru/account/1080231048/", 1080231048)</f>
        <v>1080231048</v>
      </c>
      <c r="D1770" t="s">
        <v>1531</v>
      </c>
      <c r="E1770">
        <v>16640.599999999999</v>
      </c>
      <c r="F1770">
        <v>8.83</v>
      </c>
      <c r="G1770" t="s">
        <v>12</v>
      </c>
      <c r="H1770" t="s">
        <v>7</v>
      </c>
      <c r="I1770" t="s">
        <v>1428</v>
      </c>
    </row>
    <row r="1771" spans="1:9" hidden="1" x14ac:dyDescent="0.25">
      <c r="A1771" t="s">
        <v>1528</v>
      </c>
      <c r="B1771" t="s">
        <v>18</v>
      </c>
      <c r="C1771" s="2">
        <f>HYPERLINK("https://cao.dolgi.msk.ru/account/1080231056/", 1080231056)</f>
        <v>1080231056</v>
      </c>
      <c r="D1771" t="s">
        <v>1532</v>
      </c>
      <c r="E1771">
        <v>-4545.1499999999996</v>
      </c>
      <c r="F1771">
        <v>-0.99</v>
      </c>
      <c r="G1771" t="s">
        <v>12</v>
      </c>
      <c r="H1771" t="s">
        <v>7</v>
      </c>
      <c r="I1771" t="s">
        <v>1428</v>
      </c>
    </row>
    <row r="1772" spans="1:9" hidden="1" x14ac:dyDescent="0.25">
      <c r="A1772" t="s">
        <v>1528</v>
      </c>
      <c r="B1772" t="s">
        <v>18</v>
      </c>
      <c r="C1772" s="2">
        <f>HYPERLINK("https://cao.dolgi.msk.ru/account/1083273753/", 1083273753)</f>
        <v>1083273753</v>
      </c>
      <c r="D1772" t="s">
        <v>15</v>
      </c>
      <c r="E1772">
        <v>-1555.74</v>
      </c>
      <c r="F1772">
        <v>-1.05</v>
      </c>
      <c r="G1772" t="s">
        <v>12</v>
      </c>
      <c r="H1772" t="s">
        <v>7</v>
      </c>
      <c r="I1772" t="s">
        <v>1428</v>
      </c>
    </row>
    <row r="1773" spans="1:9" x14ac:dyDescent="0.25">
      <c r="A1773" t="s">
        <v>1528</v>
      </c>
      <c r="B1773" t="s">
        <v>18</v>
      </c>
      <c r="C1773" s="2">
        <f>HYPERLINK("https://cao.dolgi.msk.ru/account/1083283863/", 1083283863)</f>
        <v>1083283863</v>
      </c>
      <c r="D1773" t="s">
        <v>15</v>
      </c>
      <c r="E1773">
        <v>33847.599999999999</v>
      </c>
      <c r="F1773">
        <v>23.41</v>
      </c>
      <c r="G1773" t="s">
        <v>12</v>
      </c>
      <c r="H1773" t="s">
        <v>7</v>
      </c>
      <c r="I1773" t="s">
        <v>1428</v>
      </c>
    </row>
    <row r="1774" spans="1:9" hidden="1" x14ac:dyDescent="0.25">
      <c r="A1774" t="s">
        <v>1528</v>
      </c>
      <c r="B1774" t="s">
        <v>18</v>
      </c>
      <c r="C1774" s="2">
        <f>HYPERLINK("https://cao.dolgi.msk.ru/account/1083321823/", 1083321823)</f>
        <v>1083321823</v>
      </c>
      <c r="D1774" t="s">
        <v>15</v>
      </c>
      <c r="E1774">
        <v>-197.69</v>
      </c>
      <c r="F1774">
        <v>-0.73</v>
      </c>
      <c r="G1774" t="s">
        <v>12</v>
      </c>
      <c r="H1774" t="s">
        <v>7</v>
      </c>
      <c r="I1774" t="s">
        <v>1428</v>
      </c>
    </row>
    <row r="1775" spans="1:9" x14ac:dyDescent="0.25">
      <c r="A1775" t="s">
        <v>1528</v>
      </c>
      <c r="B1775" t="s">
        <v>20</v>
      </c>
      <c r="C1775" s="2">
        <f>HYPERLINK("https://cao.dolgi.msk.ru/account/1080231064/", 1080231064)</f>
        <v>1080231064</v>
      </c>
      <c r="D1775" t="s">
        <v>1533</v>
      </c>
      <c r="E1775">
        <v>14427.05</v>
      </c>
      <c r="F1775">
        <v>3.95</v>
      </c>
      <c r="G1775" t="s">
        <v>12</v>
      </c>
      <c r="I1775" t="s">
        <v>1428</v>
      </c>
    </row>
    <row r="1776" spans="1:9" hidden="1" x14ac:dyDescent="0.25">
      <c r="A1776" t="s">
        <v>1528</v>
      </c>
      <c r="B1776" t="s">
        <v>21</v>
      </c>
      <c r="C1776" s="2">
        <f>HYPERLINK("https://cao.dolgi.msk.ru/account/1080231072/", 1080231072)</f>
        <v>1080231072</v>
      </c>
      <c r="D1776" t="s">
        <v>1534</v>
      </c>
      <c r="E1776">
        <v>-1303.2</v>
      </c>
      <c r="F1776">
        <v>-1.03</v>
      </c>
      <c r="G1776" t="s">
        <v>12</v>
      </c>
      <c r="I1776" t="s">
        <v>1428</v>
      </c>
    </row>
    <row r="1777" spans="1:9" hidden="1" x14ac:dyDescent="0.25">
      <c r="A1777" t="s">
        <v>1528</v>
      </c>
      <c r="B1777" t="s">
        <v>21</v>
      </c>
      <c r="C1777" s="2">
        <f>HYPERLINK("https://cao.dolgi.msk.ru/account/1083271491/", 1083271491)</f>
        <v>1083271491</v>
      </c>
      <c r="D1777" t="s">
        <v>15</v>
      </c>
      <c r="E1777">
        <v>0</v>
      </c>
      <c r="G1777" t="s">
        <v>14</v>
      </c>
      <c r="I1777" t="s">
        <v>1428</v>
      </c>
    </row>
    <row r="1778" spans="1:9" hidden="1" x14ac:dyDescent="0.25">
      <c r="A1778" t="s">
        <v>1528</v>
      </c>
      <c r="B1778" t="s">
        <v>21</v>
      </c>
      <c r="C1778" s="2">
        <f>HYPERLINK("https://cao.dolgi.msk.ru/account/1083271504/", 1083271504)</f>
        <v>1083271504</v>
      </c>
      <c r="D1778" t="s">
        <v>1534</v>
      </c>
      <c r="E1778">
        <v>-2510.42</v>
      </c>
      <c r="F1778">
        <v>-1.04</v>
      </c>
      <c r="G1778" t="s">
        <v>12</v>
      </c>
      <c r="I1778" t="s">
        <v>1428</v>
      </c>
    </row>
    <row r="1779" spans="1:9" hidden="1" x14ac:dyDescent="0.25">
      <c r="A1779" t="s">
        <v>1528</v>
      </c>
      <c r="B1779" t="s">
        <v>22</v>
      </c>
      <c r="C1779" s="2">
        <f>HYPERLINK("https://cao.dolgi.msk.ru/account/1080231099/", 1080231099)</f>
        <v>1080231099</v>
      </c>
      <c r="D1779" t="s">
        <v>1535</v>
      </c>
      <c r="E1779">
        <v>-7202.89</v>
      </c>
      <c r="F1779">
        <v>-1</v>
      </c>
      <c r="G1779" t="s">
        <v>12</v>
      </c>
      <c r="I1779" t="s">
        <v>1428</v>
      </c>
    </row>
    <row r="1780" spans="1:9" hidden="1" x14ac:dyDescent="0.25">
      <c r="A1780" t="s">
        <v>1528</v>
      </c>
      <c r="B1780" t="s">
        <v>23</v>
      </c>
      <c r="C1780" s="2">
        <f>HYPERLINK("https://cao.dolgi.msk.ru/account/1080231101/", 1080231101)</f>
        <v>1080231101</v>
      </c>
      <c r="D1780" t="s">
        <v>1536</v>
      </c>
      <c r="E1780">
        <v>-4361.3900000000003</v>
      </c>
      <c r="F1780">
        <v>-1.02</v>
      </c>
      <c r="G1780" t="s">
        <v>12</v>
      </c>
      <c r="I1780" t="s">
        <v>1428</v>
      </c>
    </row>
    <row r="1781" spans="1:9" hidden="1" x14ac:dyDescent="0.25">
      <c r="A1781" t="s">
        <v>1528</v>
      </c>
      <c r="B1781" t="s">
        <v>24</v>
      </c>
      <c r="C1781" s="2">
        <f>HYPERLINK("https://cao.dolgi.msk.ru/account/1080231128/", 1080231128)</f>
        <v>1080231128</v>
      </c>
      <c r="D1781" t="s">
        <v>1537</v>
      </c>
      <c r="E1781">
        <v>-6654.5</v>
      </c>
      <c r="F1781">
        <v>-1.05</v>
      </c>
      <c r="G1781" t="s">
        <v>12</v>
      </c>
      <c r="I1781" t="s">
        <v>1428</v>
      </c>
    </row>
    <row r="1782" spans="1:9" hidden="1" x14ac:dyDescent="0.25">
      <c r="A1782" t="s">
        <v>1528</v>
      </c>
      <c r="B1782" t="s">
        <v>27</v>
      </c>
      <c r="C1782" s="2">
        <f>HYPERLINK("https://cao.dolgi.msk.ru/account/1080231136/", 1080231136)</f>
        <v>1080231136</v>
      </c>
      <c r="D1782" t="s">
        <v>1538</v>
      </c>
      <c r="E1782">
        <v>-9993.2800000000007</v>
      </c>
      <c r="F1782">
        <v>-1.47</v>
      </c>
      <c r="G1782" t="s">
        <v>12</v>
      </c>
      <c r="I1782" t="s">
        <v>1428</v>
      </c>
    </row>
    <row r="1783" spans="1:9" hidden="1" x14ac:dyDescent="0.25">
      <c r="A1783" t="s">
        <v>1528</v>
      </c>
      <c r="B1783" t="s">
        <v>29</v>
      </c>
      <c r="C1783" s="2">
        <f>HYPERLINK("https://cao.dolgi.msk.ru/account/1080231144/", 1080231144)</f>
        <v>1080231144</v>
      </c>
      <c r="D1783" t="s">
        <v>1539</v>
      </c>
      <c r="E1783">
        <v>-4388.41</v>
      </c>
      <c r="F1783">
        <v>-1.36</v>
      </c>
      <c r="G1783" t="s">
        <v>12</v>
      </c>
      <c r="I1783" t="s">
        <v>1428</v>
      </c>
    </row>
    <row r="1784" spans="1:9" hidden="1" x14ac:dyDescent="0.25">
      <c r="A1784" t="s">
        <v>1528</v>
      </c>
      <c r="B1784" t="s">
        <v>29</v>
      </c>
      <c r="C1784" s="2">
        <f>HYPERLINK("https://cao.dolgi.msk.ru/account/1083270579/", 1083270579)</f>
        <v>1083270579</v>
      </c>
      <c r="D1784" t="s">
        <v>15</v>
      </c>
      <c r="E1784">
        <v>-1364.93</v>
      </c>
      <c r="G1784" t="s">
        <v>14</v>
      </c>
      <c r="I1784" t="s">
        <v>1428</v>
      </c>
    </row>
    <row r="1785" spans="1:9" hidden="1" x14ac:dyDescent="0.25">
      <c r="A1785" t="s">
        <v>1528</v>
      </c>
      <c r="B1785" t="s">
        <v>31</v>
      </c>
      <c r="C1785" s="2">
        <f>HYPERLINK("https://cao.dolgi.msk.ru/account/1080231152/", 1080231152)</f>
        <v>1080231152</v>
      </c>
      <c r="D1785" t="s">
        <v>1540</v>
      </c>
      <c r="E1785">
        <v>-5887.19</v>
      </c>
      <c r="F1785">
        <v>-1.03</v>
      </c>
      <c r="G1785" t="s">
        <v>12</v>
      </c>
      <c r="I1785" t="s">
        <v>1428</v>
      </c>
    </row>
    <row r="1786" spans="1:9" hidden="1" x14ac:dyDescent="0.25">
      <c r="A1786" t="s">
        <v>1528</v>
      </c>
      <c r="B1786" t="s">
        <v>33</v>
      </c>
      <c r="C1786" s="2">
        <f>HYPERLINK("https://cao.dolgi.msk.ru/account/1080231179/", 1080231179)</f>
        <v>1080231179</v>
      </c>
      <c r="D1786" t="s">
        <v>1541</v>
      </c>
      <c r="E1786">
        <v>-20664.939999999999</v>
      </c>
      <c r="F1786">
        <v>-2.71</v>
      </c>
      <c r="G1786" t="s">
        <v>12</v>
      </c>
      <c r="I1786" t="s">
        <v>1428</v>
      </c>
    </row>
    <row r="1787" spans="1:9" hidden="1" x14ac:dyDescent="0.25">
      <c r="A1787" t="s">
        <v>1528</v>
      </c>
      <c r="B1787" t="s">
        <v>34</v>
      </c>
      <c r="C1787" s="2">
        <f>HYPERLINK("https://cao.dolgi.msk.ru/account/1080231187/", 1080231187)</f>
        <v>1080231187</v>
      </c>
      <c r="D1787" t="s">
        <v>1542</v>
      </c>
      <c r="E1787">
        <v>0</v>
      </c>
      <c r="F1787">
        <v>0</v>
      </c>
      <c r="G1787" t="s">
        <v>12</v>
      </c>
      <c r="I1787" t="s">
        <v>1428</v>
      </c>
    </row>
    <row r="1788" spans="1:9" hidden="1" x14ac:dyDescent="0.25">
      <c r="A1788" t="s">
        <v>1528</v>
      </c>
      <c r="B1788" t="s">
        <v>36</v>
      </c>
      <c r="C1788" s="2">
        <f>HYPERLINK("https://cao.dolgi.msk.ru/account/1080231195/", 1080231195)</f>
        <v>1080231195</v>
      </c>
      <c r="D1788" t="s">
        <v>1543</v>
      </c>
      <c r="E1788">
        <v>-4620.75</v>
      </c>
      <c r="F1788">
        <v>-1.19</v>
      </c>
      <c r="G1788" t="s">
        <v>12</v>
      </c>
      <c r="I1788" t="s">
        <v>1428</v>
      </c>
    </row>
    <row r="1789" spans="1:9" hidden="1" x14ac:dyDescent="0.25">
      <c r="A1789" t="s">
        <v>1528</v>
      </c>
      <c r="B1789" t="s">
        <v>38</v>
      </c>
      <c r="C1789" s="2">
        <f>HYPERLINK("https://cao.dolgi.msk.ru/account/1080231208/", 1080231208)</f>
        <v>1080231208</v>
      </c>
      <c r="D1789" t="s">
        <v>1544</v>
      </c>
      <c r="E1789">
        <v>-8279.39</v>
      </c>
      <c r="F1789">
        <v>-1.04</v>
      </c>
      <c r="G1789" t="s">
        <v>12</v>
      </c>
      <c r="I1789" t="s">
        <v>1428</v>
      </c>
    </row>
    <row r="1790" spans="1:9" hidden="1" x14ac:dyDescent="0.25">
      <c r="A1790" t="s">
        <v>1528</v>
      </c>
      <c r="B1790" t="s">
        <v>39</v>
      </c>
      <c r="C1790" s="2">
        <f>HYPERLINK("https://cao.dolgi.msk.ru/account/1080231216/", 1080231216)</f>
        <v>1080231216</v>
      </c>
      <c r="D1790" t="s">
        <v>1545</v>
      </c>
      <c r="E1790">
        <v>-417.26</v>
      </c>
      <c r="F1790">
        <v>-0.12</v>
      </c>
      <c r="G1790" t="s">
        <v>12</v>
      </c>
      <c r="I1790" t="s">
        <v>1428</v>
      </c>
    </row>
    <row r="1791" spans="1:9" hidden="1" x14ac:dyDescent="0.25">
      <c r="A1791" t="s">
        <v>1528</v>
      </c>
      <c r="B1791" t="s">
        <v>40</v>
      </c>
      <c r="C1791" s="2">
        <f>HYPERLINK("https://cao.dolgi.msk.ru/account/1080231224/", 1080231224)</f>
        <v>1080231224</v>
      </c>
      <c r="D1791" t="s">
        <v>1546</v>
      </c>
      <c r="E1791">
        <v>-6799.74</v>
      </c>
      <c r="F1791">
        <v>-1.08</v>
      </c>
      <c r="G1791" t="s">
        <v>12</v>
      </c>
      <c r="I1791" t="s">
        <v>1428</v>
      </c>
    </row>
    <row r="1792" spans="1:9" hidden="1" x14ac:dyDescent="0.25">
      <c r="A1792" t="s">
        <v>1528</v>
      </c>
      <c r="B1792" t="s">
        <v>41</v>
      </c>
      <c r="C1792" s="2">
        <f>HYPERLINK("https://cao.dolgi.msk.ru/account/1080231443/", 1080231443)</f>
        <v>1080231443</v>
      </c>
      <c r="D1792" t="s">
        <v>1547</v>
      </c>
      <c r="E1792">
        <v>-2.86</v>
      </c>
      <c r="F1792">
        <v>0</v>
      </c>
      <c r="G1792" t="s">
        <v>12</v>
      </c>
      <c r="I1792" t="s">
        <v>1428</v>
      </c>
    </row>
    <row r="1793" spans="1:9" hidden="1" x14ac:dyDescent="0.25">
      <c r="A1793" t="s">
        <v>1528</v>
      </c>
      <c r="B1793" t="s">
        <v>42</v>
      </c>
      <c r="C1793" s="2">
        <f>HYPERLINK("https://cao.dolgi.msk.ru/account/1080320024/", 1080320024)</f>
        <v>1080320024</v>
      </c>
      <c r="D1793" t="s">
        <v>15</v>
      </c>
      <c r="E1793">
        <v>-4217.1000000000004</v>
      </c>
      <c r="F1793">
        <v>-1.05</v>
      </c>
      <c r="G1793" t="s">
        <v>12</v>
      </c>
      <c r="I1793" t="s">
        <v>1428</v>
      </c>
    </row>
    <row r="1794" spans="1:9" hidden="1" x14ac:dyDescent="0.25">
      <c r="A1794" t="s">
        <v>1528</v>
      </c>
      <c r="B1794" t="s">
        <v>44</v>
      </c>
      <c r="C1794" s="2">
        <f>HYPERLINK("https://cao.dolgi.msk.ru/account/1080231232/", 1080231232)</f>
        <v>1080231232</v>
      </c>
      <c r="D1794" t="s">
        <v>1548</v>
      </c>
      <c r="E1794">
        <v>-6706.48</v>
      </c>
      <c r="F1794">
        <v>-1.06</v>
      </c>
      <c r="G1794" t="s">
        <v>12</v>
      </c>
      <c r="I1794" t="s">
        <v>1428</v>
      </c>
    </row>
    <row r="1795" spans="1:9" hidden="1" x14ac:dyDescent="0.25">
      <c r="A1795" t="s">
        <v>1528</v>
      </c>
      <c r="B1795" t="s">
        <v>66</v>
      </c>
      <c r="C1795" s="2">
        <f>HYPERLINK("https://cao.dolgi.msk.ru/account/1080231259/", 1080231259)</f>
        <v>1080231259</v>
      </c>
      <c r="D1795" t="s">
        <v>1549</v>
      </c>
      <c r="E1795">
        <v>1278.56</v>
      </c>
      <c r="F1795">
        <v>0.26</v>
      </c>
      <c r="G1795" t="s">
        <v>12</v>
      </c>
      <c r="I1795" t="s">
        <v>1428</v>
      </c>
    </row>
    <row r="1796" spans="1:9" hidden="1" x14ac:dyDescent="0.25">
      <c r="A1796" t="s">
        <v>1528</v>
      </c>
      <c r="B1796" t="s">
        <v>68</v>
      </c>
      <c r="C1796" s="2">
        <f>HYPERLINK("https://cao.dolgi.msk.ru/account/1080231267/", 1080231267)</f>
        <v>1080231267</v>
      </c>
      <c r="D1796" t="s">
        <v>15</v>
      </c>
      <c r="G1796" t="s">
        <v>14</v>
      </c>
      <c r="I1796" t="s">
        <v>1428</v>
      </c>
    </row>
    <row r="1797" spans="1:9" hidden="1" x14ac:dyDescent="0.25">
      <c r="A1797" t="s">
        <v>1528</v>
      </c>
      <c r="B1797" t="s">
        <v>70</v>
      </c>
      <c r="C1797" s="2">
        <f>HYPERLINK("https://cao.dolgi.msk.ru/account/1080231275/", 1080231275)</f>
        <v>1080231275</v>
      </c>
      <c r="D1797" t="s">
        <v>1550</v>
      </c>
      <c r="E1797">
        <v>-3967.63</v>
      </c>
      <c r="F1797">
        <v>-1.1100000000000001</v>
      </c>
      <c r="G1797" t="s">
        <v>12</v>
      </c>
      <c r="I1797" t="s">
        <v>1428</v>
      </c>
    </row>
    <row r="1798" spans="1:9" hidden="1" x14ac:dyDescent="0.25">
      <c r="A1798" t="s">
        <v>1528</v>
      </c>
      <c r="B1798" t="s">
        <v>72</v>
      </c>
      <c r="C1798" s="2">
        <f>HYPERLINK("https://cao.dolgi.msk.ru/account/1080231283/", 1080231283)</f>
        <v>1080231283</v>
      </c>
      <c r="D1798" t="s">
        <v>1551</v>
      </c>
      <c r="E1798">
        <v>52.93</v>
      </c>
      <c r="F1798">
        <v>0.01</v>
      </c>
      <c r="G1798" t="s">
        <v>12</v>
      </c>
      <c r="I1798" t="s">
        <v>1428</v>
      </c>
    </row>
    <row r="1799" spans="1:9" hidden="1" x14ac:dyDescent="0.25">
      <c r="A1799" t="s">
        <v>1528</v>
      </c>
      <c r="B1799" t="s">
        <v>74</v>
      </c>
      <c r="C1799" s="2">
        <f>HYPERLINK("https://cao.dolgi.msk.ru/account/1080231291/", 1080231291)</f>
        <v>1080231291</v>
      </c>
      <c r="D1799" t="s">
        <v>1552</v>
      </c>
      <c r="E1799">
        <v>-2837.9</v>
      </c>
      <c r="F1799">
        <v>-0.48</v>
      </c>
      <c r="G1799" t="s">
        <v>12</v>
      </c>
      <c r="H1799" t="s">
        <v>7</v>
      </c>
      <c r="I1799" t="s">
        <v>1428</v>
      </c>
    </row>
    <row r="1800" spans="1:9" hidden="1" x14ac:dyDescent="0.25">
      <c r="A1800" t="s">
        <v>1528</v>
      </c>
      <c r="B1800" t="s">
        <v>74</v>
      </c>
      <c r="C1800" s="2">
        <f>HYPERLINK("https://cao.dolgi.msk.ru/account/1080231304/", 1080231304)</f>
        <v>1080231304</v>
      </c>
      <c r="D1800" t="s">
        <v>1552</v>
      </c>
      <c r="E1800">
        <v>-466.01</v>
      </c>
      <c r="F1800">
        <v>-0.28000000000000003</v>
      </c>
      <c r="G1800" t="s">
        <v>12</v>
      </c>
      <c r="H1800" t="s">
        <v>7</v>
      </c>
      <c r="I1800" t="s">
        <v>1428</v>
      </c>
    </row>
    <row r="1801" spans="1:9" hidden="1" x14ac:dyDescent="0.25">
      <c r="A1801" t="s">
        <v>1528</v>
      </c>
      <c r="B1801" t="s">
        <v>76</v>
      </c>
      <c r="C1801" s="2">
        <f>HYPERLINK("https://cao.dolgi.msk.ru/account/1080231312/", 1080231312)</f>
        <v>1080231312</v>
      </c>
      <c r="D1801" t="s">
        <v>1553</v>
      </c>
      <c r="E1801">
        <v>0</v>
      </c>
      <c r="F1801">
        <v>0</v>
      </c>
      <c r="G1801" t="s">
        <v>12</v>
      </c>
      <c r="I1801" t="s">
        <v>1428</v>
      </c>
    </row>
    <row r="1802" spans="1:9" hidden="1" x14ac:dyDescent="0.25">
      <c r="A1802" t="s">
        <v>1528</v>
      </c>
      <c r="B1802" t="s">
        <v>78</v>
      </c>
      <c r="C1802" s="2">
        <f>HYPERLINK("https://cao.dolgi.msk.ru/account/1080231339/", 1080231339)</f>
        <v>1080231339</v>
      </c>
      <c r="D1802" t="s">
        <v>1554</v>
      </c>
      <c r="E1802">
        <v>0</v>
      </c>
      <c r="F1802">
        <v>0</v>
      </c>
      <c r="G1802" t="s">
        <v>12</v>
      </c>
      <c r="I1802" t="s">
        <v>1428</v>
      </c>
    </row>
    <row r="1803" spans="1:9" hidden="1" x14ac:dyDescent="0.25">
      <c r="A1803" t="s">
        <v>1528</v>
      </c>
      <c r="B1803" t="s">
        <v>80</v>
      </c>
      <c r="C1803" s="2">
        <f>HYPERLINK("https://cao.dolgi.msk.ru/account/1080231347/", 1080231347)</f>
        <v>1080231347</v>
      </c>
      <c r="D1803" t="s">
        <v>1555</v>
      </c>
      <c r="E1803">
        <v>-7766.22</v>
      </c>
      <c r="F1803">
        <v>-1.01</v>
      </c>
      <c r="G1803" t="s">
        <v>12</v>
      </c>
      <c r="I1803" t="s">
        <v>1428</v>
      </c>
    </row>
    <row r="1804" spans="1:9" hidden="1" x14ac:dyDescent="0.25">
      <c r="A1804" t="s">
        <v>1528</v>
      </c>
      <c r="B1804" t="s">
        <v>82</v>
      </c>
      <c r="C1804" s="2">
        <f>HYPERLINK("https://cao.dolgi.msk.ru/account/1080231355/", 1080231355)</f>
        <v>1080231355</v>
      </c>
      <c r="D1804" t="s">
        <v>1556</v>
      </c>
      <c r="E1804">
        <v>-446.45</v>
      </c>
      <c r="F1804">
        <v>-0.08</v>
      </c>
      <c r="G1804" t="s">
        <v>12</v>
      </c>
      <c r="I1804" t="s">
        <v>1428</v>
      </c>
    </row>
    <row r="1805" spans="1:9" hidden="1" x14ac:dyDescent="0.25">
      <c r="A1805" t="s">
        <v>1528</v>
      </c>
      <c r="B1805" t="s">
        <v>84</v>
      </c>
      <c r="C1805" s="2">
        <f>HYPERLINK("https://cao.dolgi.msk.ru/account/1080231363/", 1080231363)</f>
        <v>1080231363</v>
      </c>
      <c r="D1805" t="s">
        <v>1557</v>
      </c>
      <c r="E1805">
        <v>-2932.35</v>
      </c>
      <c r="F1805">
        <v>-1.06</v>
      </c>
      <c r="G1805" t="s">
        <v>12</v>
      </c>
      <c r="I1805" t="s">
        <v>1428</v>
      </c>
    </row>
    <row r="1806" spans="1:9" hidden="1" x14ac:dyDescent="0.25">
      <c r="A1806" t="s">
        <v>1528</v>
      </c>
      <c r="B1806" t="s">
        <v>86</v>
      </c>
      <c r="C1806" s="2">
        <f>HYPERLINK("https://cao.dolgi.msk.ru/account/1080231371/", 1080231371)</f>
        <v>1080231371</v>
      </c>
      <c r="D1806" t="s">
        <v>1558</v>
      </c>
      <c r="E1806">
        <v>-7543.4</v>
      </c>
      <c r="F1806">
        <v>-0.79</v>
      </c>
      <c r="G1806" t="s">
        <v>12</v>
      </c>
      <c r="I1806" t="s">
        <v>1428</v>
      </c>
    </row>
    <row r="1807" spans="1:9" hidden="1" x14ac:dyDescent="0.25">
      <c r="A1807" t="s">
        <v>1528</v>
      </c>
      <c r="B1807" t="s">
        <v>88</v>
      </c>
      <c r="C1807" s="2">
        <f>HYPERLINK("https://cao.dolgi.msk.ru/account/1080321852/", 1080321852)</f>
        <v>1080321852</v>
      </c>
      <c r="D1807" t="s">
        <v>1559</v>
      </c>
      <c r="E1807">
        <v>0</v>
      </c>
      <c r="F1807">
        <v>0</v>
      </c>
      <c r="G1807" t="s">
        <v>12</v>
      </c>
      <c r="I1807" t="s">
        <v>1428</v>
      </c>
    </row>
    <row r="1808" spans="1:9" hidden="1" x14ac:dyDescent="0.25">
      <c r="A1808" t="s">
        <v>1528</v>
      </c>
      <c r="B1808" t="s">
        <v>90</v>
      </c>
      <c r="C1808" s="2">
        <f>HYPERLINK("https://cao.dolgi.msk.ru/account/1080231427/", 1080231427)</f>
        <v>1080231427</v>
      </c>
      <c r="D1808" t="s">
        <v>1560</v>
      </c>
      <c r="E1808">
        <v>-2672.74</v>
      </c>
      <c r="F1808">
        <v>-1.08</v>
      </c>
      <c r="G1808" t="s">
        <v>12</v>
      </c>
      <c r="I1808" t="s">
        <v>1428</v>
      </c>
    </row>
    <row r="1809" spans="1:9" hidden="1" x14ac:dyDescent="0.25">
      <c r="A1809" t="s">
        <v>1528</v>
      </c>
      <c r="B1809" t="s">
        <v>92</v>
      </c>
      <c r="C1809" s="2">
        <f>HYPERLINK("https://cao.dolgi.msk.ru/account/1080231435/", 1080231435)</f>
        <v>1080231435</v>
      </c>
      <c r="D1809" t="s">
        <v>1561</v>
      </c>
      <c r="E1809">
        <v>-4256.09</v>
      </c>
      <c r="F1809">
        <v>-1.1299999999999999</v>
      </c>
      <c r="G1809" t="s">
        <v>12</v>
      </c>
      <c r="I1809" t="s">
        <v>1428</v>
      </c>
    </row>
    <row r="1810" spans="1:9" hidden="1" x14ac:dyDescent="0.25">
      <c r="A1810" t="s">
        <v>1562</v>
      </c>
      <c r="B1810" t="s">
        <v>231</v>
      </c>
      <c r="C1810" s="2">
        <f>HYPERLINK("https://cao.dolgi.msk.ru/account/1080326629/", 1080326629)</f>
        <v>1080326629</v>
      </c>
      <c r="D1810" t="s">
        <v>1563</v>
      </c>
      <c r="E1810">
        <v>0</v>
      </c>
      <c r="G1810" t="s">
        <v>14</v>
      </c>
      <c r="I1810" t="s">
        <v>13</v>
      </c>
    </row>
    <row r="1811" spans="1:9" hidden="1" x14ac:dyDescent="0.25">
      <c r="A1811" t="s">
        <v>1562</v>
      </c>
      <c r="B1811" t="s">
        <v>18</v>
      </c>
      <c r="C1811" s="2">
        <f>HYPERLINK("https://cao.dolgi.msk.ru/account/1080020726/", 1080020726)</f>
        <v>1080020726</v>
      </c>
      <c r="D1811" t="s">
        <v>1564</v>
      </c>
      <c r="E1811">
        <v>-2416.52</v>
      </c>
      <c r="F1811">
        <v>-0.41</v>
      </c>
      <c r="G1811" t="s">
        <v>12</v>
      </c>
      <c r="I1811" t="s">
        <v>13</v>
      </c>
    </row>
    <row r="1812" spans="1:9" hidden="1" x14ac:dyDescent="0.25">
      <c r="A1812" t="s">
        <v>1562</v>
      </c>
      <c r="B1812" t="s">
        <v>20</v>
      </c>
      <c r="C1812" s="2">
        <f>HYPERLINK("https://cao.dolgi.msk.ru/account/1080020742/", 1080020742)</f>
        <v>1080020742</v>
      </c>
      <c r="D1812" t="s">
        <v>1565</v>
      </c>
      <c r="E1812">
        <v>-7102.19</v>
      </c>
      <c r="F1812">
        <v>-1.06</v>
      </c>
      <c r="G1812" t="s">
        <v>12</v>
      </c>
      <c r="I1812" t="s">
        <v>13</v>
      </c>
    </row>
    <row r="1813" spans="1:9" hidden="1" x14ac:dyDescent="0.25">
      <c r="A1813" t="s">
        <v>1562</v>
      </c>
      <c r="B1813" t="s">
        <v>21</v>
      </c>
      <c r="C1813" s="2">
        <f>HYPERLINK("https://cao.dolgi.msk.ru/account/1080020769/", 1080020769)</f>
        <v>1080020769</v>
      </c>
      <c r="D1813" t="s">
        <v>1566</v>
      </c>
      <c r="E1813">
        <v>-18010.47</v>
      </c>
      <c r="F1813">
        <v>-1.07</v>
      </c>
      <c r="G1813" t="s">
        <v>12</v>
      </c>
      <c r="I1813" t="s">
        <v>13</v>
      </c>
    </row>
    <row r="1814" spans="1:9" hidden="1" x14ac:dyDescent="0.25">
      <c r="A1814" t="s">
        <v>1562</v>
      </c>
      <c r="B1814" t="s">
        <v>22</v>
      </c>
      <c r="C1814" s="2">
        <f>HYPERLINK("https://cao.dolgi.msk.ru/account/1080020777/", 1080020777)</f>
        <v>1080020777</v>
      </c>
      <c r="D1814" t="s">
        <v>15</v>
      </c>
      <c r="E1814">
        <v>6259.72</v>
      </c>
      <c r="F1814">
        <v>1</v>
      </c>
      <c r="G1814" t="s">
        <v>12</v>
      </c>
      <c r="I1814" t="s">
        <v>13</v>
      </c>
    </row>
    <row r="1815" spans="1:9" hidden="1" x14ac:dyDescent="0.25">
      <c r="A1815" t="s">
        <v>1562</v>
      </c>
      <c r="B1815" t="s">
        <v>23</v>
      </c>
      <c r="C1815" s="2">
        <f>HYPERLINK("https://cao.dolgi.msk.ru/account/1080020785/", 1080020785)</f>
        <v>1080020785</v>
      </c>
      <c r="D1815" t="s">
        <v>1567</v>
      </c>
      <c r="E1815">
        <v>-15817.71</v>
      </c>
      <c r="F1815">
        <v>-1.06</v>
      </c>
      <c r="G1815" t="s">
        <v>12</v>
      </c>
      <c r="I1815" t="s">
        <v>13</v>
      </c>
    </row>
    <row r="1816" spans="1:9" hidden="1" x14ac:dyDescent="0.25">
      <c r="A1816" t="s">
        <v>1562</v>
      </c>
      <c r="B1816" t="s">
        <v>24</v>
      </c>
      <c r="C1816" s="2">
        <f>HYPERLINK("https://cao.dolgi.msk.ru/account/1080020793/", 1080020793)</f>
        <v>1080020793</v>
      </c>
      <c r="D1816" t="s">
        <v>1568</v>
      </c>
      <c r="E1816">
        <v>-5603.4</v>
      </c>
      <c r="F1816">
        <v>-0.84</v>
      </c>
      <c r="G1816" t="s">
        <v>12</v>
      </c>
      <c r="I1816" t="s">
        <v>13</v>
      </c>
    </row>
    <row r="1817" spans="1:9" hidden="1" x14ac:dyDescent="0.25">
      <c r="A1817" t="s">
        <v>1562</v>
      </c>
      <c r="B1817" t="s">
        <v>27</v>
      </c>
      <c r="C1817" s="2">
        <f>HYPERLINK("https://cao.dolgi.msk.ru/account/1080020806/", 1080020806)</f>
        <v>1080020806</v>
      </c>
      <c r="D1817" t="s">
        <v>1569</v>
      </c>
      <c r="E1817">
        <v>-7805.06</v>
      </c>
      <c r="F1817">
        <v>-1.02</v>
      </c>
      <c r="G1817" t="s">
        <v>12</v>
      </c>
      <c r="I1817" t="s">
        <v>13</v>
      </c>
    </row>
    <row r="1818" spans="1:9" hidden="1" x14ac:dyDescent="0.25">
      <c r="A1818" t="s">
        <v>1562</v>
      </c>
      <c r="B1818" t="s">
        <v>29</v>
      </c>
      <c r="C1818" s="2">
        <f>HYPERLINK("https://cao.dolgi.msk.ru/account/1080020814/", 1080020814)</f>
        <v>1080020814</v>
      </c>
      <c r="D1818" t="s">
        <v>1570</v>
      </c>
      <c r="E1818">
        <v>141.44999999999999</v>
      </c>
      <c r="F1818">
        <v>0.02</v>
      </c>
      <c r="G1818" t="s">
        <v>12</v>
      </c>
      <c r="I1818" t="s">
        <v>13</v>
      </c>
    </row>
    <row r="1819" spans="1:9" hidden="1" x14ac:dyDescent="0.25">
      <c r="A1819" t="s">
        <v>1562</v>
      </c>
      <c r="B1819" t="s">
        <v>31</v>
      </c>
      <c r="C1819" s="2">
        <f>HYPERLINK("https://cao.dolgi.msk.ru/account/1080020822/", 1080020822)</f>
        <v>1080020822</v>
      </c>
      <c r="D1819" t="s">
        <v>1571</v>
      </c>
      <c r="E1819">
        <v>-18783.240000000002</v>
      </c>
      <c r="F1819">
        <v>-1</v>
      </c>
      <c r="G1819" t="s">
        <v>12</v>
      </c>
      <c r="I1819" t="s">
        <v>13</v>
      </c>
    </row>
    <row r="1820" spans="1:9" hidden="1" x14ac:dyDescent="0.25">
      <c r="A1820" t="s">
        <v>1562</v>
      </c>
      <c r="B1820" t="s">
        <v>33</v>
      </c>
      <c r="C1820" s="2">
        <f>HYPERLINK("https://cao.dolgi.msk.ru/account/1080020849/", 1080020849)</f>
        <v>1080020849</v>
      </c>
      <c r="D1820" t="s">
        <v>1572</v>
      </c>
      <c r="E1820">
        <v>-9915.1299999999992</v>
      </c>
      <c r="F1820">
        <v>-1.02</v>
      </c>
      <c r="G1820" t="s">
        <v>12</v>
      </c>
      <c r="I1820" t="s">
        <v>13</v>
      </c>
    </row>
    <row r="1821" spans="1:9" hidden="1" x14ac:dyDescent="0.25">
      <c r="A1821" t="s">
        <v>1562</v>
      </c>
      <c r="B1821" t="s">
        <v>34</v>
      </c>
      <c r="C1821" s="2">
        <f>HYPERLINK("https://cao.dolgi.msk.ru/account/1080020857/", 1080020857)</f>
        <v>1080020857</v>
      </c>
      <c r="D1821" t="s">
        <v>1573</v>
      </c>
      <c r="E1821">
        <v>-8099.35</v>
      </c>
      <c r="F1821">
        <v>-1.05</v>
      </c>
      <c r="G1821" t="s">
        <v>12</v>
      </c>
      <c r="I1821" t="s">
        <v>13</v>
      </c>
    </row>
    <row r="1822" spans="1:9" hidden="1" x14ac:dyDescent="0.25">
      <c r="A1822" t="s">
        <v>1562</v>
      </c>
      <c r="B1822" t="s">
        <v>36</v>
      </c>
      <c r="C1822" s="2">
        <f>HYPERLINK("https://cao.dolgi.msk.ru/account/1080020865/", 1080020865)</f>
        <v>1080020865</v>
      </c>
      <c r="D1822" t="s">
        <v>1574</v>
      </c>
      <c r="E1822">
        <v>-8490.0300000000007</v>
      </c>
      <c r="F1822">
        <v>-1.06</v>
      </c>
      <c r="G1822" t="s">
        <v>12</v>
      </c>
      <c r="I1822" t="s">
        <v>13</v>
      </c>
    </row>
    <row r="1823" spans="1:9" hidden="1" x14ac:dyDescent="0.25">
      <c r="A1823" t="s">
        <v>1562</v>
      </c>
      <c r="B1823" t="s">
        <v>38</v>
      </c>
      <c r="C1823" s="2">
        <f>HYPERLINK("https://cao.dolgi.msk.ru/account/1080020873/", 1080020873)</f>
        <v>1080020873</v>
      </c>
      <c r="D1823" t="s">
        <v>1575</v>
      </c>
      <c r="E1823">
        <v>31.13</v>
      </c>
      <c r="F1823">
        <v>0</v>
      </c>
      <c r="G1823" t="s">
        <v>12</v>
      </c>
      <c r="I1823" t="s">
        <v>13</v>
      </c>
    </row>
    <row r="1824" spans="1:9" hidden="1" x14ac:dyDescent="0.25">
      <c r="A1824" t="s">
        <v>1562</v>
      </c>
      <c r="B1824" t="s">
        <v>39</v>
      </c>
      <c r="C1824" s="2">
        <f>HYPERLINK("https://cao.dolgi.msk.ru/account/1080020881/", 1080020881)</f>
        <v>1080020881</v>
      </c>
      <c r="D1824" t="s">
        <v>1576</v>
      </c>
      <c r="E1824">
        <v>-8237.18</v>
      </c>
      <c r="F1824">
        <v>-1.1100000000000001</v>
      </c>
      <c r="G1824" t="s">
        <v>12</v>
      </c>
      <c r="I1824" t="s">
        <v>13</v>
      </c>
    </row>
    <row r="1825" spans="1:9" hidden="1" x14ac:dyDescent="0.25">
      <c r="A1825" t="s">
        <v>1562</v>
      </c>
      <c r="B1825" t="s">
        <v>40</v>
      </c>
      <c r="C1825" s="2">
        <f>HYPERLINK("https://cao.dolgi.msk.ru/account/1080020902/", 1080020902)</f>
        <v>1080020902</v>
      </c>
      <c r="D1825" t="s">
        <v>1577</v>
      </c>
      <c r="E1825">
        <v>-65.489999999999995</v>
      </c>
      <c r="F1825">
        <v>-0.01</v>
      </c>
      <c r="G1825" t="s">
        <v>12</v>
      </c>
      <c r="I1825" t="s">
        <v>13</v>
      </c>
    </row>
    <row r="1826" spans="1:9" hidden="1" x14ac:dyDescent="0.25">
      <c r="A1826" t="s">
        <v>1562</v>
      </c>
      <c r="B1826" t="s">
        <v>40</v>
      </c>
      <c r="C1826" s="2">
        <f>HYPERLINK("https://cao.dolgi.msk.ru/account/1083273366/", 1083273366)</f>
        <v>1083273366</v>
      </c>
      <c r="D1826" t="s">
        <v>15</v>
      </c>
      <c r="E1826">
        <v>-2403.94</v>
      </c>
      <c r="F1826">
        <v>-1.08</v>
      </c>
      <c r="G1826" t="s">
        <v>12</v>
      </c>
      <c r="I1826" t="s">
        <v>13</v>
      </c>
    </row>
    <row r="1827" spans="1:9" hidden="1" x14ac:dyDescent="0.25">
      <c r="A1827" t="s">
        <v>1562</v>
      </c>
      <c r="B1827" t="s">
        <v>41</v>
      </c>
      <c r="C1827" s="2">
        <f>HYPERLINK("https://cao.dolgi.msk.ru/account/1080020929/", 1080020929)</f>
        <v>1080020929</v>
      </c>
      <c r="D1827" t="s">
        <v>1578</v>
      </c>
      <c r="E1827">
        <v>-8910.15</v>
      </c>
      <c r="F1827">
        <v>-1.29</v>
      </c>
      <c r="G1827" t="s">
        <v>12</v>
      </c>
      <c r="I1827" t="s">
        <v>13</v>
      </c>
    </row>
    <row r="1828" spans="1:9" hidden="1" x14ac:dyDescent="0.25">
      <c r="A1828" t="s">
        <v>1562</v>
      </c>
      <c r="B1828" t="s">
        <v>42</v>
      </c>
      <c r="C1828" s="2">
        <f>HYPERLINK("https://cao.dolgi.msk.ru/account/1080020937/", 1080020937)</f>
        <v>1080020937</v>
      </c>
      <c r="D1828" t="s">
        <v>1579</v>
      </c>
      <c r="E1828">
        <v>92.17</v>
      </c>
      <c r="F1828">
        <v>0.01</v>
      </c>
      <c r="G1828" t="s">
        <v>12</v>
      </c>
      <c r="I1828" t="s">
        <v>13</v>
      </c>
    </row>
    <row r="1829" spans="1:9" hidden="1" x14ac:dyDescent="0.25">
      <c r="A1829" t="s">
        <v>1562</v>
      </c>
      <c r="B1829" t="s">
        <v>44</v>
      </c>
      <c r="C1829" s="2">
        <f>HYPERLINK("https://cao.dolgi.msk.ru/account/1080020953/", 1080020953)</f>
        <v>1080020953</v>
      </c>
      <c r="D1829" t="s">
        <v>1580</v>
      </c>
      <c r="E1829">
        <v>-7512.89</v>
      </c>
      <c r="F1829">
        <v>-1.08</v>
      </c>
      <c r="G1829" t="s">
        <v>12</v>
      </c>
      <c r="I1829" t="s">
        <v>13</v>
      </c>
    </row>
    <row r="1830" spans="1:9" hidden="1" x14ac:dyDescent="0.25">
      <c r="A1830" t="s">
        <v>1562</v>
      </c>
      <c r="B1830" t="s">
        <v>66</v>
      </c>
      <c r="C1830" s="2">
        <f>HYPERLINK("https://cao.dolgi.msk.ru/account/1080020961/", 1080020961)</f>
        <v>1080020961</v>
      </c>
      <c r="D1830" t="s">
        <v>1581</v>
      </c>
      <c r="E1830">
        <v>-6297.87</v>
      </c>
      <c r="F1830">
        <v>-1.01</v>
      </c>
      <c r="G1830" t="s">
        <v>12</v>
      </c>
      <c r="I1830" t="s">
        <v>13</v>
      </c>
    </row>
    <row r="1831" spans="1:9" hidden="1" x14ac:dyDescent="0.25">
      <c r="A1831" t="s">
        <v>1562</v>
      </c>
      <c r="B1831" t="s">
        <v>68</v>
      </c>
      <c r="C1831" s="2">
        <f>HYPERLINK("https://cao.dolgi.msk.ru/account/1080020988/", 1080020988)</f>
        <v>1080020988</v>
      </c>
      <c r="D1831" t="s">
        <v>1582</v>
      </c>
      <c r="E1831">
        <v>126.3</v>
      </c>
      <c r="F1831">
        <v>0.01</v>
      </c>
      <c r="G1831" t="s">
        <v>12</v>
      </c>
      <c r="H1831" t="s">
        <v>7</v>
      </c>
      <c r="I1831" t="s">
        <v>13</v>
      </c>
    </row>
    <row r="1832" spans="1:9" hidden="1" x14ac:dyDescent="0.25">
      <c r="A1832" t="s">
        <v>1583</v>
      </c>
      <c r="B1832" t="s">
        <v>10</v>
      </c>
      <c r="C1832" s="2">
        <f>HYPERLINK("https://cao.dolgi.msk.ru/account/1080244754/", 1080244754)</f>
        <v>1080244754</v>
      </c>
      <c r="D1832" t="s">
        <v>1584</v>
      </c>
      <c r="E1832">
        <v>-160.87</v>
      </c>
      <c r="F1832">
        <v>-0.04</v>
      </c>
      <c r="G1832" t="s">
        <v>12</v>
      </c>
      <c r="I1832" t="s">
        <v>1428</v>
      </c>
    </row>
    <row r="1833" spans="1:9" hidden="1" x14ac:dyDescent="0.25">
      <c r="A1833" t="s">
        <v>1583</v>
      </c>
      <c r="B1833" t="s">
        <v>16</v>
      </c>
      <c r="C1833" s="2">
        <f>HYPERLINK("https://cao.dolgi.msk.ru/account/1080244789/", 1080244789)</f>
        <v>1080244789</v>
      </c>
      <c r="D1833" t="s">
        <v>1585</v>
      </c>
      <c r="E1833">
        <v>-2739.34</v>
      </c>
      <c r="F1833">
        <v>-1.1599999999999999</v>
      </c>
      <c r="G1833" t="s">
        <v>12</v>
      </c>
      <c r="I1833" t="s">
        <v>1428</v>
      </c>
    </row>
    <row r="1834" spans="1:9" hidden="1" x14ac:dyDescent="0.25">
      <c r="A1834" t="s">
        <v>1583</v>
      </c>
      <c r="B1834" t="s">
        <v>18</v>
      </c>
      <c r="C1834" s="2">
        <f>HYPERLINK("https://cao.dolgi.msk.ru/account/1080244797/", 1080244797)</f>
        <v>1080244797</v>
      </c>
      <c r="D1834" t="s">
        <v>1586</v>
      </c>
      <c r="E1834">
        <v>-4181.2299999999996</v>
      </c>
      <c r="F1834">
        <v>-1.05</v>
      </c>
      <c r="G1834" t="s">
        <v>12</v>
      </c>
      <c r="I1834" t="s">
        <v>1428</v>
      </c>
    </row>
    <row r="1835" spans="1:9" hidden="1" x14ac:dyDescent="0.25">
      <c r="A1835" t="s">
        <v>1583</v>
      </c>
      <c r="B1835" t="s">
        <v>20</v>
      </c>
      <c r="C1835" s="2">
        <f>HYPERLINK("https://cao.dolgi.msk.ru/account/1080244818/", 1080244818)</f>
        <v>1080244818</v>
      </c>
      <c r="D1835" t="s">
        <v>1587</v>
      </c>
      <c r="E1835">
        <v>-108.04</v>
      </c>
      <c r="F1835">
        <v>-0.02</v>
      </c>
      <c r="G1835" t="s">
        <v>12</v>
      </c>
      <c r="I1835" t="s">
        <v>1428</v>
      </c>
    </row>
    <row r="1836" spans="1:9" hidden="1" x14ac:dyDescent="0.25">
      <c r="A1836" t="s">
        <v>1583</v>
      </c>
      <c r="B1836" t="s">
        <v>21</v>
      </c>
      <c r="C1836" s="2">
        <f>HYPERLINK("https://cao.dolgi.msk.ru/account/1080244826/", 1080244826)</f>
        <v>1080244826</v>
      </c>
      <c r="D1836" t="s">
        <v>1588</v>
      </c>
      <c r="E1836">
        <v>0</v>
      </c>
      <c r="F1836">
        <v>0</v>
      </c>
      <c r="G1836" t="s">
        <v>12</v>
      </c>
      <c r="I1836" t="s">
        <v>1428</v>
      </c>
    </row>
    <row r="1837" spans="1:9" hidden="1" x14ac:dyDescent="0.25">
      <c r="A1837" t="s">
        <v>1583</v>
      </c>
      <c r="B1837" t="s">
        <v>22</v>
      </c>
      <c r="C1837" s="2">
        <f>HYPERLINK("https://cao.dolgi.msk.ru/account/1080244834/", 1080244834)</f>
        <v>1080244834</v>
      </c>
      <c r="D1837" t="s">
        <v>1589</v>
      </c>
      <c r="E1837">
        <v>-3307.99</v>
      </c>
      <c r="F1837">
        <v>-1.01</v>
      </c>
      <c r="G1837" t="s">
        <v>12</v>
      </c>
      <c r="I1837" t="s">
        <v>1428</v>
      </c>
    </row>
    <row r="1838" spans="1:9" hidden="1" x14ac:dyDescent="0.25">
      <c r="A1838" t="s">
        <v>1583</v>
      </c>
      <c r="B1838" t="s">
        <v>23</v>
      </c>
      <c r="C1838" s="2">
        <f>HYPERLINK("https://cao.dolgi.msk.ru/account/1080244842/", 1080244842)</f>
        <v>1080244842</v>
      </c>
      <c r="D1838" t="s">
        <v>1590</v>
      </c>
      <c r="E1838">
        <v>-71.98</v>
      </c>
      <c r="F1838">
        <v>-0.02</v>
      </c>
      <c r="G1838" t="s">
        <v>12</v>
      </c>
      <c r="I1838" t="s">
        <v>1428</v>
      </c>
    </row>
    <row r="1839" spans="1:9" hidden="1" x14ac:dyDescent="0.25">
      <c r="A1839" t="s">
        <v>1583</v>
      </c>
      <c r="B1839" t="s">
        <v>24</v>
      </c>
      <c r="C1839" s="2">
        <f>HYPERLINK("https://cao.dolgi.msk.ru/account/1080244869/", 1080244869)</f>
        <v>1080244869</v>
      </c>
      <c r="D1839" t="s">
        <v>1591</v>
      </c>
      <c r="E1839">
        <v>-6176.4</v>
      </c>
      <c r="F1839">
        <v>-1.1000000000000001</v>
      </c>
      <c r="G1839" t="s">
        <v>12</v>
      </c>
      <c r="I1839" t="s">
        <v>1428</v>
      </c>
    </row>
    <row r="1840" spans="1:9" hidden="1" x14ac:dyDescent="0.25">
      <c r="A1840" t="s">
        <v>1583</v>
      </c>
      <c r="B1840" t="s">
        <v>27</v>
      </c>
      <c r="C1840" s="2">
        <f>HYPERLINK("https://cao.dolgi.msk.ru/account/1080244877/", 1080244877)</f>
        <v>1080244877</v>
      </c>
      <c r="D1840" t="s">
        <v>1592</v>
      </c>
      <c r="E1840">
        <v>-3818.76</v>
      </c>
      <c r="F1840">
        <v>-1.1100000000000001</v>
      </c>
      <c r="G1840" t="s">
        <v>12</v>
      </c>
      <c r="I1840" t="s">
        <v>1428</v>
      </c>
    </row>
    <row r="1841" spans="1:9" hidden="1" x14ac:dyDescent="0.25">
      <c r="A1841" t="s">
        <v>1583</v>
      </c>
      <c r="B1841" t="s">
        <v>29</v>
      </c>
      <c r="C1841" s="2">
        <f>HYPERLINK("https://cao.dolgi.msk.ru/account/1080244885/", 1080244885)</f>
        <v>1080244885</v>
      </c>
      <c r="D1841" t="s">
        <v>1593</v>
      </c>
      <c r="E1841">
        <v>-9421.9</v>
      </c>
      <c r="F1841">
        <v>-0.95</v>
      </c>
      <c r="G1841" t="s">
        <v>12</v>
      </c>
      <c r="I1841" t="s">
        <v>1428</v>
      </c>
    </row>
    <row r="1842" spans="1:9" hidden="1" x14ac:dyDescent="0.25">
      <c r="A1842" t="s">
        <v>1583</v>
      </c>
      <c r="B1842" t="s">
        <v>31</v>
      </c>
      <c r="C1842" s="2">
        <f>HYPERLINK("https://cao.dolgi.msk.ru/account/1080244893/", 1080244893)</f>
        <v>1080244893</v>
      </c>
      <c r="D1842" t="s">
        <v>1594</v>
      </c>
      <c r="E1842">
        <v>-4588.26</v>
      </c>
      <c r="F1842">
        <v>-0.93</v>
      </c>
      <c r="G1842" t="s">
        <v>12</v>
      </c>
      <c r="I1842" t="s">
        <v>1428</v>
      </c>
    </row>
    <row r="1843" spans="1:9" hidden="1" x14ac:dyDescent="0.25">
      <c r="A1843" t="s">
        <v>1583</v>
      </c>
      <c r="B1843" t="s">
        <v>33</v>
      </c>
      <c r="C1843" s="2">
        <f>HYPERLINK("https://cao.dolgi.msk.ru/account/1080244906/", 1080244906)</f>
        <v>1080244906</v>
      </c>
      <c r="D1843" t="s">
        <v>1595</v>
      </c>
      <c r="E1843">
        <v>-4500.4799999999996</v>
      </c>
      <c r="F1843">
        <v>-1.05</v>
      </c>
      <c r="G1843" t="s">
        <v>12</v>
      </c>
      <c r="I1843" t="s">
        <v>1428</v>
      </c>
    </row>
    <row r="1844" spans="1:9" hidden="1" x14ac:dyDescent="0.25">
      <c r="A1844" t="s">
        <v>1583</v>
      </c>
      <c r="B1844" t="s">
        <v>34</v>
      </c>
      <c r="C1844" s="2">
        <f>HYPERLINK("https://cao.dolgi.msk.ru/account/1080244914/", 1080244914)</f>
        <v>1080244914</v>
      </c>
      <c r="D1844" t="s">
        <v>1588</v>
      </c>
      <c r="E1844">
        <v>-3165.79</v>
      </c>
      <c r="F1844">
        <v>-0.99</v>
      </c>
      <c r="G1844" t="s">
        <v>12</v>
      </c>
      <c r="I1844" t="s">
        <v>1428</v>
      </c>
    </row>
    <row r="1845" spans="1:9" hidden="1" x14ac:dyDescent="0.25">
      <c r="A1845" t="s">
        <v>1583</v>
      </c>
      <c r="B1845" t="s">
        <v>36</v>
      </c>
      <c r="C1845" s="2">
        <f>HYPERLINK("https://cao.dolgi.msk.ru/account/1080244922/", 1080244922)</f>
        <v>1080244922</v>
      </c>
      <c r="D1845" t="s">
        <v>1596</v>
      </c>
      <c r="E1845">
        <v>0</v>
      </c>
      <c r="G1845" t="s">
        <v>14</v>
      </c>
      <c r="I1845" t="s">
        <v>1428</v>
      </c>
    </row>
    <row r="1846" spans="1:9" hidden="1" x14ac:dyDescent="0.25">
      <c r="A1846" t="s">
        <v>1583</v>
      </c>
      <c r="B1846" t="s">
        <v>36</v>
      </c>
      <c r="C1846" s="2">
        <f>HYPERLINK("https://cao.dolgi.msk.ru/account/1080325378/", 1080325378)</f>
        <v>1080325378</v>
      </c>
      <c r="D1846" t="s">
        <v>1597</v>
      </c>
      <c r="E1846">
        <v>-5475.73</v>
      </c>
      <c r="F1846">
        <v>-1.27</v>
      </c>
      <c r="G1846" t="s">
        <v>12</v>
      </c>
      <c r="I1846" t="s">
        <v>1428</v>
      </c>
    </row>
    <row r="1847" spans="1:9" hidden="1" x14ac:dyDescent="0.25">
      <c r="A1847" t="s">
        <v>1583</v>
      </c>
      <c r="B1847" t="s">
        <v>38</v>
      </c>
      <c r="C1847" s="2">
        <f>HYPERLINK("https://cao.dolgi.msk.ru/account/1080244949/", 1080244949)</f>
        <v>1080244949</v>
      </c>
      <c r="D1847" t="s">
        <v>1598</v>
      </c>
      <c r="E1847">
        <v>-3497.49</v>
      </c>
      <c r="F1847">
        <v>-1.1100000000000001</v>
      </c>
      <c r="G1847" t="s">
        <v>12</v>
      </c>
      <c r="I1847" t="s">
        <v>1428</v>
      </c>
    </row>
    <row r="1848" spans="1:9" hidden="1" x14ac:dyDescent="0.25">
      <c r="A1848" t="s">
        <v>1583</v>
      </c>
      <c r="B1848" t="s">
        <v>39</v>
      </c>
      <c r="C1848" s="2">
        <f>HYPERLINK("https://cao.dolgi.msk.ru/account/1080244957/", 1080244957)</f>
        <v>1080244957</v>
      </c>
      <c r="D1848" t="s">
        <v>1599</v>
      </c>
      <c r="E1848">
        <v>-1571.17</v>
      </c>
      <c r="F1848">
        <v>-1.22</v>
      </c>
      <c r="G1848" t="s">
        <v>12</v>
      </c>
      <c r="I1848" t="s">
        <v>1428</v>
      </c>
    </row>
    <row r="1849" spans="1:9" hidden="1" x14ac:dyDescent="0.25">
      <c r="A1849" t="s">
        <v>1583</v>
      </c>
      <c r="B1849" t="s">
        <v>39</v>
      </c>
      <c r="C1849" s="2">
        <f>HYPERLINK("https://cao.dolgi.msk.ru/account/1089123334/", 1089123334)</f>
        <v>1089123334</v>
      </c>
      <c r="D1849" t="s">
        <v>15</v>
      </c>
      <c r="E1849">
        <v>-3261.56</v>
      </c>
      <c r="F1849">
        <v>-1.22</v>
      </c>
      <c r="G1849" t="s">
        <v>12</v>
      </c>
      <c r="I1849" t="s">
        <v>1428</v>
      </c>
    </row>
    <row r="1850" spans="1:9" hidden="1" x14ac:dyDescent="0.25">
      <c r="A1850" t="s">
        <v>1583</v>
      </c>
      <c r="B1850" t="s">
        <v>40</v>
      </c>
      <c r="C1850" s="2">
        <f>HYPERLINK("https://cao.dolgi.msk.ru/account/1080244965/", 1080244965)</f>
        <v>1080244965</v>
      </c>
      <c r="D1850" t="s">
        <v>1600</v>
      </c>
      <c r="E1850">
        <v>747.14</v>
      </c>
      <c r="F1850">
        <v>0.21</v>
      </c>
      <c r="G1850" t="s">
        <v>12</v>
      </c>
      <c r="I1850" t="s">
        <v>1428</v>
      </c>
    </row>
    <row r="1851" spans="1:9" hidden="1" x14ac:dyDescent="0.25">
      <c r="A1851" t="s">
        <v>1583</v>
      </c>
      <c r="B1851" t="s">
        <v>41</v>
      </c>
      <c r="C1851" s="2">
        <f>HYPERLINK("https://cao.dolgi.msk.ru/account/1080244973/", 1080244973)</f>
        <v>1080244973</v>
      </c>
      <c r="D1851" t="s">
        <v>1601</v>
      </c>
      <c r="E1851">
        <v>2798.07</v>
      </c>
      <c r="F1851">
        <v>0.81</v>
      </c>
      <c r="G1851" t="s">
        <v>12</v>
      </c>
      <c r="I1851" t="s">
        <v>1428</v>
      </c>
    </row>
    <row r="1852" spans="1:9" hidden="1" x14ac:dyDescent="0.25">
      <c r="A1852" t="s">
        <v>1583</v>
      </c>
      <c r="B1852" t="s">
        <v>42</v>
      </c>
      <c r="C1852" s="2">
        <f>HYPERLINK("https://cao.dolgi.msk.ru/account/1080244981/", 1080244981)</f>
        <v>1080244981</v>
      </c>
      <c r="D1852" t="s">
        <v>1602</v>
      </c>
      <c r="E1852">
        <v>-275.25</v>
      </c>
      <c r="F1852">
        <v>-0.1</v>
      </c>
      <c r="G1852" t="s">
        <v>12</v>
      </c>
      <c r="I1852" t="s">
        <v>1428</v>
      </c>
    </row>
    <row r="1853" spans="1:9" hidden="1" x14ac:dyDescent="0.25">
      <c r="A1853" t="s">
        <v>1583</v>
      </c>
      <c r="B1853" t="s">
        <v>44</v>
      </c>
      <c r="C1853" s="2">
        <f>HYPERLINK("https://cao.dolgi.msk.ru/account/1080245001/", 1080245001)</f>
        <v>1080245001</v>
      </c>
      <c r="D1853" t="s">
        <v>1603</v>
      </c>
      <c r="E1853">
        <v>-1629.93</v>
      </c>
      <c r="F1853">
        <v>-0.3</v>
      </c>
      <c r="G1853" t="s">
        <v>12</v>
      </c>
      <c r="I1853" t="s">
        <v>1428</v>
      </c>
    </row>
    <row r="1854" spans="1:9" hidden="1" x14ac:dyDescent="0.25">
      <c r="A1854" t="s">
        <v>1583</v>
      </c>
      <c r="B1854" t="s">
        <v>66</v>
      </c>
      <c r="C1854" s="2">
        <f>HYPERLINK("https://cao.dolgi.msk.ru/account/1080245028/", 1080245028)</f>
        <v>1080245028</v>
      </c>
      <c r="D1854" t="s">
        <v>15</v>
      </c>
      <c r="E1854">
        <v>-8076.69</v>
      </c>
      <c r="F1854">
        <v>-1.04</v>
      </c>
      <c r="G1854" t="s">
        <v>12</v>
      </c>
      <c r="I1854" t="s">
        <v>1428</v>
      </c>
    </row>
    <row r="1855" spans="1:9" hidden="1" x14ac:dyDescent="0.25">
      <c r="A1855" t="s">
        <v>1583</v>
      </c>
      <c r="B1855" t="s">
        <v>68</v>
      </c>
      <c r="C1855" s="2">
        <f>HYPERLINK("https://cao.dolgi.msk.ru/account/1080245036/", 1080245036)</f>
        <v>1080245036</v>
      </c>
      <c r="D1855" t="s">
        <v>1604</v>
      </c>
      <c r="E1855">
        <v>-4721.93</v>
      </c>
      <c r="F1855">
        <v>-1.23</v>
      </c>
      <c r="G1855" t="s">
        <v>12</v>
      </c>
      <c r="I1855" t="s">
        <v>1428</v>
      </c>
    </row>
    <row r="1856" spans="1:9" hidden="1" x14ac:dyDescent="0.25">
      <c r="A1856" t="s">
        <v>1583</v>
      </c>
      <c r="B1856" t="s">
        <v>70</v>
      </c>
      <c r="C1856" s="2">
        <f>HYPERLINK("https://cao.dolgi.msk.ru/account/1080245044/", 1080245044)</f>
        <v>1080245044</v>
      </c>
      <c r="D1856" t="s">
        <v>1605</v>
      </c>
      <c r="E1856">
        <v>0</v>
      </c>
      <c r="G1856" t="s">
        <v>14</v>
      </c>
      <c r="I1856" t="s">
        <v>1428</v>
      </c>
    </row>
    <row r="1857" spans="1:9" hidden="1" x14ac:dyDescent="0.25">
      <c r="A1857" t="s">
        <v>1583</v>
      </c>
      <c r="B1857" t="s">
        <v>70</v>
      </c>
      <c r="C1857" s="2">
        <f>HYPERLINK("https://cao.dolgi.msk.ru/account/1080245052/", 1080245052)</f>
        <v>1080245052</v>
      </c>
      <c r="D1857" t="s">
        <v>1605</v>
      </c>
      <c r="E1857">
        <v>-6135.7</v>
      </c>
      <c r="F1857">
        <v>-0.99</v>
      </c>
      <c r="G1857" t="s">
        <v>12</v>
      </c>
      <c r="I1857" t="s">
        <v>1428</v>
      </c>
    </row>
    <row r="1858" spans="1:9" hidden="1" x14ac:dyDescent="0.25">
      <c r="A1858" t="s">
        <v>1583</v>
      </c>
      <c r="B1858" t="s">
        <v>72</v>
      </c>
      <c r="C1858" s="2">
        <f>HYPERLINK("https://cao.dolgi.msk.ru/account/1080245079/", 1080245079)</f>
        <v>1080245079</v>
      </c>
      <c r="D1858" t="s">
        <v>1606</v>
      </c>
      <c r="E1858">
        <v>-6462.34</v>
      </c>
      <c r="F1858">
        <v>-0.96</v>
      </c>
      <c r="G1858" t="s">
        <v>12</v>
      </c>
      <c r="I1858" t="s">
        <v>1428</v>
      </c>
    </row>
    <row r="1859" spans="1:9" hidden="1" x14ac:dyDescent="0.25">
      <c r="A1859" t="s">
        <v>1583</v>
      </c>
      <c r="B1859" t="s">
        <v>74</v>
      </c>
      <c r="C1859" s="2">
        <f>HYPERLINK("https://cao.dolgi.msk.ru/account/1080245087/", 1080245087)</f>
        <v>1080245087</v>
      </c>
      <c r="D1859" t="s">
        <v>1607</v>
      </c>
      <c r="E1859">
        <v>-7938.78</v>
      </c>
      <c r="F1859">
        <v>-1.33</v>
      </c>
      <c r="G1859" t="s">
        <v>12</v>
      </c>
      <c r="I1859" t="s">
        <v>1428</v>
      </c>
    </row>
    <row r="1860" spans="1:9" hidden="1" x14ac:dyDescent="0.25">
      <c r="A1860" t="s">
        <v>1583</v>
      </c>
      <c r="B1860" t="s">
        <v>76</v>
      </c>
      <c r="C1860" s="2">
        <f>HYPERLINK("https://cao.dolgi.msk.ru/account/1080245095/", 1080245095)</f>
        <v>1080245095</v>
      </c>
      <c r="D1860" t="s">
        <v>1608</v>
      </c>
      <c r="E1860">
        <v>-3945.86</v>
      </c>
      <c r="F1860">
        <v>-1.06</v>
      </c>
      <c r="G1860" t="s">
        <v>12</v>
      </c>
      <c r="I1860" t="s">
        <v>1428</v>
      </c>
    </row>
    <row r="1861" spans="1:9" hidden="1" x14ac:dyDescent="0.25">
      <c r="A1861" t="s">
        <v>1583</v>
      </c>
      <c r="B1861" t="s">
        <v>78</v>
      </c>
      <c r="C1861" s="2">
        <f>HYPERLINK("https://cao.dolgi.msk.ru/account/1080245108/", 1080245108)</f>
        <v>1080245108</v>
      </c>
      <c r="D1861" t="s">
        <v>1609</v>
      </c>
      <c r="E1861">
        <v>-5027.63</v>
      </c>
      <c r="F1861">
        <v>-1.1399999999999999</v>
      </c>
      <c r="G1861" t="s">
        <v>12</v>
      </c>
      <c r="I1861" t="s">
        <v>1428</v>
      </c>
    </row>
    <row r="1862" spans="1:9" hidden="1" x14ac:dyDescent="0.25">
      <c r="A1862" t="s">
        <v>1583</v>
      </c>
      <c r="B1862" t="s">
        <v>80</v>
      </c>
      <c r="C1862" s="2">
        <f>HYPERLINK("https://cao.dolgi.msk.ru/account/1080245116/", 1080245116)</f>
        <v>1080245116</v>
      </c>
      <c r="D1862" t="s">
        <v>1610</v>
      </c>
      <c r="E1862">
        <v>-14754.81</v>
      </c>
      <c r="F1862">
        <v>-2.89</v>
      </c>
      <c r="G1862" t="s">
        <v>12</v>
      </c>
      <c r="I1862" t="s">
        <v>1428</v>
      </c>
    </row>
    <row r="1863" spans="1:9" hidden="1" x14ac:dyDescent="0.25">
      <c r="A1863" t="s">
        <v>1583</v>
      </c>
      <c r="B1863" t="s">
        <v>82</v>
      </c>
      <c r="C1863" s="2">
        <f>HYPERLINK("https://cao.dolgi.msk.ru/account/1080245124/", 1080245124)</f>
        <v>1080245124</v>
      </c>
      <c r="D1863" t="s">
        <v>1611</v>
      </c>
      <c r="E1863">
        <v>-16644.580000000002</v>
      </c>
      <c r="F1863">
        <v>-2.98</v>
      </c>
      <c r="G1863" t="s">
        <v>12</v>
      </c>
      <c r="I1863" t="s">
        <v>1428</v>
      </c>
    </row>
    <row r="1864" spans="1:9" hidden="1" x14ac:dyDescent="0.25">
      <c r="A1864" t="s">
        <v>1583</v>
      </c>
      <c r="B1864" t="s">
        <v>84</v>
      </c>
      <c r="C1864" s="2">
        <f>HYPERLINK("https://cao.dolgi.msk.ru/account/1080245132/", 1080245132)</f>
        <v>1080245132</v>
      </c>
      <c r="D1864" t="s">
        <v>15</v>
      </c>
      <c r="E1864">
        <v>-7111.87</v>
      </c>
      <c r="F1864">
        <v>-2.15</v>
      </c>
      <c r="G1864" t="s">
        <v>12</v>
      </c>
      <c r="I1864" t="s">
        <v>1428</v>
      </c>
    </row>
    <row r="1865" spans="1:9" hidden="1" x14ac:dyDescent="0.25">
      <c r="A1865" t="s">
        <v>1583</v>
      </c>
      <c r="B1865" t="s">
        <v>88</v>
      </c>
      <c r="C1865" s="2">
        <f>HYPERLINK("https://cao.dolgi.msk.ru/account/1080245167/", 1080245167)</f>
        <v>1080245167</v>
      </c>
      <c r="D1865" t="s">
        <v>1612</v>
      </c>
      <c r="E1865">
        <v>0</v>
      </c>
      <c r="F1865">
        <v>0</v>
      </c>
      <c r="G1865" t="s">
        <v>12</v>
      </c>
      <c r="I1865" t="s">
        <v>1428</v>
      </c>
    </row>
    <row r="1866" spans="1:9" hidden="1" x14ac:dyDescent="0.25">
      <c r="A1866" t="s">
        <v>1583</v>
      </c>
      <c r="B1866" t="s">
        <v>90</v>
      </c>
      <c r="C1866" s="2">
        <f>HYPERLINK("https://cao.dolgi.msk.ru/account/1080245175/", 1080245175)</f>
        <v>1080245175</v>
      </c>
      <c r="D1866" t="s">
        <v>1613</v>
      </c>
      <c r="E1866">
        <v>8036.5</v>
      </c>
      <c r="F1866">
        <v>1</v>
      </c>
      <c r="G1866" t="s">
        <v>12</v>
      </c>
      <c r="I1866" t="s">
        <v>1428</v>
      </c>
    </row>
    <row r="1867" spans="1:9" hidden="1" x14ac:dyDescent="0.25">
      <c r="A1867" t="s">
        <v>1583</v>
      </c>
      <c r="B1867" t="s">
        <v>92</v>
      </c>
      <c r="C1867" s="2">
        <f>HYPERLINK("https://cao.dolgi.msk.ru/account/1080245183/", 1080245183)</f>
        <v>1080245183</v>
      </c>
      <c r="D1867" t="s">
        <v>1614</v>
      </c>
      <c r="E1867">
        <v>-2818.16</v>
      </c>
      <c r="F1867">
        <v>-1.03</v>
      </c>
      <c r="G1867" t="s">
        <v>12</v>
      </c>
      <c r="I1867" t="s">
        <v>1428</v>
      </c>
    </row>
    <row r="1868" spans="1:9" hidden="1" x14ac:dyDescent="0.25">
      <c r="A1868" t="s">
        <v>1583</v>
      </c>
      <c r="B1868" t="s">
        <v>94</v>
      </c>
      <c r="C1868" s="2">
        <f>HYPERLINK("https://cao.dolgi.msk.ru/account/1080245191/", 1080245191)</f>
        <v>1080245191</v>
      </c>
      <c r="D1868" t="s">
        <v>1615</v>
      </c>
      <c r="E1868">
        <v>-5079.34</v>
      </c>
      <c r="F1868">
        <v>-1.43</v>
      </c>
      <c r="G1868" t="s">
        <v>12</v>
      </c>
      <c r="I1868" t="s">
        <v>1428</v>
      </c>
    </row>
    <row r="1869" spans="1:9" hidden="1" x14ac:dyDescent="0.25">
      <c r="A1869" t="s">
        <v>1583</v>
      </c>
      <c r="B1869" t="s">
        <v>96</v>
      </c>
      <c r="C1869" s="2">
        <f>HYPERLINK("https://cao.dolgi.msk.ru/account/1080245204/", 1080245204)</f>
        <v>1080245204</v>
      </c>
      <c r="D1869" t="s">
        <v>1082</v>
      </c>
      <c r="E1869">
        <v>-6263.76</v>
      </c>
      <c r="F1869">
        <v>-1.22</v>
      </c>
      <c r="G1869" t="s">
        <v>12</v>
      </c>
      <c r="I1869" t="s">
        <v>1428</v>
      </c>
    </row>
    <row r="1870" spans="1:9" hidden="1" x14ac:dyDescent="0.25">
      <c r="A1870" t="s">
        <v>1583</v>
      </c>
      <c r="B1870" t="s">
        <v>98</v>
      </c>
      <c r="C1870" s="2">
        <f>HYPERLINK("https://cao.dolgi.msk.ru/account/1080245212/", 1080245212)</f>
        <v>1080245212</v>
      </c>
      <c r="D1870" t="s">
        <v>1616</v>
      </c>
      <c r="E1870">
        <v>0</v>
      </c>
      <c r="F1870">
        <v>0</v>
      </c>
      <c r="G1870" t="s">
        <v>12</v>
      </c>
      <c r="I1870" t="s">
        <v>1428</v>
      </c>
    </row>
    <row r="1871" spans="1:9" hidden="1" x14ac:dyDescent="0.25">
      <c r="A1871" t="s">
        <v>1583</v>
      </c>
      <c r="B1871" t="s">
        <v>100</v>
      </c>
      <c r="C1871" s="2">
        <f>HYPERLINK("https://cao.dolgi.msk.ru/account/1080245239/", 1080245239)</f>
        <v>1080245239</v>
      </c>
      <c r="D1871" t="s">
        <v>1617</v>
      </c>
      <c r="E1871">
        <v>-3193.29</v>
      </c>
      <c r="F1871">
        <v>-1.1200000000000001</v>
      </c>
      <c r="G1871" t="s">
        <v>12</v>
      </c>
      <c r="I1871" t="s">
        <v>1428</v>
      </c>
    </row>
    <row r="1872" spans="1:9" hidden="1" x14ac:dyDescent="0.25">
      <c r="A1872" t="s">
        <v>1583</v>
      </c>
      <c r="B1872" t="s">
        <v>102</v>
      </c>
      <c r="C1872" s="2">
        <f>HYPERLINK("https://cao.dolgi.msk.ru/account/1080245247/", 1080245247)</f>
        <v>1080245247</v>
      </c>
      <c r="D1872" t="s">
        <v>1618</v>
      </c>
      <c r="E1872">
        <v>-5656.29</v>
      </c>
      <c r="F1872">
        <v>-1.75</v>
      </c>
      <c r="G1872" t="s">
        <v>12</v>
      </c>
      <c r="I1872" t="s">
        <v>1428</v>
      </c>
    </row>
    <row r="1873" spans="1:9" x14ac:dyDescent="0.25">
      <c r="A1873" t="s">
        <v>1583</v>
      </c>
      <c r="B1873" t="s">
        <v>104</v>
      </c>
      <c r="C1873" s="2">
        <f>HYPERLINK("https://cao.dolgi.msk.ru/account/1080245255/", 1080245255)</f>
        <v>1080245255</v>
      </c>
      <c r="D1873" t="s">
        <v>736</v>
      </c>
      <c r="E1873">
        <v>108429.78</v>
      </c>
      <c r="F1873">
        <v>23.38</v>
      </c>
      <c r="G1873" t="s">
        <v>12</v>
      </c>
      <c r="I1873" t="s">
        <v>1428</v>
      </c>
    </row>
    <row r="1874" spans="1:9" x14ac:dyDescent="0.25">
      <c r="A1874" t="s">
        <v>1583</v>
      </c>
      <c r="B1874" t="s">
        <v>104</v>
      </c>
      <c r="C1874" s="2">
        <f>HYPERLINK("https://cao.dolgi.msk.ru/account/1083284145/", 1083284145)</f>
        <v>1083284145</v>
      </c>
      <c r="D1874" t="s">
        <v>15</v>
      </c>
      <c r="E1874">
        <v>49846.76</v>
      </c>
      <c r="F1874">
        <v>24.75</v>
      </c>
      <c r="G1874" t="s">
        <v>12</v>
      </c>
      <c r="I1874" t="s">
        <v>1428</v>
      </c>
    </row>
    <row r="1875" spans="1:9" hidden="1" x14ac:dyDescent="0.25">
      <c r="A1875" t="s">
        <v>1583</v>
      </c>
      <c r="B1875" t="s">
        <v>106</v>
      </c>
      <c r="C1875" s="2">
        <f>HYPERLINK("https://cao.dolgi.msk.ru/account/1080245263/", 1080245263)</f>
        <v>1080245263</v>
      </c>
      <c r="D1875" t="s">
        <v>1619</v>
      </c>
      <c r="E1875">
        <v>-9266.7800000000007</v>
      </c>
      <c r="F1875">
        <v>-1.08</v>
      </c>
      <c r="G1875" t="s">
        <v>12</v>
      </c>
      <c r="I1875" t="s">
        <v>1428</v>
      </c>
    </row>
    <row r="1876" spans="1:9" x14ac:dyDescent="0.25">
      <c r="A1876" t="s">
        <v>1583</v>
      </c>
      <c r="B1876" t="s">
        <v>108</v>
      </c>
      <c r="C1876" s="2">
        <f>HYPERLINK("https://cao.dolgi.msk.ru/account/1080245271/", 1080245271)</f>
        <v>1080245271</v>
      </c>
      <c r="D1876" t="s">
        <v>1620</v>
      </c>
      <c r="E1876">
        <v>7928.35</v>
      </c>
      <c r="F1876">
        <v>1.04</v>
      </c>
      <c r="G1876" t="s">
        <v>12</v>
      </c>
      <c r="I1876" t="s">
        <v>1428</v>
      </c>
    </row>
    <row r="1877" spans="1:9" hidden="1" x14ac:dyDescent="0.25">
      <c r="A1877" t="s">
        <v>1583</v>
      </c>
      <c r="B1877" t="s">
        <v>110</v>
      </c>
      <c r="C1877" s="2">
        <f>HYPERLINK("https://cao.dolgi.msk.ru/account/1080245298/", 1080245298)</f>
        <v>1080245298</v>
      </c>
      <c r="D1877" t="s">
        <v>1621</v>
      </c>
      <c r="E1877">
        <v>-3698.1</v>
      </c>
      <c r="F1877">
        <v>-1.1599999999999999</v>
      </c>
      <c r="G1877" t="s">
        <v>12</v>
      </c>
      <c r="I1877" t="s">
        <v>1428</v>
      </c>
    </row>
    <row r="1878" spans="1:9" hidden="1" x14ac:dyDescent="0.25">
      <c r="A1878" t="s">
        <v>1583</v>
      </c>
      <c r="B1878" t="s">
        <v>112</v>
      </c>
      <c r="C1878" s="2">
        <f>HYPERLINK("https://cao.dolgi.msk.ru/account/1080245319/", 1080245319)</f>
        <v>1080245319</v>
      </c>
      <c r="D1878" t="s">
        <v>1622</v>
      </c>
      <c r="E1878">
        <v>-6152.24</v>
      </c>
      <c r="F1878">
        <v>-1.31</v>
      </c>
      <c r="G1878" t="s">
        <v>12</v>
      </c>
      <c r="I1878" t="s">
        <v>1428</v>
      </c>
    </row>
    <row r="1879" spans="1:9" hidden="1" x14ac:dyDescent="0.25">
      <c r="A1879" t="s">
        <v>1583</v>
      </c>
      <c r="B1879" t="s">
        <v>114</v>
      </c>
      <c r="C1879" s="2">
        <f>HYPERLINK("https://cao.dolgi.msk.ru/account/1080245327/", 1080245327)</f>
        <v>1080245327</v>
      </c>
      <c r="D1879" t="s">
        <v>1623</v>
      </c>
      <c r="E1879">
        <v>-4823.1099999999997</v>
      </c>
      <c r="F1879">
        <v>-1.1299999999999999</v>
      </c>
      <c r="G1879" t="s">
        <v>12</v>
      </c>
      <c r="I1879" t="s">
        <v>1428</v>
      </c>
    </row>
    <row r="1880" spans="1:9" hidden="1" x14ac:dyDescent="0.25">
      <c r="A1880" t="s">
        <v>1583</v>
      </c>
      <c r="B1880" t="s">
        <v>116</v>
      </c>
      <c r="C1880" s="2">
        <f>HYPERLINK("https://cao.dolgi.msk.ru/account/1080245335/", 1080245335)</f>
        <v>1080245335</v>
      </c>
      <c r="D1880" t="s">
        <v>1624</v>
      </c>
      <c r="E1880">
        <v>-2653.65</v>
      </c>
      <c r="F1880">
        <v>-1.0900000000000001</v>
      </c>
      <c r="G1880" t="s">
        <v>12</v>
      </c>
      <c r="I1880" t="s">
        <v>1428</v>
      </c>
    </row>
    <row r="1881" spans="1:9" hidden="1" x14ac:dyDescent="0.25">
      <c r="A1881" t="s">
        <v>1583</v>
      </c>
      <c r="B1881" t="s">
        <v>118</v>
      </c>
      <c r="C1881" s="2">
        <f>HYPERLINK("https://cao.dolgi.msk.ru/account/1080245343/", 1080245343)</f>
        <v>1080245343</v>
      </c>
      <c r="D1881" t="s">
        <v>1625</v>
      </c>
      <c r="E1881">
        <v>-4277.0600000000004</v>
      </c>
      <c r="F1881">
        <v>-1.08</v>
      </c>
      <c r="G1881" t="s">
        <v>12</v>
      </c>
      <c r="I1881" t="s">
        <v>1428</v>
      </c>
    </row>
    <row r="1882" spans="1:9" hidden="1" x14ac:dyDescent="0.25">
      <c r="A1882" t="s">
        <v>1583</v>
      </c>
      <c r="B1882" t="s">
        <v>120</v>
      </c>
      <c r="C1882" s="2">
        <f>HYPERLINK("https://cao.dolgi.msk.ru/account/1080245351/", 1080245351)</f>
        <v>1080245351</v>
      </c>
      <c r="D1882" t="s">
        <v>1626</v>
      </c>
      <c r="E1882">
        <v>-4053.94</v>
      </c>
      <c r="F1882">
        <v>-1.1200000000000001</v>
      </c>
      <c r="G1882" t="s">
        <v>12</v>
      </c>
      <c r="I1882" t="s">
        <v>1428</v>
      </c>
    </row>
    <row r="1883" spans="1:9" hidden="1" x14ac:dyDescent="0.25">
      <c r="A1883" t="s">
        <v>1583</v>
      </c>
      <c r="B1883" t="s">
        <v>122</v>
      </c>
      <c r="C1883" s="2">
        <f>HYPERLINK("https://cao.dolgi.msk.ru/account/1080245378/", 1080245378)</f>
        <v>1080245378</v>
      </c>
      <c r="D1883" t="s">
        <v>1627</v>
      </c>
      <c r="E1883">
        <v>-7633.59</v>
      </c>
      <c r="F1883">
        <v>-1.3</v>
      </c>
      <c r="G1883" t="s">
        <v>12</v>
      </c>
      <c r="I1883" t="s">
        <v>1428</v>
      </c>
    </row>
    <row r="1884" spans="1:9" hidden="1" x14ac:dyDescent="0.25">
      <c r="A1884" t="s">
        <v>1583</v>
      </c>
      <c r="B1884" t="s">
        <v>124</v>
      </c>
      <c r="C1884" s="2">
        <f>HYPERLINK("https://cao.dolgi.msk.ru/account/1080245386/", 1080245386)</f>
        <v>1080245386</v>
      </c>
      <c r="D1884" t="s">
        <v>1628</v>
      </c>
      <c r="E1884">
        <v>-1795.03</v>
      </c>
      <c r="F1884">
        <v>-1.06</v>
      </c>
      <c r="G1884" t="s">
        <v>12</v>
      </c>
      <c r="I1884" t="s">
        <v>1428</v>
      </c>
    </row>
    <row r="1885" spans="1:9" hidden="1" x14ac:dyDescent="0.25">
      <c r="A1885" t="s">
        <v>1583</v>
      </c>
      <c r="B1885" t="s">
        <v>126</v>
      </c>
      <c r="C1885" s="2">
        <f>HYPERLINK("https://cao.dolgi.msk.ru/account/1080245394/", 1080245394)</f>
        <v>1080245394</v>
      </c>
      <c r="D1885" t="s">
        <v>1629</v>
      </c>
      <c r="E1885">
        <v>-401.45</v>
      </c>
      <c r="F1885">
        <v>-0.11</v>
      </c>
      <c r="G1885" t="s">
        <v>12</v>
      </c>
      <c r="I1885" t="s">
        <v>1428</v>
      </c>
    </row>
    <row r="1886" spans="1:9" hidden="1" x14ac:dyDescent="0.25">
      <c r="A1886" t="s">
        <v>1583</v>
      </c>
      <c r="B1886" t="s">
        <v>128</v>
      </c>
      <c r="C1886" s="2">
        <f>HYPERLINK("https://cao.dolgi.msk.ru/account/1080245407/", 1080245407)</f>
        <v>1080245407</v>
      </c>
      <c r="D1886" t="s">
        <v>1630</v>
      </c>
      <c r="E1886">
        <v>-4284.3900000000003</v>
      </c>
      <c r="F1886">
        <v>-1.1299999999999999</v>
      </c>
      <c r="G1886" t="s">
        <v>12</v>
      </c>
      <c r="I1886" t="s">
        <v>1428</v>
      </c>
    </row>
    <row r="1887" spans="1:9" hidden="1" x14ac:dyDescent="0.25">
      <c r="A1887" t="s">
        <v>1583</v>
      </c>
      <c r="B1887" t="s">
        <v>130</v>
      </c>
      <c r="C1887" s="2">
        <f>HYPERLINK("https://cao.dolgi.msk.ru/account/1080245415/", 1080245415)</f>
        <v>1080245415</v>
      </c>
      <c r="D1887" t="s">
        <v>1631</v>
      </c>
      <c r="E1887">
        <v>-7993.31</v>
      </c>
      <c r="F1887">
        <v>-0.94</v>
      </c>
      <c r="G1887" t="s">
        <v>12</v>
      </c>
      <c r="I1887" t="s">
        <v>1428</v>
      </c>
    </row>
    <row r="1888" spans="1:9" hidden="1" x14ac:dyDescent="0.25">
      <c r="A1888" t="s">
        <v>1583</v>
      </c>
      <c r="B1888" t="s">
        <v>132</v>
      </c>
      <c r="C1888" s="2">
        <f>HYPERLINK("https://cao.dolgi.msk.ru/account/1080245423/", 1080245423)</f>
        <v>1080245423</v>
      </c>
      <c r="D1888" t="s">
        <v>1632</v>
      </c>
      <c r="E1888">
        <v>-1924.98</v>
      </c>
      <c r="F1888">
        <v>-1.44</v>
      </c>
      <c r="G1888" t="s">
        <v>12</v>
      </c>
      <c r="I1888" t="s">
        <v>1428</v>
      </c>
    </row>
    <row r="1889" spans="1:9" hidden="1" x14ac:dyDescent="0.25">
      <c r="A1889" t="s">
        <v>1583</v>
      </c>
      <c r="B1889" t="s">
        <v>133</v>
      </c>
      <c r="C1889" s="2">
        <f>HYPERLINK("https://cao.dolgi.msk.ru/account/1080245431/", 1080245431)</f>
        <v>1080245431</v>
      </c>
      <c r="D1889" t="s">
        <v>1633</v>
      </c>
      <c r="E1889">
        <v>-4173.68</v>
      </c>
      <c r="F1889">
        <v>-1.1499999999999999</v>
      </c>
      <c r="G1889" t="s">
        <v>12</v>
      </c>
      <c r="I1889" t="s">
        <v>1428</v>
      </c>
    </row>
    <row r="1890" spans="1:9" hidden="1" x14ac:dyDescent="0.25">
      <c r="A1890" t="s">
        <v>1583</v>
      </c>
      <c r="B1890" t="s">
        <v>133</v>
      </c>
      <c r="C1890" s="2">
        <f>HYPERLINK("https://cao.dolgi.msk.ru/account/1080245458/", 1080245458)</f>
        <v>1080245458</v>
      </c>
      <c r="D1890" t="s">
        <v>1633</v>
      </c>
      <c r="E1890">
        <v>0</v>
      </c>
      <c r="G1890" t="s">
        <v>14</v>
      </c>
      <c r="I1890" t="s">
        <v>1428</v>
      </c>
    </row>
    <row r="1891" spans="1:9" hidden="1" x14ac:dyDescent="0.25">
      <c r="A1891" t="s">
        <v>1583</v>
      </c>
      <c r="B1891" t="s">
        <v>135</v>
      </c>
      <c r="C1891" s="2">
        <f>HYPERLINK("https://cao.dolgi.msk.ru/account/1080245466/", 1080245466)</f>
        <v>1080245466</v>
      </c>
      <c r="D1891" t="s">
        <v>1634</v>
      </c>
      <c r="E1891">
        <v>-5710.87</v>
      </c>
      <c r="F1891">
        <v>-1.06</v>
      </c>
      <c r="G1891" t="s">
        <v>12</v>
      </c>
      <c r="I1891" t="s">
        <v>1428</v>
      </c>
    </row>
    <row r="1892" spans="1:9" x14ac:dyDescent="0.25">
      <c r="A1892" t="s">
        <v>1583</v>
      </c>
      <c r="B1892" t="s">
        <v>137</v>
      </c>
      <c r="C1892" s="2">
        <f>HYPERLINK("https://cao.dolgi.msk.ru/account/1080245474/", 1080245474)</f>
        <v>1080245474</v>
      </c>
      <c r="D1892" t="s">
        <v>1635</v>
      </c>
      <c r="E1892">
        <v>8537.86</v>
      </c>
      <c r="F1892">
        <v>1.34</v>
      </c>
      <c r="G1892" t="s">
        <v>12</v>
      </c>
      <c r="I1892" t="s">
        <v>1428</v>
      </c>
    </row>
    <row r="1893" spans="1:9" hidden="1" x14ac:dyDescent="0.25">
      <c r="A1893" t="s">
        <v>1583</v>
      </c>
      <c r="B1893" t="s">
        <v>139</v>
      </c>
      <c r="C1893" s="2">
        <f>HYPERLINK("https://cao.dolgi.msk.ru/account/1080245482/", 1080245482)</f>
        <v>1080245482</v>
      </c>
      <c r="D1893" t="s">
        <v>1636</v>
      </c>
      <c r="E1893">
        <v>-3809.09</v>
      </c>
      <c r="F1893">
        <v>-1.0900000000000001</v>
      </c>
      <c r="G1893" t="s">
        <v>12</v>
      </c>
      <c r="I1893" t="s">
        <v>1428</v>
      </c>
    </row>
    <row r="1894" spans="1:9" hidden="1" x14ac:dyDescent="0.25">
      <c r="A1894" t="s">
        <v>1583</v>
      </c>
      <c r="B1894" t="s">
        <v>141</v>
      </c>
      <c r="C1894" s="2">
        <f>HYPERLINK("https://cao.dolgi.msk.ru/account/1080245503/", 1080245503)</f>
        <v>1080245503</v>
      </c>
      <c r="D1894" t="s">
        <v>1637</v>
      </c>
      <c r="E1894">
        <v>-6095.81</v>
      </c>
      <c r="F1894">
        <v>-1.0900000000000001</v>
      </c>
      <c r="G1894" t="s">
        <v>12</v>
      </c>
      <c r="I1894" t="s">
        <v>1428</v>
      </c>
    </row>
    <row r="1895" spans="1:9" hidden="1" x14ac:dyDescent="0.25">
      <c r="A1895" t="s">
        <v>1583</v>
      </c>
      <c r="B1895" t="s">
        <v>143</v>
      </c>
      <c r="C1895" s="2">
        <f>HYPERLINK("https://cao.dolgi.msk.ru/account/1080245511/", 1080245511)</f>
        <v>1080245511</v>
      </c>
      <c r="D1895" t="s">
        <v>1638</v>
      </c>
      <c r="E1895">
        <v>-17413.57</v>
      </c>
      <c r="F1895">
        <v>-3.73</v>
      </c>
      <c r="G1895" t="s">
        <v>12</v>
      </c>
      <c r="I1895" t="s">
        <v>1428</v>
      </c>
    </row>
    <row r="1896" spans="1:9" hidden="1" x14ac:dyDescent="0.25">
      <c r="A1896" t="s">
        <v>1583</v>
      </c>
      <c r="B1896" t="s">
        <v>145</v>
      </c>
      <c r="C1896" s="2">
        <f>HYPERLINK("https://cao.dolgi.msk.ru/account/1080245538/", 1080245538)</f>
        <v>1080245538</v>
      </c>
      <c r="D1896" t="s">
        <v>1639</v>
      </c>
      <c r="E1896">
        <v>0</v>
      </c>
      <c r="F1896">
        <v>0</v>
      </c>
      <c r="G1896" t="s">
        <v>12</v>
      </c>
      <c r="I1896" t="s">
        <v>1428</v>
      </c>
    </row>
    <row r="1897" spans="1:9" hidden="1" x14ac:dyDescent="0.25">
      <c r="A1897" t="s">
        <v>1583</v>
      </c>
      <c r="B1897" t="s">
        <v>147</v>
      </c>
      <c r="C1897" s="2">
        <f>HYPERLINK("https://cao.dolgi.msk.ru/account/1080245546/", 1080245546)</f>
        <v>1080245546</v>
      </c>
      <c r="D1897" t="s">
        <v>1640</v>
      </c>
      <c r="E1897">
        <v>-3098.47</v>
      </c>
      <c r="F1897">
        <v>-1.1100000000000001</v>
      </c>
      <c r="G1897" t="s">
        <v>12</v>
      </c>
      <c r="I1897" t="s">
        <v>1428</v>
      </c>
    </row>
    <row r="1898" spans="1:9" hidden="1" x14ac:dyDescent="0.25">
      <c r="A1898" t="s">
        <v>1583</v>
      </c>
      <c r="B1898" t="s">
        <v>147</v>
      </c>
      <c r="C1898" s="2">
        <f>HYPERLINK("https://cao.dolgi.msk.ru/account/1080325108/", 1080325108)</f>
        <v>1080325108</v>
      </c>
      <c r="D1898" t="s">
        <v>1640</v>
      </c>
      <c r="E1898">
        <v>-2458.6</v>
      </c>
      <c r="F1898">
        <v>-2.0299999999999998</v>
      </c>
      <c r="G1898" t="s">
        <v>12</v>
      </c>
      <c r="I1898" t="s">
        <v>1428</v>
      </c>
    </row>
    <row r="1899" spans="1:9" hidden="1" x14ac:dyDescent="0.25">
      <c r="A1899" t="s">
        <v>1583</v>
      </c>
      <c r="B1899" t="s">
        <v>149</v>
      </c>
      <c r="C1899" s="2">
        <f>HYPERLINK("https://cao.dolgi.msk.ru/account/1080245554/", 1080245554)</f>
        <v>1080245554</v>
      </c>
      <c r="D1899" t="s">
        <v>1641</v>
      </c>
      <c r="E1899">
        <v>-5243.66</v>
      </c>
      <c r="F1899">
        <v>-1.03</v>
      </c>
      <c r="G1899" t="s">
        <v>12</v>
      </c>
      <c r="I1899" t="s">
        <v>1428</v>
      </c>
    </row>
    <row r="1900" spans="1:9" hidden="1" x14ac:dyDescent="0.25">
      <c r="A1900" t="s">
        <v>1583</v>
      </c>
      <c r="B1900" t="s">
        <v>153</v>
      </c>
      <c r="C1900" s="2">
        <f>HYPERLINK("https://cao.dolgi.msk.ru/account/1080245589/", 1080245589)</f>
        <v>1080245589</v>
      </c>
      <c r="D1900" t="s">
        <v>1642</v>
      </c>
      <c r="E1900">
        <v>-5971.69</v>
      </c>
      <c r="F1900">
        <v>-1.08</v>
      </c>
      <c r="G1900" t="s">
        <v>12</v>
      </c>
      <c r="I1900" t="s">
        <v>1428</v>
      </c>
    </row>
    <row r="1901" spans="1:9" hidden="1" x14ac:dyDescent="0.25">
      <c r="A1901" t="s">
        <v>1583</v>
      </c>
      <c r="B1901" t="s">
        <v>155</v>
      </c>
      <c r="C1901" s="2">
        <f>HYPERLINK("https://cao.dolgi.msk.ru/account/1080245597/", 1080245597)</f>
        <v>1080245597</v>
      </c>
      <c r="D1901" t="s">
        <v>1643</v>
      </c>
      <c r="E1901">
        <v>-5327.12</v>
      </c>
      <c r="F1901">
        <v>-1.31</v>
      </c>
      <c r="G1901" t="s">
        <v>12</v>
      </c>
      <c r="I1901" t="s">
        <v>1428</v>
      </c>
    </row>
    <row r="1902" spans="1:9" hidden="1" x14ac:dyDescent="0.25">
      <c r="A1902" t="s">
        <v>1583</v>
      </c>
      <c r="B1902" t="s">
        <v>157</v>
      </c>
      <c r="C1902" s="2">
        <f>HYPERLINK("https://cao.dolgi.msk.ru/account/1080245618/", 1080245618)</f>
        <v>1080245618</v>
      </c>
      <c r="D1902" t="s">
        <v>1644</v>
      </c>
      <c r="E1902">
        <v>-2791.55</v>
      </c>
      <c r="F1902">
        <v>-1.1100000000000001</v>
      </c>
      <c r="G1902" t="s">
        <v>12</v>
      </c>
      <c r="I1902" t="s">
        <v>1428</v>
      </c>
    </row>
    <row r="1903" spans="1:9" hidden="1" x14ac:dyDescent="0.25">
      <c r="A1903" t="s">
        <v>1583</v>
      </c>
      <c r="B1903" t="s">
        <v>159</v>
      </c>
      <c r="C1903" s="2">
        <f>HYPERLINK("https://cao.dolgi.msk.ru/account/1080245626/", 1080245626)</f>
        <v>1080245626</v>
      </c>
      <c r="D1903" t="s">
        <v>15</v>
      </c>
      <c r="E1903">
        <v>-3473.84</v>
      </c>
      <c r="F1903">
        <v>-1.1299999999999999</v>
      </c>
      <c r="G1903" t="s">
        <v>12</v>
      </c>
      <c r="I1903" t="s">
        <v>1428</v>
      </c>
    </row>
    <row r="1904" spans="1:9" hidden="1" x14ac:dyDescent="0.25">
      <c r="A1904" t="s">
        <v>1583</v>
      </c>
      <c r="B1904" t="s">
        <v>161</v>
      </c>
      <c r="C1904" s="2">
        <f>HYPERLINK("https://cao.dolgi.msk.ru/account/1080245634/", 1080245634)</f>
        <v>1080245634</v>
      </c>
      <c r="D1904" t="s">
        <v>1645</v>
      </c>
      <c r="E1904">
        <v>-1044.27</v>
      </c>
      <c r="F1904">
        <v>-0.23</v>
      </c>
      <c r="G1904" t="s">
        <v>12</v>
      </c>
      <c r="I1904" t="s">
        <v>1428</v>
      </c>
    </row>
    <row r="1905" spans="1:9" hidden="1" x14ac:dyDescent="0.25">
      <c r="A1905" t="s">
        <v>1583</v>
      </c>
      <c r="B1905" t="s">
        <v>163</v>
      </c>
      <c r="C1905" s="2">
        <f>HYPERLINK("https://cao.dolgi.msk.ru/account/1080245642/", 1080245642)</f>
        <v>1080245642</v>
      </c>
      <c r="D1905" t="s">
        <v>1646</v>
      </c>
      <c r="E1905">
        <v>0</v>
      </c>
      <c r="F1905">
        <v>0</v>
      </c>
      <c r="G1905" t="s">
        <v>12</v>
      </c>
      <c r="I1905" t="s">
        <v>1428</v>
      </c>
    </row>
    <row r="1906" spans="1:9" hidden="1" x14ac:dyDescent="0.25">
      <c r="A1906" t="s">
        <v>1583</v>
      </c>
      <c r="B1906" t="s">
        <v>571</v>
      </c>
      <c r="C1906" s="2">
        <f>HYPERLINK("https://cao.dolgi.msk.ru/account/1080245669/", 1080245669)</f>
        <v>1080245669</v>
      </c>
      <c r="D1906" t="s">
        <v>1647</v>
      </c>
      <c r="E1906">
        <v>-2077.63</v>
      </c>
      <c r="F1906">
        <v>-1.18</v>
      </c>
      <c r="G1906" t="s">
        <v>12</v>
      </c>
      <c r="I1906" t="s">
        <v>1428</v>
      </c>
    </row>
    <row r="1907" spans="1:9" hidden="1" x14ac:dyDescent="0.25">
      <c r="A1907" t="s">
        <v>1583</v>
      </c>
      <c r="B1907" t="s">
        <v>682</v>
      </c>
      <c r="C1907" s="2">
        <f>HYPERLINK("https://cao.dolgi.msk.ru/account/1080245677/", 1080245677)</f>
        <v>1080245677</v>
      </c>
      <c r="D1907" t="s">
        <v>1648</v>
      </c>
      <c r="E1907">
        <v>-5702.08</v>
      </c>
      <c r="F1907">
        <v>-1.02</v>
      </c>
      <c r="G1907" t="s">
        <v>12</v>
      </c>
      <c r="I1907" t="s">
        <v>1428</v>
      </c>
    </row>
    <row r="1908" spans="1:9" hidden="1" x14ac:dyDescent="0.25">
      <c r="A1908" t="s">
        <v>1583</v>
      </c>
      <c r="B1908" t="s">
        <v>578</v>
      </c>
      <c r="C1908" s="2">
        <f>HYPERLINK("https://cao.dolgi.msk.ru/account/1080245685/", 1080245685)</f>
        <v>1080245685</v>
      </c>
      <c r="D1908" t="s">
        <v>1649</v>
      </c>
      <c r="E1908">
        <v>-2043.66</v>
      </c>
      <c r="F1908">
        <v>-1.1599999999999999</v>
      </c>
      <c r="G1908" t="s">
        <v>12</v>
      </c>
      <c r="I1908" t="s">
        <v>1428</v>
      </c>
    </row>
    <row r="1909" spans="1:9" hidden="1" x14ac:dyDescent="0.25">
      <c r="A1909" t="s">
        <v>1583</v>
      </c>
      <c r="B1909" t="s">
        <v>578</v>
      </c>
      <c r="C1909" s="2">
        <f>HYPERLINK("https://cao.dolgi.msk.ru/account/1083283652/", 1083283652)</f>
        <v>1083283652</v>
      </c>
      <c r="D1909" t="s">
        <v>15</v>
      </c>
      <c r="E1909">
        <v>-3603.86</v>
      </c>
      <c r="F1909">
        <v>-1.1599999999999999</v>
      </c>
      <c r="G1909" t="s">
        <v>12</v>
      </c>
      <c r="I1909" t="s">
        <v>1428</v>
      </c>
    </row>
    <row r="1910" spans="1:9" hidden="1" x14ac:dyDescent="0.25">
      <c r="A1910" t="s">
        <v>1583</v>
      </c>
      <c r="B1910" t="s">
        <v>580</v>
      </c>
      <c r="C1910" s="2">
        <f>HYPERLINK("https://cao.dolgi.msk.ru/account/1080245693/", 1080245693)</f>
        <v>1080245693</v>
      </c>
      <c r="D1910" t="s">
        <v>1650</v>
      </c>
      <c r="E1910">
        <v>-4281.16</v>
      </c>
      <c r="F1910">
        <v>-1.1399999999999999</v>
      </c>
      <c r="G1910" t="s">
        <v>12</v>
      </c>
      <c r="I1910" t="s">
        <v>1428</v>
      </c>
    </row>
    <row r="1911" spans="1:9" hidden="1" x14ac:dyDescent="0.25">
      <c r="A1911" t="s">
        <v>1583</v>
      </c>
      <c r="B1911" t="s">
        <v>686</v>
      </c>
      <c r="C1911" s="2">
        <f>HYPERLINK("https://cao.dolgi.msk.ru/account/1080245706/", 1080245706)</f>
        <v>1080245706</v>
      </c>
      <c r="D1911" t="s">
        <v>1651</v>
      </c>
      <c r="E1911">
        <v>-9657.61</v>
      </c>
      <c r="F1911">
        <v>-0.95</v>
      </c>
      <c r="G1911" t="s">
        <v>12</v>
      </c>
      <c r="I1911" t="s">
        <v>1428</v>
      </c>
    </row>
    <row r="1912" spans="1:9" x14ac:dyDescent="0.25">
      <c r="A1912" t="s">
        <v>1583</v>
      </c>
      <c r="B1912" t="s">
        <v>582</v>
      </c>
      <c r="C1912" s="2">
        <f>HYPERLINK("https://cao.dolgi.msk.ru/account/1080245714/", 1080245714)</f>
        <v>1080245714</v>
      </c>
      <c r="D1912" t="s">
        <v>1652</v>
      </c>
      <c r="E1912">
        <v>7830.2</v>
      </c>
      <c r="F1912">
        <v>2.2599999999999998</v>
      </c>
      <c r="G1912" t="s">
        <v>12</v>
      </c>
      <c r="I1912" t="s">
        <v>1428</v>
      </c>
    </row>
    <row r="1913" spans="1:9" hidden="1" x14ac:dyDescent="0.25">
      <c r="A1913" t="s">
        <v>1583</v>
      </c>
      <c r="B1913" t="s">
        <v>584</v>
      </c>
      <c r="C1913" s="2">
        <f>HYPERLINK("https://cao.dolgi.msk.ru/account/1080245722/", 1080245722)</f>
        <v>1080245722</v>
      </c>
      <c r="D1913" t="s">
        <v>1653</v>
      </c>
      <c r="E1913">
        <v>0</v>
      </c>
      <c r="F1913">
        <v>0</v>
      </c>
      <c r="G1913" t="s">
        <v>12</v>
      </c>
      <c r="I1913" t="s">
        <v>1428</v>
      </c>
    </row>
    <row r="1914" spans="1:9" hidden="1" x14ac:dyDescent="0.25">
      <c r="A1914" t="s">
        <v>1583</v>
      </c>
      <c r="B1914" t="s">
        <v>586</v>
      </c>
      <c r="C1914" s="2">
        <f>HYPERLINK("https://cao.dolgi.msk.ru/account/1080245749/", 1080245749)</f>
        <v>1080245749</v>
      </c>
      <c r="D1914" t="s">
        <v>1654</v>
      </c>
      <c r="E1914">
        <v>-3855.46</v>
      </c>
      <c r="F1914">
        <v>-1.23</v>
      </c>
      <c r="G1914" t="s">
        <v>12</v>
      </c>
      <c r="I1914" t="s">
        <v>1428</v>
      </c>
    </row>
    <row r="1915" spans="1:9" hidden="1" x14ac:dyDescent="0.25">
      <c r="A1915" t="s">
        <v>1583</v>
      </c>
      <c r="B1915" t="s">
        <v>588</v>
      </c>
      <c r="C1915" s="2">
        <f>HYPERLINK("https://cao.dolgi.msk.ru/account/1080245757/", 1080245757)</f>
        <v>1080245757</v>
      </c>
      <c r="D1915" t="s">
        <v>1655</v>
      </c>
      <c r="E1915">
        <v>-4880.83</v>
      </c>
      <c r="F1915">
        <v>-1.1399999999999999</v>
      </c>
      <c r="G1915" t="s">
        <v>12</v>
      </c>
      <c r="I1915" t="s">
        <v>1428</v>
      </c>
    </row>
    <row r="1916" spans="1:9" hidden="1" x14ac:dyDescent="0.25">
      <c r="A1916" t="s">
        <v>1583</v>
      </c>
      <c r="B1916" t="s">
        <v>590</v>
      </c>
      <c r="C1916" s="2">
        <f>HYPERLINK("https://cao.dolgi.msk.ru/account/1080245765/", 1080245765)</f>
        <v>1080245765</v>
      </c>
      <c r="D1916" t="s">
        <v>1656</v>
      </c>
      <c r="E1916">
        <v>-1888.73</v>
      </c>
      <c r="F1916">
        <v>-1.19</v>
      </c>
      <c r="G1916" t="s">
        <v>12</v>
      </c>
      <c r="I1916" t="s">
        <v>1428</v>
      </c>
    </row>
    <row r="1917" spans="1:9" hidden="1" x14ac:dyDescent="0.25">
      <c r="A1917" t="s">
        <v>1657</v>
      </c>
      <c r="B1917" t="s">
        <v>10</v>
      </c>
      <c r="C1917" s="2">
        <f>HYPERLINK("https://cao.dolgi.msk.ru/account/1080245773/", 1080245773)</f>
        <v>1080245773</v>
      </c>
      <c r="D1917" t="s">
        <v>1658</v>
      </c>
      <c r="E1917">
        <v>-7373.39</v>
      </c>
      <c r="F1917">
        <v>-0.94</v>
      </c>
      <c r="G1917" t="s">
        <v>12</v>
      </c>
      <c r="I1917" t="s">
        <v>1428</v>
      </c>
    </row>
    <row r="1918" spans="1:9" hidden="1" x14ac:dyDescent="0.25">
      <c r="A1918" t="s">
        <v>1657</v>
      </c>
      <c r="B1918" t="s">
        <v>16</v>
      </c>
      <c r="C1918" s="2">
        <f>HYPERLINK("https://cao.dolgi.msk.ru/account/1080245781/", 1080245781)</f>
        <v>1080245781</v>
      </c>
      <c r="D1918" t="s">
        <v>1659</v>
      </c>
      <c r="E1918">
        <v>0</v>
      </c>
      <c r="F1918">
        <v>0</v>
      </c>
      <c r="G1918" t="s">
        <v>12</v>
      </c>
      <c r="I1918" t="s">
        <v>1428</v>
      </c>
    </row>
    <row r="1919" spans="1:9" hidden="1" x14ac:dyDescent="0.25">
      <c r="A1919" t="s">
        <v>1657</v>
      </c>
      <c r="B1919" t="s">
        <v>18</v>
      </c>
      <c r="C1919" s="2">
        <f>HYPERLINK("https://cao.dolgi.msk.ru/account/1080245802/", 1080245802)</f>
        <v>1080245802</v>
      </c>
      <c r="D1919" t="s">
        <v>1660</v>
      </c>
      <c r="E1919">
        <v>-5299.08</v>
      </c>
      <c r="F1919">
        <v>-1.07</v>
      </c>
      <c r="G1919" t="s">
        <v>12</v>
      </c>
      <c r="I1919" t="s">
        <v>1428</v>
      </c>
    </row>
    <row r="1920" spans="1:9" hidden="1" x14ac:dyDescent="0.25">
      <c r="A1920" t="s">
        <v>1657</v>
      </c>
      <c r="B1920" t="s">
        <v>20</v>
      </c>
      <c r="C1920" s="2">
        <f>HYPERLINK("https://cao.dolgi.msk.ru/account/1080245829/", 1080245829)</f>
        <v>1080245829</v>
      </c>
      <c r="D1920" t="s">
        <v>1661</v>
      </c>
      <c r="E1920">
        <v>-6484.46</v>
      </c>
      <c r="F1920">
        <v>-1.06</v>
      </c>
      <c r="G1920" t="s">
        <v>12</v>
      </c>
      <c r="I1920" t="s">
        <v>1428</v>
      </c>
    </row>
    <row r="1921" spans="1:9" hidden="1" x14ac:dyDescent="0.25">
      <c r="A1921" t="s">
        <v>1657</v>
      </c>
      <c r="B1921" t="s">
        <v>21</v>
      </c>
      <c r="C1921" s="2">
        <f>HYPERLINK("https://cao.dolgi.msk.ru/account/1080245837/", 1080245837)</f>
        <v>1080245837</v>
      </c>
      <c r="D1921" t="s">
        <v>1662</v>
      </c>
      <c r="E1921">
        <v>0</v>
      </c>
      <c r="F1921">
        <v>0</v>
      </c>
      <c r="G1921" t="s">
        <v>12</v>
      </c>
      <c r="I1921" t="s">
        <v>1428</v>
      </c>
    </row>
    <row r="1922" spans="1:9" x14ac:dyDescent="0.25">
      <c r="A1922" t="s">
        <v>1657</v>
      </c>
      <c r="B1922" t="s">
        <v>22</v>
      </c>
      <c r="C1922" s="2">
        <f>HYPERLINK("https://cao.dolgi.msk.ru/account/1080245845/", 1080245845)</f>
        <v>1080245845</v>
      </c>
      <c r="D1922" t="s">
        <v>1663</v>
      </c>
      <c r="E1922">
        <v>28728.18</v>
      </c>
      <c r="F1922">
        <v>7.22</v>
      </c>
      <c r="G1922" t="s">
        <v>12</v>
      </c>
      <c r="I1922" t="s">
        <v>1428</v>
      </c>
    </row>
    <row r="1923" spans="1:9" hidden="1" x14ac:dyDescent="0.25">
      <c r="A1923" t="s">
        <v>1657</v>
      </c>
      <c r="B1923" t="s">
        <v>23</v>
      </c>
      <c r="C1923" s="2">
        <f>HYPERLINK("https://cao.dolgi.msk.ru/account/1080245853/", 1080245853)</f>
        <v>1080245853</v>
      </c>
      <c r="D1923" t="s">
        <v>1664</v>
      </c>
      <c r="E1923">
        <v>-2892.94</v>
      </c>
      <c r="F1923">
        <v>-0.49</v>
      </c>
      <c r="G1923" t="s">
        <v>12</v>
      </c>
      <c r="I1923" t="s">
        <v>1428</v>
      </c>
    </row>
    <row r="1924" spans="1:9" hidden="1" x14ac:dyDescent="0.25">
      <c r="A1924" t="s">
        <v>1657</v>
      </c>
      <c r="B1924" t="s">
        <v>24</v>
      </c>
      <c r="C1924" s="2">
        <f>HYPERLINK("https://cao.dolgi.msk.ru/account/1080245861/", 1080245861)</f>
        <v>1080245861</v>
      </c>
      <c r="D1924" t="s">
        <v>1665</v>
      </c>
      <c r="E1924">
        <v>-3633.27</v>
      </c>
      <c r="F1924">
        <v>-0.45</v>
      </c>
      <c r="G1924" t="s">
        <v>12</v>
      </c>
      <c r="I1924" t="s">
        <v>1428</v>
      </c>
    </row>
    <row r="1925" spans="1:9" hidden="1" x14ac:dyDescent="0.25">
      <c r="A1925" t="s">
        <v>1657</v>
      </c>
      <c r="B1925" t="s">
        <v>27</v>
      </c>
      <c r="C1925" s="2">
        <f>HYPERLINK("https://cao.dolgi.msk.ru/account/1080245888/", 1080245888)</f>
        <v>1080245888</v>
      </c>
      <c r="D1925" t="s">
        <v>1666</v>
      </c>
      <c r="E1925">
        <v>-7591.36</v>
      </c>
      <c r="F1925">
        <v>-0.97</v>
      </c>
      <c r="G1925" t="s">
        <v>12</v>
      </c>
      <c r="I1925" t="s">
        <v>1428</v>
      </c>
    </row>
    <row r="1926" spans="1:9" hidden="1" x14ac:dyDescent="0.25">
      <c r="A1926" t="s">
        <v>1657</v>
      </c>
      <c r="B1926" t="s">
        <v>29</v>
      </c>
      <c r="C1926" s="2">
        <f>HYPERLINK("https://cao.dolgi.msk.ru/account/1080245896/", 1080245896)</f>
        <v>1080245896</v>
      </c>
      <c r="D1926" t="s">
        <v>1667</v>
      </c>
      <c r="E1926">
        <v>-5495.62</v>
      </c>
      <c r="F1926">
        <v>-0.97</v>
      </c>
      <c r="G1926" t="s">
        <v>12</v>
      </c>
      <c r="I1926" t="s">
        <v>1428</v>
      </c>
    </row>
    <row r="1927" spans="1:9" hidden="1" x14ac:dyDescent="0.25">
      <c r="A1927" t="s">
        <v>1657</v>
      </c>
      <c r="B1927" t="s">
        <v>31</v>
      </c>
      <c r="C1927" s="2">
        <f>HYPERLINK("https://cao.dolgi.msk.ru/account/1080245909/", 1080245909)</f>
        <v>1080245909</v>
      </c>
      <c r="D1927" t="s">
        <v>15</v>
      </c>
      <c r="E1927">
        <v>2028.83</v>
      </c>
      <c r="F1927">
        <v>0.36</v>
      </c>
      <c r="G1927" t="s">
        <v>12</v>
      </c>
      <c r="H1927" t="s">
        <v>7</v>
      </c>
      <c r="I1927" t="s">
        <v>1428</v>
      </c>
    </row>
    <row r="1928" spans="1:9" hidden="1" x14ac:dyDescent="0.25">
      <c r="A1928" t="s">
        <v>1657</v>
      </c>
      <c r="B1928" t="s">
        <v>31</v>
      </c>
      <c r="C1928" s="2">
        <f>HYPERLINK("https://cao.dolgi.msk.ru/account/1080245917/", 1080245917)</f>
        <v>1080245917</v>
      </c>
      <c r="D1928" t="s">
        <v>1668</v>
      </c>
      <c r="E1928">
        <v>0.64</v>
      </c>
      <c r="F1928">
        <v>0</v>
      </c>
      <c r="G1928" t="s">
        <v>12</v>
      </c>
      <c r="H1928" t="s">
        <v>7</v>
      </c>
      <c r="I1928" t="s">
        <v>1428</v>
      </c>
    </row>
    <row r="1929" spans="1:9" hidden="1" x14ac:dyDescent="0.25">
      <c r="A1929" t="s">
        <v>1657</v>
      </c>
      <c r="B1929" t="s">
        <v>31</v>
      </c>
      <c r="C1929" s="2">
        <f>HYPERLINK("https://cao.dolgi.msk.ru/account/1080245925/", 1080245925)</f>
        <v>1080245925</v>
      </c>
      <c r="D1929" t="s">
        <v>15</v>
      </c>
      <c r="E1929">
        <v>-1582.6</v>
      </c>
      <c r="F1929">
        <v>-0.68</v>
      </c>
      <c r="G1929" t="s">
        <v>12</v>
      </c>
      <c r="H1929" t="s">
        <v>7</v>
      </c>
      <c r="I1929" t="s">
        <v>1428</v>
      </c>
    </row>
    <row r="1930" spans="1:9" hidden="1" x14ac:dyDescent="0.25">
      <c r="A1930" t="s">
        <v>1657</v>
      </c>
      <c r="B1930" t="s">
        <v>33</v>
      </c>
      <c r="C1930" s="2">
        <f>HYPERLINK("https://cao.dolgi.msk.ru/account/1080245933/", 1080245933)</f>
        <v>1080245933</v>
      </c>
      <c r="D1930" t="s">
        <v>1669</v>
      </c>
      <c r="E1930">
        <v>-1149.1400000000001</v>
      </c>
      <c r="F1930">
        <v>-0.22</v>
      </c>
      <c r="G1930" t="s">
        <v>12</v>
      </c>
      <c r="I1930" t="s">
        <v>1428</v>
      </c>
    </row>
    <row r="1931" spans="1:9" hidden="1" x14ac:dyDescent="0.25">
      <c r="A1931" t="s">
        <v>1657</v>
      </c>
      <c r="B1931" t="s">
        <v>34</v>
      </c>
      <c r="C1931" s="2">
        <f>HYPERLINK("https://cao.dolgi.msk.ru/account/1080245941/", 1080245941)</f>
        <v>1080245941</v>
      </c>
      <c r="D1931" t="s">
        <v>1670</v>
      </c>
      <c r="E1931">
        <v>0</v>
      </c>
      <c r="F1931">
        <v>0</v>
      </c>
      <c r="G1931" t="s">
        <v>12</v>
      </c>
      <c r="I1931" t="s">
        <v>1428</v>
      </c>
    </row>
    <row r="1932" spans="1:9" hidden="1" x14ac:dyDescent="0.25">
      <c r="A1932" t="s">
        <v>1657</v>
      </c>
      <c r="B1932" t="s">
        <v>36</v>
      </c>
      <c r="C1932" s="2">
        <f>HYPERLINK("https://cao.dolgi.msk.ru/account/1080245968/", 1080245968)</f>
        <v>1080245968</v>
      </c>
      <c r="D1932" t="s">
        <v>1671</v>
      </c>
      <c r="E1932">
        <v>0</v>
      </c>
      <c r="F1932">
        <v>0</v>
      </c>
      <c r="G1932" t="s">
        <v>12</v>
      </c>
      <c r="I1932" t="s">
        <v>1428</v>
      </c>
    </row>
    <row r="1933" spans="1:9" hidden="1" x14ac:dyDescent="0.25">
      <c r="A1933" t="s">
        <v>1657</v>
      </c>
      <c r="B1933" t="s">
        <v>38</v>
      </c>
      <c r="C1933" s="2">
        <f>HYPERLINK("https://cao.dolgi.msk.ru/account/1080245976/", 1080245976)</f>
        <v>1080245976</v>
      </c>
      <c r="D1933" t="s">
        <v>1672</v>
      </c>
      <c r="E1933">
        <v>0</v>
      </c>
      <c r="F1933">
        <v>0</v>
      </c>
      <c r="G1933" t="s">
        <v>12</v>
      </c>
      <c r="I1933" t="s">
        <v>1428</v>
      </c>
    </row>
    <row r="1934" spans="1:9" hidden="1" x14ac:dyDescent="0.25">
      <c r="A1934" t="s">
        <v>1657</v>
      </c>
      <c r="B1934" t="s">
        <v>39</v>
      </c>
      <c r="C1934" s="2">
        <f>HYPERLINK("https://cao.dolgi.msk.ru/account/1080245984/", 1080245984)</f>
        <v>1080245984</v>
      </c>
      <c r="D1934" t="s">
        <v>1673</v>
      </c>
      <c r="E1934">
        <v>-25742.7</v>
      </c>
      <c r="F1934">
        <v>-3.35</v>
      </c>
      <c r="G1934" t="s">
        <v>12</v>
      </c>
      <c r="I1934" t="s">
        <v>1428</v>
      </c>
    </row>
    <row r="1935" spans="1:9" hidden="1" x14ac:dyDescent="0.25">
      <c r="A1935" t="s">
        <v>1657</v>
      </c>
      <c r="B1935" t="s">
        <v>40</v>
      </c>
      <c r="C1935" s="2">
        <f>HYPERLINK("https://cao.dolgi.msk.ru/account/1080245992/", 1080245992)</f>
        <v>1080245992</v>
      </c>
      <c r="D1935" t="s">
        <v>1674</v>
      </c>
      <c r="E1935">
        <v>-8689.65</v>
      </c>
      <c r="F1935">
        <v>-1.19</v>
      </c>
      <c r="G1935" t="s">
        <v>12</v>
      </c>
      <c r="I1935" t="s">
        <v>1428</v>
      </c>
    </row>
    <row r="1936" spans="1:9" hidden="1" x14ac:dyDescent="0.25">
      <c r="A1936" t="s">
        <v>1657</v>
      </c>
      <c r="B1936" t="s">
        <v>41</v>
      </c>
      <c r="C1936" s="2">
        <f>HYPERLINK("https://cao.dolgi.msk.ru/account/1080246004/", 1080246004)</f>
        <v>1080246004</v>
      </c>
      <c r="D1936" t="s">
        <v>1675</v>
      </c>
      <c r="E1936">
        <v>0</v>
      </c>
      <c r="F1936">
        <v>0</v>
      </c>
      <c r="G1936" t="s">
        <v>12</v>
      </c>
      <c r="I1936" t="s">
        <v>1428</v>
      </c>
    </row>
    <row r="1937" spans="1:9" hidden="1" x14ac:dyDescent="0.25">
      <c r="A1937" t="s">
        <v>1657</v>
      </c>
      <c r="B1937" t="s">
        <v>42</v>
      </c>
      <c r="C1937" s="2">
        <f>HYPERLINK("https://cao.dolgi.msk.ru/account/1080246012/", 1080246012)</f>
        <v>1080246012</v>
      </c>
      <c r="D1937" t="s">
        <v>1676</v>
      </c>
      <c r="E1937">
        <v>-1529.39</v>
      </c>
      <c r="F1937">
        <v>-0.23</v>
      </c>
      <c r="G1937" t="s">
        <v>12</v>
      </c>
      <c r="I1937" t="s">
        <v>1428</v>
      </c>
    </row>
    <row r="1938" spans="1:9" hidden="1" x14ac:dyDescent="0.25">
      <c r="A1938" t="s">
        <v>1657</v>
      </c>
      <c r="B1938" t="s">
        <v>44</v>
      </c>
      <c r="C1938" s="2">
        <f>HYPERLINK("https://cao.dolgi.msk.ru/account/1080246039/", 1080246039)</f>
        <v>1080246039</v>
      </c>
      <c r="D1938" t="s">
        <v>1677</v>
      </c>
      <c r="E1938">
        <v>-2896.34</v>
      </c>
      <c r="F1938">
        <v>-1.0900000000000001</v>
      </c>
      <c r="G1938" t="s">
        <v>12</v>
      </c>
      <c r="I1938" t="s">
        <v>1428</v>
      </c>
    </row>
    <row r="1939" spans="1:9" hidden="1" x14ac:dyDescent="0.25">
      <c r="A1939" t="s">
        <v>1657</v>
      </c>
      <c r="B1939" t="s">
        <v>66</v>
      </c>
      <c r="C1939" s="2">
        <f>HYPERLINK("https://cao.dolgi.msk.ru/account/1080246047/", 1080246047)</f>
        <v>1080246047</v>
      </c>
      <c r="D1939" t="s">
        <v>1678</v>
      </c>
      <c r="E1939">
        <v>-7172.58</v>
      </c>
      <c r="F1939">
        <v>-1.03</v>
      </c>
      <c r="G1939" t="s">
        <v>12</v>
      </c>
      <c r="I1939" t="s">
        <v>1428</v>
      </c>
    </row>
    <row r="1940" spans="1:9" hidden="1" x14ac:dyDescent="0.25">
      <c r="A1940" t="s">
        <v>1657</v>
      </c>
      <c r="B1940" t="s">
        <v>68</v>
      </c>
      <c r="C1940" s="2">
        <f>HYPERLINK("https://cao.dolgi.msk.ru/account/1080246055/", 1080246055)</f>
        <v>1080246055</v>
      </c>
      <c r="D1940" t="s">
        <v>1679</v>
      </c>
      <c r="E1940">
        <v>-10816.7</v>
      </c>
      <c r="F1940">
        <v>-1.06</v>
      </c>
      <c r="G1940" t="s">
        <v>12</v>
      </c>
      <c r="I1940" t="s">
        <v>1428</v>
      </c>
    </row>
    <row r="1941" spans="1:9" hidden="1" x14ac:dyDescent="0.25">
      <c r="A1941" t="s">
        <v>1657</v>
      </c>
      <c r="B1941" t="s">
        <v>70</v>
      </c>
      <c r="C1941" s="2">
        <f>HYPERLINK("https://cao.dolgi.msk.ru/account/1080246063/", 1080246063)</f>
        <v>1080246063</v>
      </c>
      <c r="D1941" t="s">
        <v>1680</v>
      </c>
      <c r="E1941">
        <v>-8613.2099999999991</v>
      </c>
      <c r="F1941">
        <v>-0.97</v>
      </c>
      <c r="G1941" t="s">
        <v>12</v>
      </c>
      <c r="I1941" t="s">
        <v>1428</v>
      </c>
    </row>
    <row r="1942" spans="1:9" hidden="1" x14ac:dyDescent="0.25">
      <c r="A1942" t="s">
        <v>1657</v>
      </c>
      <c r="B1942" t="s">
        <v>70</v>
      </c>
      <c r="C1942" s="2">
        <f>HYPERLINK("https://cao.dolgi.msk.ru/account/1080246071/", 1080246071)</f>
        <v>1080246071</v>
      </c>
      <c r="D1942" t="s">
        <v>1681</v>
      </c>
      <c r="E1942">
        <v>-1631.8</v>
      </c>
      <c r="G1942" t="s">
        <v>14</v>
      </c>
      <c r="I1942" t="s">
        <v>1428</v>
      </c>
    </row>
    <row r="1943" spans="1:9" hidden="1" x14ac:dyDescent="0.25">
      <c r="A1943" t="s">
        <v>1657</v>
      </c>
      <c r="B1943" t="s">
        <v>70</v>
      </c>
      <c r="C1943" s="2">
        <f>HYPERLINK("https://cao.dolgi.msk.ru/account/1080246098/", 1080246098)</f>
        <v>1080246098</v>
      </c>
      <c r="D1943" t="s">
        <v>1681</v>
      </c>
      <c r="E1943">
        <v>0</v>
      </c>
      <c r="G1943" t="s">
        <v>14</v>
      </c>
      <c r="I1943" t="s">
        <v>1428</v>
      </c>
    </row>
    <row r="1944" spans="1:9" hidden="1" x14ac:dyDescent="0.25">
      <c r="A1944" t="s">
        <v>1657</v>
      </c>
      <c r="B1944" t="s">
        <v>72</v>
      </c>
      <c r="C1944" s="2">
        <f>HYPERLINK("https://cao.dolgi.msk.ru/account/1080246119/", 1080246119)</f>
        <v>1080246119</v>
      </c>
      <c r="D1944" t="s">
        <v>1682</v>
      </c>
      <c r="E1944">
        <v>-10698.73</v>
      </c>
      <c r="F1944">
        <v>-1.03</v>
      </c>
      <c r="G1944" t="s">
        <v>12</v>
      </c>
      <c r="I1944" t="s">
        <v>1428</v>
      </c>
    </row>
    <row r="1945" spans="1:9" hidden="1" x14ac:dyDescent="0.25">
      <c r="A1945" t="s">
        <v>1657</v>
      </c>
      <c r="B1945" t="s">
        <v>72</v>
      </c>
      <c r="C1945" s="2">
        <f>HYPERLINK("https://cao.dolgi.msk.ru/account/1080325263/", 1080325263)</f>
        <v>1080325263</v>
      </c>
      <c r="D1945" t="s">
        <v>15</v>
      </c>
      <c r="G1945" t="s">
        <v>14</v>
      </c>
      <c r="I1945" t="s">
        <v>1428</v>
      </c>
    </row>
    <row r="1946" spans="1:9" hidden="1" x14ac:dyDescent="0.25">
      <c r="A1946" t="s">
        <v>1657</v>
      </c>
      <c r="B1946" t="s">
        <v>74</v>
      </c>
      <c r="C1946" s="2">
        <f>HYPERLINK("https://cao.dolgi.msk.ru/account/1080246127/", 1080246127)</f>
        <v>1080246127</v>
      </c>
      <c r="D1946" t="s">
        <v>1683</v>
      </c>
      <c r="E1946">
        <v>-319.82</v>
      </c>
      <c r="F1946">
        <v>-0.05</v>
      </c>
      <c r="G1946" t="s">
        <v>12</v>
      </c>
      <c r="I1946" t="s">
        <v>1428</v>
      </c>
    </row>
    <row r="1947" spans="1:9" hidden="1" x14ac:dyDescent="0.25">
      <c r="A1947" t="s">
        <v>1657</v>
      </c>
      <c r="B1947" t="s">
        <v>76</v>
      </c>
      <c r="C1947" s="2">
        <f>HYPERLINK("https://cao.dolgi.msk.ru/account/1080246135/", 1080246135)</f>
        <v>1080246135</v>
      </c>
      <c r="D1947" t="s">
        <v>15</v>
      </c>
      <c r="E1947">
        <v>-10045.41</v>
      </c>
      <c r="F1947">
        <v>-0.82</v>
      </c>
      <c r="G1947" t="s">
        <v>12</v>
      </c>
      <c r="I1947" t="s">
        <v>1428</v>
      </c>
    </row>
    <row r="1948" spans="1:9" hidden="1" x14ac:dyDescent="0.25">
      <c r="A1948" t="s">
        <v>1657</v>
      </c>
      <c r="B1948" t="s">
        <v>78</v>
      </c>
      <c r="C1948" s="2">
        <f>HYPERLINK("https://cao.dolgi.msk.ru/account/1080246143/", 1080246143)</f>
        <v>1080246143</v>
      </c>
      <c r="D1948" t="s">
        <v>1684</v>
      </c>
      <c r="E1948">
        <v>0</v>
      </c>
      <c r="F1948">
        <v>0</v>
      </c>
      <c r="G1948" t="s">
        <v>12</v>
      </c>
      <c r="I1948" t="s">
        <v>1428</v>
      </c>
    </row>
    <row r="1949" spans="1:9" hidden="1" x14ac:dyDescent="0.25">
      <c r="A1949" t="s">
        <v>1657</v>
      </c>
      <c r="B1949" t="s">
        <v>80</v>
      </c>
      <c r="C1949" s="2">
        <f>HYPERLINK("https://cao.dolgi.msk.ru/account/1080246151/", 1080246151)</f>
        <v>1080246151</v>
      </c>
      <c r="D1949" t="s">
        <v>1685</v>
      </c>
      <c r="E1949">
        <v>-9085.3700000000008</v>
      </c>
      <c r="F1949">
        <v>-0.73</v>
      </c>
      <c r="G1949" t="s">
        <v>12</v>
      </c>
      <c r="I1949" t="s">
        <v>1428</v>
      </c>
    </row>
    <row r="1950" spans="1:9" hidden="1" x14ac:dyDescent="0.25">
      <c r="A1950" t="s">
        <v>1657</v>
      </c>
      <c r="B1950" t="s">
        <v>82</v>
      </c>
      <c r="C1950" s="2">
        <f>HYPERLINK("https://cao.dolgi.msk.ru/account/1080246178/", 1080246178)</f>
        <v>1080246178</v>
      </c>
      <c r="D1950" t="s">
        <v>1686</v>
      </c>
      <c r="E1950">
        <v>-362.35</v>
      </c>
      <c r="F1950">
        <v>-0.1</v>
      </c>
      <c r="G1950" t="s">
        <v>12</v>
      </c>
      <c r="I1950" t="s">
        <v>1428</v>
      </c>
    </row>
    <row r="1951" spans="1:9" hidden="1" x14ac:dyDescent="0.25">
      <c r="A1951" t="s">
        <v>1657</v>
      </c>
      <c r="B1951" t="s">
        <v>82</v>
      </c>
      <c r="C1951" s="2">
        <f>HYPERLINK("https://cao.dolgi.msk.ru/account/1083271264/", 1083271264)</f>
        <v>1083271264</v>
      </c>
      <c r="D1951" t="s">
        <v>1686</v>
      </c>
      <c r="E1951">
        <v>-2579.81</v>
      </c>
      <c r="F1951">
        <v>-1.04</v>
      </c>
      <c r="G1951" t="s">
        <v>12</v>
      </c>
      <c r="I1951" t="s">
        <v>1428</v>
      </c>
    </row>
    <row r="1952" spans="1:9" hidden="1" x14ac:dyDescent="0.25">
      <c r="A1952" t="s">
        <v>1657</v>
      </c>
      <c r="B1952" t="s">
        <v>82</v>
      </c>
      <c r="C1952" s="2">
        <f>HYPERLINK("https://cao.dolgi.msk.ru/account/1083273497/", 1083273497)</f>
        <v>1083273497</v>
      </c>
      <c r="D1952" t="s">
        <v>15</v>
      </c>
      <c r="E1952">
        <v>0</v>
      </c>
      <c r="F1952">
        <v>0</v>
      </c>
      <c r="G1952" t="s">
        <v>12</v>
      </c>
      <c r="I1952" t="s">
        <v>1428</v>
      </c>
    </row>
    <row r="1953" spans="1:9" hidden="1" x14ac:dyDescent="0.25">
      <c r="A1953" t="s">
        <v>1657</v>
      </c>
      <c r="B1953" t="s">
        <v>84</v>
      </c>
      <c r="C1953" s="2">
        <f>HYPERLINK("https://cao.dolgi.msk.ru/account/1080246186/", 1080246186)</f>
        <v>1080246186</v>
      </c>
      <c r="D1953" t="s">
        <v>1687</v>
      </c>
      <c r="E1953">
        <v>0</v>
      </c>
      <c r="F1953">
        <v>0</v>
      </c>
      <c r="G1953" t="s">
        <v>12</v>
      </c>
      <c r="I1953" t="s">
        <v>1428</v>
      </c>
    </row>
    <row r="1954" spans="1:9" hidden="1" x14ac:dyDescent="0.25">
      <c r="A1954" t="s">
        <v>1657</v>
      </c>
      <c r="B1954" t="s">
        <v>86</v>
      </c>
      <c r="C1954" s="2">
        <f>HYPERLINK("https://cao.dolgi.msk.ru/account/1080246194/", 1080246194)</f>
        <v>1080246194</v>
      </c>
      <c r="D1954" t="s">
        <v>1688</v>
      </c>
      <c r="E1954">
        <v>-6501.35</v>
      </c>
      <c r="F1954">
        <v>-1.1399999999999999</v>
      </c>
      <c r="G1954" t="s">
        <v>12</v>
      </c>
      <c r="I1954" t="s">
        <v>1428</v>
      </c>
    </row>
    <row r="1955" spans="1:9" hidden="1" x14ac:dyDescent="0.25">
      <c r="A1955" t="s">
        <v>1657</v>
      </c>
      <c r="B1955" t="s">
        <v>88</v>
      </c>
      <c r="C1955" s="2">
        <f>HYPERLINK("https://cao.dolgi.msk.ru/account/1080246223/", 1080246223)</f>
        <v>1080246223</v>
      </c>
      <c r="D1955" t="s">
        <v>1689</v>
      </c>
      <c r="E1955">
        <v>-5081.33</v>
      </c>
      <c r="F1955">
        <v>-1</v>
      </c>
      <c r="G1955" t="s">
        <v>12</v>
      </c>
      <c r="I1955" t="s">
        <v>1428</v>
      </c>
    </row>
    <row r="1956" spans="1:9" hidden="1" x14ac:dyDescent="0.25">
      <c r="A1956" t="s">
        <v>1657</v>
      </c>
      <c r="B1956" t="s">
        <v>90</v>
      </c>
      <c r="C1956" s="2">
        <f>HYPERLINK("https://cao.dolgi.msk.ru/account/1080246207/", 1080246207)</f>
        <v>1080246207</v>
      </c>
      <c r="D1956" t="s">
        <v>1690</v>
      </c>
      <c r="E1956">
        <v>-300.83</v>
      </c>
      <c r="F1956">
        <v>-0.08</v>
      </c>
      <c r="G1956" t="s">
        <v>12</v>
      </c>
      <c r="I1956" t="s">
        <v>1428</v>
      </c>
    </row>
    <row r="1957" spans="1:9" hidden="1" x14ac:dyDescent="0.25">
      <c r="A1957" t="s">
        <v>1657</v>
      </c>
      <c r="B1957" t="s">
        <v>92</v>
      </c>
      <c r="C1957" s="2">
        <f>HYPERLINK("https://cao.dolgi.msk.ru/account/1080246215/", 1080246215)</f>
        <v>1080246215</v>
      </c>
      <c r="D1957" t="s">
        <v>1691</v>
      </c>
      <c r="E1957">
        <v>-4154.79</v>
      </c>
      <c r="F1957">
        <v>-0.88</v>
      </c>
      <c r="G1957" t="s">
        <v>12</v>
      </c>
      <c r="I1957" t="s">
        <v>1428</v>
      </c>
    </row>
    <row r="1958" spans="1:9" x14ac:dyDescent="0.25">
      <c r="A1958" t="s">
        <v>1657</v>
      </c>
      <c r="B1958" t="s">
        <v>94</v>
      </c>
      <c r="C1958" s="2">
        <f>HYPERLINK("https://cao.dolgi.msk.ru/account/1080246231/", 1080246231)</f>
        <v>1080246231</v>
      </c>
      <c r="D1958" t="s">
        <v>1692</v>
      </c>
      <c r="E1958">
        <v>9815.52</v>
      </c>
      <c r="F1958">
        <v>2</v>
      </c>
      <c r="G1958" t="s">
        <v>12</v>
      </c>
      <c r="I1958" t="s">
        <v>1428</v>
      </c>
    </row>
    <row r="1959" spans="1:9" hidden="1" x14ac:dyDescent="0.25">
      <c r="A1959" t="s">
        <v>1657</v>
      </c>
      <c r="B1959" t="s">
        <v>96</v>
      </c>
      <c r="C1959" s="2">
        <f>HYPERLINK("https://cao.dolgi.msk.ru/account/1080246266/", 1080246266)</f>
        <v>1080246266</v>
      </c>
      <c r="D1959" t="s">
        <v>1693</v>
      </c>
      <c r="E1959">
        <v>-5827.34</v>
      </c>
      <c r="F1959">
        <v>-1.02</v>
      </c>
      <c r="G1959" t="s">
        <v>12</v>
      </c>
      <c r="I1959" t="s">
        <v>1428</v>
      </c>
    </row>
    <row r="1960" spans="1:9" hidden="1" x14ac:dyDescent="0.25">
      <c r="A1960" t="s">
        <v>1657</v>
      </c>
      <c r="B1960" t="s">
        <v>98</v>
      </c>
      <c r="C1960" s="2">
        <f>HYPERLINK("https://cao.dolgi.msk.ru/account/1080246274/", 1080246274)</f>
        <v>1080246274</v>
      </c>
      <c r="D1960" t="s">
        <v>1694</v>
      </c>
      <c r="E1960">
        <v>-6294.53</v>
      </c>
      <c r="F1960">
        <v>-0.72</v>
      </c>
      <c r="G1960" t="s">
        <v>12</v>
      </c>
      <c r="I1960" t="s">
        <v>1428</v>
      </c>
    </row>
    <row r="1961" spans="1:9" hidden="1" x14ac:dyDescent="0.25">
      <c r="A1961" t="s">
        <v>1657</v>
      </c>
      <c r="B1961" t="s">
        <v>100</v>
      </c>
      <c r="C1961" s="2">
        <f>HYPERLINK("https://cao.dolgi.msk.ru/account/1080246282/", 1080246282)</f>
        <v>1080246282</v>
      </c>
      <c r="D1961" t="s">
        <v>1695</v>
      </c>
      <c r="E1961">
        <v>-9153.61</v>
      </c>
      <c r="F1961">
        <v>-1.27</v>
      </c>
      <c r="G1961" t="s">
        <v>12</v>
      </c>
      <c r="I1961" t="s">
        <v>1428</v>
      </c>
    </row>
    <row r="1962" spans="1:9" hidden="1" x14ac:dyDescent="0.25">
      <c r="A1962" t="s">
        <v>1657</v>
      </c>
      <c r="B1962" t="s">
        <v>102</v>
      </c>
      <c r="C1962" s="2">
        <f>HYPERLINK("https://cao.dolgi.msk.ru/account/1080246303/", 1080246303)</f>
        <v>1080246303</v>
      </c>
      <c r="D1962" t="s">
        <v>1696</v>
      </c>
      <c r="E1962">
        <v>-18745.669999999998</v>
      </c>
      <c r="F1962">
        <v>-2.74</v>
      </c>
      <c r="G1962" t="s">
        <v>12</v>
      </c>
      <c r="I1962" t="s">
        <v>1428</v>
      </c>
    </row>
    <row r="1963" spans="1:9" hidden="1" x14ac:dyDescent="0.25">
      <c r="A1963" t="s">
        <v>1657</v>
      </c>
      <c r="B1963" t="s">
        <v>104</v>
      </c>
      <c r="C1963" s="2">
        <f>HYPERLINK("https://cao.dolgi.msk.ru/account/1080246311/", 1080246311)</f>
        <v>1080246311</v>
      </c>
      <c r="D1963" t="s">
        <v>15</v>
      </c>
      <c r="E1963">
        <v>0</v>
      </c>
      <c r="G1963" t="s">
        <v>14</v>
      </c>
      <c r="I1963" t="s">
        <v>1428</v>
      </c>
    </row>
    <row r="1964" spans="1:9" hidden="1" x14ac:dyDescent="0.25">
      <c r="A1964" t="s">
        <v>1657</v>
      </c>
      <c r="B1964" t="s">
        <v>104</v>
      </c>
      <c r="C1964" s="2">
        <f>HYPERLINK("https://cao.dolgi.msk.ru/account/1080246338/", 1080246338)</f>
        <v>1080246338</v>
      </c>
      <c r="D1964" t="s">
        <v>1697</v>
      </c>
      <c r="E1964">
        <v>-5269.31</v>
      </c>
      <c r="F1964">
        <v>-0.83</v>
      </c>
      <c r="G1964" t="s">
        <v>12</v>
      </c>
      <c r="H1964" t="s">
        <v>7</v>
      </c>
      <c r="I1964" t="s">
        <v>1428</v>
      </c>
    </row>
    <row r="1965" spans="1:9" hidden="1" x14ac:dyDescent="0.25">
      <c r="A1965" t="s">
        <v>1657</v>
      </c>
      <c r="B1965" t="s">
        <v>106</v>
      </c>
      <c r="C1965" s="2">
        <f>HYPERLINK("https://cao.dolgi.msk.ru/account/1080246346/", 1080246346)</f>
        <v>1080246346</v>
      </c>
      <c r="D1965" t="s">
        <v>1698</v>
      </c>
      <c r="E1965">
        <v>-5685.31</v>
      </c>
      <c r="F1965">
        <v>-1.72</v>
      </c>
      <c r="G1965" t="s">
        <v>12</v>
      </c>
      <c r="I1965" t="s">
        <v>1428</v>
      </c>
    </row>
    <row r="1966" spans="1:9" hidden="1" x14ac:dyDescent="0.25">
      <c r="A1966" t="s">
        <v>1657</v>
      </c>
      <c r="B1966" t="s">
        <v>108</v>
      </c>
      <c r="C1966" s="2">
        <f>HYPERLINK("https://cao.dolgi.msk.ru/account/1080246354/", 1080246354)</f>
        <v>1080246354</v>
      </c>
      <c r="D1966" t="s">
        <v>1699</v>
      </c>
      <c r="E1966">
        <v>-1310.4000000000001</v>
      </c>
      <c r="F1966">
        <v>-0.16</v>
      </c>
      <c r="G1966" t="s">
        <v>12</v>
      </c>
      <c r="I1966" t="s">
        <v>1428</v>
      </c>
    </row>
    <row r="1967" spans="1:9" hidden="1" x14ac:dyDescent="0.25">
      <c r="A1967" t="s">
        <v>1657</v>
      </c>
      <c r="B1967" t="s">
        <v>110</v>
      </c>
      <c r="C1967" s="2">
        <f>HYPERLINK("https://cao.dolgi.msk.ru/account/1080246362/", 1080246362)</f>
        <v>1080246362</v>
      </c>
      <c r="D1967" t="s">
        <v>1700</v>
      </c>
      <c r="E1967">
        <v>-8612.75</v>
      </c>
      <c r="F1967">
        <v>-1.06</v>
      </c>
      <c r="G1967" t="s">
        <v>12</v>
      </c>
      <c r="I1967" t="s">
        <v>1428</v>
      </c>
    </row>
    <row r="1968" spans="1:9" hidden="1" x14ac:dyDescent="0.25">
      <c r="A1968" t="s">
        <v>1657</v>
      </c>
      <c r="B1968" t="s">
        <v>112</v>
      </c>
      <c r="C1968" s="2">
        <f>HYPERLINK("https://cao.dolgi.msk.ru/account/1080246389/", 1080246389)</f>
        <v>1080246389</v>
      </c>
      <c r="D1968" t="s">
        <v>1701</v>
      </c>
      <c r="E1968">
        <v>-7100.67</v>
      </c>
      <c r="F1968">
        <v>-1.04</v>
      </c>
      <c r="G1968" t="s">
        <v>12</v>
      </c>
      <c r="I1968" t="s">
        <v>1428</v>
      </c>
    </row>
    <row r="1969" spans="1:9" hidden="1" x14ac:dyDescent="0.25">
      <c r="A1969" t="s">
        <v>1657</v>
      </c>
      <c r="B1969" t="s">
        <v>112</v>
      </c>
      <c r="C1969" s="2">
        <f>HYPERLINK("https://cao.dolgi.msk.ru/account/1083270448/", 1083270448)</f>
        <v>1083270448</v>
      </c>
      <c r="D1969" t="s">
        <v>1702</v>
      </c>
      <c r="E1969">
        <v>0</v>
      </c>
      <c r="G1969" t="s">
        <v>14</v>
      </c>
      <c r="I1969" t="s">
        <v>1428</v>
      </c>
    </row>
    <row r="1970" spans="1:9" hidden="1" x14ac:dyDescent="0.25">
      <c r="A1970" t="s">
        <v>1657</v>
      </c>
      <c r="B1970" t="s">
        <v>114</v>
      </c>
      <c r="C1970" s="2">
        <f>HYPERLINK("https://cao.dolgi.msk.ru/account/1080246397/", 1080246397)</f>
        <v>1080246397</v>
      </c>
      <c r="D1970" t="s">
        <v>1703</v>
      </c>
      <c r="E1970">
        <v>-4324.18</v>
      </c>
      <c r="F1970">
        <v>-1.06</v>
      </c>
      <c r="G1970" t="s">
        <v>12</v>
      </c>
      <c r="I1970" t="s">
        <v>1428</v>
      </c>
    </row>
    <row r="1971" spans="1:9" hidden="1" x14ac:dyDescent="0.25">
      <c r="A1971" t="s">
        <v>1657</v>
      </c>
      <c r="B1971" t="s">
        <v>114</v>
      </c>
      <c r="C1971" s="2">
        <f>HYPERLINK("https://cao.dolgi.msk.ru/account/1089130008/", 1089130008)</f>
        <v>1089130008</v>
      </c>
      <c r="D1971" t="s">
        <v>1703</v>
      </c>
      <c r="E1971">
        <v>-2297.8000000000002</v>
      </c>
      <c r="F1971">
        <v>-1.06</v>
      </c>
      <c r="G1971" t="s">
        <v>12</v>
      </c>
      <c r="I1971" t="s">
        <v>1428</v>
      </c>
    </row>
    <row r="1972" spans="1:9" hidden="1" x14ac:dyDescent="0.25">
      <c r="A1972" t="s">
        <v>1657</v>
      </c>
      <c r="B1972" t="s">
        <v>116</v>
      </c>
      <c r="C1972" s="2">
        <f>HYPERLINK("https://cao.dolgi.msk.ru/account/1080246418/", 1080246418)</f>
        <v>1080246418</v>
      </c>
      <c r="D1972" t="s">
        <v>1704</v>
      </c>
      <c r="E1972">
        <v>-8376.5400000000009</v>
      </c>
      <c r="F1972">
        <v>-0.94</v>
      </c>
      <c r="G1972" t="s">
        <v>12</v>
      </c>
      <c r="I1972" t="s">
        <v>1428</v>
      </c>
    </row>
    <row r="1973" spans="1:9" hidden="1" x14ac:dyDescent="0.25">
      <c r="A1973" t="s">
        <v>1657</v>
      </c>
      <c r="B1973" t="s">
        <v>118</v>
      </c>
      <c r="C1973" s="2">
        <f>HYPERLINK("https://cao.dolgi.msk.ru/account/1080246426/", 1080246426)</f>
        <v>1080246426</v>
      </c>
      <c r="D1973" t="s">
        <v>1705</v>
      </c>
      <c r="E1973">
        <v>-5576.16</v>
      </c>
      <c r="F1973">
        <v>-1.18</v>
      </c>
      <c r="G1973" t="s">
        <v>12</v>
      </c>
      <c r="I1973" t="s">
        <v>1428</v>
      </c>
    </row>
    <row r="1974" spans="1:9" hidden="1" x14ac:dyDescent="0.25">
      <c r="A1974" t="s">
        <v>1657</v>
      </c>
      <c r="B1974" t="s">
        <v>120</v>
      </c>
      <c r="C1974" s="2">
        <f>HYPERLINK("https://cao.dolgi.msk.ru/account/1080246442/", 1080246442)</f>
        <v>1080246442</v>
      </c>
      <c r="D1974" t="s">
        <v>1706</v>
      </c>
      <c r="E1974">
        <v>-8020.82</v>
      </c>
      <c r="F1974">
        <v>-1.02</v>
      </c>
      <c r="G1974" t="s">
        <v>12</v>
      </c>
      <c r="I1974" t="s">
        <v>1428</v>
      </c>
    </row>
    <row r="1975" spans="1:9" hidden="1" x14ac:dyDescent="0.25">
      <c r="A1975" t="s">
        <v>1657</v>
      </c>
      <c r="B1975" t="s">
        <v>122</v>
      </c>
      <c r="C1975" s="2">
        <f>HYPERLINK("https://cao.dolgi.msk.ru/account/1080246469/", 1080246469)</f>
        <v>1080246469</v>
      </c>
      <c r="D1975" t="s">
        <v>1707</v>
      </c>
      <c r="E1975">
        <v>-12476.72</v>
      </c>
      <c r="F1975">
        <v>-1.55</v>
      </c>
      <c r="G1975" t="s">
        <v>12</v>
      </c>
      <c r="I1975" t="s">
        <v>1428</v>
      </c>
    </row>
    <row r="1976" spans="1:9" hidden="1" x14ac:dyDescent="0.25">
      <c r="A1976" t="s">
        <v>1657</v>
      </c>
      <c r="B1976" t="s">
        <v>124</v>
      </c>
      <c r="C1976" s="2">
        <f>HYPERLINK("https://cao.dolgi.msk.ru/account/1080246477/", 1080246477)</f>
        <v>1080246477</v>
      </c>
      <c r="D1976" t="s">
        <v>1708</v>
      </c>
      <c r="E1976">
        <v>-8965.9</v>
      </c>
      <c r="F1976">
        <v>-1.1000000000000001</v>
      </c>
      <c r="G1976" t="s">
        <v>12</v>
      </c>
      <c r="I1976" t="s">
        <v>1428</v>
      </c>
    </row>
    <row r="1977" spans="1:9" hidden="1" x14ac:dyDescent="0.25">
      <c r="A1977" t="s">
        <v>1709</v>
      </c>
      <c r="B1977" t="s">
        <v>10</v>
      </c>
      <c r="C1977" s="2">
        <f>HYPERLINK("https://cao.dolgi.msk.ru/account/1089104862/", 1089104862)</f>
        <v>1089104862</v>
      </c>
      <c r="D1977" t="s">
        <v>1710</v>
      </c>
      <c r="E1977">
        <v>-3842.73</v>
      </c>
      <c r="F1977">
        <v>-1.06</v>
      </c>
      <c r="G1977" t="s">
        <v>12</v>
      </c>
      <c r="I1977" t="s">
        <v>1428</v>
      </c>
    </row>
    <row r="1978" spans="1:9" hidden="1" x14ac:dyDescent="0.25">
      <c r="A1978" t="s">
        <v>1709</v>
      </c>
      <c r="B1978" t="s">
        <v>16</v>
      </c>
      <c r="C1978" s="2">
        <f>HYPERLINK("https://cao.dolgi.msk.ru/account/1089104889/", 1089104889)</f>
        <v>1089104889</v>
      </c>
      <c r="D1978" t="s">
        <v>1711</v>
      </c>
      <c r="E1978">
        <v>4258.6099999999997</v>
      </c>
      <c r="F1978">
        <v>0.86</v>
      </c>
      <c r="G1978" t="s">
        <v>12</v>
      </c>
      <c r="I1978" t="s">
        <v>1428</v>
      </c>
    </row>
    <row r="1979" spans="1:9" hidden="1" x14ac:dyDescent="0.25">
      <c r="A1979" t="s">
        <v>1709</v>
      </c>
      <c r="B1979" t="s">
        <v>18</v>
      </c>
      <c r="C1979" s="2">
        <f>HYPERLINK("https://cao.dolgi.msk.ru/account/1089104897/", 1089104897)</f>
        <v>1089104897</v>
      </c>
      <c r="D1979" t="s">
        <v>1712</v>
      </c>
      <c r="E1979">
        <v>-25625.07</v>
      </c>
      <c r="F1979">
        <v>-1.95</v>
      </c>
      <c r="G1979" t="s">
        <v>12</v>
      </c>
      <c r="I1979" t="s">
        <v>1428</v>
      </c>
    </row>
    <row r="1980" spans="1:9" hidden="1" x14ac:dyDescent="0.25">
      <c r="A1980" t="s">
        <v>1709</v>
      </c>
      <c r="B1980" t="s">
        <v>20</v>
      </c>
      <c r="C1980" s="2">
        <f>HYPERLINK("https://cao.dolgi.msk.ru/account/1089104918/", 1089104918)</f>
        <v>1089104918</v>
      </c>
      <c r="D1980" t="s">
        <v>1713</v>
      </c>
      <c r="E1980">
        <v>-658.49</v>
      </c>
      <c r="F1980">
        <v>-0.12</v>
      </c>
      <c r="G1980" t="s">
        <v>12</v>
      </c>
      <c r="I1980" t="s">
        <v>1428</v>
      </c>
    </row>
    <row r="1981" spans="1:9" hidden="1" x14ac:dyDescent="0.25">
      <c r="A1981" t="s">
        <v>1709</v>
      </c>
      <c r="B1981" t="s">
        <v>21</v>
      </c>
      <c r="C1981" s="2">
        <f>HYPERLINK("https://cao.dolgi.msk.ru/account/1089004888/", 1089004888)</f>
        <v>1089004888</v>
      </c>
      <c r="D1981" t="s">
        <v>1714</v>
      </c>
      <c r="E1981">
        <v>0</v>
      </c>
      <c r="F1981">
        <v>0</v>
      </c>
      <c r="G1981" t="s">
        <v>12</v>
      </c>
      <c r="I1981" t="s">
        <v>1428</v>
      </c>
    </row>
    <row r="1982" spans="1:9" hidden="1" x14ac:dyDescent="0.25">
      <c r="A1982" t="s">
        <v>1709</v>
      </c>
      <c r="B1982" t="s">
        <v>22</v>
      </c>
      <c r="C1982" s="2">
        <f>HYPERLINK("https://cao.dolgi.msk.ru/account/1089104934/", 1089104934)</f>
        <v>1089104934</v>
      </c>
      <c r="D1982" t="s">
        <v>1715</v>
      </c>
      <c r="E1982">
        <v>-4527.95</v>
      </c>
      <c r="F1982">
        <v>-1.36</v>
      </c>
      <c r="G1982" t="s">
        <v>12</v>
      </c>
      <c r="I1982" t="s">
        <v>1428</v>
      </c>
    </row>
    <row r="1983" spans="1:9" hidden="1" x14ac:dyDescent="0.25">
      <c r="A1983" t="s">
        <v>1709</v>
      </c>
      <c r="B1983" t="s">
        <v>23</v>
      </c>
      <c r="C1983" s="2">
        <f>HYPERLINK("https://cao.dolgi.msk.ru/account/1089104942/", 1089104942)</f>
        <v>1089104942</v>
      </c>
      <c r="D1983" t="s">
        <v>1716</v>
      </c>
      <c r="E1983">
        <v>-3783.17</v>
      </c>
      <c r="F1983">
        <v>-1.05</v>
      </c>
      <c r="G1983" t="s">
        <v>12</v>
      </c>
      <c r="I1983" t="s">
        <v>1428</v>
      </c>
    </row>
    <row r="1984" spans="1:9" hidden="1" x14ac:dyDescent="0.25">
      <c r="A1984" t="s">
        <v>1709</v>
      </c>
      <c r="B1984" t="s">
        <v>24</v>
      </c>
      <c r="C1984" s="2">
        <f>HYPERLINK("https://cao.dolgi.msk.ru/account/1089104969/", 1089104969)</f>
        <v>1089104969</v>
      </c>
      <c r="D1984" t="s">
        <v>1717</v>
      </c>
      <c r="E1984">
        <v>0</v>
      </c>
      <c r="F1984">
        <v>0</v>
      </c>
      <c r="G1984" t="s">
        <v>12</v>
      </c>
      <c r="I1984" t="s">
        <v>1428</v>
      </c>
    </row>
    <row r="1985" spans="1:9" hidden="1" x14ac:dyDescent="0.25">
      <c r="A1985" t="s">
        <v>1709</v>
      </c>
      <c r="B1985" t="s">
        <v>27</v>
      </c>
      <c r="C1985" s="2">
        <f>HYPERLINK("https://cao.dolgi.msk.ru/account/1089104977/", 1089104977)</f>
        <v>1089104977</v>
      </c>
      <c r="D1985" t="s">
        <v>1718</v>
      </c>
      <c r="E1985">
        <v>1504.32</v>
      </c>
      <c r="F1985">
        <v>0.26</v>
      </c>
      <c r="G1985" t="s">
        <v>12</v>
      </c>
      <c r="I1985" t="s">
        <v>1428</v>
      </c>
    </row>
    <row r="1986" spans="1:9" hidden="1" x14ac:dyDescent="0.25">
      <c r="A1986" t="s">
        <v>1709</v>
      </c>
      <c r="B1986" t="s">
        <v>29</v>
      </c>
      <c r="C1986" s="2">
        <f>HYPERLINK("https://cao.dolgi.msk.ru/account/1089104985/", 1089104985)</f>
        <v>1089104985</v>
      </c>
      <c r="D1986" t="s">
        <v>1719</v>
      </c>
      <c r="E1986">
        <v>-5468</v>
      </c>
      <c r="F1986">
        <v>-1.1299999999999999</v>
      </c>
      <c r="G1986" t="s">
        <v>12</v>
      </c>
      <c r="I1986" t="s">
        <v>1428</v>
      </c>
    </row>
    <row r="1987" spans="1:9" hidden="1" x14ac:dyDescent="0.25">
      <c r="A1987" t="s">
        <v>1709</v>
      </c>
      <c r="B1987" t="s">
        <v>31</v>
      </c>
      <c r="C1987" s="2">
        <f>HYPERLINK("https://cao.dolgi.msk.ru/account/1089104993/", 1089104993)</f>
        <v>1089104993</v>
      </c>
      <c r="D1987" t="s">
        <v>1720</v>
      </c>
      <c r="E1987">
        <v>-582.51</v>
      </c>
      <c r="F1987">
        <v>-0.11</v>
      </c>
      <c r="G1987" t="s">
        <v>12</v>
      </c>
      <c r="I1987" t="s">
        <v>1428</v>
      </c>
    </row>
    <row r="1988" spans="1:9" hidden="1" x14ac:dyDescent="0.25">
      <c r="A1988" t="s">
        <v>1709</v>
      </c>
      <c r="B1988" t="s">
        <v>33</v>
      </c>
      <c r="C1988" s="2">
        <f>HYPERLINK("https://cao.dolgi.msk.ru/account/1089105005/", 1089105005)</f>
        <v>1089105005</v>
      </c>
      <c r="D1988" t="s">
        <v>1721</v>
      </c>
      <c r="E1988">
        <v>5321.66</v>
      </c>
      <c r="F1988">
        <v>0.39</v>
      </c>
      <c r="G1988" t="s">
        <v>12</v>
      </c>
      <c r="I1988" t="s">
        <v>1428</v>
      </c>
    </row>
    <row r="1989" spans="1:9" hidden="1" x14ac:dyDescent="0.25">
      <c r="A1989" t="s">
        <v>1709</v>
      </c>
      <c r="B1989" t="s">
        <v>34</v>
      </c>
      <c r="C1989" s="2">
        <f>HYPERLINK("https://cao.dolgi.msk.ru/account/1089105013/", 1089105013)</f>
        <v>1089105013</v>
      </c>
      <c r="D1989" t="s">
        <v>1722</v>
      </c>
      <c r="E1989">
        <v>-3523.21</v>
      </c>
      <c r="F1989">
        <v>-1.1000000000000001</v>
      </c>
      <c r="G1989" t="s">
        <v>12</v>
      </c>
      <c r="I1989" t="s">
        <v>1428</v>
      </c>
    </row>
    <row r="1990" spans="1:9" hidden="1" x14ac:dyDescent="0.25">
      <c r="A1990" t="s">
        <v>1709</v>
      </c>
      <c r="B1990" t="s">
        <v>36</v>
      </c>
      <c r="C1990" s="2">
        <f>HYPERLINK("https://cao.dolgi.msk.ru/account/1089105021/", 1089105021)</f>
        <v>1089105021</v>
      </c>
      <c r="D1990" t="s">
        <v>1723</v>
      </c>
      <c r="E1990">
        <v>-7479.79</v>
      </c>
      <c r="F1990">
        <v>-1.78</v>
      </c>
      <c r="G1990" t="s">
        <v>12</v>
      </c>
      <c r="I1990" t="s">
        <v>1428</v>
      </c>
    </row>
    <row r="1991" spans="1:9" hidden="1" x14ac:dyDescent="0.25">
      <c r="A1991" t="s">
        <v>1709</v>
      </c>
      <c r="B1991" t="s">
        <v>38</v>
      </c>
      <c r="C1991" s="2">
        <f>HYPERLINK("https://cao.dolgi.msk.ru/account/1089105048/", 1089105048)</f>
        <v>1089105048</v>
      </c>
      <c r="D1991" t="s">
        <v>1724</v>
      </c>
      <c r="E1991">
        <v>-5802.64</v>
      </c>
      <c r="F1991">
        <v>-1.8</v>
      </c>
      <c r="G1991" t="s">
        <v>12</v>
      </c>
      <c r="I1991" t="s">
        <v>1428</v>
      </c>
    </row>
    <row r="1992" spans="1:9" hidden="1" x14ac:dyDescent="0.25">
      <c r="A1992" t="s">
        <v>1709</v>
      </c>
      <c r="B1992" t="s">
        <v>39</v>
      </c>
      <c r="C1992" s="2">
        <f>HYPERLINK("https://cao.dolgi.msk.ru/account/1089105056/", 1089105056)</f>
        <v>1089105056</v>
      </c>
      <c r="D1992" t="s">
        <v>1725</v>
      </c>
      <c r="E1992">
        <v>5850.21</v>
      </c>
      <c r="F1992">
        <v>0.99</v>
      </c>
      <c r="G1992" t="s">
        <v>12</v>
      </c>
      <c r="I1992" t="s">
        <v>1428</v>
      </c>
    </row>
    <row r="1993" spans="1:9" hidden="1" x14ac:dyDescent="0.25">
      <c r="A1993" t="s">
        <v>1709</v>
      </c>
      <c r="B1993" t="s">
        <v>40</v>
      </c>
      <c r="C1993" s="2">
        <f>HYPERLINK("https://cao.dolgi.msk.ru/account/1089105064/", 1089105064)</f>
        <v>1089105064</v>
      </c>
      <c r="D1993" t="s">
        <v>1726</v>
      </c>
      <c r="E1993">
        <v>-999.5</v>
      </c>
      <c r="F1993">
        <v>-0.62</v>
      </c>
      <c r="G1993" t="s">
        <v>12</v>
      </c>
      <c r="I1993" t="s">
        <v>1428</v>
      </c>
    </row>
    <row r="1994" spans="1:9" hidden="1" x14ac:dyDescent="0.25">
      <c r="A1994" t="s">
        <v>1709</v>
      </c>
      <c r="B1994" t="s">
        <v>41</v>
      </c>
      <c r="C1994" s="2">
        <f>HYPERLINK("https://cao.dolgi.msk.ru/account/1089105072/", 1089105072)</f>
        <v>1089105072</v>
      </c>
      <c r="D1994" t="s">
        <v>1727</v>
      </c>
      <c r="E1994">
        <v>-5239.3</v>
      </c>
      <c r="F1994">
        <v>-1.1200000000000001</v>
      </c>
      <c r="G1994" t="s">
        <v>12</v>
      </c>
      <c r="I1994" t="s">
        <v>1428</v>
      </c>
    </row>
    <row r="1995" spans="1:9" hidden="1" x14ac:dyDescent="0.25">
      <c r="A1995" t="s">
        <v>1709</v>
      </c>
      <c r="B1995" t="s">
        <v>42</v>
      </c>
      <c r="C1995" s="2">
        <f>HYPERLINK("https://cao.dolgi.msk.ru/account/1089105099/", 1089105099)</f>
        <v>1089105099</v>
      </c>
      <c r="D1995" t="s">
        <v>1728</v>
      </c>
      <c r="E1995">
        <v>-3811.84</v>
      </c>
      <c r="F1995">
        <v>-1.19</v>
      </c>
      <c r="G1995" t="s">
        <v>12</v>
      </c>
      <c r="I1995" t="s">
        <v>1428</v>
      </c>
    </row>
    <row r="1996" spans="1:9" hidden="1" x14ac:dyDescent="0.25">
      <c r="A1996" t="s">
        <v>1709</v>
      </c>
      <c r="B1996" t="s">
        <v>44</v>
      </c>
      <c r="C1996" s="2">
        <f>HYPERLINK("https://cao.dolgi.msk.ru/account/1089105101/", 1089105101)</f>
        <v>1089105101</v>
      </c>
      <c r="D1996" t="s">
        <v>1729</v>
      </c>
      <c r="E1996">
        <v>49.6</v>
      </c>
      <c r="F1996">
        <v>0.01</v>
      </c>
      <c r="G1996" t="s">
        <v>12</v>
      </c>
      <c r="I1996" t="s">
        <v>1428</v>
      </c>
    </row>
    <row r="1997" spans="1:9" hidden="1" x14ac:dyDescent="0.25">
      <c r="A1997" t="s">
        <v>1709</v>
      </c>
      <c r="B1997" t="s">
        <v>66</v>
      </c>
      <c r="C1997" s="2">
        <f>HYPERLINK("https://cao.dolgi.msk.ru/account/1089105128/", 1089105128)</f>
        <v>1089105128</v>
      </c>
      <c r="D1997" t="s">
        <v>1730</v>
      </c>
      <c r="E1997">
        <v>-5015.95</v>
      </c>
      <c r="F1997">
        <v>-1.02</v>
      </c>
      <c r="G1997" t="s">
        <v>12</v>
      </c>
      <c r="I1997" t="s">
        <v>1428</v>
      </c>
    </row>
    <row r="1998" spans="1:9" hidden="1" x14ac:dyDescent="0.25">
      <c r="A1998" t="s">
        <v>1709</v>
      </c>
      <c r="B1998" t="s">
        <v>68</v>
      </c>
      <c r="C1998" s="2">
        <f>HYPERLINK("https://cao.dolgi.msk.ru/account/1089105136/", 1089105136)</f>
        <v>1089105136</v>
      </c>
      <c r="D1998" t="s">
        <v>736</v>
      </c>
      <c r="E1998">
        <v>-870.78</v>
      </c>
      <c r="F1998">
        <v>-0.13</v>
      </c>
      <c r="G1998" t="s">
        <v>12</v>
      </c>
      <c r="I1998" t="s">
        <v>1428</v>
      </c>
    </row>
    <row r="1999" spans="1:9" hidden="1" x14ac:dyDescent="0.25">
      <c r="A1999" t="s">
        <v>1709</v>
      </c>
      <c r="B1999" t="s">
        <v>70</v>
      </c>
      <c r="C1999" s="2">
        <f>HYPERLINK("https://cao.dolgi.msk.ru/account/1089004984/", 1089004984)</f>
        <v>1089004984</v>
      </c>
      <c r="D1999" t="s">
        <v>1731</v>
      </c>
      <c r="E1999">
        <v>3927.47</v>
      </c>
      <c r="F1999">
        <v>0.98</v>
      </c>
      <c r="G1999" t="s">
        <v>12</v>
      </c>
      <c r="I1999" t="s">
        <v>1428</v>
      </c>
    </row>
    <row r="2000" spans="1:9" hidden="1" x14ac:dyDescent="0.25">
      <c r="A2000" t="s">
        <v>1709</v>
      </c>
      <c r="B2000" t="s">
        <v>72</v>
      </c>
      <c r="C2000" s="2">
        <f>HYPERLINK("https://cao.dolgi.msk.ru/account/1089105152/", 1089105152)</f>
        <v>1089105152</v>
      </c>
      <c r="D2000" t="s">
        <v>1732</v>
      </c>
      <c r="E2000">
        <v>-30.57</v>
      </c>
      <c r="F2000">
        <v>0</v>
      </c>
      <c r="G2000" t="s">
        <v>12</v>
      </c>
      <c r="I2000" t="s">
        <v>1428</v>
      </c>
    </row>
    <row r="2001" spans="1:9" hidden="1" x14ac:dyDescent="0.25">
      <c r="A2001" t="s">
        <v>1709</v>
      </c>
      <c r="B2001" t="s">
        <v>74</v>
      </c>
      <c r="C2001" s="2">
        <f>HYPERLINK("https://cao.dolgi.msk.ru/account/1089105179/", 1089105179)</f>
        <v>1089105179</v>
      </c>
      <c r="D2001" t="s">
        <v>15</v>
      </c>
      <c r="E2001">
        <v>-4409.91</v>
      </c>
      <c r="F2001">
        <v>-0.72</v>
      </c>
      <c r="G2001" t="s">
        <v>12</v>
      </c>
      <c r="I2001" t="s">
        <v>1428</v>
      </c>
    </row>
    <row r="2002" spans="1:9" hidden="1" x14ac:dyDescent="0.25">
      <c r="A2002" t="s">
        <v>1709</v>
      </c>
      <c r="B2002" t="s">
        <v>76</v>
      </c>
      <c r="C2002" s="2">
        <f>HYPERLINK("https://cao.dolgi.msk.ru/account/1089105187/", 1089105187)</f>
        <v>1089105187</v>
      </c>
      <c r="D2002" t="s">
        <v>1733</v>
      </c>
      <c r="E2002">
        <v>-4657.25</v>
      </c>
      <c r="F2002">
        <v>-1.1100000000000001</v>
      </c>
      <c r="G2002" t="s">
        <v>12</v>
      </c>
      <c r="I2002" t="s">
        <v>1428</v>
      </c>
    </row>
    <row r="2003" spans="1:9" hidden="1" x14ac:dyDescent="0.25">
      <c r="A2003" t="s">
        <v>1709</v>
      </c>
      <c r="B2003" t="s">
        <v>78</v>
      </c>
      <c r="C2003" s="2">
        <f>HYPERLINK("https://cao.dolgi.msk.ru/account/1089105195/", 1089105195)</f>
        <v>1089105195</v>
      </c>
      <c r="D2003" t="s">
        <v>1734</v>
      </c>
      <c r="E2003">
        <v>-1801.78</v>
      </c>
      <c r="F2003">
        <v>-0.45</v>
      </c>
      <c r="G2003" t="s">
        <v>12</v>
      </c>
      <c r="I2003" t="s">
        <v>1428</v>
      </c>
    </row>
    <row r="2004" spans="1:9" hidden="1" x14ac:dyDescent="0.25">
      <c r="A2004" t="s">
        <v>1709</v>
      </c>
      <c r="B2004" t="s">
        <v>80</v>
      </c>
      <c r="C2004" s="2">
        <f>HYPERLINK("https://cao.dolgi.msk.ru/account/1089004853/", 1089004853)</f>
        <v>1089004853</v>
      </c>
      <c r="D2004" t="s">
        <v>1735</v>
      </c>
      <c r="E2004">
        <v>-3076.8</v>
      </c>
      <c r="F2004">
        <v>-1.1599999999999999</v>
      </c>
      <c r="G2004" t="s">
        <v>12</v>
      </c>
      <c r="I2004" t="s">
        <v>1428</v>
      </c>
    </row>
    <row r="2005" spans="1:9" x14ac:dyDescent="0.25">
      <c r="A2005" t="s">
        <v>1709</v>
      </c>
      <c r="B2005" t="s">
        <v>82</v>
      </c>
      <c r="C2005" s="2">
        <f>HYPERLINK("https://cao.dolgi.msk.ru/account/1089105216/", 1089105216)</f>
        <v>1089105216</v>
      </c>
      <c r="D2005" t="s">
        <v>1736</v>
      </c>
      <c r="E2005">
        <v>45701.15</v>
      </c>
      <c r="F2005">
        <v>10.43</v>
      </c>
      <c r="G2005" t="s">
        <v>12</v>
      </c>
      <c r="I2005" t="s">
        <v>1428</v>
      </c>
    </row>
    <row r="2006" spans="1:9" hidden="1" x14ac:dyDescent="0.25">
      <c r="A2006" t="s">
        <v>1709</v>
      </c>
      <c r="B2006" t="s">
        <v>84</v>
      </c>
      <c r="C2006" s="2">
        <f>HYPERLINK("https://cao.dolgi.msk.ru/account/1089105224/", 1089105224)</f>
        <v>1089105224</v>
      </c>
      <c r="D2006" t="s">
        <v>1737</v>
      </c>
      <c r="E2006">
        <v>-2152.92</v>
      </c>
      <c r="F2006">
        <v>-0.96</v>
      </c>
      <c r="G2006" t="s">
        <v>12</v>
      </c>
      <c r="I2006" t="s">
        <v>1428</v>
      </c>
    </row>
    <row r="2007" spans="1:9" hidden="1" x14ac:dyDescent="0.25">
      <c r="A2007" t="s">
        <v>1709</v>
      </c>
      <c r="B2007" t="s">
        <v>86</v>
      </c>
      <c r="C2007" s="2">
        <f>HYPERLINK("https://cao.dolgi.msk.ru/account/1089105232/", 1089105232)</f>
        <v>1089105232</v>
      </c>
      <c r="D2007" t="s">
        <v>1738</v>
      </c>
      <c r="E2007">
        <v>-4151.8900000000003</v>
      </c>
      <c r="F2007">
        <v>-1.17</v>
      </c>
      <c r="G2007" t="s">
        <v>12</v>
      </c>
      <c r="I2007" t="s">
        <v>1428</v>
      </c>
    </row>
    <row r="2008" spans="1:9" hidden="1" x14ac:dyDescent="0.25">
      <c r="A2008" t="s">
        <v>1709</v>
      </c>
      <c r="B2008" t="s">
        <v>88</v>
      </c>
      <c r="C2008" s="2">
        <f>HYPERLINK("https://cao.dolgi.msk.ru/account/1089105259/", 1089105259)</f>
        <v>1089105259</v>
      </c>
      <c r="D2008" t="s">
        <v>1739</v>
      </c>
      <c r="E2008">
        <v>-8110.39</v>
      </c>
      <c r="F2008">
        <v>-2.42</v>
      </c>
      <c r="G2008" t="s">
        <v>12</v>
      </c>
      <c r="I2008" t="s">
        <v>1428</v>
      </c>
    </row>
    <row r="2009" spans="1:9" hidden="1" x14ac:dyDescent="0.25">
      <c r="A2009" t="s">
        <v>1709</v>
      </c>
      <c r="B2009" t="s">
        <v>90</v>
      </c>
      <c r="C2009" s="2">
        <f>HYPERLINK("https://cao.dolgi.msk.ru/account/1089105267/", 1089105267)</f>
        <v>1089105267</v>
      </c>
      <c r="D2009" t="s">
        <v>1740</v>
      </c>
      <c r="E2009">
        <v>-7546.13</v>
      </c>
      <c r="F2009">
        <v>-1.49</v>
      </c>
      <c r="G2009" t="s">
        <v>12</v>
      </c>
      <c r="I2009" t="s">
        <v>1428</v>
      </c>
    </row>
    <row r="2010" spans="1:9" hidden="1" x14ac:dyDescent="0.25">
      <c r="A2010" t="s">
        <v>1709</v>
      </c>
      <c r="B2010" t="s">
        <v>92</v>
      </c>
      <c r="C2010" s="2">
        <f>HYPERLINK("https://cao.dolgi.msk.ru/account/1089105275/", 1089105275)</f>
        <v>1089105275</v>
      </c>
      <c r="D2010" t="s">
        <v>1741</v>
      </c>
      <c r="E2010">
        <v>-4429.9799999999996</v>
      </c>
      <c r="F2010">
        <v>-1.08</v>
      </c>
      <c r="G2010" t="s">
        <v>12</v>
      </c>
      <c r="I2010" t="s">
        <v>1428</v>
      </c>
    </row>
    <row r="2011" spans="1:9" hidden="1" x14ac:dyDescent="0.25">
      <c r="A2011" t="s">
        <v>1709</v>
      </c>
      <c r="B2011" t="s">
        <v>94</v>
      </c>
      <c r="C2011" s="2">
        <f>HYPERLINK("https://cao.dolgi.msk.ru/account/1089105283/", 1089105283)</f>
        <v>1089105283</v>
      </c>
      <c r="D2011" t="s">
        <v>1742</v>
      </c>
      <c r="E2011">
        <v>-5425.38</v>
      </c>
      <c r="F2011">
        <v>-1.07</v>
      </c>
      <c r="G2011" t="s">
        <v>12</v>
      </c>
      <c r="I2011" t="s">
        <v>1428</v>
      </c>
    </row>
    <row r="2012" spans="1:9" hidden="1" x14ac:dyDescent="0.25">
      <c r="A2012" t="s">
        <v>1709</v>
      </c>
      <c r="B2012" t="s">
        <v>96</v>
      </c>
      <c r="C2012" s="2">
        <f>HYPERLINK("https://cao.dolgi.msk.ru/account/1089105291/", 1089105291)</f>
        <v>1089105291</v>
      </c>
      <c r="D2012" t="s">
        <v>1743</v>
      </c>
      <c r="E2012">
        <v>-6272.06</v>
      </c>
      <c r="F2012">
        <v>-0.92</v>
      </c>
      <c r="G2012" t="s">
        <v>12</v>
      </c>
      <c r="I2012" t="s">
        <v>1428</v>
      </c>
    </row>
    <row r="2013" spans="1:9" hidden="1" x14ac:dyDescent="0.25">
      <c r="A2013" t="s">
        <v>1709</v>
      </c>
      <c r="B2013" t="s">
        <v>98</v>
      </c>
      <c r="C2013" s="2">
        <f>HYPERLINK("https://cao.dolgi.msk.ru/account/1089105304/", 1089105304)</f>
        <v>1089105304</v>
      </c>
      <c r="D2013" t="s">
        <v>1744</v>
      </c>
      <c r="E2013">
        <v>-3670.42</v>
      </c>
      <c r="F2013">
        <v>-1.1200000000000001</v>
      </c>
      <c r="G2013" t="s">
        <v>12</v>
      </c>
      <c r="I2013" t="s">
        <v>1428</v>
      </c>
    </row>
    <row r="2014" spans="1:9" hidden="1" x14ac:dyDescent="0.25">
      <c r="A2014" t="s">
        <v>1709</v>
      </c>
      <c r="B2014" t="s">
        <v>100</v>
      </c>
      <c r="C2014" s="2">
        <f>HYPERLINK("https://cao.dolgi.msk.ru/account/1089105312/", 1089105312)</f>
        <v>1089105312</v>
      </c>
      <c r="D2014" t="s">
        <v>1745</v>
      </c>
      <c r="E2014">
        <v>0</v>
      </c>
      <c r="F2014">
        <v>0</v>
      </c>
      <c r="G2014" t="s">
        <v>12</v>
      </c>
      <c r="I2014" t="s">
        <v>1428</v>
      </c>
    </row>
    <row r="2015" spans="1:9" hidden="1" x14ac:dyDescent="0.25">
      <c r="A2015" t="s">
        <v>1709</v>
      </c>
      <c r="B2015" t="s">
        <v>102</v>
      </c>
      <c r="C2015" s="2">
        <f>HYPERLINK("https://cao.dolgi.msk.ru/account/1089004829/", 1089004829)</f>
        <v>1089004829</v>
      </c>
      <c r="D2015" t="s">
        <v>1746</v>
      </c>
      <c r="E2015">
        <v>-6456.28</v>
      </c>
      <c r="F2015">
        <v>-1.1000000000000001</v>
      </c>
      <c r="G2015" t="s">
        <v>12</v>
      </c>
      <c r="I2015" t="s">
        <v>1428</v>
      </c>
    </row>
    <row r="2016" spans="1:9" hidden="1" x14ac:dyDescent="0.25">
      <c r="A2016" t="s">
        <v>1709</v>
      </c>
      <c r="B2016" t="s">
        <v>104</v>
      </c>
      <c r="C2016" s="2">
        <f>HYPERLINK("https://cao.dolgi.msk.ru/account/1089004837/", 1089004837)</f>
        <v>1089004837</v>
      </c>
      <c r="D2016" t="s">
        <v>1747</v>
      </c>
      <c r="E2016">
        <v>-12.4</v>
      </c>
      <c r="F2016">
        <v>0</v>
      </c>
      <c r="G2016" t="s">
        <v>12</v>
      </c>
      <c r="I2016" t="s">
        <v>1428</v>
      </c>
    </row>
    <row r="2017" spans="1:9" hidden="1" x14ac:dyDescent="0.25">
      <c r="A2017" t="s">
        <v>1709</v>
      </c>
      <c r="B2017" t="s">
        <v>106</v>
      </c>
      <c r="C2017" s="2">
        <f>HYPERLINK("https://cao.dolgi.msk.ru/account/1089004909/", 1089004909)</f>
        <v>1089004909</v>
      </c>
      <c r="D2017" t="s">
        <v>1748</v>
      </c>
      <c r="E2017">
        <v>-66.44</v>
      </c>
      <c r="F2017">
        <v>-0.02</v>
      </c>
      <c r="G2017" t="s">
        <v>12</v>
      </c>
      <c r="I2017" t="s">
        <v>1428</v>
      </c>
    </row>
    <row r="2018" spans="1:9" hidden="1" x14ac:dyDescent="0.25">
      <c r="A2018" t="s">
        <v>1709</v>
      </c>
      <c r="B2018" t="s">
        <v>108</v>
      </c>
      <c r="C2018" s="2">
        <f>HYPERLINK("https://cao.dolgi.msk.ru/account/1089004976/", 1089004976)</f>
        <v>1089004976</v>
      </c>
      <c r="D2018" t="s">
        <v>1749</v>
      </c>
      <c r="E2018">
        <v>-2432.9</v>
      </c>
      <c r="F2018">
        <v>-1.22</v>
      </c>
      <c r="G2018" t="s">
        <v>12</v>
      </c>
      <c r="I2018" t="s">
        <v>1428</v>
      </c>
    </row>
    <row r="2019" spans="1:9" hidden="1" x14ac:dyDescent="0.25">
      <c r="A2019" t="s">
        <v>1709</v>
      </c>
      <c r="B2019" t="s">
        <v>110</v>
      </c>
      <c r="C2019" s="2">
        <f>HYPERLINK("https://cao.dolgi.msk.ru/account/1089105371/", 1089105371)</f>
        <v>1089105371</v>
      </c>
      <c r="D2019" t="s">
        <v>1750</v>
      </c>
      <c r="E2019">
        <v>-5055.0600000000004</v>
      </c>
      <c r="F2019">
        <v>-1.17</v>
      </c>
      <c r="G2019" t="s">
        <v>12</v>
      </c>
      <c r="I2019" t="s">
        <v>1428</v>
      </c>
    </row>
    <row r="2020" spans="1:9" hidden="1" x14ac:dyDescent="0.25">
      <c r="A2020" t="s">
        <v>1709</v>
      </c>
      <c r="B2020" t="s">
        <v>112</v>
      </c>
      <c r="C2020" s="2">
        <f>HYPERLINK("https://cao.dolgi.msk.ru/account/1089105398/", 1089105398)</f>
        <v>1089105398</v>
      </c>
      <c r="D2020" t="s">
        <v>1751</v>
      </c>
      <c r="E2020">
        <v>-7685.43</v>
      </c>
      <c r="F2020">
        <v>-1.34</v>
      </c>
      <c r="G2020" t="s">
        <v>12</v>
      </c>
      <c r="I2020" t="s">
        <v>1428</v>
      </c>
    </row>
    <row r="2021" spans="1:9" hidden="1" x14ac:dyDescent="0.25">
      <c r="A2021" t="s">
        <v>1709</v>
      </c>
      <c r="B2021" t="s">
        <v>114</v>
      </c>
      <c r="C2021" s="2">
        <f>HYPERLINK("https://cao.dolgi.msk.ru/account/1089004933/", 1089004933)</f>
        <v>1089004933</v>
      </c>
      <c r="D2021" t="s">
        <v>1752</v>
      </c>
      <c r="E2021">
        <v>-3865.23</v>
      </c>
      <c r="F2021">
        <v>-1</v>
      </c>
      <c r="G2021" t="s">
        <v>12</v>
      </c>
      <c r="I2021" t="s">
        <v>1428</v>
      </c>
    </row>
    <row r="2022" spans="1:9" hidden="1" x14ac:dyDescent="0.25">
      <c r="A2022" t="s">
        <v>1709</v>
      </c>
      <c r="B2022" t="s">
        <v>116</v>
      </c>
      <c r="C2022" s="2">
        <f>HYPERLINK("https://cao.dolgi.msk.ru/account/1089105427/", 1089105427)</f>
        <v>1089105427</v>
      </c>
      <c r="D2022" t="s">
        <v>1753</v>
      </c>
      <c r="E2022">
        <v>-4926.2700000000004</v>
      </c>
      <c r="F2022">
        <v>-1.34</v>
      </c>
      <c r="G2022" t="s">
        <v>12</v>
      </c>
      <c r="I2022" t="s">
        <v>1428</v>
      </c>
    </row>
    <row r="2023" spans="1:9" hidden="1" x14ac:dyDescent="0.25">
      <c r="A2023" t="s">
        <v>1709</v>
      </c>
      <c r="B2023" t="s">
        <v>118</v>
      </c>
      <c r="C2023" s="2">
        <f>HYPERLINK("https://cao.dolgi.msk.ru/account/1089105435/", 1089105435)</f>
        <v>1089105435</v>
      </c>
      <c r="D2023" t="s">
        <v>1754</v>
      </c>
      <c r="E2023">
        <v>0</v>
      </c>
      <c r="F2023">
        <v>0</v>
      </c>
      <c r="G2023" t="s">
        <v>12</v>
      </c>
      <c r="I2023" t="s">
        <v>1428</v>
      </c>
    </row>
    <row r="2024" spans="1:9" hidden="1" x14ac:dyDescent="0.25">
      <c r="A2024" t="s">
        <v>1709</v>
      </c>
      <c r="B2024" t="s">
        <v>120</v>
      </c>
      <c r="C2024" s="2">
        <f>HYPERLINK("https://cao.dolgi.msk.ru/account/1089004968/", 1089004968)</f>
        <v>1089004968</v>
      </c>
      <c r="D2024" t="s">
        <v>1755</v>
      </c>
      <c r="E2024">
        <v>-1.05</v>
      </c>
      <c r="F2024">
        <v>0</v>
      </c>
      <c r="G2024" t="s">
        <v>12</v>
      </c>
      <c r="I2024" t="s">
        <v>1428</v>
      </c>
    </row>
    <row r="2025" spans="1:9" hidden="1" x14ac:dyDescent="0.25">
      <c r="A2025" t="s">
        <v>1709</v>
      </c>
      <c r="B2025" t="s">
        <v>122</v>
      </c>
      <c r="C2025" s="2">
        <f>HYPERLINK("https://cao.dolgi.msk.ru/account/1089004896/", 1089004896)</f>
        <v>1089004896</v>
      </c>
      <c r="D2025" t="s">
        <v>15</v>
      </c>
      <c r="E2025">
        <v>-12815.69</v>
      </c>
      <c r="F2025">
        <v>-3.36</v>
      </c>
      <c r="G2025" t="s">
        <v>12</v>
      </c>
      <c r="I2025" t="s">
        <v>1428</v>
      </c>
    </row>
    <row r="2026" spans="1:9" hidden="1" x14ac:dyDescent="0.25">
      <c r="A2026" t="s">
        <v>1709</v>
      </c>
      <c r="B2026" t="s">
        <v>124</v>
      </c>
      <c r="C2026" s="2">
        <f>HYPERLINK("https://cao.dolgi.msk.ru/account/1089004802/", 1089004802)</f>
        <v>1089004802</v>
      </c>
      <c r="D2026" t="s">
        <v>1756</v>
      </c>
      <c r="E2026">
        <v>-5621.58</v>
      </c>
      <c r="F2026">
        <v>-1.1299999999999999</v>
      </c>
      <c r="G2026" t="s">
        <v>12</v>
      </c>
      <c r="I2026" t="s">
        <v>1428</v>
      </c>
    </row>
    <row r="2027" spans="1:9" hidden="1" x14ac:dyDescent="0.25">
      <c r="A2027" t="s">
        <v>1709</v>
      </c>
      <c r="B2027" t="s">
        <v>126</v>
      </c>
      <c r="C2027" s="2">
        <f>HYPERLINK("https://cao.dolgi.msk.ru/account/1089105486/", 1089105486)</f>
        <v>1089105486</v>
      </c>
      <c r="D2027" t="s">
        <v>1757</v>
      </c>
      <c r="E2027">
        <v>-5905.98</v>
      </c>
      <c r="F2027">
        <v>-1.03</v>
      </c>
      <c r="G2027" t="s">
        <v>12</v>
      </c>
      <c r="I2027" t="s">
        <v>1428</v>
      </c>
    </row>
    <row r="2028" spans="1:9" hidden="1" x14ac:dyDescent="0.25">
      <c r="A2028" t="s">
        <v>1709</v>
      </c>
      <c r="B2028" t="s">
        <v>128</v>
      </c>
      <c r="C2028" s="2">
        <f>HYPERLINK("https://cao.dolgi.msk.ru/account/1089105494/", 1089105494)</f>
        <v>1089105494</v>
      </c>
      <c r="D2028" t="s">
        <v>1758</v>
      </c>
      <c r="E2028">
        <v>-10.8</v>
      </c>
      <c r="F2028">
        <v>0</v>
      </c>
      <c r="G2028" t="s">
        <v>12</v>
      </c>
      <c r="I2028" t="s">
        <v>1428</v>
      </c>
    </row>
    <row r="2029" spans="1:9" hidden="1" x14ac:dyDescent="0.25">
      <c r="A2029" t="s">
        <v>1709</v>
      </c>
      <c r="B2029" t="s">
        <v>130</v>
      </c>
      <c r="C2029" s="2">
        <f>HYPERLINK("https://cao.dolgi.msk.ru/account/1089105507/", 1089105507)</f>
        <v>1089105507</v>
      </c>
      <c r="D2029" t="s">
        <v>1759</v>
      </c>
      <c r="E2029">
        <v>-2106.5</v>
      </c>
      <c r="F2029">
        <v>-0.99</v>
      </c>
      <c r="G2029" t="s">
        <v>12</v>
      </c>
      <c r="I2029" t="s">
        <v>1428</v>
      </c>
    </row>
    <row r="2030" spans="1:9" hidden="1" x14ac:dyDescent="0.25">
      <c r="A2030" t="s">
        <v>1709</v>
      </c>
      <c r="B2030" t="s">
        <v>132</v>
      </c>
      <c r="C2030" s="2">
        <f>HYPERLINK("https://cao.dolgi.msk.ru/account/1089004925/", 1089004925)</f>
        <v>1089004925</v>
      </c>
      <c r="D2030" t="s">
        <v>1760</v>
      </c>
      <c r="E2030">
        <v>-5282.44</v>
      </c>
      <c r="F2030">
        <v>-0.77</v>
      </c>
      <c r="G2030" t="s">
        <v>12</v>
      </c>
      <c r="I2030" t="s">
        <v>1428</v>
      </c>
    </row>
    <row r="2031" spans="1:9" hidden="1" x14ac:dyDescent="0.25">
      <c r="A2031" t="s">
        <v>1709</v>
      </c>
      <c r="B2031" t="s">
        <v>133</v>
      </c>
      <c r="C2031" s="2">
        <f>HYPERLINK("https://cao.dolgi.msk.ru/account/1089105523/", 1089105523)</f>
        <v>1089105523</v>
      </c>
      <c r="D2031" t="s">
        <v>1761</v>
      </c>
      <c r="E2031">
        <v>-5344.03</v>
      </c>
      <c r="F2031">
        <v>-1.27</v>
      </c>
      <c r="G2031" t="s">
        <v>12</v>
      </c>
      <c r="I2031" t="s">
        <v>1428</v>
      </c>
    </row>
    <row r="2032" spans="1:9" hidden="1" x14ac:dyDescent="0.25">
      <c r="A2032" t="s">
        <v>1709</v>
      </c>
      <c r="B2032" t="s">
        <v>135</v>
      </c>
      <c r="C2032" s="2">
        <f>HYPERLINK("https://cao.dolgi.msk.ru/account/1089105531/", 1089105531)</f>
        <v>1089105531</v>
      </c>
      <c r="D2032" t="s">
        <v>1762</v>
      </c>
      <c r="E2032">
        <v>-3787.41</v>
      </c>
      <c r="F2032">
        <v>-1.45</v>
      </c>
      <c r="G2032" t="s">
        <v>12</v>
      </c>
      <c r="I2032" t="s">
        <v>1428</v>
      </c>
    </row>
    <row r="2033" spans="1:9" hidden="1" x14ac:dyDescent="0.25">
      <c r="A2033" t="s">
        <v>1709</v>
      </c>
      <c r="B2033" t="s">
        <v>137</v>
      </c>
      <c r="C2033" s="2">
        <f>HYPERLINK("https://cao.dolgi.msk.ru/account/1089009363/", 1089009363)</f>
        <v>1089009363</v>
      </c>
      <c r="D2033" t="s">
        <v>1763</v>
      </c>
      <c r="E2033">
        <v>-2187.9299999999998</v>
      </c>
      <c r="F2033">
        <v>-1.1200000000000001</v>
      </c>
      <c r="G2033" t="s">
        <v>12</v>
      </c>
      <c r="I2033" t="s">
        <v>1428</v>
      </c>
    </row>
    <row r="2034" spans="1:9" hidden="1" x14ac:dyDescent="0.25">
      <c r="A2034" t="s">
        <v>1709</v>
      </c>
      <c r="B2034" t="s">
        <v>139</v>
      </c>
      <c r="C2034" s="2">
        <f>HYPERLINK("https://cao.dolgi.msk.ru/account/1089105566/", 1089105566)</f>
        <v>1089105566</v>
      </c>
      <c r="D2034" t="s">
        <v>1764</v>
      </c>
      <c r="E2034">
        <v>-4945.26</v>
      </c>
      <c r="F2034">
        <v>-1.24</v>
      </c>
      <c r="G2034" t="s">
        <v>12</v>
      </c>
      <c r="I2034" t="s">
        <v>1428</v>
      </c>
    </row>
    <row r="2035" spans="1:9" hidden="1" x14ac:dyDescent="0.25">
      <c r="A2035" t="s">
        <v>1709</v>
      </c>
      <c r="B2035" t="s">
        <v>141</v>
      </c>
      <c r="C2035" s="2">
        <f>HYPERLINK("https://cao.dolgi.msk.ru/account/1089105574/", 1089105574)</f>
        <v>1089105574</v>
      </c>
      <c r="D2035" t="s">
        <v>1765</v>
      </c>
      <c r="E2035">
        <v>-3816.78</v>
      </c>
      <c r="F2035">
        <v>-1.56</v>
      </c>
      <c r="G2035" t="s">
        <v>12</v>
      </c>
      <c r="I2035" t="s">
        <v>1428</v>
      </c>
    </row>
    <row r="2036" spans="1:9" hidden="1" x14ac:dyDescent="0.25">
      <c r="A2036" t="s">
        <v>1709</v>
      </c>
      <c r="B2036" t="s">
        <v>143</v>
      </c>
      <c r="C2036" s="2">
        <f>HYPERLINK("https://cao.dolgi.msk.ru/account/1089105582/", 1089105582)</f>
        <v>1089105582</v>
      </c>
      <c r="D2036" t="s">
        <v>1766</v>
      </c>
      <c r="E2036">
        <v>-6575.91</v>
      </c>
      <c r="F2036">
        <v>-1.1299999999999999</v>
      </c>
      <c r="G2036" t="s">
        <v>12</v>
      </c>
      <c r="I2036" t="s">
        <v>1428</v>
      </c>
    </row>
    <row r="2037" spans="1:9" hidden="1" x14ac:dyDescent="0.25">
      <c r="A2037" t="s">
        <v>1709</v>
      </c>
      <c r="B2037" t="s">
        <v>145</v>
      </c>
      <c r="C2037" s="2">
        <f>HYPERLINK("https://cao.dolgi.msk.ru/account/1089105603/", 1089105603)</f>
        <v>1089105603</v>
      </c>
      <c r="D2037" t="s">
        <v>1767</v>
      </c>
      <c r="E2037">
        <v>18.600000000000001</v>
      </c>
      <c r="F2037">
        <v>0.01</v>
      </c>
      <c r="G2037" t="s">
        <v>12</v>
      </c>
      <c r="I2037" t="s">
        <v>1428</v>
      </c>
    </row>
    <row r="2038" spans="1:9" hidden="1" x14ac:dyDescent="0.25">
      <c r="A2038" t="s">
        <v>1709</v>
      </c>
      <c r="B2038" t="s">
        <v>147</v>
      </c>
      <c r="C2038" s="2">
        <f>HYPERLINK("https://cao.dolgi.msk.ru/account/1089105611/", 1089105611)</f>
        <v>1089105611</v>
      </c>
      <c r="D2038" t="s">
        <v>1768</v>
      </c>
      <c r="E2038">
        <v>1159.78</v>
      </c>
      <c r="F2038">
        <v>0.22</v>
      </c>
      <c r="G2038" t="s">
        <v>12</v>
      </c>
      <c r="I2038" t="s">
        <v>1428</v>
      </c>
    </row>
    <row r="2039" spans="1:9" hidden="1" x14ac:dyDescent="0.25">
      <c r="A2039" t="s">
        <v>1709</v>
      </c>
      <c r="B2039" t="s">
        <v>149</v>
      </c>
      <c r="C2039" s="2">
        <f>HYPERLINK("https://cao.dolgi.msk.ru/account/1089105638/", 1089105638)</f>
        <v>1089105638</v>
      </c>
      <c r="D2039" t="s">
        <v>1769</v>
      </c>
      <c r="E2039">
        <v>-579.89</v>
      </c>
      <c r="F2039">
        <v>-0.08</v>
      </c>
      <c r="G2039" t="s">
        <v>12</v>
      </c>
      <c r="I2039" t="s">
        <v>1428</v>
      </c>
    </row>
    <row r="2040" spans="1:9" hidden="1" x14ac:dyDescent="0.25">
      <c r="A2040" t="s">
        <v>1709</v>
      </c>
      <c r="B2040" t="s">
        <v>151</v>
      </c>
      <c r="C2040" s="2">
        <f>HYPERLINK("https://cao.dolgi.msk.ru/account/1089105646/", 1089105646)</f>
        <v>1089105646</v>
      </c>
      <c r="D2040" t="s">
        <v>1770</v>
      </c>
      <c r="E2040">
        <v>-4608.7700000000004</v>
      </c>
      <c r="F2040">
        <v>-1.0900000000000001</v>
      </c>
      <c r="G2040" t="s">
        <v>12</v>
      </c>
      <c r="I2040" t="s">
        <v>1428</v>
      </c>
    </row>
    <row r="2041" spans="1:9" hidden="1" x14ac:dyDescent="0.25">
      <c r="A2041" t="s">
        <v>1709</v>
      </c>
      <c r="B2041" t="s">
        <v>153</v>
      </c>
      <c r="C2041" s="2">
        <f>HYPERLINK("https://cao.dolgi.msk.ru/account/1089004845/", 1089004845)</f>
        <v>1089004845</v>
      </c>
      <c r="D2041" t="s">
        <v>1771</v>
      </c>
      <c r="E2041">
        <v>-4408.1099999999997</v>
      </c>
      <c r="F2041">
        <v>-1.22</v>
      </c>
      <c r="G2041" t="s">
        <v>12</v>
      </c>
      <c r="I2041" t="s">
        <v>1428</v>
      </c>
    </row>
    <row r="2042" spans="1:9" hidden="1" x14ac:dyDescent="0.25">
      <c r="A2042" t="s">
        <v>1709</v>
      </c>
      <c r="B2042" t="s">
        <v>155</v>
      </c>
      <c r="C2042" s="2">
        <f>HYPERLINK("https://cao.dolgi.msk.ru/account/1089105662/", 1089105662)</f>
        <v>1089105662</v>
      </c>
      <c r="D2042" t="s">
        <v>1772</v>
      </c>
      <c r="E2042">
        <v>0</v>
      </c>
      <c r="F2042">
        <v>0</v>
      </c>
      <c r="G2042" t="s">
        <v>12</v>
      </c>
      <c r="I2042" t="s">
        <v>1428</v>
      </c>
    </row>
    <row r="2043" spans="1:9" hidden="1" x14ac:dyDescent="0.25">
      <c r="A2043" t="s">
        <v>1709</v>
      </c>
      <c r="B2043" t="s">
        <v>157</v>
      </c>
      <c r="C2043" s="2">
        <f>HYPERLINK("https://cao.dolgi.msk.ru/account/1089105689/", 1089105689)</f>
        <v>1089105689</v>
      </c>
      <c r="D2043" t="s">
        <v>1773</v>
      </c>
      <c r="E2043">
        <v>-1792.06</v>
      </c>
      <c r="F2043">
        <v>-0.34</v>
      </c>
      <c r="G2043" t="s">
        <v>12</v>
      </c>
      <c r="I2043" t="s">
        <v>1428</v>
      </c>
    </row>
    <row r="2044" spans="1:9" hidden="1" x14ac:dyDescent="0.25">
      <c r="A2044" t="s">
        <v>1709</v>
      </c>
      <c r="B2044" t="s">
        <v>159</v>
      </c>
      <c r="C2044" s="2">
        <f>HYPERLINK("https://cao.dolgi.msk.ru/account/1089105697/", 1089105697)</f>
        <v>1089105697</v>
      </c>
      <c r="D2044" t="s">
        <v>1774</v>
      </c>
      <c r="E2044">
        <v>-5535.01</v>
      </c>
      <c r="F2044">
        <v>-1.2</v>
      </c>
      <c r="G2044" t="s">
        <v>12</v>
      </c>
      <c r="I2044" t="s">
        <v>1428</v>
      </c>
    </row>
    <row r="2045" spans="1:9" hidden="1" x14ac:dyDescent="0.25">
      <c r="A2045" t="s">
        <v>1709</v>
      </c>
      <c r="B2045" t="s">
        <v>161</v>
      </c>
      <c r="C2045" s="2">
        <f>HYPERLINK("https://cao.dolgi.msk.ru/account/1089004941/", 1089004941)</f>
        <v>1089004941</v>
      </c>
      <c r="D2045" t="s">
        <v>1775</v>
      </c>
      <c r="E2045">
        <v>-4114.99</v>
      </c>
      <c r="F2045">
        <v>-1.06</v>
      </c>
      <c r="G2045" t="s">
        <v>12</v>
      </c>
      <c r="I2045" t="s">
        <v>1428</v>
      </c>
    </row>
    <row r="2046" spans="1:9" hidden="1" x14ac:dyDescent="0.25">
      <c r="A2046" t="s">
        <v>1709</v>
      </c>
      <c r="B2046" t="s">
        <v>163</v>
      </c>
      <c r="C2046" s="2">
        <f>HYPERLINK("https://cao.dolgi.msk.ru/account/1089105726/", 1089105726)</f>
        <v>1089105726</v>
      </c>
      <c r="D2046" t="s">
        <v>1776</v>
      </c>
      <c r="E2046">
        <v>-3830.38</v>
      </c>
      <c r="F2046">
        <v>-1.18</v>
      </c>
      <c r="G2046" t="s">
        <v>12</v>
      </c>
      <c r="I2046" t="s">
        <v>1428</v>
      </c>
    </row>
    <row r="2047" spans="1:9" hidden="1" x14ac:dyDescent="0.25">
      <c r="A2047" t="s">
        <v>1709</v>
      </c>
      <c r="B2047" t="s">
        <v>571</v>
      </c>
      <c r="C2047" s="2">
        <f>HYPERLINK("https://cao.dolgi.msk.ru/account/1089004917/", 1089004917)</f>
        <v>1089004917</v>
      </c>
      <c r="D2047" t="s">
        <v>1777</v>
      </c>
      <c r="E2047">
        <v>-327.74</v>
      </c>
      <c r="F2047">
        <v>-0.11</v>
      </c>
      <c r="G2047" t="s">
        <v>12</v>
      </c>
      <c r="I2047" t="s">
        <v>1428</v>
      </c>
    </row>
    <row r="2048" spans="1:9" hidden="1" x14ac:dyDescent="0.25">
      <c r="A2048" t="s">
        <v>1709</v>
      </c>
      <c r="B2048" t="s">
        <v>682</v>
      </c>
      <c r="C2048" s="2">
        <f>HYPERLINK("https://cao.dolgi.msk.ru/account/1089004861/", 1089004861)</f>
        <v>1089004861</v>
      </c>
      <c r="D2048" t="s">
        <v>1778</v>
      </c>
      <c r="E2048">
        <v>-7898.4</v>
      </c>
      <c r="F2048">
        <v>-2.06</v>
      </c>
      <c r="G2048" t="s">
        <v>12</v>
      </c>
      <c r="I2048" t="s">
        <v>1428</v>
      </c>
    </row>
    <row r="2049" spans="1:9" hidden="1" x14ac:dyDescent="0.25">
      <c r="A2049" t="s">
        <v>1779</v>
      </c>
      <c r="B2049" t="s">
        <v>586</v>
      </c>
      <c r="C2049" s="2">
        <f>HYPERLINK("https://cao.dolgi.msk.ru/account/1080254258/", 1080254258)</f>
        <v>1080254258</v>
      </c>
      <c r="D2049" t="s">
        <v>1082</v>
      </c>
      <c r="E2049">
        <v>-4319.55</v>
      </c>
      <c r="F2049">
        <v>-1.03</v>
      </c>
      <c r="G2049" t="s">
        <v>12</v>
      </c>
      <c r="I2049" t="s">
        <v>1428</v>
      </c>
    </row>
    <row r="2050" spans="1:9" hidden="1" x14ac:dyDescent="0.25">
      <c r="A2050" t="s">
        <v>1779</v>
      </c>
      <c r="B2050" t="s">
        <v>698</v>
      </c>
      <c r="C2050" s="2">
        <f>HYPERLINK("https://cao.dolgi.msk.ru/account/1080253968/", 1080253968)</f>
        <v>1080253968</v>
      </c>
      <c r="D2050" t="s">
        <v>736</v>
      </c>
      <c r="E2050">
        <v>-5189.6400000000003</v>
      </c>
      <c r="F2050">
        <v>-1.03</v>
      </c>
      <c r="G2050" t="s">
        <v>12</v>
      </c>
      <c r="I2050" t="s">
        <v>1428</v>
      </c>
    </row>
    <row r="2051" spans="1:9" x14ac:dyDescent="0.25">
      <c r="A2051" t="s">
        <v>1779</v>
      </c>
      <c r="B2051" t="s">
        <v>713</v>
      </c>
      <c r="C2051" s="2">
        <f>HYPERLINK("https://cao.dolgi.msk.ru/account/1080254012/", 1080254012)</f>
        <v>1080254012</v>
      </c>
      <c r="D2051" t="s">
        <v>15</v>
      </c>
      <c r="E2051">
        <v>3363.3</v>
      </c>
      <c r="F2051">
        <v>9.07</v>
      </c>
      <c r="G2051" t="s">
        <v>12</v>
      </c>
      <c r="I2051" t="s">
        <v>1428</v>
      </c>
    </row>
    <row r="2052" spans="1:9" hidden="1" x14ac:dyDescent="0.25">
      <c r="A2052" t="s">
        <v>1779</v>
      </c>
      <c r="B2052" t="s">
        <v>532</v>
      </c>
      <c r="C2052" s="2">
        <f>HYPERLINK("https://cao.dolgi.msk.ru/account/1080254055/", 1080254055)</f>
        <v>1080254055</v>
      </c>
      <c r="D2052" t="s">
        <v>15</v>
      </c>
      <c r="G2052" t="s">
        <v>14</v>
      </c>
      <c r="I2052" t="s">
        <v>1428</v>
      </c>
    </row>
    <row r="2053" spans="1:9" hidden="1" x14ac:dyDescent="0.25">
      <c r="A2053" t="s">
        <v>1779</v>
      </c>
      <c r="B2053" t="s">
        <v>532</v>
      </c>
      <c r="C2053" s="2">
        <f>HYPERLINK("https://cao.dolgi.msk.ru/account/1080254098/", 1080254098)</f>
        <v>1080254098</v>
      </c>
      <c r="D2053" t="s">
        <v>1082</v>
      </c>
      <c r="E2053">
        <v>-1621.12</v>
      </c>
      <c r="F2053">
        <v>-1.92</v>
      </c>
      <c r="G2053" t="s">
        <v>12</v>
      </c>
      <c r="I2053" t="s">
        <v>1428</v>
      </c>
    </row>
    <row r="2054" spans="1:9" hidden="1" x14ac:dyDescent="0.25">
      <c r="A2054" t="s">
        <v>1779</v>
      </c>
      <c r="B2054" t="s">
        <v>532</v>
      </c>
      <c r="C2054" s="2">
        <f>HYPERLINK("https://cao.dolgi.msk.ru/account/1080254135/", 1080254135)</f>
        <v>1080254135</v>
      </c>
      <c r="D2054" t="s">
        <v>736</v>
      </c>
      <c r="E2054">
        <v>-20821.28</v>
      </c>
      <c r="F2054">
        <v>-6.8</v>
      </c>
      <c r="G2054" t="s">
        <v>12</v>
      </c>
      <c r="I2054" t="s">
        <v>1428</v>
      </c>
    </row>
    <row r="2055" spans="1:9" hidden="1" x14ac:dyDescent="0.25">
      <c r="A2055" t="s">
        <v>1779</v>
      </c>
      <c r="B2055" t="s">
        <v>534</v>
      </c>
      <c r="C2055" s="2">
        <f>HYPERLINK("https://cao.dolgi.msk.ru/account/1080254071/", 1080254071)</f>
        <v>1080254071</v>
      </c>
      <c r="D2055" t="s">
        <v>15</v>
      </c>
      <c r="E2055">
        <v>0</v>
      </c>
      <c r="G2055" t="s">
        <v>12</v>
      </c>
      <c r="I2055" t="s">
        <v>1428</v>
      </c>
    </row>
    <row r="2056" spans="1:9" hidden="1" x14ac:dyDescent="0.25">
      <c r="A2056" t="s">
        <v>1779</v>
      </c>
      <c r="B2056" t="s">
        <v>536</v>
      </c>
      <c r="C2056" s="2">
        <f>HYPERLINK("https://cao.dolgi.msk.ru/account/1080254119/", 1080254119)</f>
        <v>1080254119</v>
      </c>
      <c r="D2056" t="s">
        <v>15</v>
      </c>
      <c r="E2056">
        <v>-529.01</v>
      </c>
      <c r="F2056">
        <v>-1.34</v>
      </c>
      <c r="G2056" t="s">
        <v>12</v>
      </c>
      <c r="I2056" t="s">
        <v>1428</v>
      </c>
    </row>
    <row r="2057" spans="1:9" x14ac:dyDescent="0.25">
      <c r="A2057" t="s">
        <v>1779</v>
      </c>
      <c r="B2057" t="s">
        <v>541</v>
      </c>
      <c r="C2057" s="2">
        <f>HYPERLINK("https://cao.dolgi.msk.ru/account/1089132556/", 1089132556)</f>
        <v>1089132556</v>
      </c>
      <c r="D2057" t="s">
        <v>15</v>
      </c>
      <c r="E2057">
        <v>4835.3599999999997</v>
      </c>
      <c r="F2057">
        <v>14.41</v>
      </c>
      <c r="G2057" t="s">
        <v>12</v>
      </c>
      <c r="H2057" t="s">
        <v>7</v>
      </c>
      <c r="I2057" t="s">
        <v>1428</v>
      </c>
    </row>
    <row r="2058" spans="1:9" x14ac:dyDescent="0.25">
      <c r="A2058" t="s">
        <v>1779</v>
      </c>
      <c r="B2058" t="s">
        <v>543</v>
      </c>
      <c r="C2058" s="2">
        <f>HYPERLINK("https://cao.dolgi.msk.ru/account/1089132572/", 1089132572)</f>
        <v>1089132572</v>
      </c>
      <c r="D2058" t="s">
        <v>15</v>
      </c>
      <c r="E2058">
        <v>1423.73</v>
      </c>
      <c r="F2058">
        <v>2.76</v>
      </c>
      <c r="G2058" t="s">
        <v>12</v>
      </c>
      <c r="H2058" t="s">
        <v>7</v>
      </c>
      <c r="I2058" t="s">
        <v>1428</v>
      </c>
    </row>
    <row r="2059" spans="1:9" hidden="1" x14ac:dyDescent="0.25">
      <c r="A2059" t="s">
        <v>1779</v>
      </c>
      <c r="B2059" t="s">
        <v>545</v>
      </c>
      <c r="C2059" s="2">
        <f>HYPERLINK("https://cao.dolgi.msk.ru/account/1080254194/", 1080254194)</f>
        <v>1080254194</v>
      </c>
      <c r="D2059" t="s">
        <v>736</v>
      </c>
      <c r="E2059">
        <v>-19.399999999999999</v>
      </c>
      <c r="F2059">
        <v>-0.01</v>
      </c>
      <c r="G2059" t="s">
        <v>12</v>
      </c>
      <c r="I2059" t="s">
        <v>1428</v>
      </c>
    </row>
    <row r="2060" spans="1:9" x14ac:dyDescent="0.25">
      <c r="A2060" t="s">
        <v>1779</v>
      </c>
      <c r="B2060" t="s">
        <v>546</v>
      </c>
      <c r="C2060" s="2">
        <f>HYPERLINK("https://cao.dolgi.msk.ru/account/1080253941/", 1080253941)</f>
        <v>1080253941</v>
      </c>
      <c r="D2060" t="s">
        <v>736</v>
      </c>
      <c r="E2060">
        <v>137089.67000000001</v>
      </c>
      <c r="F2060">
        <v>32.75</v>
      </c>
      <c r="G2060" t="s">
        <v>12</v>
      </c>
      <c r="I2060" t="s">
        <v>1428</v>
      </c>
    </row>
    <row r="2061" spans="1:9" hidden="1" x14ac:dyDescent="0.25">
      <c r="A2061" t="s">
        <v>1779</v>
      </c>
      <c r="B2061" t="s">
        <v>546</v>
      </c>
      <c r="C2061" s="2">
        <f>HYPERLINK("https://cao.dolgi.msk.ru/account/1083334587/", 1083334587)</f>
        <v>1083334587</v>
      </c>
      <c r="D2061" t="s">
        <v>15</v>
      </c>
      <c r="E2061">
        <v>-2000.02</v>
      </c>
      <c r="F2061">
        <v>-1.06</v>
      </c>
      <c r="G2061" t="s">
        <v>12</v>
      </c>
      <c r="I2061" t="s">
        <v>1428</v>
      </c>
    </row>
    <row r="2062" spans="1:9" hidden="1" x14ac:dyDescent="0.25">
      <c r="A2062" t="s">
        <v>1779</v>
      </c>
      <c r="B2062" t="s">
        <v>551</v>
      </c>
      <c r="C2062" s="2">
        <f>HYPERLINK("https://cao.dolgi.msk.ru/account/1080253589/", 1080253589)</f>
        <v>1080253589</v>
      </c>
      <c r="D2062" t="s">
        <v>15</v>
      </c>
      <c r="E2062">
        <v>0</v>
      </c>
      <c r="F2062">
        <v>0</v>
      </c>
      <c r="G2062" t="s">
        <v>12</v>
      </c>
      <c r="I2062" t="s">
        <v>1428</v>
      </c>
    </row>
    <row r="2063" spans="1:9" hidden="1" x14ac:dyDescent="0.25">
      <c r="A2063" t="s">
        <v>1779</v>
      </c>
      <c r="B2063" t="s">
        <v>730</v>
      </c>
      <c r="C2063" s="2">
        <f>HYPERLINK("https://cao.dolgi.msk.ru/account/1080254151/", 1080254151)</f>
        <v>1080254151</v>
      </c>
      <c r="D2063" t="s">
        <v>736</v>
      </c>
      <c r="E2063">
        <v>-4129.67</v>
      </c>
      <c r="F2063">
        <v>-2.16</v>
      </c>
      <c r="G2063" t="s">
        <v>12</v>
      </c>
      <c r="I2063" t="s">
        <v>1428</v>
      </c>
    </row>
    <row r="2064" spans="1:9" x14ac:dyDescent="0.25">
      <c r="A2064" t="s">
        <v>1779</v>
      </c>
      <c r="B2064" t="s">
        <v>732</v>
      </c>
      <c r="C2064" s="2">
        <f>HYPERLINK("https://cao.dolgi.msk.ru/account/1080253693/", 1080253693)</f>
        <v>1080253693</v>
      </c>
      <c r="D2064" t="s">
        <v>15</v>
      </c>
      <c r="E2064">
        <v>7634.78</v>
      </c>
      <c r="F2064">
        <v>14.41</v>
      </c>
      <c r="G2064" t="s">
        <v>12</v>
      </c>
      <c r="I2064" t="s">
        <v>1428</v>
      </c>
    </row>
    <row r="2065" spans="1:9" hidden="1" x14ac:dyDescent="0.25">
      <c r="A2065" t="s">
        <v>1779</v>
      </c>
      <c r="B2065" t="s">
        <v>742</v>
      </c>
      <c r="C2065" s="2">
        <f>HYPERLINK("https://cao.dolgi.msk.ru/account/1080253765/", 1080253765)</f>
        <v>1080253765</v>
      </c>
      <c r="D2065" t="s">
        <v>1780</v>
      </c>
      <c r="E2065">
        <v>-43.75</v>
      </c>
      <c r="F2065">
        <v>-0.01</v>
      </c>
      <c r="G2065" t="s">
        <v>12</v>
      </c>
      <c r="I2065" t="s">
        <v>1428</v>
      </c>
    </row>
    <row r="2066" spans="1:9" hidden="1" x14ac:dyDescent="0.25">
      <c r="A2066" t="s">
        <v>1779</v>
      </c>
      <c r="B2066" t="s">
        <v>746</v>
      </c>
      <c r="C2066" s="2">
        <f>HYPERLINK("https://cao.dolgi.msk.ru/account/1080253829/", 1080253829)</f>
        <v>1080253829</v>
      </c>
      <c r="D2066" t="s">
        <v>1082</v>
      </c>
      <c r="E2066">
        <v>-1163.0899999999999</v>
      </c>
      <c r="F2066">
        <v>-1.35</v>
      </c>
      <c r="G2066" t="s">
        <v>12</v>
      </c>
      <c r="I2066" t="s">
        <v>1428</v>
      </c>
    </row>
    <row r="2067" spans="1:9" hidden="1" x14ac:dyDescent="0.25">
      <c r="A2067" t="s">
        <v>1779</v>
      </c>
      <c r="B2067" t="s">
        <v>750</v>
      </c>
      <c r="C2067" s="2">
        <f>HYPERLINK("https://cao.dolgi.msk.ru/account/1080253773/", 1080253773)</f>
        <v>1080253773</v>
      </c>
      <c r="D2067" t="s">
        <v>1781</v>
      </c>
      <c r="E2067">
        <v>-3881.5</v>
      </c>
      <c r="F2067">
        <v>-0.96</v>
      </c>
      <c r="G2067" t="s">
        <v>12</v>
      </c>
      <c r="I2067" t="s">
        <v>1428</v>
      </c>
    </row>
    <row r="2068" spans="1:9" x14ac:dyDescent="0.25">
      <c r="A2068" t="s">
        <v>1779</v>
      </c>
      <c r="B2068" t="s">
        <v>752</v>
      </c>
      <c r="C2068" s="2">
        <f>HYPERLINK("https://cao.dolgi.msk.ru/account/1080253423/", 1080253423)</f>
        <v>1080253423</v>
      </c>
      <c r="D2068" t="s">
        <v>15</v>
      </c>
      <c r="E2068">
        <v>5005.04</v>
      </c>
      <c r="F2068">
        <v>14.41</v>
      </c>
      <c r="G2068" t="s">
        <v>12</v>
      </c>
      <c r="I2068" t="s">
        <v>1428</v>
      </c>
    </row>
    <row r="2069" spans="1:9" hidden="1" x14ac:dyDescent="0.25">
      <c r="A2069" t="s">
        <v>1779</v>
      </c>
      <c r="B2069" t="s">
        <v>762</v>
      </c>
      <c r="C2069" s="2">
        <f>HYPERLINK("https://cao.dolgi.msk.ru/account/1080253909/", 1080253909)</f>
        <v>1080253909</v>
      </c>
      <c r="D2069" t="s">
        <v>1782</v>
      </c>
      <c r="E2069">
        <v>-4452.7299999999996</v>
      </c>
      <c r="F2069">
        <v>-0.86</v>
      </c>
      <c r="G2069" t="s">
        <v>12</v>
      </c>
      <c r="I2069" t="s">
        <v>1428</v>
      </c>
    </row>
    <row r="2070" spans="1:9" hidden="1" x14ac:dyDescent="0.25">
      <c r="A2070" t="s">
        <v>1779</v>
      </c>
      <c r="B2070" t="s">
        <v>768</v>
      </c>
      <c r="C2070" s="2">
        <f>HYPERLINK("https://cao.dolgi.msk.ru/account/1080253474/", 1080253474)</f>
        <v>1080253474</v>
      </c>
      <c r="D2070" t="s">
        <v>15</v>
      </c>
      <c r="G2070" t="s">
        <v>14</v>
      </c>
      <c r="I2070" t="s">
        <v>1428</v>
      </c>
    </row>
    <row r="2071" spans="1:9" hidden="1" x14ac:dyDescent="0.25">
      <c r="A2071" t="s">
        <v>1779</v>
      </c>
      <c r="B2071" t="s">
        <v>770</v>
      </c>
      <c r="C2071" s="2">
        <f>HYPERLINK("https://cao.dolgi.msk.ru/account/1080253685/", 1080253685)</f>
        <v>1080253685</v>
      </c>
      <c r="D2071" t="s">
        <v>15</v>
      </c>
      <c r="G2071" t="s">
        <v>14</v>
      </c>
      <c r="I2071" t="s">
        <v>1428</v>
      </c>
    </row>
    <row r="2072" spans="1:9" hidden="1" x14ac:dyDescent="0.25">
      <c r="A2072" t="s">
        <v>1779</v>
      </c>
      <c r="B2072" t="s">
        <v>770</v>
      </c>
      <c r="C2072" s="2">
        <f>HYPERLINK("https://cao.dolgi.msk.ru/account/1080253749/", 1080253749)</f>
        <v>1080253749</v>
      </c>
      <c r="D2072" t="s">
        <v>736</v>
      </c>
      <c r="E2072">
        <v>158.87</v>
      </c>
      <c r="F2072">
        <v>0.04</v>
      </c>
      <c r="G2072" t="s">
        <v>12</v>
      </c>
      <c r="I2072" t="s">
        <v>1428</v>
      </c>
    </row>
    <row r="2073" spans="1:9" hidden="1" x14ac:dyDescent="0.25">
      <c r="A2073" t="s">
        <v>1779</v>
      </c>
      <c r="B2073" t="s">
        <v>772</v>
      </c>
      <c r="C2073" s="2">
        <f>HYPERLINK("https://cao.dolgi.msk.ru/account/1080253781/", 1080253781)</f>
        <v>1080253781</v>
      </c>
      <c r="D2073" t="s">
        <v>15</v>
      </c>
      <c r="G2073" t="s">
        <v>14</v>
      </c>
      <c r="H2073" t="s">
        <v>7</v>
      </c>
      <c r="I2073" t="s">
        <v>1428</v>
      </c>
    </row>
    <row r="2074" spans="1:9" hidden="1" x14ac:dyDescent="0.25">
      <c r="A2074" t="s">
        <v>1779</v>
      </c>
      <c r="B2074" t="s">
        <v>774</v>
      </c>
      <c r="C2074" s="2">
        <f>HYPERLINK("https://cao.dolgi.msk.ru/account/1080253845/", 1080253845)</f>
        <v>1080253845</v>
      </c>
      <c r="D2074" t="s">
        <v>1783</v>
      </c>
      <c r="E2074">
        <v>-1480.33</v>
      </c>
      <c r="F2074">
        <v>-1.1100000000000001</v>
      </c>
      <c r="G2074" t="s">
        <v>12</v>
      </c>
      <c r="I2074" t="s">
        <v>1428</v>
      </c>
    </row>
    <row r="2075" spans="1:9" hidden="1" x14ac:dyDescent="0.25">
      <c r="A2075" t="s">
        <v>1779</v>
      </c>
      <c r="B2075" t="s">
        <v>789</v>
      </c>
      <c r="C2075" s="2">
        <f>HYPERLINK("https://cao.dolgi.msk.ru/account/1080254274/", 1080254274)</f>
        <v>1080254274</v>
      </c>
      <c r="D2075" t="s">
        <v>1784</v>
      </c>
      <c r="E2075">
        <v>0</v>
      </c>
      <c r="F2075">
        <v>0</v>
      </c>
      <c r="G2075" t="s">
        <v>12</v>
      </c>
      <c r="I2075" t="s">
        <v>1428</v>
      </c>
    </row>
    <row r="2076" spans="1:9" hidden="1" x14ac:dyDescent="0.25">
      <c r="A2076" t="s">
        <v>1779</v>
      </c>
      <c r="B2076" t="s">
        <v>792</v>
      </c>
      <c r="C2076" s="2">
        <f>HYPERLINK("https://cao.dolgi.msk.ru/account/1080253351/", 1080253351)</f>
        <v>1080253351</v>
      </c>
      <c r="D2076" t="s">
        <v>1785</v>
      </c>
      <c r="E2076">
        <v>-61.09</v>
      </c>
      <c r="F2076">
        <v>-0.1</v>
      </c>
      <c r="G2076" t="s">
        <v>12</v>
      </c>
      <c r="I2076" t="s">
        <v>1428</v>
      </c>
    </row>
    <row r="2077" spans="1:9" x14ac:dyDescent="0.25">
      <c r="A2077" t="s">
        <v>1779</v>
      </c>
      <c r="B2077" t="s">
        <v>812</v>
      </c>
      <c r="C2077" s="2">
        <f>HYPERLINK("https://cao.dolgi.msk.ru/account/1080254303/", 1080254303)</f>
        <v>1080254303</v>
      </c>
      <c r="D2077" t="s">
        <v>15</v>
      </c>
      <c r="E2077">
        <v>7719.62</v>
      </c>
      <c r="F2077">
        <v>14.41</v>
      </c>
      <c r="G2077" t="s">
        <v>12</v>
      </c>
      <c r="I2077" t="s">
        <v>1428</v>
      </c>
    </row>
    <row r="2078" spans="1:9" hidden="1" x14ac:dyDescent="0.25">
      <c r="A2078" t="s">
        <v>1779</v>
      </c>
      <c r="B2078" t="s">
        <v>830</v>
      </c>
      <c r="C2078" s="2">
        <f>HYPERLINK("https://cao.dolgi.msk.ru/account/1080253917/", 1080253917)</f>
        <v>1080253917</v>
      </c>
      <c r="D2078" t="s">
        <v>1786</v>
      </c>
      <c r="E2078">
        <v>-2009.53</v>
      </c>
      <c r="F2078">
        <v>-0.75</v>
      </c>
      <c r="G2078" t="s">
        <v>12</v>
      </c>
      <c r="I2078" t="s">
        <v>1428</v>
      </c>
    </row>
    <row r="2079" spans="1:9" hidden="1" x14ac:dyDescent="0.25">
      <c r="A2079" t="s">
        <v>1779</v>
      </c>
      <c r="B2079" t="s">
        <v>1787</v>
      </c>
      <c r="C2079" s="2">
        <f>HYPERLINK("https://cao.dolgi.msk.ru/account/1080253546/", 1080253546)</f>
        <v>1080253546</v>
      </c>
      <c r="D2079" t="s">
        <v>1788</v>
      </c>
      <c r="E2079">
        <v>-3847.36</v>
      </c>
      <c r="F2079">
        <v>-1.38</v>
      </c>
      <c r="G2079" t="s">
        <v>12</v>
      </c>
      <c r="I2079" t="s">
        <v>1428</v>
      </c>
    </row>
    <row r="2080" spans="1:9" hidden="1" x14ac:dyDescent="0.25">
      <c r="A2080" t="s">
        <v>1779</v>
      </c>
      <c r="B2080" t="s">
        <v>844</v>
      </c>
      <c r="C2080" s="2">
        <f>HYPERLINK("https://cao.dolgi.msk.ru/account/1080253976/", 1080253976)</f>
        <v>1080253976</v>
      </c>
      <c r="D2080" t="s">
        <v>1789</v>
      </c>
      <c r="E2080">
        <v>-2000.45</v>
      </c>
      <c r="F2080">
        <v>-1.01</v>
      </c>
      <c r="G2080" t="s">
        <v>12</v>
      </c>
      <c r="I2080" t="s">
        <v>1428</v>
      </c>
    </row>
    <row r="2081" spans="1:9" x14ac:dyDescent="0.25">
      <c r="A2081" t="s">
        <v>1779</v>
      </c>
      <c r="B2081" t="s">
        <v>848</v>
      </c>
      <c r="C2081" s="2">
        <f>HYPERLINK("https://cao.dolgi.msk.ru/account/1080254178/", 1080254178)</f>
        <v>1080254178</v>
      </c>
      <c r="D2081" t="s">
        <v>15</v>
      </c>
      <c r="E2081">
        <v>4515.24</v>
      </c>
      <c r="F2081">
        <v>13.11</v>
      </c>
      <c r="G2081" t="s">
        <v>12</v>
      </c>
      <c r="I2081" t="s">
        <v>1428</v>
      </c>
    </row>
    <row r="2082" spans="1:9" hidden="1" x14ac:dyDescent="0.25">
      <c r="A2082" t="s">
        <v>1779</v>
      </c>
      <c r="B2082" t="s">
        <v>852</v>
      </c>
      <c r="C2082" s="2">
        <f>HYPERLINK("https://cao.dolgi.msk.ru/account/1080253538/", 1080253538)</f>
        <v>1080253538</v>
      </c>
      <c r="D2082" t="s">
        <v>736</v>
      </c>
      <c r="E2082">
        <v>-4174.68</v>
      </c>
      <c r="F2082">
        <v>-1.06</v>
      </c>
      <c r="G2082" t="s">
        <v>12</v>
      </c>
      <c r="I2082" t="s">
        <v>1428</v>
      </c>
    </row>
    <row r="2083" spans="1:9" hidden="1" x14ac:dyDescent="0.25">
      <c r="A2083" t="s">
        <v>1779</v>
      </c>
      <c r="B2083" t="s">
        <v>864</v>
      </c>
      <c r="C2083" s="2">
        <f>HYPERLINK("https://cao.dolgi.msk.ru/account/1080253554/", 1080253554)</f>
        <v>1080253554</v>
      </c>
      <c r="D2083" t="s">
        <v>1790</v>
      </c>
      <c r="E2083">
        <v>-228.09</v>
      </c>
      <c r="F2083">
        <v>-0.19</v>
      </c>
      <c r="G2083" t="s">
        <v>12</v>
      </c>
      <c r="I2083" t="s">
        <v>1428</v>
      </c>
    </row>
    <row r="2084" spans="1:9" x14ac:dyDescent="0.25">
      <c r="A2084" t="s">
        <v>1779</v>
      </c>
      <c r="B2084" t="s">
        <v>1791</v>
      </c>
      <c r="C2084" s="2">
        <f>HYPERLINK("https://cao.dolgi.msk.ru/account/1080253706/", 1080253706)</f>
        <v>1080253706</v>
      </c>
      <c r="D2084" t="s">
        <v>736</v>
      </c>
      <c r="E2084">
        <v>62697.37</v>
      </c>
      <c r="F2084">
        <v>65.53</v>
      </c>
      <c r="G2084" t="s">
        <v>12</v>
      </c>
      <c r="I2084" t="s">
        <v>1428</v>
      </c>
    </row>
    <row r="2085" spans="1:9" x14ac:dyDescent="0.25">
      <c r="A2085" t="s">
        <v>1779</v>
      </c>
      <c r="B2085" t="s">
        <v>1792</v>
      </c>
      <c r="C2085" s="2">
        <f>HYPERLINK("https://cao.dolgi.msk.ru/account/1080254186/", 1080254186)</f>
        <v>1080254186</v>
      </c>
      <c r="D2085" t="s">
        <v>736</v>
      </c>
      <c r="E2085">
        <v>1951926.06</v>
      </c>
      <c r="F2085">
        <v>71.510000000000005</v>
      </c>
      <c r="G2085" t="s">
        <v>12</v>
      </c>
      <c r="I2085" t="s">
        <v>1428</v>
      </c>
    </row>
    <row r="2086" spans="1:9" hidden="1" x14ac:dyDescent="0.25">
      <c r="A2086" t="s">
        <v>1779</v>
      </c>
      <c r="B2086" t="s">
        <v>1793</v>
      </c>
      <c r="C2086" s="2">
        <f>HYPERLINK("https://cao.dolgi.msk.ru/account/1080254047/", 1080254047)</f>
        <v>1080254047</v>
      </c>
      <c r="D2086" t="s">
        <v>15</v>
      </c>
      <c r="E2086">
        <v>-2333.75</v>
      </c>
      <c r="F2086">
        <v>-1.22</v>
      </c>
      <c r="G2086" t="s">
        <v>12</v>
      </c>
      <c r="I2086" t="s">
        <v>1428</v>
      </c>
    </row>
    <row r="2087" spans="1:9" hidden="1" x14ac:dyDescent="0.25">
      <c r="A2087" t="s">
        <v>1779</v>
      </c>
      <c r="B2087" t="s">
        <v>1794</v>
      </c>
      <c r="C2087" s="2">
        <f>HYPERLINK("https://cao.dolgi.msk.ru/account/1080253888/", 1080253888)</f>
        <v>1080253888</v>
      </c>
      <c r="D2087" t="s">
        <v>15</v>
      </c>
      <c r="E2087">
        <v>-3230.3</v>
      </c>
      <c r="F2087">
        <v>-1.08</v>
      </c>
      <c r="G2087" t="s">
        <v>12</v>
      </c>
      <c r="I2087" t="s">
        <v>1428</v>
      </c>
    </row>
    <row r="2088" spans="1:9" hidden="1" x14ac:dyDescent="0.25">
      <c r="A2088" t="s">
        <v>1779</v>
      </c>
      <c r="B2088" t="s">
        <v>1795</v>
      </c>
      <c r="C2088" s="2">
        <f>HYPERLINK("https://cao.dolgi.msk.ru/account/1080253837/", 1080253837)</f>
        <v>1080253837</v>
      </c>
      <c r="D2088" t="s">
        <v>1796</v>
      </c>
      <c r="E2088">
        <v>-19813.400000000001</v>
      </c>
      <c r="F2088">
        <v>-27.75</v>
      </c>
      <c r="G2088" t="s">
        <v>12</v>
      </c>
      <c r="I2088" t="s">
        <v>1428</v>
      </c>
    </row>
    <row r="2089" spans="1:9" hidden="1" x14ac:dyDescent="0.25">
      <c r="A2089" t="s">
        <v>1779</v>
      </c>
      <c r="B2089" t="s">
        <v>1797</v>
      </c>
      <c r="C2089" s="2">
        <f>HYPERLINK("https://cao.dolgi.msk.ru/account/1080253896/", 1080253896)</f>
        <v>1080253896</v>
      </c>
      <c r="D2089" t="s">
        <v>1082</v>
      </c>
      <c r="E2089">
        <v>-2720.72</v>
      </c>
      <c r="F2089">
        <v>-1.05</v>
      </c>
      <c r="G2089" t="s">
        <v>12</v>
      </c>
      <c r="I2089" t="s">
        <v>1428</v>
      </c>
    </row>
    <row r="2090" spans="1:9" x14ac:dyDescent="0.25">
      <c r="A2090" t="s">
        <v>1779</v>
      </c>
      <c r="B2090" t="s">
        <v>1798</v>
      </c>
      <c r="C2090" s="2">
        <f>HYPERLINK("https://cao.dolgi.msk.ru/account/1080253933/", 1080253933)</f>
        <v>1080253933</v>
      </c>
      <c r="D2090" t="s">
        <v>1799</v>
      </c>
      <c r="E2090">
        <v>2276.71</v>
      </c>
      <c r="F2090">
        <v>1.26</v>
      </c>
      <c r="G2090" t="s">
        <v>12</v>
      </c>
      <c r="I2090" t="s">
        <v>1428</v>
      </c>
    </row>
    <row r="2091" spans="1:9" hidden="1" x14ac:dyDescent="0.25">
      <c r="A2091" t="s">
        <v>1779</v>
      </c>
      <c r="B2091" t="s">
        <v>1800</v>
      </c>
      <c r="C2091" s="2">
        <f>HYPERLINK("https://cao.dolgi.msk.ru/account/1080253466/", 1080253466)</f>
        <v>1080253466</v>
      </c>
      <c r="D2091" t="s">
        <v>1801</v>
      </c>
      <c r="E2091">
        <v>-88.5</v>
      </c>
      <c r="F2091">
        <v>-0.03</v>
      </c>
      <c r="G2091" t="s">
        <v>12</v>
      </c>
      <c r="I2091" t="s">
        <v>1428</v>
      </c>
    </row>
    <row r="2092" spans="1:9" hidden="1" x14ac:dyDescent="0.25">
      <c r="A2092" t="s">
        <v>1779</v>
      </c>
      <c r="B2092" t="s">
        <v>1802</v>
      </c>
      <c r="C2092" s="2">
        <f>HYPERLINK("https://cao.dolgi.msk.ru/account/1080253597/", 1080253597)</f>
        <v>1080253597</v>
      </c>
      <c r="D2092" t="s">
        <v>1803</v>
      </c>
      <c r="E2092">
        <v>-2553.42</v>
      </c>
      <c r="F2092">
        <v>-1.1100000000000001</v>
      </c>
      <c r="G2092" t="s">
        <v>12</v>
      </c>
      <c r="I2092" t="s">
        <v>1428</v>
      </c>
    </row>
    <row r="2093" spans="1:9" hidden="1" x14ac:dyDescent="0.25">
      <c r="A2093" t="s">
        <v>1779</v>
      </c>
      <c r="B2093" t="s">
        <v>1804</v>
      </c>
      <c r="C2093" s="2">
        <f>HYPERLINK("https://cao.dolgi.msk.ru/account/1080253984/", 1080253984)</f>
        <v>1080253984</v>
      </c>
      <c r="D2093" t="s">
        <v>62</v>
      </c>
      <c r="E2093">
        <v>-955.18</v>
      </c>
      <c r="F2093">
        <v>-1.28</v>
      </c>
      <c r="G2093" t="s">
        <v>12</v>
      </c>
      <c r="I2093" t="s">
        <v>1428</v>
      </c>
    </row>
    <row r="2094" spans="1:9" hidden="1" x14ac:dyDescent="0.25">
      <c r="A2094" t="s">
        <v>1779</v>
      </c>
      <c r="B2094" t="s">
        <v>1804</v>
      </c>
      <c r="C2094" s="2">
        <f>HYPERLINK("https://cao.dolgi.msk.ru/account/1080254223/", 1080254223)</f>
        <v>1080254223</v>
      </c>
      <c r="D2094" t="s">
        <v>15</v>
      </c>
      <c r="G2094" t="s">
        <v>14</v>
      </c>
      <c r="I2094" t="s">
        <v>1428</v>
      </c>
    </row>
    <row r="2095" spans="1:9" hidden="1" x14ac:dyDescent="0.25">
      <c r="A2095" t="s">
        <v>1779</v>
      </c>
      <c r="B2095" t="s">
        <v>1805</v>
      </c>
      <c r="C2095" s="2">
        <f>HYPERLINK("https://cao.dolgi.msk.ru/account/1080253722/", 1080253722)</f>
        <v>1080253722</v>
      </c>
      <c r="D2095" t="s">
        <v>736</v>
      </c>
      <c r="E2095">
        <v>-2974.53</v>
      </c>
      <c r="F2095">
        <v>-1.51</v>
      </c>
      <c r="G2095" t="s">
        <v>12</v>
      </c>
      <c r="I2095" t="s">
        <v>1428</v>
      </c>
    </row>
    <row r="2096" spans="1:9" x14ac:dyDescent="0.25">
      <c r="A2096" t="s">
        <v>1779</v>
      </c>
      <c r="B2096" t="s">
        <v>1806</v>
      </c>
      <c r="C2096" s="2">
        <f>HYPERLINK("https://cao.dolgi.msk.ru/account/1080253634/", 1080253634)</f>
        <v>1080253634</v>
      </c>
      <c r="D2096" t="s">
        <v>736</v>
      </c>
      <c r="E2096">
        <v>207335.89</v>
      </c>
      <c r="F2096">
        <v>19.27</v>
      </c>
      <c r="G2096" t="s">
        <v>12</v>
      </c>
      <c r="I2096" t="s">
        <v>1428</v>
      </c>
    </row>
    <row r="2097" spans="1:9" x14ac:dyDescent="0.25">
      <c r="A2097" t="s">
        <v>1779</v>
      </c>
      <c r="B2097" t="s">
        <v>1807</v>
      </c>
      <c r="C2097" s="2">
        <f>HYPERLINK("https://cao.dolgi.msk.ru/account/1080253992/", 1080253992)</f>
        <v>1080253992</v>
      </c>
      <c r="D2097" t="s">
        <v>1808</v>
      </c>
      <c r="E2097">
        <v>4230.57</v>
      </c>
      <c r="F2097">
        <v>1.05</v>
      </c>
      <c r="G2097" t="s">
        <v>12</v>
      </c>
      <c r="I2097" t="s">
        <v>1428</v>
      </c>
    </row>
    <row r="2098" spans="1:9" hidden="1" x14ac:dyDescent="0.25">
      <c r="A2098" t="s">
        <v>1779</v>
      </c>
      <c r="B2098" t="s">
        <v>1809</v>
      </c>
      <c r="C2098" s="2">
        <f>HYPERLINK("https://cao.dolgi.msk.ru/account/1080253669/", 1080253669)</f>
        <v>1080253669</v>
      </c>
      <c r="D2098" t="s">
        <v>736</v>
      </c>
      <c r="E2098">
        <v>-14300.89</v>
      </c>
      <c r="F2098">
        <v>-8.92</v>
      </c>
      <c r="G2098" t="s">
        <v>12</v>
      </c>
      <c r="I2098" t="s">
        <v>1428</v>
      </c>
    </row>
    <row r="2099" spans="1:9" hidden="1" x14ac:dyDescent="0.25">
      <c r="A2099" t="s">
        <v>1779</v>
      </c>
      <c r="B2099" t="s">
        <v>1810</v>
      </c>
      <c r="C2099" s="2">
        <f>HYPERLINK("https://cao.dolgi.msk.ru/account/1080253511/", 1080253511)</f>
        <v>1080253511</v>
      </c>
      <c r="D2099" t="s">
        <v>1811</v>
      </c>
      <c r="E2099">
        <v>-4699.7</v>
      </c>
      <c r="F2099">
        <v>-1.05</v>
      </c>
      <c r="G2099" t="s">
        <v>12</v>
      </c>
      <c r="I2099" t="s">
        <v>1428</v>
      </c>
    </row>
    <row r="2100" spans="1:9" hidden="1" x14ac:dyDescent="0.25">
      <c r="A2100" t="s">
        <v>1779</v>
      </c>
      <c r="B2100" t="s">
        <v>1812</v>
      </c>
      <c r="C2100" s="2">
        <f>HYPERLINK("https://cao.dolgi.msk.ru/account/1080253386/", 1080253386)</f>
        <v>1080253386</v>
      </c>
      <c r="D2100" t="s">
        <v>1813</v>
      </c>
      <c r="E2100">
        <v>-8941.73</v>
      </c>
      <c r="F2100">
        <v>-6.93</v>
      </c>
      <c r="G2100" t="s">
        <v>12</v>
      </c>
      <c r="I2100" t="s">
        <v>1428</v>
      </c>
    </row>
    <row r="2101" spans="1:9" hidden="1" x14ac:dyDescent="0.25">
      <c r="A2101" t="s">
        <v>1779</v>
      </c>
      <c r="B2101" t="s">
        <v>1814</v>
      </c>
      <c r="C2101" s="2">
        <f>HYPERLINK("https://cao.dolgi.msk.ru/account/1080253415/", 1080253415)</f>
        <v>1080253415</v>
      </c>
      <c r="D2101" t="s">
        <v>15</v>
      </c>
      <c r="G2101" t="s">
        <v>14</v>
      </c>
      <c r="I2101" t="s">
        <v>1428</v>
      </c>
    </row>
    <row r="2102" spans="1:9" x14ac:dyDescent="0.25">
      <c r="A2102" t="s">
        <v>1779</v>
      </c>
      <c r="B2102" t="s">
        <v>1814</v>
      </c>
      <c r="C2102" s="2">
        <f>HYPERLINK("https://cao.dolgi.msk.ru/account/1080253562/", 1080253562)</f>
        <v>1080253562</v>
      </c>
      <c r="D2102" t="s">
        <v>1815</v>
      </c>
      <c r="E2102">
        <v>4977.8500000000004</v>
      </c>
      <c r="F2102">
        <v>4.9000000000000004</v>
      </c>
      <c r="G2102" t="s">
        <v>12</v>
      </c>
      <c r="I2102" t="s">
        <v>1428</v>
      </c>
    </row>
    <row r="2103" spans="1:9" hidden="1" x14ac:dyDescent="0.25">
      <c r="A2103" t="s">
        <v>1816</v>
      </c>
      <c r="B2103" t="s">
        <v>10</v>
      </c>
      <c r="C2103" s="2">
        <f>HYPERLINK("https://cao.dolgi.msk.ru/account/1080247226/", 1080247226)</f>
        <v>1080247226</v>
      </c>
      <c r="D2103" t="s">
        <v>1817</v>
      </c>
      <c r="E2103">
        <v>-957</v>
      </c>
      <c r="F2103">
        <v>-0.37</v>
      </c>
      <c r="G2103" t="s">
        <v>12</v>
      </c>
      <c r="I2103" t="s">
        <v>1428</v>
      </c>
    </row>
    <row r="2104" spans="1:9" hidden="1" x14ac:dyDescent="0.25">
      <c r="A2104" t="s">
        <v>1816</v>
      </c>
      <c r="B2104" t="s">
        <v>16</v>
      </c>
      <c r="C2104" s="2">
        <f>HYPERLINK("https://cao.dolgi.msk.ru/account/1080247234/", 1080247234)</f>
        <v>1080247234</v>
      </c>
      <c r="D2104" t="s">
        <v>1818</v>
      </c>
      <c r="E2104">
        <v>-10339.969999999999</v>
      </c>
      <c r="F2104">
        <v>-1.2</v>
      </c>
      <c r="G2104" t="s">
        <v>12</v>
      </c>
      <c r="I2104" t="s">
        <v>1428</v>
      </c>
    </row>
    <row r="2105" spans="1:9" hidden="1" x14ac:dyDescent="0.25">
      <c r="A2105" t="s">
        <v>1816</v>
      </c>
      <c r="B2105" t="s">
        <v>18</v>
      </c>
      <c r="C2105" s="2">
        <f>HYPERLINK("https://cao.dolgi.msk.ru/account/1080247242/", 1080247242)</f>
        <v>1080247242</v>
      </c>
      <c r="D2105" t="s">
        <v>1819</v>
      </c>
      <c r="E2105">
        <v>-6158.58</v>
      </c>
      <c r="F2105">
        <v>-1.1000000000000001</v>
      </c>
      <c r="G2105" t="s">
        <v>12</v>
      </c>
      <c r="I2105" t="s">
        <v>1428</v>
      </c>
    </row>
    <row r="2106" spans="1:9" hidden="1" x14ac:dyDescent="0.25">
      <c r="A2106" t="s">
        <v>1816</v>
      </c>
      <c r="B2106" t="s">
        <v>20</v>
      </c>
      <c r="C2106" s="2">
        <f>HYPERLINK("https://cao.dolgi.msk.ru/account/1080247269/", 1080247269)</f>
        <v>1080247269</v>
      </c>
      <c r="D2106" t="s">
        <v>1820</v>
      </c>
      <c r="E2106">
        <v>-5096.42</v>
      </c>
      <c r="F2106">
        <v>-0.75</v>
      </c>
      <c r="G2106" t="s">
        <v>12</v>
      </c>
      <c r="I2106" t="s">
        <v>1428</v>
      </c>
    </row>
    <row r="2107" spans="1:9" hidden="1" x14ac:dyDescent="0.25">
      <c r="A2107" t="s">
        <v>1816</v>
      </c>
      <c r="B2107" t="s">
        <v>21</v>
      </c>
      <c r="C2107" s="2">
        <f>HYPERLINK("https://cao.dolgi.msk.ru/account/1080247277/", 1080247277)</f>
        <v>1080247277</v>
      </c>
      <c r="D2107" t="s">
        <v>1821</v>
      </c>
      <c r="E2107">
        <v>-4002.49</v>
      </c>
      <c r="F2107">
        <v>-1.01</v>
      </c>
      <c r="G2107" t="s">
        <v>12</v>
      </c>
      <c r="I2107" t="s">
        <v>1428</v>
      </c>
    </row>
    <row r="2108" spans="1:9" hidden="1" x14ac:dyDescent="0.25">
      <c r="A2108" t="s">
        <v>1816</v>
      </c>
      <c r="B2108" t="s">
        <v>22</v>
      </c>
      <c r="C2108" s="2">
        <f>HYPERLINK("https://cao.dolgi.msk.ru/account/1080247285/", 1080247285)</f>
        <v>1080247285</v>
      </c>
      <c r="D2108" t="s">
        <v>1822</v>
      </c>
      <c r="E2108">
        <v>-3127.72</v>
      </c>
      <c r="F2108">
        <v>-0.71</v>
      </c>
      <c r="G2108" t="s">
        <v>12</v>
      </c>
      <c r="I2108" t="s">
        <v>1428</v>
      </c>
    </row>
    <row r="2109" spans="1:9" hidden="1" x14ac:dyDescent="0.25">
      <c r="A2109" t="s">
        <v>1816</v>
      </c>
      <c r="B2109" t="s">
        <v>23</v>
      </c>
      <c r="C2109" s="2">
        <f>HYPERLINK("https://cao.dolgi.msk.ru/account/1080247293/", 1080247293)</f>
        <v>1080247293</v>
      </c>
      <c r="D2109" t="s">
        <v>1823</v>
      </c>
      <c r="G2109" t="s">
        <v>14</v>
      </c>
      <c r="I2109" t="s">
        <v>1428</v>
      </c>
    </row>
    <row r="2110" spans="1:9" hidden="1" x14ac:dyDescent="0.25">
      <c r="A2110" t="s">
        <v>1816</v>
      </c>
      <c r="B2110" t="s">
        <v>23</v>
      </c>
      <c r="C2110" s="2">
        <f>HYPERLINK("https://cao.dolgi.msk.ru/account/1080326493/", 1080326493)</f>
        <v>1080326493</v>
      </c>
      <c r="D2110" t="s">
        <v>15</v>
      </c>
      <c r="G2110" t="s">
        <v>14</v>
      </c>
      <c r="I2110" t="s">
        <v>1428</v>
      </c>
    </row>
    <row r="2111" spans="1:9" hidden="1" x14ac:dyDescent="0.25">
      <c r="A2111" t="s">
        <v>1816</v>
      </c>
      <c r="B2111" t="s">
        <v>24</v>
      </c>
      <c r="C2111" s="2">
        <f>HYPERLINK("https://cao.dolgi.msk.ru/account/1080247306/", 1080247306)</f>
        <v>1080247306</v>
      </c>
      <c r="D2111" t="s">
        <v>1824</v>
      </c>
      <c r="E2111">
        <v>-2158.4899999999998</v>
      </c>
      <c r="F2111">
        <v>-1.06</v>
      </c>
      <c r="G2111" t="s">
        <v>12</v>
      </c>
      <c r="I2111" t="s">
        <v>1428</v>
      </c>
    </row>
    <row r="2112" spans="1:9" hidden="1" x14ac:dyDescent="0.25">
      <c r="A2112" t="s">
        <v>1816</v>
      </c>
      <c r="B2112" t="s">
        <v>27</v>
      </c>
      <c r="C2112" s="2">
        <f>HYPERLINK("https://cao.dolgi.msk.ru/account/1080247314/", 1080247314)</f>
        <v>1080247314</v>
      </c>
      <c r="D2112" t="s">
        <v>1825</v>
      </c>
      <c r="E2112">
        <v>-11803.99</v>
      </c>
      <c r="F2112">
        <v>-2.19</v>
      </c>
      <c r="G2112" t="s">
        <v>12</v>
      </c>
      <c r="I2112" t="s">
        <v>1428</v>
      </c>
    </row>
    <row r="2113" spans="1:9" hidden="1" x14ac:dyDescent="0.25">
      <c r="A2113" t="s">
        <v>1816</v>
      </c>
      <c r="B2113" t="s">
        <v>29</v>
      </c>
      <c r="C2113" s="2">
        <f>HYPERLINK("https://cao.dolgi.msk.ru/account/1080247322/", 1080247322)</f>
        <v>1080247322</v>
      </c>
      <c r="D2113" t="s">
        <v>1826</v>
      </c>
      <c r="E2113">
        <v>-4629.34</v>
      </c>
      <c r="F2113">
        <v>-1.1100000000000001</v>
      </c>
      <c r="G2113" t="s">
        <v>12</v>
      </c>
      <c r="I2113" t="s">
        <v>1428</v>
      </c>
    </row>
    <row r="2114" spans="1:9" hidden="1" x14ac:dyDescent="0.25">
      <c r="A2114" t="s">
        <v>1816</v>
      </c>
      <c r="B2114" t="s">
        <v>31</v>
      </c>
      <c r="C2114" s="2">
        <f>HYPERLINK("https://cao.dolgi.msk.ru/account/1080247349/", 1080247349)</f>
        <v>1080247349</v>
      </c>
      <c r="D2114" t="s">
        <v>1082</v>
      </c>
      <c r="E2114">
        <v>-801.57</v>
      </c>
      <c r="F2114">
        <v>-0.16</v>
      </c>
      <c r="G2114" t="s">
        <v>12</v>
      </c>
      <c r="I2114" t="s">
        <v>1428</v>
      </c>
    </row>
    <row r="2115" spans="1:9" hidden="1" x14ac:dyDescent="0.25">
      <c r="A2115" t="s">
        <v>1816</v>
      </c>
      <c r="B2115" t="s">
        <v>33</v>
      </c>
      <c r="C2115" s="2">
        <f>HYPERLINK("https://cao.dolgi.msk.ru/account/1080247357/", 1080247357)</f>
        <v>1080247357</v>
      </c>
      <c r="D2115" t="s">
        <v>1827</v>
      </c>
      <c r="E2115">
        <v>0</v>
      </c>
      <c r="F2115">
        <v>0</v>
      </c>
      <c r="G2115" t="s">
        <v>12</v>
      </c>
      <c r="I2115" t="s">
        <v>1428</v>
      </c>
    </row>
    <row r="2116" spans="1:9" hidden="1" x14ac:dyDescent="0.25">
      <c r="A2116" t="s">
        <v>1816</v>
      </c>
      <c r="B2116" t="s">
        <v>34</v>
      </c>
      <c r="C2116" s="2">
        <f>HYPERLINK("https://cao.dolgi.msk.ru/account/1080247365/", 1080247365)</f>
        <v>1080247365</v>
      </c>
      <c r="D2116" t="s">
        <v>1828</v>
      </c>
      <c r="E2116">
        <v>-1961.12</v>
      </c>
      <c r="F2116">
        <v>-0.6</v>
      </c>
      <c r="G2116" t="s">
        <v>12</v>
      </c>
      <c r="I2116" t="s">
        <v>1428</v>
      </c>
    </row>
    <row r="2117" spans="1:9" hidden="1" x14ac:dyDescent="0.25">
      <c r="A2117" t="s">
        <v>1816</v>
      </c>
      <c r="B2117" t="s">
        <v>36</v>
      </c>
      <c r="C2117" s="2">
        <f>HYPERLINK("https://cao.dolgi.msk.ru/account/1080247373/", 1080247373)</f>
        <v>1080247373</v>
      </c>
      <c r="D2117" t="s">
        <v>1829</v>
      </c>
      <c r="E2117">
        <v>-5170.6499999999996</v>
      </c>
      <c r="F2117">
        <v>-1.06</v>
      </c>
      <c r="G2117" t="s">
        <v>12</v>
      </c>
      <c r="I2117" t="s">
        <v>1428</v>
      </c>
    </row>
    <row r="2118" spans="1:9" hidden="1" x14ac:dyDescent="0.25">
      <c r="A2118" t="s">
        <v>1816</v>
      </c>
      <c r="B2118" t="s">
        <v>38</v>
      </c>
      <c r="C2118" s="2">
        <f>HYPERLINK("https://cao.dolgi.msk.ru/account/1080247381/", 1080247381)</f>
        <v>1080247381</v>
      </c>
      <c r="D2118" t="s">
        <v>1830</v>
      </c>
      <c r="E2118">
        <v>-11227.84</v>
      </c>
      <c r="F2118">
        <v>-3.89</v>
      </c>
      <c r="G2118" t="s">
        <v>12</v>
      </c>
      <c r="I2118" t="s">
        <v>1428</v>
      </c>
    </row>
    <row r="2119" spans="1:9" hidden="1" x14ac:dyDescent="0.25">
      <c r="A2119" t="s">
        <v>1816</v>
      </c>
      <c r="B2119" t="s">
        <v>39</v>
      </c>
      <c r="C2119" s="2">
        <f>HYPERLINK("https://cao.dolgi.msk.ru/account/1080247402/", 1080247402)</f>
        <v>1080247402</v>
      </c>
      <c r="D2119" t="s">
        <v>1831</v>
      </c>
      <c r="E2119">
        <v>-8536.61</v>
      </c>
      <c r="F2119">
        <v>-1.43</v>
      </c>
      <c r="G2119" t="s">
        <v>12</v>
      </c>
      <c r="I2119" t="s">
        <v>1428</v>
      </c>
    </row>
    <row r="2120" spans="1:9" hidden="1" x14ac:dyDescent="0.25">
      <c r="A2120" t="s">
        <v>1816</v>
      </c>
      <c r="B2120" t="s">
        <v>40</v>
      </c>
      <c r="C2120" s="2">
        <f>HYPERLINK("https://cao.dolgi.msk.ru/account/1080247429/", 1080247429)</f>
        <v>1080247429</v>
      </c>
      <c r="D2120" t="s">
        <v>1832</v>
      </c>
      <c r="E2120">
        <v>-2957.93</v>
      </c>
      <c r="F2120">
        <v>-1.17</v>
      </c>
      <c r="G2120" t="s">
        <v>12</v>
      </c>
      <c r="I2120" t="s">
        <v>1428</v>
      </c>
    </row>
    <row r="2121" spans="1:9" hidden="1" x14ac:dyDescent="0.25">
      <c r="A2121" t="s">
        <v>1816</v>
      </c>
      <c r="B2121" t="s">
        <v>41</v>
      </c>
      <c r="C2121" s="2">
        <f>HYPERLINK("https://cao.dolgi.msk.ru/account/1080247437/", 1080247437)</f>
        <v>1080247437</v>
      </c>
      <c r="D2121" t="s">
        <v>1833</v>
      </c>
      <c r="E2121">
        <v>-62.2</v>
      </c>
      <c r="F2121">
        <v>-0.01</v>
      </c>
      <c r="G2121" t="s">
        <v>12</v>
      </c>
      <c r="I2121" t="s">
        <v>1428</v>
      </c>
    </row>
    <row r="2122" spans="1:9" hidden="1" x14ac:dyDescent="0.25">
      <c r="A2122" t="s">
        <v>1816</v>
      </c>
      <c r="B2122" t="s">
        <v>42</v>
      </c>
      <c r="C2122" s="2">
        <f>HYPERLINK("https://cao.dolgi.msk.ru/account/1080247445/", 1080247445)</f>
        <v>1080247445</v>
      </c>
      <c r="D2122" t="s">
        <v>1834</v>
      </c>
      <c r="E2122">
        <v>-3304.9</v>
      </c>
      <c r="F2122">
        <v>-1</v>
      </c>
      <c r="G2122" t="s">
        <v>12</v>
      </c>
      <c r="I2122" t="s">
        <v>1428</v>
      </c>
    </row>
    <row r="2123" spans="1:9" hidden="1" x14ac:dyDescent="0.25">
      <c r="A2123" t="s">
        <v>1816</v>
      </c>
      <c r="B2123" t="s">
        <v>44</v>
      </c>
      <c r="C2123" s="2">
        <f>HYPERLINK("https://cao.dolgi.msk.ru/account/1080247453/", 1080247453)</f>
        <v>1080247453</v>
      </c>
      <c r="D2123" t="s">
        <v>1082</v>
      </c>
      <c r="E2123">
        <v>-6542.24</v>
      </c>
      <c r="F2123">
        <v>-1.66</v>
      </c>
      <c r="G2123" t="s">
        <v>12</v>
      </c>
      <c r="I2123" t="s">
        <v>1428</v>
      </c>
    </row>
    <row r="2124" spans="1:9" hidden="1" x14ac:dyDescent="0.25">
      <c r="A2124" t="s">
        <v>1816</v>
      </c>
      <c r="B2124" t="s">
        <v>66</v>
      </c>
      <c r="C2124" s="2">
        <f>HYPERLINK("https://cao.dolgi.msk.ru/account/1080247461/", 1080247461)</f>
        <v>1080247461</v>
      </c>
      <c r="D2124" t="s">
        <v>1835</v>
      </c>
      <c r="E2124">
        <v>-65.31</v>
      </c>
      <c r="F2124">
        <v>-0.01</v>
      </c>
      <c r="G2124" t="s">
        <v>12</v>
      </c>
      <c r="I2124" t="s">
        <v>1428</v>
      </c>
    </row>
    <row r="2125" spans="1:9" hidden="1" x14ac:dyDescent="0.25">
      <c r="A2125" t="s">
        <v>1816</v>
      </c>
      <c r="B2125" t="s">
        <v>68</v>
      </c>
      <c r="C2125" s="2">
        <f>HYPERLINK("https://cao.dolgi.msk.ru/account/1080247488/", 1080247488)</f>
        <v>1080247488</v>
      </c>
      <c r="D2125" t="s">
        <v>1836</v>
      </c>
      <c r="E2125">
        <v>-4994.96</v>
      </c>
      <c r="F2125">
        <v>-1.23</v>
      </c>
      <c r="G2125" t="s">
        <v>12</v>
      </c>
      <c r="I2125" t="s">
        <v>1428</v>
      </c>
    </row>
    <row r="2126" spans="1:9" hidden="1" x14ac:dyDescent="0.25">
      <c r="A2126" t="s">
        <v>1816</v>
      </c>
      <c r="B2126" t="s">
        <v>70</v>
      </c>
      <c r="C2126" s="2">
        <f>HYPERLINK("https://cao.dolgi.msk.ru/account/1080247496/", 1080247496)</f>
        <v>1080247496</v>
      </c>
      <c r="D2126" t="s">
        <v>1837</v>
      </c>
      <c r="E2126">
        <v>0</v>
      </c>
      <c r="F2126">
        <v>0</v>
      </c>
      <c r="G2126" t="s">
        <v>12</v>
      </c>
      <c r="I2126" t="s">
        <v>1428</v>
      </c>
    </row>
    <row r="2127" spans="1:9" hidden="1" x14ac:dyDescent="0.25">
      <c r="A2127" t="s">
        <v>1816</v>
      </c>
      <c r="B2127" t="s">
        <v>72</v>
      </c>
      <c r="C2127" s="2">
        <f>HYPERLINK("https://cao.dolgi.msk.ru/account/1080247509/", 1080247509)</f>
        <v>1080247509</v>
      </c>
      <c r="D2127" t="s">
        <v>1838</v>
      </c>
      <c r="E2127">
        <v>-74.91</v>
      </c>
      <c r="F2127">
        <v>-0.02</v>
      </c>
      <c r="G2127" t="s">
        <v>12</v>
      </c>
      <c r="I2127" t="s">
        <v>1428</v>
      </c>
    </row>
    <row r="2128" spans="1:9" hidden="1" x14ac:dyDescent="0.25">
      <c r="A2128" t="s">
        <v>1816</v>
      </c>
      <c r="B2128" t="s">
        <v>74</v>
      </c>
      <c r="C2128" s="2">
        <f>HYPERLINK("https://cao.dolgi.msk.ru/account/1080247517/", 1080247517)</f>
        <v>1080247517</v>
      </c>
      <c r="D2128" t="s">
        <v>1839</v>
      </c>
      <c r="E2128">
        <v>-1508.4</v>
      </c>
      <c r="F2128">
        <v>-1.17</v>
      </c>
      <c r="G2128" t="s">
        <v>12</v>
      </c>
      <c r="I2128" t="s">
        <v>1428</v>
      </c>
    </row>
    <row r="2129" spans="1:9" hidden="1" x14ac:dyDescent="0.25">
      <c r="A2129" t="s">
        <v>1816</v>
      </c>
      <c r="B2129" t="s">
        <v>74</v>
      </c>
      <c r="C2129" s="2">
        <f>HYPERLINK("https://cao.dolgi.msk.ru/account/1089126201/", 1089126201)</f>
        <v>1089126201</v>
      </c>
      <c r="D2129" t="s">
        <v>1839</v>
      </c>
      <c r="E2129">
        <v>-2430.83</v>
      </c>
      <c r="F2129">
        <v>-1.22</v>
      </c>
      <c r="G2129" t="s">
        <v>12</v>
      </c>
      <c r="I2129" t="s">
        <v>1428</v>
      </c>
    </row>
    <row r="2130" spans="1:9" hidden="1" x14ac:dyDescent="0.25">
      <c r="A2130" t="s">
        <v>1816</v>
      </c>
      <c r="B2130" t="s">
        <v>76</v>
      </c>
      <c r="C2130" s="2">
        <f>HYPERLINK("https://cao.dolgi.msk.ru/account/1080247525/", 1080247525)</f>
        <v>1080247525</v>
      </c>
      <c r="D2130" t="s">
        <v>1840</v>
      </c>
      <c r="E2130">
        <v>-5279.47</v>
      </c>
      <c r="F2130">
        <v>-1.23</v>
      </c>
      <c r="G2130" t="s">
        <v>12</v>
      </c>
      <c r="I2130" t="s">
        <v>1428</v>
      </c>
    </row>
    <row r="2131" spans="1:9" hidden="1" x14ac:dyDescent="0.25">
      <c r="A2131" t="s">
        <v>1816</v>
      </c>
      <c r="B2131" t="s">
        <v>78</v>
      </c>
      <c r="C2131" s="2">
        <f>HYPERLINK("https://cao.dolgi.msk.ru/account/1080247533/", 1080247533)</f>
        <v>1080247533</v>
      </c>
      <c r="D2131" t="s">
        <v>1841</v>
      </c>
      <c r="E2131">
        <v>-4848.41</v>
      </c>
      <c r="F2131">
        <v>-1.1599999999999999</v>
      </c>
      <c r="G2131" t="s">
        <v>12</v>
      </c>
      <c r="I2131" t="s">
        <v>1428</v>
      </c>
    </row>
    <row r="2132" spans="1:9" x14ac:dyDescent="0.25">
      <c r="A2132" t="s">
        <v>1816</v>
      </c>
      <c r="B2132" t="s">
        <v>80</v>
      </c>
      <c r="C2132" s="2">
        <f>HYPERLINK("https://cao.dolgi.msk.ru/account/1080247541/", 1080247541)</f>
        <v>1080247541</v>
      </c>
      <c r="D2132" t="s">
        <v>1842</v>
      </c>
      <c r="E2132">
        <v>14301.41</v>
      </c>
      <c r="F2132">
        <v>2</v>
      </c>
      <c r="G2132" t="s">
        <v>12</v>
      </c>
      <c r="I2132" t="s">
        <v>1428</v>
      </c>
    </row>
    <row r="2133" spans="1:9" hidden="1" x14ac:dyDescent="0.25">
      <c r="A2133" t="s">
        <v>1816</v>
      </c>
      <c r="B2133" t="s">
        <v>82</v>
      </c>
      <c r="C2133" s="2">
        <f>HYPERLINK("https://cao.dolgi.msk.ru/account/1080247568/", 1080247568)</f>
        <v>1080247568</v>
      </c>
      <c r="D2133" t="s">
        <v>1843</v>
      </c>
      <c r="E2133">
        <v>-4707.79</v>
      </c>
      <c r="F2133">
        <v>-1.08</v>
      </c>
      <c r="G2133" t="s">
        <v>12</v>
      </c>
      <c r="I2133" t="s">
        <v>1428</v>
      </c>
    </row>
    <row r="2134" spans="1:9" hidden="1" x14ac:dyDescent="0.25">
      <c r="A2134" t="s">
        <v>1816</v>
      </c>
      <c r="B2134" t="s">
        <v>84</v>
      </c>
      <c r="C2134" s="2">
        <f>HYPERLINK("https://cao.dolgi.msk.ru/account/1080247576/", 1080247576)</f>
        <v>1080247576</v>
      </c>
      <c r="D2134" t="s">
        <v>1844</v>
      </c>
      <c r="E2134">
        <v>-5140.7</v>
      </c>
      <c r="F2134">
        <v>-1.21</v>
      </c>
      <c r="G2134" t="s">
        <v>12</v>
      </c>
      <c r="I2134" t="s">
        <v>1428</v>
      </c>
    </row>
    <row r="2135" spans="1:9" hidden="1" x14ac:dyDescent="0.25">
      <c r="A2135" t="s">
        <v>1816</v>
      </c>
      <c r="B2135" t="s">
        <v>86</v>
      </c>
      <c r="C2135" s="2">
        <f>HYPERLINK("https://cao.dolgi.msk.ru/account/1080247584/", 1080247584)</f>
        <v>1080247584</v>
      </c>
      <c r="D2135" t="s">
        <v>1845</v>
      </c>
      <c r="E2135">
        <v>-3938.02</v>
      </c>
      <c r="F2135">
        <v>-1.02</v>
      </c>
      <c r="G2135" t="s">
        <v>12</v>
      </c>
      <c r="I2135" t="s">
        <v>1428</v>
      </c>
    </row>
    <row r="2136" spans="1:9" hidden="1" x14ac:dyDescent="0.25">
      <c r="A2136" t="s">
        <v>1816</v>
      </c>
      <c r="B2136" t="s">
        <v>88</v>
      </c>
      <c r="C2136" s="2">
        <f>HYPERLINK("https://cao.dolgi.msk.ru/account/1080247592/", 1080247592)</f>
        <v>1080247592</v>
      </c>
      <c r="D2136" t="s">
        <v>15</v>
      </c>
      <c r="E2136">
        <v>0</v>
      </c>
      <c r="F2136">
        <v>0</v>
      </c>
      <c r="G2136" t="s">
        <v>12</v>
      </c>
      <c r="I2136" t="s">
        <v>1428</v>
      </c>
    </row>
    <row r="2137" spans="1:9" hidden="1" x14ac:dyDescent="0.25">
      <c r="A2137" t="s">
        <v>1816</v>
      </c>
      <c r="B2137" t="s">
        <v>90</v>
      </c>
      <c r="C2137" s="2">
        <f>HYPERLINK("https://cao.dolgi.msk.ru/account/1080247605/", 1080247605)</f>
        <v>1080247605</v>
      </c>
      <c r="D2137" t="s">
        <v>1846</v>
      </c>
      <c r="E2137">
        <v>-4862.46</v>
      </c>
      <c r="F2137">
        <v>-1.39</v>
      </c>
      <c r="G2137" t="s">
        <v>12</v>
      </c>
      <c r="I2137" t="s">
        <v>1428</v>
      </c>
    </row>
    <row r="2138" spans="1:9" hidden="1" x14ac:dyDescent="0.25">
      <c r="A2138" t="s">
        <v>1816</v>
      </c>
      <c r="B2138" t="s">
        <v>92</v>
      </c>
      <c r="C2138" s="2">
        <f>HYPERLINK("https://cao.dolgi.msk.ru/account/1080247613/", 1080247613)</f>
        <v>1080247613</v>
      </c>
      <c r="D2138" t="s">
        <v>1847</v>
      </c>
      <c r="E2138">
        <v>-2997.47</v>
      </c>
      <c r="F2138">
        <v>-0.78</v>
      </c>
      <c r="G2138" t="s">
        <v>12</v>
      </c>
      <c r="I2138" t="s">
        <v>1428</v>
      </c>
    </row>
    <row r="2139" spans="1:9" hidden="1" x14ac:dyDescent="0.25">
      <c r="A2139" t="s">
        <v>1816</v>
      </c>
      <c r="B2139" t="s">
        <v>94</v>
      </c>
      <c r="C2139" s="2">
        <f>HYPERLINK("https://cao.dolgi.msk.ru/account/1080247621/", 1080247621)</f>
        <v>1080247621</v>
      </c>
      <c r="D2139" t="s">
        <v>1848</v>
      </c>
      <c r="E2139">
        <v>-3931.1</v>
      </c>
      <c r="F2139">
        <v>-1.1599999999999999</v>
      </c>
      <c r="G2139" t="s">
        <v>12</v>
      </c>
      <c r="I2139" t="s">
        <v>1428</v>
      </c>
    </row>
    <row r="2140" spans="1:9" hidden="1" x14ac:dyDescent="0.25">
      <c r="A2140" t="s">
        <v>1816</v>
      </c>
      <c r="B2140" t="s">
        <v>96</v>
      </c>
      <c r="C2140" s="2">
        <f>HYPERLINK("https://cao.dolgi.msk.ru/account/1080247648/", 1080247648)</f>
        <v>1080247648</v>
      </c>
      <c r="D2140" t="s">
        <v>1849</v>
      </c>
      <c r="E2140">
        <v>-4812.87</v>
      </c>
      <c r="F2140">
        <v>-1.3</v>
      </c>
      <c r="G2140" t="s">
        <v>12</v>
      </c>
      <c r="I2140" t="s">
        <v>1428</v>
      </c>
    </row>
    <row r="2141" spans="1:9" hidden="1" x14ac:dyDescent="0.25">
      <c r="A2141" t="s">
        <v>1816</v>
      </c>
      <c r="B2141" t="s">
        <v>98</v>
      </c>
      <c r="C2141" s="2">
        <f>HYPERLINK("https://cao.dolgi.msk.ru/account/1080247656/", 1080247656)</f>
        <v>1080247656</v>
      </c>
      <c r="D2141" t="s">
        <v>1850</v>
      </c>
      <c r="E2141">
        <v>-4752.47</v>
      </c>
      <c r="F2141">
        <v>-1.19</v>
      </c>
      <c r="G2141" t="s">
        <v>12</v>
      </c>
      <c r="I2141" t="s">
        <v>1428</v>
      </c>
    </row>
    <row r="2142" spans="1:9" hidden="1" x14ac:dyDescent="0.25">
      <c r="A2142" t="s">
        <v>1816</v>
      </c>
      <c r="B2142" t="s">
        <v>100</v>
      </c>
      <c r="C2142" s="2">
        <f>HYPERLINK("https://cao.dolgi.msk.ru/account/1080247664/", 1080247664)</f>
        <v>1080247664</v>
      </c>
      <c r="D2142" t="s">
        <v>1851</v>
      </c>
      <c r="E2142">
        <v>-8637.4500000000007</v>
      </c>
      <c r="F2142">
        <v>-2.4300000000000002</v>
      </c>
      <c r="G2142" t="s">
        <v>12</v>
      </c>
      <c r="I2142" t="s">
        <v>1428</v>
      </c>
    </row>
    <row r="2143" spans="1:9" hidden="1" x14ac:dyDescent="0.25">
      <c r="A2143" t="s">
        <v>1816</v>
      </c>
      <c r="B2143" t="s">
        <v>102</v>
      </c>
      <c r="C2143" s="2">
        <f>HYPERLINK("https://cao.dolgi.msk.ru/account/1080247672/", 1080247672)</f>
        <v>1080247672</v>
      </c>
      <c r="D2143" t="s">
        <v>1852</v>
      </c>
      <c r="E2143">
        <v>-4629.8900000000003</v>
      </c>
      <c r="F2143">
        <v>-1.17</v>
      </c>
      <c r="G2143" t="s">
        <v>12</v>
      </c>
      <c r="I2143" t="s">
        <v>1428</v>
      </c>
    </row>
    <row r="2144" spans="1:9" hidden="1" x14ac:dyDescent="0.25">
      <c r="A2144" t="s">
        <v>1816</v>
      </c>
      <c r="B2144" t="s">
        <v>104</v>
      </c>
      <c r="C2144" s="2">
        <f>HYPERLINK("https://cao.dolgi.msk.ru/account/1080247699/", 1080247699)</f>
        <v>1080247699</v>
      </c>
      <c r="D2144" t="s">
        <v>1853</v>
      </c>
      <c r="E2144">
        <v>-7001.5</v>
      </c>
      <c r="F2144">
        <v>-1.07</v>
      </c>
      <c r="G2144" t="s">
        <v>12</v>
      </c>
      <c r="I2144" t="s">
        <v>1428</v>
      </c>
    </row>
    <row r="2145" spans="1:9" hidden="1" x14ac:dyDescent="0.25">
      <c r="A2145" t="s">
        <v>1816</v>
      </c>
      <c r="B2145" t="s">
        <v>106</v>
      </c>
      <c r="C2145" s="2">
        <f>HYPERLINK("https://cao.dolgi.msk.ru/account/1080247701/", 1080247701)</f>
        <v>1080247701</v>
      </c>
      <c r="D2145" t="s">
        <v>1854</v>
      </c>
      <c r="E2145">
        <v>-941.13</v>
      </c>
      <c r="F2145">
        <v>-0.22</v>
      </c>
      <c r="G2145" t="s">
        <v>12</v>
      </c>
      <c r="I2145" t="s">
        <v>1428</v>
      </c>
    </row>
    <row r="2146" spans="1:9" hidden="1" x14ac:dyDescent="0.25">
      <c r="A2146" t="s">
        <v>1816</v>
      </c>
      <c r="B2146" t="s">
        <v>108</v>
      </c>
      <c r="C2146" s="2">
        <f>HYPERLINK("https://cao.dolgi.msk.ru/account/1080247728/", 1080247728)</f>
        <v>1080247728</v>
      </c>
      <c r="D2146" t="s">
        <v>1855</v>
      </c>
      <c r="E2146">
        <v>-3649.72</v>
      </c>
      <c r="F2146">
        <v>-1.74</v>
      </c>
      <c r="G2146" t="s">
        <v>12</v>
      </c>
      <c r="I2146" t="s">
        <v>1428</v>
      </c>
    </row>
    <row r="2147" spans="1:9" hidden="1" x14ac:dyDescent="0.25">
      <c r="A2147" t="s">
        <v>1816</v>
      </c>
      <c r="B2147" t="s">
        <v>110</v>
      </c>
      <c r="C2147" s="2">
        <f>HYPERLINK("https://cao.dolgi.msk.ru/account/1080247736/", 1080247736)</f>
        <v>1080247736</v>
      </c>
      <c r="D2147" t="s">
        <v>15</v>
      </c>
      <c r="E2147">
        <v>-3342.41</v>
      </c>
      <c r="F2147">
        <v>-1.2</v>
      </c>
      <c r="G2147" t="s">
        <v>12</v>
      </c>
      <c r="I2147" t="s">
        <v>1428</v>
      </c>
    </row>
    <row r="2148" spans="1:9" x14ac:dyDescent="0.25">
      <c r="A2148" t="s">
        <v>1816</v>
      </c>
      <c r="B2148" t="s">
        <v>112</v>
      </c>
      <c r="C2148" s="2">
        <f>HYPERLINK("https://cao.dolgi.msk.ru/account/1080247744/", 1080247744)</f>
        <v>1080247744</v>
      </c>
      <c r="D2148" t="s">
        <v>1856</v>
      </c>
      <c r="E2148">
        <v>27305.37</v>
      </c>
      <c r="F2148">
        <v>3</v>
      </c>
      <c r="G2148" t="s">
        <v>12</v>
      </c>
      <c r="I2148" t="s">
        <v>1428</v>
      </c>
    </row>
    <row r="2149" spans="1:9" hidden="1" x14ac:dyDescent="0.25">
      <c r="A2149" t="s">
        <v>1816</v>
      </c>
      <c r="B2149" t="s">
        <v>114</v>
      </c>
      <c r="C2149" s="2">
        <f>HYPERLINK("https://cao.dolgi.msk.ru/account/1080247752/", 1080247752)</f>
        <v>1080247752</v>
      </c>
      <c r="D2149" t="s">
        <v>1857</v>
      </c>
      <c r="E2149">
        <v>-19365.28</v>
      </c>
      <c r="F2149">
        <v>-4.3600000000000003</v>
      </c>
      <c r="G2149" t="s">
        <v>12</v>
      </c>
      <c r="I2149" t="s">
        <v>1428</v>
      </c>
    </row>
    <row r="2150" spans="1:9" hidden="1" x14ac:dyDescent="0.25">
      <c r="A2150" t="s">
        <v>1816</v>
      </c>
      <c r="B2150" t="s">
        <v>116</v>
      </c>
      <c r="C2150" s="2">
        <f>HYPERLINK("https://cao.dolgi.msk.ru/account/1080247787/", 1080247787)</f>
        <v>1080247787</v>
      </c>
      <c r="D2150" t="s">
        <v>1858</v>
      </c>
      <c r="E2150">
        <v>-9203.31</v>
      </c>
      <c r="F2150">
        <v>-2.3199999999999998</v>
      </c>
      <c r="G2150" t="s">
        <v>12</v>
      </c>
      <c r="I2150" t="s">
        <v>1428</v>
      </c>
    </row>
    <row r="2151" spans="1:9" hidden="1" x14ac:dyDescent="0.25">
      <c r="A2151" t="s">
        <v>1816</v>
      </c>
      <c r="B2151" t="s">
        <v>118</v>
      </c>
      <c r="C2151" s="2">
        <f>HYPERLINK("https://cao.dolgi.msk.ru/account/1080247779/", 1080247779)</f>
        <v>1080247779</v>
      </c>
      <c r="D2151" t="s">
        <v>1859</v>
      </c>
      <c r="E2151">
        <v>-487.18</v>
      </c>
      <c r="F2151">
        <v>-0.14000000000000001</v>
      </c>
      <c r="G2151" t="s">
        <v>12</v>
      </c>
      <c r="I2151" t="s">
        <v>1428</v>
      </c>
    </row>
    <row r="2152" spans="1:9" hidden="1" x14ac:dyDescent="0.25">
      <c r="A2152" t="s">
        <v>1816</v>
      </c>
      <c r="B2152" t="s">
        <v>120</v>
      </c>
      <c r="C2152" s="2">
        <f>HYPERLINK("https://cao.dolgi.msk.ru/account/1080247795/", 1080247795)</f>
        <v>1080247795</v>
      </c>
      <c r="D2152" t="s">
        <v>1860</v>
      </c>
      <c r="E2152">
        <v>-5641.72</v>
      </c>
      <c r="F2152">
        <v>-1.1200000000000001</v>
      </c>
      <c r="G2152" t="s">
        <v>12</v>
      </c>
      <c r="I2152" t="s">
        <v>1428</v>
      </c>
    </row>
    <row r="2153" spans="1:9" hidden="1" x14ac:dyDescent="0.25">
      <c r="A2153" t="s">
        <v>1816</v>
      </c>
      <c r="B2153" t="s">
        <v>122</v>
      </c>
      <c r="C2153" s="2">
        <f>HYPERLINK("https://cao.dolgi.msk.ru/account/1080247808/", 1080247808)</f>
        <v>1080247808</v>
      </c>
      <c r="D2153" t="s">
        <v>15</v>
      </c>
      <c r="E2153">
        <v>-5250.89</v>
      </c>
      <c r="F2153">
        <v>-1.1200000000000001</v>
      </c>
      <c r="G2153" t="s">
        <v>12</v>
      </c>
      <c r="I2153" t="s">
        <v>1428</v>
      </c>
    </row>
    <row r="2154" spans="1:9" hidden="1" x14ac:dyDescent="0.25">
      <c r="A2154" t="s">
        <v>1816</v>
      </c>
      <c r="B2154" t="s">
        <v>124</v>
      </c>
      <c r="C2154" s="2">
        <f>HYPERLINK("https://cao.dolgi.msk.ru/account/1080247816/", 1080247816)</f>
        <v>1080247816</v>
      </c>
      <c r="D2154" t="s">
        <v>1861</v>
      </c>
      <c r="E2154">
        <v>-11143</v>
      </c>
      <c r="F2154">
        <v>-5.44</v>
      </c>
      <c r="G2154" t="s">
        <v>12</v>
      </c>
      <c r="I2154" t="s">
        <v>1428</v>
      </c>
    </row>
    <row r="2155" spans="1:9" hidden="1" x14ac:dyDescent="0.25">
      <c r="A2155" t="s">
        <v>1816</v>
      </c>
      <c r="B2155" t="s">
        <v>126</v>
      </c>
      <c r="C2155" s="2">
        <f>HYPERLINK("https://cao.dolgi.msk.ru/account/1080247824/", 1080247824)</f>
        <v>1080247824</v>
      </c>
      <c r="D2155" t="s">
        <v>1862</v>
      </c>
      <c r="E2155">
        <v>-2692.04</v>
      </c>
      <c r="F2155">
        <v>-0.54</v>
      </c>
      <c r="G2155" t="s">
        <v>12</v>
      </c>
      <c r="I2155" t="s">
        <v>1428</v>
      </c>
    </row>
    <row r="2156" spans="1:9" hidden="1" x14ac:dyDescent="0.25">
      <c r="A2156" t="s">
        <v>1816</v>
      </c>
      <c r="B2156" t="s">
        <v>128</v>
      </c>
      <c r="C2156" s="2">
        <f>HYPERLINK("https://cao.dolgi.msk.ru/account/1080247832/", 1080247832)</f>
        <v>1080247832</v>
      </c>
      <c r="D2156" t="s">
        <v>1863</v>
      </c>
      <c r="E2156">
        <v>-1049.44</v>
      </c>
      <c r="F2156">
        <v>-0.33</v>
      </c>
      <c r="G2156" t="s">
        <v>12</v>
      </c>
      <c r="I2156" t="s">
        <v>1428</v>
      </c>
    </row>
    <row r="2157" spans="1:9" hidden="1" x14ac:dyDescent="0.25">
      <c r="A2157" t="s">
        <v>1816</v>
      </c>
      <c r="B2157" t="s">
        <v>130</v>
      </c>
      <c r="C2157" s="2">
        <f>HYPERLINK("https://cao.dolgi.msk.ru/account/1080247859/", 1080247859)</f>
        <v>1080247859</v>
      </c>
      <c r="D2157" t="s">
        <v>1082</v>
      </c>
      <c r="E2157">
        <v>-10297.459999999999</v>
      </c>
      <c r="F2157">
        <v>-2.33</v>
      </c>
      <c r="G2157" t="s">
        <v>12</v>
      </c>
      <c r="I2157" t="s">
        <v>1428</v>
      </c>
    </row>
    <row r="2158" spans="1:9" hidden="1" x14ac:dyDescent="0.25">
      <c r="A2158" t="s">
        <v>1816</v>
      </c>
      <c r="B2158" t="s">
        <v>132</v>
      </c>
      <c r="C2158" s="2">
        <f>HYPERLINK("https://cao.dolgi.msk.ru/account/1080247867/", 1080247867)</f>
        <v>1080247867</v>
      </c>
      <c r="D2158" t="s">
        <v>1864</v>
      </c>
      <c r="E2158">
        <v>-26823.82</v>
      </c>
      <c r="F2158">
        <v>-15.72</v>
      </c>
      <c r="G2158" t="s">
        <v>12</v>
      </c>
      <c r="I2158" t="s">
        <v>1428</v>
      </c>
    </row>
    <row r="2159" spans="1:9" hidden="1" x14ac:dyDescent="0.25">
      <c r="A2159" t="s">
        <v>1816</v>
      </c>
      <c r="B2159" t="s">
        <v>133</v>
      </c>
      <c r="C2159" s="2">
        <f>HYPERLINK("https://cao.dolgi.msk.ru/account/1080247875/", 1080247875)</f>
        <v>1080247875</v>
      </c>
      <c r="D2159" t="s">
        <v>1865</v>
      </c>
      <c r="E2159">
        <v>-4897.5600000000004</v>
      </c>
      <c r="F2159">
        <v>-2.2799999999999998</v>
      </c>
      <c r="G2159" t="s">
        <v>12</v>
      </c>
      <c r="I2159" t="s">
        <v>1428</v>
      </c>
    </row>
    <row r="2160" spans="1:9" hidden="1" x14ac:dyDescent="0.25">
      <c r="A2160" t="s">
        <v>1816</v>
      </c>
      <c r="B2160" t="s">
        <v>135</v>
      </c>
      <c r="C2160" s="2">
        <f>HYPERLINK("https://cao.dolgi.msk.ru/account/1080247883/", 1080247883)</f>
        <v>1080247883</v>
      </c>
      <c r="D2160" t="s">
        <v>1866</v>
      </c>
      <c r="E2160">
        <v>-5487.11</v>
      </c>
      <c r="F2160">
        <v>-1.19</v>
      </c>
      <c r="G2160" t="s">
        <v>12</v>
      </c>
      <c r="I2160" t="s">
        <v>1428</v>
      </c>
    </row>
    <row r="2161" spans="1:9" hidden="1" x14ac:dyDescent="0.25">
      <c r="A2161" t="s">
        <v>1816</v>
      </c>
      <c r="B2161" t="s">
        <v>137</v>
      </c>
      <c r="C2161" s="2">
        <f>HYPERLINK("https://cao.dolgi.msk.ru/account/1080247891/", 1080247891)</f>
        <v>1080247891</v>
      </c>
      <c r="D2161" t="s">
        <v>1867</v>
      </c>
      <c r="E2161">
        <v>-6005.44</v>
      </c>
      <c r="F2161">
        <v>-1.07</v>
      </c>
      <c r="G2161" t="s">
        <v>12</v>
      </c>
      <c r="I2161" t="s">
        <v>1428</v>
      </c>
    </row>
    <row r="2162" spans="1:9" hidden="1" x14ac:dyDescent="0.25">
      <c r="A2162" t="s">
        <v>1816</v>
      </c>
      <c r="B2162" t="s">
        <v>139</v>
      </c>
      <c r="C2162" s="2">
        <f>HYPERLINK("https://cao.dolgi.msk.ru/account/1080247904/", 1080247904)</f>
        <v>1080247904</v>
      </c>
      <c r="D2162" t="s">
        <v>1868</v>
      </c>
      <c r="E2162">
        <v>-8107.98</v>
      </c>
      <c r="F2162">
        <v>-1.1100000000000001</v>
      </c>
      <c r="G2162" t="s">
        <v>12</v>
      </c>
      <c r="I2162" t="s">
        <v>1428</v>
      </c>
    </row>
    <row r="2163" spans="1:9" hidden="1" x14ac:dyDescent="0.25">
      <c r="A2163" t="s">
        <v>1816</v>
      </c>
      <c r="B2163" t="s">
        <v>141</v>
      </c>
      <c r="C2163" s="2">
        <f>HYPERLINK("https://cao.dolgi.msk.ru/account/1080247912/", 1080247912)</f>
        <v>1080247912</v>
      </c>
      <c r="D2163" t="s">
        <v>1869</v>
      </c>
      <c r="E2163">
        <v>-7276.2</v>
      </c>
      <c r="F2163">
        <v>-1.01</v>
      </c>
      <c r="G2163" t="s">
        <v>12</v>
      </c>
      <c r="I2163" t="s">
        <v>1428</v>
      </c>
    </row>
    <row r="2164" spans="1:9" hidden="1" x14ac:dyDescent="0.25">
      <c r="A2164" t="s">
        <v>1816</v>
      </c>
      <c r="B2164" t="s">
        <v>143</v>
      </c>
      <c r="C2164" s="2">
        <f>HYPERLINK("https://cao.dolgi.msk.ru/account/1080247939/", 1080247939)</f>
        <v>1080247939</v>
      </c>
      <c r="D2164" t="s">
        <v>1870</v>
      </c>
      <c r="E2164">
        <v>-2415.04</v>
      </c>
      <c r="F2164">
        <v>-1.17</v>
      </c>
      <c r="G2164" t="s">
        <v>12</v>
      </c>
      <c r="I2164" t="s">
        <v>1428</v>
      </c>
    </row>
    <row r="2165" spans="1:9" hidden="1" x14ac:dyDescent="0.25">
      <c r="A2165" t="s">
        <v>1816</v>
      </c>
      <c r="B2165" t="s">
        <v>143</v>
      </c>
      <c r="C2165" s="2">
        <f>HYPERLINK("https://cao.dolgi.msk.ru/account/1080322046/", 1080322046)</f>
        <v>1080322046</v>
      </c>
      <c r="D2165" t="s">
        <v>1870</v>
      </c>
      <c r="E2165">
        <v>-2167.23</v>
      </c>
      <c r="F2165">
        <v>-1.27</v>
      </c>
      <c r="G2165" t="s">
        <v>12</v>
      </c>
      <c r="I2165" t="s">
        <v>1428</v>
      </c>
    </row>
    <row r="2166" spans="1:9" hidden="1" x14ac:dyDescent="0.25">
      <c r="A2166" t="s">
        <v>1816</v>
      </c>
      <c r="B2166" t="s">
        <v>145</v>
      </c>
      <c r="C2166" s="2">
        <f>HYPERLINK("https://cao.dolgi.msk.ru/account/1080247947/", 1080247947)</f>
        <v>1080247947</v>
      </c>
      <c r="D2166" t="s">
        <v>1082</v>
      </c>
      <c r="E2166">
        <v>-5657.72</v>
      </c>
      <c r="F2166">
        <v>-1.1299999999999999</v>
      </c>
      <c r="G2166" t="s">
        <v>12</v>
      </c>
      <c r="I2166" t="s">
        <v>1428</v>
      </c>
    </row>
    <row r="2167" spans="1:9" hidden="1" x14ac:dyDescent="0.25">
      <c r="A2167" t="s">
        <v>1816</v>
      </c>
      <c r="B2167" t="s">
        <v>147</v>
      </c>
      <c r="C2167" s="2">
        <f>HYPERLINK("https://cao.dolgi.msk.ru/account/1080247955/", 1080247955)</f>
        <v>1080247955</v>
      </c>
      <c r="D2167" t="s">
        <v>1871</v>
      </c>
      <c r="E2167">
        <v>-2369.89</v>
      </c>
      <c r="F2167">
        <v>-1.66</v>
      </c>
      <c r="G2167" t="s">
        <v>12</v>
      </c>
      <c r="I2167" t="s">
        <v>1428</v>
      </c>
    </row>
    <row r="2168" spans="1:9" hidden="1" x14ac:dyDescent="0.25">
      <c r="A2168" t="s">
        <v>1816</v>
      </c>
      <c r="B2168" t="s">
        <v>149</v>
      </c>
      <c r="C2168" s="2">
        <f>HYPERLINK("https://cao.dolgi.msk.ru/account/1080247963/", 1080247963)</f>
        <v>1080247963</v>
      </c>
      <c r="D2168" t="s">
        <v>1872</v>
      </c>
      <c r="E2168">
        <v>-4420.37</v>
      </c>
      <c r="F2168">
        <v>-1.18</v>
      </c>
      <c r="G2168" t="s">
        <v>12</v>
      </c>
      <c r="I2168" t="s">
        <v>1428</v>
      </c>
    </row>
    <row r="2169" spans="1:9" hidden="1" x14ac:dyDescent="0.25">
      <c r="A2169" t="s">
        <v>1816</v>
      </c>
      <c r="B2169" t="s">
        <v>151</v>
      </c>
      <c r="C2169" s="2">
        <f>HYPERLINK("https://cao.dolgi.msk.ru/account/1080247971/", 1080247971)</f>
        <v>1080247971</v>
      </c>
      <c r="D2169" t="s">
        <v>1873</v>
      </c>
      <c r="E2169">
        <v>-4533.46</v>
      </c>
      <c r="F2169">
        <v>-0.92</v>
      </c>
      <c r="G2169" t="s">
        <v>12</v>
      </c>
      <c r="I2169" t="s">
        <v>1428</v>
      </c>
    </row>
    <row r="2170" spans="1:9" hidden="1" x14ac:dyDescent="0.25">
      <c r="A2170" t="s">
        <v>1816</v>
      </c>
      <c r="B2170" t="s">
        <v>153</v>
      </c>
      <c r="C2170" s="2">
        <f>HYPERLINK("https://cao.dolgi.msk.ru/account/1080247998/", 1080247998)</f>
        <v>1080247998</v>
      </c>
      <c r="D2170" t="s">
        <v>1874</v>
      </c>
      <c r="E2170">
        <v>-7304.7</v>
      </c>
      <c r="F2170">
        <v>-1.02</v>
      </c>
      <c r="G2170" t="s">
        <v>12</v>
      </c>
      <c r="I2170" t="s">
        <v>1428</v>
      </c>
    </row>
    <row r="2171" spans="1:9" hidden="1" x14ac:dyDescent="0.25">
      <c r="A2171" t="s">
        <v>1816</v>
      </c>
      <c r="B2171" t="s">
        <v>155</v>
      </c>
      <c r="C2171" s="2">
        <f>HYPERLINK("https://cao.dolgi.msk.ru/account/1080248018/", 1080248018)</f>
        <v>1080248018</v>
      </c>
      <c r="D2171" t="s">
        <v>1875</v>
      </c>
      <c r="E2171">
        <v>-3890.75</v>
      </c>
      <c r="F2171">
        <v>-1.06</v>
      </c>
      <c r="G2171" t="s">
        <v>12</v>
      </c>
      <c r="I2171" t="s">
        <v>1428</v>
      </c>
    </row>
    <row r="2172" spans="1:9" hidden="1" x14ac:dyDescent="0.25">
      <c r="A2172" t="s">
        <v>1816</v>
      </c>
      <c r="B2172" t="s">
        <v>157</v>
      </c>
      <c r="C2172" s="2">
        <f>HYPERLINK("https://cao.dolgi.msk.ru/account/1080248026/", 1080248026)</f>
        <v>1080248026</v>
      </c>
      <c r="D2172" t="s">
        <v>1876</v>
      </c>
      <c r="E2172">
        <v>-4837.82</v>
      </c>
      <c r="F2172">
        <v>-1.23</v>
      </c>
      <c r="G2172" t="s">
        <v>12</v>
      </c>
      <c r="I2172" t="s">
        <v>1428</v>
      </c>
    </row>
    <row r="2173" spans="1:9" hidden="1" x14ac:dyDescent="0.25">
      <c r="A2173" t="s">
        <v>1816</v>
      </c>
      <c r="B2173" t="s">
        <v>159</v>
      </c>
      <c r="C2173" s="2">
        <f>HYPERLINK("https://cao.dolgi.msk.ru/account/1080248034/", 1080248034)</f>
        <v>1080248034</v>
      </c>
      <c r="D2173" t="s">
        <v>1877</v>
      </c>
      <c r="E2173">
        <v>-7470.32</v>
      </c>
      <c r="F2173">
        <v>-2.21</v>
      </c>
      <c r="G2173" t="s">
        <v>12</v>
      </c>
      <c r="I2173" t="s">
        <v>1428</v>
      </c>
    </row>
    <row r="2174" spans="1:9" hidden="1" x14ac:dyDescent="0.25">
      <c r="A2174" t="s">
        <v>1816</v>
      </c>
      <c r="B2174" t="s">
        <v>161</v>
      </c>
      <c r="C2174" s="2">
        <f>HYPERLINK("https://cao.dolgi.msk.ru/account/1080248042/", 1080248042)</f>
        <v>1080248042</v>
      </c>
      <c r="D2174" t="s">
        <v>1878</v>
      </c>
      <c r="E2174">
        <v>-6111.4</v>
      </c>
      <c r="F2174">
        <v>-1.05</v>
      </c>
      <c r="G2174" t="s">
        <v>12</v>
      </c>
      <c r="I2174" t="s">
        <v>1428</v>
      </c>
    </row>
    <row r="2175" spans="1:9" hidden="1" x14ac:dyDescent="0.25">
      <c r="A2175" t="s">
        <v>1816</v>
      </c>
      <c r="B2175" t="s">
        <v>163</v>
      </c>
      <c r="C2175" s="2">
        <f>HYPERLINK("https://cao.dolgi.msk.ru/account/1080248069/", 1080248069)</f>
        <v>1080248069</v>
      </c>
      <c r="D2175" t="s">
        <v>1879</v>
      </c>
      <c r="E2175">
        <v>-6215.51</v>
      </c>
      <c r="F2175">
        <v>-1.1599999999999999</v>
      </c>
      <c r="G2175" t="s">
        <v>12</v>
      </c>
      <c r="I2175" t="s">
        <v>1428</v>
      </c>
    </row>
    <row r="2176" spans="1:9" hidden="1" x14ac:dyDescent="0.25">
      <c r="A2176" t="s">
        <v>1816</v>
      </c>
      <c r="B2176" t="s">
        <v>571</v>
      </c>
      <c r="C2176" s="2">
        <f>HYPERLINK("https://cao.dolgi.msk.ru/account/1080248077/", 1080248077)</f>
        <v>1080248077</v>
      </c>
      <c r="D2176" t="s">
        <v>1880</v>
      </c>
      <c r="E2176">
        <v>-5239.87</v>
      </c>
      <c r="F2176">
        <v>-1.1000000000000001</v>
      </c>
      <c r="G2176" t="s">
        <v>12</v>
      </c>
      <c r="I2176" t="s">
        <v>1428</v>
      </c>
    </row>
    <row r="2177" spans="1:9" hidden="1" x14ac:dyDescent="0.25">
      <c r="A2177" t="s">
        <v>1816</v>
      </c>
      <c r="B2177" t="s">
        <v>682</v>
      </c>
      <c r="C2177" s="2">
        <f>HYPERLINK("https://cao.dolgi.msk.ru/account/1080248085/", 1080248085)</f>
        <v>1080248085</v>
      </c>
      <c r="D2177" t="s">
        <v>1881</v>
      </c>
      <c r="E2177">
        <v>-7671.61</v>
      </c>
      <c r="F2177">
        <v>-1.1599999999999999</v>
      </c>
      <c r="G2177" t="s">
        <v>12</v>
      </c>
      <c r="I2177" t="s">
        <v>1428</v>
      </c>
    </row>
    <row r="2178" spans="1:9" hidden="1" x14ac:dyDescent="0.25">
      <c r="A2178" t="s">
        <v>1816</v>
      </c>
      <c r="B2178" t="s">
        <v>578</v>
      </c>
      <c r="C2178" s="2">
        <f>HYPERLINK("https://cao.dolgi.msk.ru/account/1080248093/", 1080248093)</f>
        <v>1080248093</v>
      </c>
      <c r="D2178" t="s">
        <v>1882</v>
      </c>
      <c r="E2178">
        <v>-2872.85</v>
      </c>
      <c r="F2178">
        <v>-1.1299999999999999</v>
      </c>
      <c r="G2178" t="s">
        <v>12</v>
      </c>
      <c r="I2178" t="s">
        <v>1428</v>
      </c>
    </row>
    <row r="2179" spans="1:9" hidden="1" x14ac:dyDescent="0.25">
      <c r="A2179" t="s">
        <v>1816</v>
      </c>
      <c r="B2179" t="s">
        <v>580</v>
      </c>
      <c r="C2179" s="2">
        <f>HYPERLINK("https://cao.dolgi.msk.ru/account/1080248106/", 1080248106)</f>
        <v>1080248106</v>
      </c>
      <c r="D2179" t="s">
        <v>1883</v>
      </c>
      <c r="E2179">
        <v>-5759.06</v>
      </c>
      <c r="F2179">
        <v>-1.32</v>
      </c>
      <c r="G2179" t="s">
        <v>12</v>
      </c>
      <c r="I2179" t="s">
        <v>1428</v>
      </c>
    </row>
    <row r="2180" spans="1:9" hidden="1" x14ac:dyDescent="0.25">
      <c r="A2180" t="s">
        <v>1816</v>
      </c>
      <c r="B2180" t="s">
        <v>686</v>
      </c>
      <c r="C2180" s="2">
        <f>HYPERLINK("https://cao.dolgi.msk.ru/account/1080248114/", 1080248114)</f>
        <v>1080248114</v>
      </c>
      <c r="D2180" t="s">
        <v>1884</v>
      </c>
      <c r="E2180">
        <v>-4119.3</v>
      </c>
      <c r="F2180">
        <v>-1.07</v>
      </c>
      <c r="G2180" t="s">
        <v>12</v>
      </c>
      <c r="I2180" t="s">
        <v>1428</v>
      </c>
    </row>
    <row r="2181" spans="1:9" hidden="1" x14ac:dyDescent="0.25">
      <c r="A2181" t="s">
        <v>1816</v>
      </c>
      <c r="B2181" t="s">
        <v>582</v>
      </c>
      <c r="C2181" s="2">
        <f>HYPERLINK("https://cao.dolgi.msk.ru/account/1080248122/", 1080248122)</f>
        <v>1080248122</v>
      </c>
      <c r="D2181" t="s">
        <v>1885</v>
      </c>
      <c r="E2181">
        <v>0</v>
      </c>
      <c r="F2181">
        <v>0</v>
      </c>
      <c r="G2181" t="s">
        <v>12</v>
      </c>
      <c r="I2181" t="s">
        <v>1428</v>
      </c>
    </row>
    <row r="2182" spans="1:9" hidden="1" x14ac:dyDescent="0.25">
      <c r="A2182" t="s">
        <v>1816</v>
      </c>
      <c r="B2182" t="s">
        <v>584</v>
      </c>
      <c r="C2182" s="2">
        <f>HYPERLINK("https://cao.dolgi.msk.ru/account/1080248149/", 1080248149)</f>
        <v>1080248149</v>
      </c>
      <c r="D2182" t="s">
        <v>1886</v>
      </c>
      <c r="E2182">
        <v>-3532.51</v>
      </c>
      <c r="F2182">
        <v>-1.18</v>
      </c>
      <c r="G2182" t="s">
        <v>12</v>
      </c>
      <c r="I2182" t="s">
        <v>1428</v>
      </c>
    </row>
    <row r="2183" spans="1:9" hidden="1" x14ac:dyDescent="0.25">
      <c r="A2183" t="s">
        <v>1816</v>
      </c>
      <c r="B2183" t="s">
        <v>586</v>
      </c>
      <c r="C2183" s="2">
        <f>HYPERLINK("https://cao.dolgi.msk.ru/account/1080248157/", 1080248157)</f>
        <v>1080248157</v>
      </c>
      <c r="D2183" t="s">
        <v>1887</v>
      </c>
      <c r="E2183">
        <v>-8972.77</v>
      </c>
      <c r="F2183">
        <v>-2.02</v>
      </c>
      <c r="G2183" t="s">
        <v>12</v>
      </c>
      <c r="I2183" t="s">
        <v>1428</v>
      </c>
    </row>
    <row r="2184" spans="1:9" hidden="1" x14ac:dyDescent="0.25">
      <c r="A2184" t="s">
        <v>1816</v>
      </c>
      <c r="B2184" t="s">
        <v>588</v>
      </c>
      <c r="C2184" s="2">
        <f>HYPERLINK("https://cao.dolgi.msk.ru/account/1080248165/", 1080248165)</f>
        <v>1080248165</v>
      </c>
      <c r="D2184" t="s">
        <v>1888</v>
      </c>
      <c r="E2184">
        <v>-6041.72</v>
      </c>
      <c r="F2184">
        <v>-1.17</v>
      </c>
      <c r="G2184" t="s">
        <v>12</v>
      </c>
      <c r="I2184" t="s">
        <v>1428</v>
      </c>
    </row>
    <row r="2185" spans="1:9" hidden="1" x14ac:dyDescent="0.25">
      <c r="A2185" t="s">
        <v>1816</v>
      </c>
      <c r="B2185" t="s">
        <v>590</v>
      </c>
      <c r="C2185" s="2">
        <f>HYPERLINK("https://cao.dolgi.msk.ru/account/1080248173/", 1080248173)</f>
        <v>1080248173</v>
      </c>
      <c r="D2185" t="s">
        <v>1889</v>
      </c>
      <c r="E2185">
        <v>-837.96</v>
      </c>
      <c r="F2185">
        <v>-0.18</v>
      </c>
      <c r="G2185" t="s">
        <v>12</v>
      </c>
      <c r="I2185" t="s">
        <v>1428</v>
      </c>
    </row>
    <row r="2186" spans="1:9" hidden="1" x14ac:dyDescent="0.25">
      <c r="A2186" t="s">
        <v>1816</v>
      </c>
      <c r="B2186" t="s">
        <v>693</v>
      </c>
      <c r="C2186" s="2">
        <f>HYPERLINK("https://cao.dolgi.msk.ru/account/1080248181/", 1080248181)</f>
        <v>1080248181</v>
      </c>
      <c r="D2186" t="s">
        <v>1890</v>
      </c>
      <c r="E2186">
        <v>-4706.43</v>
      </c>
      <c r="F2186">
        <v>-1.1499999999999999</v>
      </c>
      <c r="G2186" t="s">
        <v>12</v>
      </c>
      <c r="I2186" t="s">
        <v>1428</v>
      </c>
    </row>
    <row r="2187" spans="1:9" hidden="1" x14ac:dyDescent="0.25">
      <c r="A2187" t="s">
        <v>1816</v>
      </c>
      <c r="B2187" t="s">
        <v>694</v>
      </c>
      <c r="C2187" s="2">
        <f>HYPERLINK("https://cao.dolgi.msk.ru/account/1080248202/", 1080248202)</f>
        <v>1080248202</v>
      </c>
      <c r="D2187" t="s">
        <v>1891</v>
      </c>
      <c r="E2187">
        <v>0</v>
      </c>
      <c r="F2187">
        <v>0</v>
      </c>
      <c r="G2187" t="s">
        <v>12</v>
      </c>
      <c r="I2187" t="s">
        <v>1428</v>
      </c>
    </row>
    <row r="2188" spans="1:9" hidden="1" x14ac:dyDescent="0.25">
      <c r="A2188" t="s">
        <v>1816</v>
      </c>
      <c r="B2188" t="s">
        <v>696</v>
      </c>
      <c r="C2188" s="2">
        <f>HYPERLINK("https://cao.dolgi.msk.ru/account/1080248229/", 1080248229)</f>
        <v>1080248229</v>
      </c>
      <c r="D2188" t="s">
        <v>1892</v>
      </c>
      <c r="E2188">
        <v>-2354.5300000000002</v>
      </c>
      <c r="F2188">
        <v>-0.63</v>
      </c>
      <c r="G2188" t="s">
        <v>12</v>
      </c>
      <c r="I2188" t="s">
        <v>1428</v>
      </c>
    </row>
    <row r="2189" spans="1:9" hidden="1" x14ac:dyDescent="0.25">
      <c r="A2189" t="s">
        <v>1816</v>
      </c>
      <c r="B2189" t="s">
        <v>698</v>
      </c>
      <c r="C2189" s="2">
        <f>HYPERLINK("https://cao.dolgi.msk.ru/account/1080248237/", 1080248237)</f>
        <v>1080248237</v>
      </c>
      <c r="D2189" t="s">
        <v>1893</v>
      </c>
      <c r="E2189">
        <v>0</v>
      </c>
      <c r="F2189">
        <v>0</v>
      </c>
      <c r="G2189" t="s">
        <v>12</v>
      </c>
      <c r="I2189" t="s">
        <v>1428</v>
      </c>
    </row>
    <row r="2190" spans="1:9" x14ac:dyDescent="0.25">
      <c r="A2190" t="s">
        <v>1894</v>
      </c>
      <c r="B2190" t="s">
        <v>10</v>
      </c>
      <c r="C2190" s="2">
        <f>HYPERLINK("https://cao.dolgi.msk.ru/account/1080246485/", 1080246485)</f>
        <v>1080246485</v>
      </c>
      <c r="D2190" t="s">
        <v>1895</v>
      </c>
      <c r="E2190">
        <v>12624.39</v>
      </c>
      <c r="F2190">
        <v>3.22</v>
      </c>
      <c r="G2190" t="s">
        <v>12</v>
      </c>
      <c r="I2190" t="s">
        <v>1428</v>
      </c>
    </row>
    <row r="2191" spans="1:9" hidden="1" x14ac:dyDescent="0.25">
      <c r="A2191" t="s">
        <v>1894</v>
      </c>
      <c r="B2191" t="s">
        <v>16</v>
      </c>
      <c r="C2191" s="2">
        <f>HYPERLINK("https://cao.dolgi.msk.ru/account/1080246493/", 1080246493)</f>
        <v>1080246493</v>
      </c>
      <c r="D2191" t="s">
        <v>1896</v>
      </c>
      <c r="E2191">
        <v>-6122.39</v>
      </c>
      <c r="F2191">
        <v>-0.75</v>
      </c>
      <c r="G2191" t="s">
        <v>12</v>
      </c>
      <c r="I2191" t="s">
        <v>1428</v>
      </c>
    </row>
    <row r="2192" spans="1:9" hidden="1" x14ac:dyDescent="0.25">
      <c r="A2192" t="s">
        <v>1894</v>
      </c>
      <c r="B2192" t="s">
        <v>18</v>
      </c>
      <c r="C2192" s="2">
        <f>HYPERLINK("https://cao.dolgi.msk.ru/account/1080246506/", 1080246506)</f>
        <v>1080246506</v>
      </c>
      <c r="D2192" t="s">
        <v>1897</v>
      </c>
      <c r="E2192">
        <v>-6963.34</v>
      </c>
      <c r="F2192">
        <v>-1.27</v>
      </c>
      <c r="G2192" t="s">
        <v>12</v>
      </c>
      <c r="I2192" t="s">
        <v>1428</v>
      </c>
    </row>
    <row r="2193" spans="1:9" hidden="1" x14ac:dyDescent="0.25">
      <c r="A2193" t="s">
        <v>1894</v>
      </c>
      <c r="B2193" t="s">
        <v>20</v>
      </c>
      <c r="C2193" s="2">
        <f>HYPERLINK("https://cao.dolgi.msk.ru/account/1080246514/", 1080246514)</f>
        <v>1080246514</v>
      </c>
      <c r="D2193" t="s">
        <v>1898</v>
      </c>
      <c r="E2193">
        <v>-5181.1899999999996</v>
      </c>
      <c r="F2193">
        <v>-1.27</v>
      </c>
      <c r="G2193" t="s">
        <v>12</v>
      </c>
      <c r="I2193" t="s">
        <v>1428</v>
      </c>
    </row>
    <row r="2194" spans="1:9" hidden="1" x14ac:dyDescent="0.25">
      <c r="A2194" t="s">
        <v>1894</v>
      </c>
      <c r="B2194" t="s">
        <v>21</v>
      </c>
      <c r="C2194" s="2">
        <f>HYPERLINK("https://cao.dolgi.msk.ru/account/1080246522/", 1080246522)</f>
        <v>1080246522</v>
      </c>
      <c r="D2194" t="s">
        <v>1899</v>
      </c>
      <c r="E2194">
        <v>-5150.54</v>
      </c>
      <c r="F2194">
        <v>-1.1599999999999999</v>
      </c>
      <c r="G2194" t="s">
        <v>12</v>
      </c>
      <c r="I2194" t="s">
        <v>1428</v>
      </c>
    </row>
    <row r="2195" spans="1:9" hidden="1" x14ac:dyDescent="0.25">
      <c r="A2195" t="s">
        <v>1894</v>
      </c>
      <c r="B2195" t="s">
        <v>22</v>
      </c>
      <c r="C2195" s="2">
        <f>HYPERLINK("https://cao.dolgi.msk.ru/account/1080246549/", 1080246549)</f>
        <v>1080246549</v>
      </c>
      <c r="D2195" t="s">
        <v>1900</v>
      </c>
      <c r="E2195">
        <v>-2281.19</v>
      </c>
      <c r="F2195">
        <v>-1.1000000000000001</v>
      </c>
      <c r="G2195" t="s">
        <v>12</v>
      </c>
      <c r="I2195" t="s">
        <v>1428</v>
      </c>
    </row>
    <row r="2196" spans="1:9" hidden="1" x14ac:dyDescent="0.25">
      <c r="A2196" t="s">
        <v>1894</v>
      </c>
      <c r="B2196" t="s">
        <v>23</v>
      </c>
      <c r="C2196" s="2">
        <f>HYPERLINK("https://cao.dolgi.msk.ru/account/1080246557/", 1080246557)</f>
        <v>1080246557</v>
      </c>
      <c r="D2196" t="s">
        <v>1901</v>
      </c>
      <c r="E2196">
        <v>0</v>
      </c>
      <c r="F2196">
        <v>0</v>
      </c>
      <c r="G2196" t="s">
        <v>12</v>
      </c>
      <c r="I2196" t="s">
        <v>1428</v>
      </c>
    </row>
    <row r="2197" spans="1:9" hidden="1" x14ac:dyDescent="0.25">
      <c r="A2197" t="s">
        <v>1894</v>
      </c>
      <c r="B2197" t="s">
        <v>24</v>
      </c>
      <c r="C2197" s="2">
        <f>HYPERLINK("https://cao.dolgi.msk.ru/account/1080246565/", 1080246565)</f>
        <v>1080246565</v>
      </c>
      <c r="D2197" t="s">
        <v>1902</v>
      </c>
      <c r="E2197">
        <v>-16344.68</v>
      </c>
      <c r="F2197">
        <v>-5.18</v>
      </c>
      <c r="G2197" t="s">
        <v>12</v>
      </c>
      <c r="I2197" t="s">
        <v>1428</v>
      </c>
    </row>
    <row r="2198" spans="1:9" hidden="1" x14ac:dyDescent="0.25">
      <c r="A2198" t="s">
        <v>1894</v>
      </c>
      <c r="B2198" t="s">
        <v>27</v>
      </c>
      <c r="C2198" s="2">
        <f>HYPERLINK("https://cao.dolgi.msk.ru/account/1080246573/", 1080246573)</f>
        <v>1080246573</v>
      </c>
      <c r="D2198" t="s">
        <v>1903</v>
      </c>
      <c r="E2198">
        <v>-1872.86</v>
      </c>
      <c r="F2198">
        <v>-1.06</v>
      </c>
      <c r="G2198" t="s">
        <v>12</v>
      </c>
      <c r="I2198" t="s">
        <v>1428</v>
      </c>
    </row>
    <row r="2199" spans="1:9" hidden="1" x14ac:dyDescent="0.25">
      <c r="A2199" t="s">
        <v>1894</v>
      </c>
      <c r="B2199" t="s">
        <v>29</v>
      </c>
      <c r="C2199" s="2">
        <f>HYPERLINK("https://cao.dolgi.msk.ru/account/1080246581/", 1080246581)</f>
        <v>1080246581</v>
      </c>
      <c r="D2199" t="s">
        <v>1904</v>
      </c>
      <c r="E2199">
        <v>-4463.76</v>
      </c>
      <c r="F2199">
        <v>-1.0900000000000001</v>
      </c>
      <c r="G2199" t="s">
        <v>12</v>
      </c>
      <c r="I2199" t="s">
        <v>1428</v>
      </c>
    </row>
    <row r="2200" spans="1:9" hidden="1" x14ac:dyDescent="0.25">
      <c r="A2200" t="s">
        <v>1894</v>
      </c>
      <c r="B2200" t="s">
        <v>31</v>
      </c>
      <c r="C2200" s="2">
        <f>HYPERLINK("https://cao.dolgi.msk.ru/account/1080246602/", 1080246602)</f>
        <v>1080246602</v>
      </c>
      <c r="D2200" t="s">
        <v>1905</v>
      </c>
      <c r="E2200">
        <v>-3030.49</v>
      </c>
      <c r="F2200">
        <v>-1.21</v>
      </c>
      <c r="G2200" t="s">
        <v>12</v>
      </c>
      <c r="I2200" t="s">
        <v>1428</v>
      </c>
    </row>
    <row r="2201" spans="1:9" hidden="1" x14ac:dyDescent="0.25">
      <c r="A2201" t="s">
        <v>1894</v>
      </c>
      <c r="B2201" t="s">
        <v>33</v>
      </c>
      <c r="C2201" s="2">
        <f>HYPERLINK("https://cao.dolgi.msk.ru/account/1080246629/", 1080246629)</f>
        <v>1080246629</v>
      </c>
      <c r="D2201" t="s">
        <v>1906</v>
      </c>
      <c r="E2201">
        <v>-4674.25</v>
      </c>
      <c r="F2201">
        <v>-1.04</v>
      </c>
      <c r="G2201" t="s">
        <v>12</v>
      </c>
      <c r="I2201" t="s">
        <v>1428</v>
      </c>
    </row>
    <row r="2202" spans="1:9" hidden="1" x14ac:dyDescent="0.25">
      <c r="A2202" t="s">
        <v>1894</v>
      </c>
      <c r="B2202" t="s">
        <v>34</v>
      </c>
      <c r="C2202" s="2">
        <f>HYPERLINK("https://cao.dolgi.msk.ru/account/1080246637/", 1080246637)</f>
        <v>1080246637</v>
      </c>
      <c r="D2202" t="s">
        <v>1907</v>
      </c>
      <c r="E2202">
        <v>-4209.58</v>
      </c>
      <c r="F2202">
        <v>-1.1399999999999999</v>
      </c>
      <c r="G2202" t="s">
        <v>12</v>
      </c>
      <c r="I2202" t="s">
        <v>1428</v>
      </c>
    </row>
    <row r="2203" spans="1:9" hidden="1" x14ac:dyDescent="0.25">
      <c r="A2203" t="s">
        <v>1894</v>
      </c>
      <c r="B2203" t="s">
        <v>36</v>
      </c>
      <c r="C2203" s="2">
        <f>HYPERLINK("https://cao.dolgi.msk.ru/account/1080246645/", 1080246645)</f>
        <v>1080246645</v>
      </c>
      <c r="D2203" t="s">
        <v>1908</v>
      </c>
      <c r="E2203">
        <v>-6441.89</v>
      </c>
      <c r="F2203">
        <v>-0.99</v>
      </c>
      <c r="G2203" t="s">
        <v>12</v>
      </c>
      <c r="I2203" t="s">
        <v>1428</v>
      </c>
    </row>
    <row r="2204" spans="1:9" hidden="1" x14ac:dyDescent="0.25">
      <c r="A2204" t="s">
        <v>1894</v>
      </c>
      <c r="B2204" t="s">
        <v>38</v>
      </c>
      <c r="C2204" s="2">
        <f>HYPERLINK("https://cao.dolgi.msk.ru/account/1080246653/", 1080246653)</f>
        <v>1080246653</v>
      </c>
      <c r="D2204" t="s">
        <v>1909</v>
      </c>
      <c r="E2204">
        <v>-13453.13</v>
      </c>
      <c r="F2204">
        <v>-3.38</v>
      </c>
      <c r="G2204" t="s">
        <v>12</v>
      </c>
      <c r="I2204" t="s">
        <v>1428</v>
      </c>
    </row>
    <row r="2205" spans="1:9" hidden="1" x14ac:dyDescent="0.25">
      <c r="A2205" t="s">
        <v>1894</v>
      </c>
      <c r="B2205" t="s">
        <v>39</v>
      </c>
      <c r="C2205" s="2">
        <f>HYPERLINK("https://cao.dolgi.msk.ru/account/1080246661/", 1080246661)</f>
        <v>1080246661</v>
      </c>
      <c r="D2205" t="s">
        <v>1910</v>
      </c>
      <c r="E2205">
        <v>-4081.15</v>
      </c>
      <c r="F2205">
        <v>-1.01</v>
      </c>
      <c r="G2205" t="s">
        <v>12</v>
      </c>
      <c r="I2205" t="s">
        <v>1428</v>
      </c>
    </row>
    <row r="2206" spans="1:9" hidden="1" x14ac:dyDescent="0.25">
      <c r="A2206" t="s">
        <v>1894</v>
      </c>
      <c r="B2206" t="s">
        <v>40</v>
      </c>
      <c r="C2206" s="2">
        <f>HYPERLINK("https://cao.dolgi.msk.ru/account/1080246688/", 1080246688)</f>
        <v>1080246688</v>
      </c>
      <c r="D2206" t="s">
        <v>1911</v>
      </c>
      <c r="E2206">
        <v>-2167.69</v>
      </c>
      <c r="F2206">
        <v>-1.02</v>
      </c>
      <c r="G2206" t="s">
        <v>12</v>
      </c>
      <c r="I2206" t="s">
        <v>1428</v>
      </c>
    </row>
    <row r="2207" spans="1:9" hidden="1" x14ac:dyDescent="0.25">
      <c r="A2207" t="s">
        <v>1894</v>
      </c>
      <c r="B2207" t="s">
        <v>41</v>
      </c>
      <c r="C2207" s="2">
        <f>HYPERLINK("https://cao.dolgi.msk.ru/account/1080246696/", 1080246696)</f>
        <v>1080246696</v>
      </c>
      <c r="D2207" t="s">
        <v>1912</v>
      </c>
      <c r="E2207">
        <v>-5559.78</v>
      </c>
      <c r="F2207">
        <v>-1.05</v>
      </c>
      <c r="G2207" t="s">
        <v>12</v>
      </c>
      <c r="I2207" t="s">
        <v>1428</v>
      </c>
    </row>
    <row r="2208" spans="1:9" hidden="1" x14ac:dyDescent="0.25">
      <c r="A2208" t="s">
        <v>1894</v>
      </c>
      <c r="B2208" t="s">
        <v>42</v>
      </c>
      <c r="C2208" s="2">
        <f>HYPERLINK("https://cao.dolgi.msk.ru/account/1080246709/", 1080246709)</f>
        <v>1080246709</v>
      </c>
      <c r="D2208" t="s">
        <v>1913</v>
      </c>
      <c r="E2208">
        <v>-57.55</v>
      </c>
      <c r="F2208">
        <v>-0.02</v>
      </c>
      <c r="G2208" t="s">
        <v>12</v>
      </c>
      <c r="I2208" t="s">
        <v>1428</v>
      </c>
    </row>
    <row r="2209" spans="1:9" hidden="1" x14ac:dyDescent="0.25">
      <c r="A2209" t="s">
        <v>1894</v>
      </c>
      <c r="B2209" t="s">
        <v>44</v>
      </c>
      <c r="C2209" s="2">
        <f>HYPERLINK("https://cao.dolgi.msk.ru/account/1080246717/", 1080246717)</f>
        <v>1080246717</v>
      </c>
      <c r="D2209" t="s">
        <v>1914</v>
      </c>
      <c r="E2209">
        <v>-7281.37</v>
      </c>
      <c r="F2209">
        <v>-1.36</v>
      </c>
      <c r="G2209" t="s">
        <v>12</v>
      </c>
      <c r="I2209" t="s">
        <v>1428</v>
      </c>
    </row>
    <row r="2210" spans="1:9" hidden="1" x14ac:dyDescent="0.25">
      <c r="A2210" t="s">
        <v>1894</v>
      </c>
      <c r="B2210" t="s">
        <v>66</v>
      </c>
      <c r="C2210" s="2">
        <f>HYPERLINK("https://cao.dolgi.msk.ru/account/1080246725/", 1080246725)</f>
        <v>1080246725</v>
      </c>
      <c r="D2210" t="s">
        <v>1915</v>
      </c>
      <c r="E2210">
        <v>7211.07</v>
      </c>
      <c r="F2210">
        <v>1</v>
      </c>
      <c r="G2210" t="s">
        <v>12</v>
      </c>
      <c r="I2210" t="s">
        <v>1428</v>
      </c>
    </row>
    <row r="2211" spans="1:9" hidden="1" x14ac:dyDescent="0.25">
      <c r="A2211" t="s">
        <v>1894</v>
      </c>
      <c r="B2211" t="s">
        <v>68</v>
      </c>
      <c r="C2211" s="2">
        <f>HYPERLINK("https://cao.dolgi.msk.ru/account/1080246733/", 1080246733)</f>
        <v>1080246733</v>
      </c>
      <c r="D2211" t="s">
        <v>1916</v>
      </c>
      <c r="E2211">
        <v>-11351.45</v>
      </c>
      <c r="F2211">
        <v>-2.0499999999999998</v>
      </c>
      <c r="G2211" t="s">
        <v>12</v>
      </c>
      <c r="I2211" t="s">
        <v>1428</v>
      </c>
    </row>
    <row r="2212" spans="1:9" hidden="1" x14ac:dyDescent="0.25">
      <c r="A2212" t="s">
        <v>1894</v>
      </c>
      <c r="B2212" t="s">
        <v>70</v>
      </c>
      <c r="C2212" s="2">
        <f>HYPERLINK("https://cao.dolgi.msk.ru/account/1080246741/", 1080246741)</f>
        <v>1080246741</v>
      </c>
      <c r="D2212" t="s">
        <v>1917</v>
      </c>
      <c r="E2212">
        <v>-1193.93</v>
      </c>
      <c r="F2212">
        <v>-0.11</v>
      </c>
      <c r="G2212" t="s">
        <v>12</v>
      </c>
      <c r="I2212" t="s">
        <v>1428</v>
      </c>
    </row>
    <row r="2213" spans="1:9" hidden="1" x14ac:dyDescent="0.25">
      <c r="A2213" t="s">
        <v>1894</v>
      </c>
      <c r="B2213" t="s">
        <v>72</v>
      </c>
      <c r="C2213" s="2">
        <f>HYPERLINK("https://cao.dolgi.msk.ru/account/1080246768/", 1080246768)</f>
        <v>1080246768</v>
      </c>
      <c r="D2213" t="s">
        <v>1918</v>
      </c>
      <c r="E2213">
        <v>-2210.91</v>
      </c>
      <c r="F2213">
        <v>-0.44</v>
      </c>
      <c r="G2213" t="s">
        <v>12</v>
      </c>
      <c r="I2213" t="s">
        <v>1428</v>
      </c>
    </row>
    <row r="2214" spans="1:9" hidden="1" x14ac:dyDescent="0.25">
      <c r="A2214" t="s">
        <v>1894</v>
      </c>
      <c r="B2214" t="s">
        <v>74</v>
      </c>
      <c r="C2214" s="2">
        <f>HYPERLINK("https://cao.dolgi.msk.ru/account/1080246776/", 1080246776)</f>
        <v>1080246776</v>
      </c>
      <c r="D2214" t="s">
        <v>1919</v>
      </c>
      <c r="E2214">
        <v>-7014.24</v>
      </c>
      <c r="F2214">
        <v>-1.71</v>
      </c>
      <c r="G2214" t="s">
        <v>12</v>
      </c>
      <c r="I2214" t="s">
        <v>1428</v>
      </c>
    </row>
    <row r="2215" spans="1:9" hidden="1" x14ac:dyDescent="0.25">
      <c r="A2215" t="s">
        <v>1894</v>
      </c>
      <c r="B2215" t="s">
        <v>76</v>
      </c>
      <c r="C2215" s="2">
        <f>HYPERLINK("https://cao.dolgi.msk.ru/account/1080246784/", 1080246784)</f>
        <v>1080246784</v>
      </c>
      <c r="D2215" t="s">
        <v>1920</v>
      </c>
      <c r="E2215">
        <v>-4788.72</v>
      </c>
      <c r="F2215">
        <v>-1.04</v>
      </c>
      <c r="G2215" t="s">
        <v>12</v>
      </c>
      <c r="I2215" t="s">
        <v>1428</v>
      </c>
    </row>
    <row r="2216" spans="1:9" hidden="1" x14ac:dyDescent="0.25">
      <c r="A2216" t="s">
        <v>1894</v>
      </c>
      <c r="B2216" t="s">
        <v>78</v>
      </c>
      <c r="C2216" s="2">
        <f>HYPERLINK("https://cao.dolgi.msk.ru/account/1080246792/", 1080246792)</f>
        <v>1080246792</v>
      </c>
      <c r="D2216" t="s">
        <v>1921</v>
      </c>
      <c r="E2216">
        <v>-3751.32</v>
      </c>
      <c r="F2216">
        <v>-1.04</v>
      </c>
      <c r="G2216" t="s">
        <v>12</v>
      </c>
      <c r="I2216" t="s">
        <v>1428</v>
      </c>
    </row>
    <row r="2217" spans="1:9" hidden="1" x14ac:dyDescent="0.25">
      <c r="A2217" t="s">
        <v>1894</v>
      </c>
      <c r="B2217" t="s">
        <v>80</v>
      </c>
      <c r="C2217" s="2">
        <f>HYPERLINK("https://cao.dolgi.msk.ru/account/1080246805/", 1080246805)</f>
        <v>1080246805</v>
      </c>
      <c r="D2217" t="s">
        <v>1922</v>
      </c>
      <c r="E2217">
        <v>-5340.81</v>
      </c>
      <c r="F2217">
        <v>-2.12</v>
      </c>
      <c r="G2217" t="s">
        <v>12</v>
      </c>
      <c r="I2217" t="s">
        <v>1428</v>
      </c>
    </row>
    <row r="2218" spans="1:9" hidden="1" x14ac:dyDescent="0.25">
      <c r="A2218" t="s">
        <v>1894</v>
      </c>
      <c r="B2218" t="s">
        <v>82</v>
      </c>
      <c r="C2218" s="2">
        <f>HYPERLINK("https://cao.dolgi.msk.ru/account/1080246813/", 1080246813)</f>
        <v>1080246813</v>
      </c>
      <c r="D2218" t="s">
        <v>1923</v>
      </c>
      <c r="E2218">
        <v>-10640.07</v>
      </c>
      <c r="F2218">
        <v>-1.5</v>
      </c>
      <c r="G2218" t="s">
        <v>12</v>
      </c>
      <c r="I2218" t="s">
        <v>1428</v>
      </c>
    </row>
    <row r="2219" spans="1:9" hidden="1" x14ac:dyDescent="0.25">
      <c r="A2219" t="s">
        <v>1894</v>
      </c>
      <c r="B2219" t="s">
        <v>84</v>
      </c>
      <c r="C2219" s="2">
        <f>HYPERLINK("https://cao.dolgi.msk.ru/account/1080246821/", 1080246821)</f>
        <v>1080246821</v>
      </c>
      <c r="D2219" t="s">
        <v>1726</v>
      </c>
      <c r="E2219">
        <v>0</v>
      </c>
      <c r="F2219">
        <v>0</v>
      </c>
      <c r="G2219" t="s">
        <v>12</v>
      </c>
      <c r="I2219" t="s">
        <v>1428</v>
      </c>
    </row>
    <row r="2220" spans="1:9" hidden="1" x14ac:dyDescent="0.25">
      <c r="A2220" t="s">
        <v>1894</v>
      </c>
      <c r="B2220" t="s">
        <v>86</v>
      </c>
      <c r="C2220" s="2">
        <f>HYPERLINK("https://cao.dolgi.msk.ru/account/1080246848/", 1080246848)</f>
        <v>1080246848</v>
      </c>
      <c r="D2220" t="s">
        <v>1924</v>
      </c>
      <c r="E2220">
        <v>3331.41</v>
      </c>
      <c r="F2220">
        <v>1</v>
      </c>
      <c r="G2220" t="s">
        <v>12</v>
      </c>
      <c r="I2220" t="s">
        <v>1428</v>
      </c>
    </row>
    <row r="2221" spans="1:9" hidden="1" x14ac:dyDescent="0.25">
      <c r="A2221" t="s">
        <v>1894</v>
      </c>
      <c r="B2221" t="s">
        <v>86</v>
      </c>
      <c r="C2221" s="2">
        <f>HYPERLINK("https://cao.dolgi.msk.ru/account/1080322011/", 1080322011)</f>
        <v>1080322011</v>
      </c>
      <c r="D2221" t="s">
        <v>1925</v>
      </c>
      <c r="E2221">
        <v>560.1</v>
      </c>
      <c r="F2221">
        <v>0.51</v>
      </c>
      <c r="G2221" t="s">
        <v>12</v>
      </c>
      <c r="I2221" t="s">
        <v>1428</v>
      </c>
    </row>
    <row r="2222" spans="1:9" hidden="1" x14ac:dyDescent="0.25">
      <c r="A2222" t="s">
        <v>1894</v>
      </c>
      <c r="B2222" t="s">
        <v>88</v>
      </c>
      <c r="C2222" s="2">
        <f>HYPERLINK("https://cao.dolgi.msk.ru/account/1080246856/", 1080246856)</f>
        <v>1080246856</v>
      </c>
      <c r="D2222" t="s">
        <v>1926</v>
      </c>
      <c r="E2222">
        <v>-2774.53</v>
      </c>
      <c r="F2222">
        <v>-1.06</v>
      </c>
      <c r="G2222" t="s">
        <v>12</v>
      </c>
      <c r="I2222" t="s">
        <v>1428</v>
      </c>
    </row>
    <row r="2223" spans="1:9" hidden="1" x14ac:dyDescent="0.25">
      <c r="A2223" t="s">
        <v>1894</v>
      </c>
      <c r="B2223" t="s">
        <v>90</v>
      </c>
      <c r="C2223" s="2">
        <f>HYPERLINK("https://cao.dolgi.msk.ru/account/1080246864/", 1080246864)</f>
        <v>1080246864</v>
      </c>
      <c r="D2223" t="s">
        <v>1927</v>
      </c>
      <c r="E2223">
        <v>-3739.28</v>
      </c>
      <c r="F2223">
        <v>-1.03</v>
      </c>
      <c r="G2223" t="s">
        <v>12</v>
      </c>
      <c r="I2223" t="s">
        <v>1428</v>
      </c>
    </row>
    <row r="2224" spans="1:9" hidden="1" x14ac:dyDescent="0.25">
      <c r="A2224" t="s">
        <v>1894</v>
      </c>
      <c r="B2224" t="s">
        <v>92</v>
      </c>
      <c r="C2224" s="2">
        <f>HYPERLINK("https://cao.dolgi.msk.ru/account/1080246872/", 1080246872)</f>
        <v>1080246872</v>
      </c>
      <c r="D2224" t="s">
        <v>1928</v>
      </c>
      <c r="E2224">
        <v>-4659.16</v>
      </c>
      <c r="F2224">
        <v>-1.06</v>
      </c>
      <c r="G2224" t="s">
        <v>12</v>
      </c>
      <c r="I2224" t="s">
        <v>1428</v>
      </c>
    </row>
    <row r="2225" spans="1:9" hidden="1" x14ac:dyDescent="0.25">
      <c r="A2225" t="s">
        <v>1894</v>
      </c>
      <c r="B2225" t="s">
        <v>94</v>
      </c>
      <c r="C2225" s="2">
        <f>HYPERLINK("https://cao.dolgi.msk.ru/account/1080246899/", 1080246899)</f>
        <v>1080246899</v>
      </c>
      <c r="D2225" t="s">
        <v>1929</v>
      </c>
      <c r="E2225">
        <v>-5305.2</v>
      </c>
      <c r="F2225">
        <v>-0.87</v>
      </c>
      <c r="G2225" t="s">
        <v>12</v>
      </c>
      <c r="I2225" t="s">
        <v>1428</v>
      </c>
    </row>
    <row r="2226" spans="1:9" hidden="1" x14ac:dyDescent="0.25">
      <c r="A2226" t="s">
        <v>1894</v>
      </c>
      <c r="B2226" t="s">
        <v>96</v>
      </c>
      <c r="C2226" s="2">
        <f>HYPERLINK("https://cao.dolgi.msk.ru/account/1080246901/", 1080246901)</f>
        <v>1080246901</v>
      </c>
      <c r="D2226" t="s">
        <v>1930</v>
      </c>
      <c r="E2226">
        <v>-88.5</v>
      </c>
      <c r="F2226">
        <v>-0.02</v>
      </c>
      <c r="G2226" t="s">
        <v>12</v>
      </c>
      <c r="I2226" t="s">
        <v>1428</v>
      </c>
    </row>
    <row r="2227" spans="1:9" hidden="1" x14ac:dyDescent="0.25">
      <c r="A2227" t="s">
        <v>1894</v>
      </c>
      <c r="B2227" t="s">
        <v>98</v>
      </c>
      <c r="C2227" s="2">
        <f>HYPERLINK("https://cao.dolgi.msk.ru/account/1080246928/", 1080246928)</f>
        <v>1080246928</v>
      </c>
      <c r="D2227" t="s">
        <v>1931</v>
      </c>
      <c r="E2227">
        <v>-4096.57</v>
      </c>
      <c r="F2227">
        <v>-1.22</v>
      </c>
      <c r="G2227" t="s">
        <v>12</v>
      </c>
      <c r="I2227" t="s">
        <v>1428</v>
      </c>
    </row>
    <row r="2228" spans="1:9" x14ac:dyDescent="0.25">
      <c r="A2228" t="s">
        <v>1894</v>
      </c>
      <c r="B2228" t="s">
        <v>100</v>
      </c>
      <c r="C2228" s="2">
        <f>HYPERLINK("https://cao.dolgi.msk.ru/account/1080246936/", 1080246936)</f>
        <v>1080246936</v>
      </c>
      <c r="D2228" t="s">
        <v>1932</v>
      </c>
      <c r="E2228">
        <v>170731.92</v>
      </c>
      <c r="F2228">
        <v>30.03</v>
      </c>
      <c r="G2228" t="s">
        <v>12</v>
      </c>
      <c r="I2228" t="s">
        <v>1428</v>
      </c>
    </row>
    <row r="2229" spans="1:9" hidden="1" x14ac:dyDescent="0.25">
      <c r="A2229" t="s">
        <v>1894</v>
      </c>
      <c r="B2229" t="s">
        <v>102</v>
      </c>
      <c r="C2229" s="2">
        <f>HYPERLINK("https://cao.dolgi.msk.ru/account/1080246944/", 1080246944)</f>
        <v>1080246944</v>
      </c>
      <c r="D2229" t="s">
        <v>1933</v>
      </c>
      <c r="E2229">
        <v>-5180.95</v>
      </c>
      <c r="F2229">
        <v>-1.06</v>
      </c>
      <c r="G2229" t="s">
        <v>12</v>
      </c>
      <c r="I2229" t="s">
        <v>1428</v>
      </c>
    </row>
    <row r="2230" spans="1:9" hidden="1" x14ac:dyDescent="0.25">
      <c r="A2230" t="s">
        <v>1894</v>
      </c>
      <c r="B2230" t="s">
        <v>104</v>
      </c>
      <c r="C2230" s="2">
        <f>HYPERLINK("https://cao.dolgi.msk.ru/account/1080246952/", 1080246952)</f>
        <v>1080246952</v>
      </c>
      <c r="D2230" t="s">
        <v>1934</v>
      </c>
      <c r="E2230">
        <v>-173.69</v>
      </c>
      <c r="F2230">
        <v>-0.03</v>
      </c>
      <c r="G2230" t="s">
        <v>12</v>
      </c>
      <c r="I2230" t="s">
        <v>1428</v>
      </c>
    </row>
    <row r="2231" spans="1:9" hidden="1" x14ac:dyDescent="0.25">
      <c r="A2231" t="s">
        <v>1894</v>
      </c>
      <c r="B2231" t="s">
        <v>106</v>
      </c>
      <c r="C2231" s="2">
        <f>HYPERLINK("https://cao.dolgi.msk.ru/account/1080246979/", 1080246979)</f>
        <v>1080246979</v>
      </c>
      <c r="D2231" t="s">
        <v>1935</v>
      </c>
      <c r="E2231">
        <v>-5801.37</v>
      </c>
      <c r="F2231">
        <v>-1.05</v>
      </c>
      <c r="G2231" t="s">
        <v>12</v>
      </c>
      <c r="I2231" t="s">
        <v>1428</v>
      </c>
    </row>
    <row r="2232" spans="1:9" hidden="1" x14ac:dyDescent="0.25">
      <c r="A2232" t="s">
        <v>1894</v>
      </c>
      <c r="B2232" t="s">
        <v>108</v>
      </c>
      <c r="C2232" s="2">
        <f>HYPERLINK("https://cao.dolgi.msk.ru/account/1080246987/", 1080246987)</f>
        <v>1080246987</v>
      </c>
      <c r="D2232" t="s">
        <v>1936</v>
      </c>
      <c r="E2232">
        <v>0</v>
      </c>
      <c r="F2232">
        <v>0</v>
      </c>
      <c r="G2232" t="s">
        <v>12</v>
      </c>
      <c r="I2232" t="s">
        <v>1428</v>
      </c>
    </row>
    <row r="2233" spans="1:9" hidden="1" x14ac:dyDescent="0.25">
      <c r="A2233" t="s">
        <v>1894</v>
      </c>
      <c r="B2233" t="s">
        <v>110</v>
      </c>
      <c r="C2233" s="2">
        <f>HYPERLINK("https://cao.dolgi.msk.ru/account/1080246995/", 1080246995)</f>
        <v>1080246995</v>
      </c>
      <c r="D2233" t="s">
        <v>1937</v>
      </c>
      <c r="E2233">
        <v>-7806.77</v>
      </c>
      <c r="F2233">
        <v>-1.72</v>
      </c>
      <c r="G2233" t="s">
        <v>12</v>
      </c>
      <c r="I2233" t="s">
        <v>1428</v>
      </c>
    </row>
    <row r="2234" spans="1:9" hidden="1" x14ac:dyDescent="0.25">
      <c r="A2234" t="s">
        <v>1894</v>
      </c>
      <c r="B2234" t="s">
        <v>112</v>
      </c>
      <c r="C2234" s="2">
        <f>HYPERLINK("https://cao.dolgi.msk.ru/account/1080247007/", 1080247007)</f>
        <v>1080247007</v>
      </c>
      <c r="D2234" t="s">
        <v>1938</v>
      </c>
      <c r="E2234">
        <v>-3771.6</v>
      </c>
      <c r="F2234">
        <v>-1.1499999999999999</v>
      </c>
      <c r="G2234" t="s">
        <v>12</v>
      </c>
      <c r="I2234" t="s">
        <v>1428</v>
      </c>
    </row>
    <row r="2235" spans="1:9" hidden="1" x14ac:dyDescent="0.25">
      <c r="A2235" t="s">
        <v>1894</v>
      </c>
      <c r="B2235" t="s">
        <v>114</v>
      </c>
      <c r="C2235" s="2">
        <f>HYPERLINK("https://cao.dolgi.msk.ru/account/1080247015/", 1080247015)</f>
        <v>1080247015</v>
      </c>
      <c r="D2235" t="s">
        <v>1939</v>
      </c>
      <c r="E2235">
        <v>-3212.95</v>
      </c>
      <c r="F2235">
        <v>-1.05</v>
      </c>
      <c r="G2235" t="s">
        <v>12</v>
      </c>
      <c r="I2235" t="s">
        <v>1428</v>
      </c>
    </row>
    <row r="2236" spans="1:9" hidden="1" x14ac:dyDescent="0.25">
      <c r="A2236" t="s">
        <v>1894</v>
      </c>
      <c r="B2236" t="s">
        <v>116</v>
      </c>
      <c r="C2236" s="2">
        <f>HYPERLINK("https://cao.dolgi.msk.ru/account/1080247023/", 1080247023)</f>
        <v>1080247023</v>
      </c>
      <c r="D2236" t="s">
        <v>1940</v>
      </c>
      <c r="E2236">
        <v>-7090.86</v>
      </c>
      <c r="F2236">
        <v>-1.61</v>
      </c>
      <c r="G2236" t="s">
        <v>12</v>
      </c>
      <c r="I2236" t="s">
        <v>1428</v>
      </c>
    </row>
    <row r="2237" spans="1:9" hidden="1" x14ac:dyDescent="0.25">
      <c r="A2237" t="s">
        <v>1894</v>
      </c>
      <c r="B2237" t="s">
        <v>118</v>
      </c>
      <c r="C2237" s="2">
        <f>HYPERLINK("https://cao.dolgi.msk.ru/account/1080247031/", 1080247031)</f>
        <v>1080247031</v>
      </c>
      <c r="D2237" t="s">
        <v>1941</v>
      </c>
      <c r="E2237">
        <v>-4318.37</v>
      </c>
      <c r="F2237">
        <v>-1.25</v>
      </c>
      <c r="G2237" t="s">
        <v>12</v>
      </c>
      <c r="I2237" t="s">
        <v>1428</v>
      </c>
    </row>
    <row r="2238" spans="1:9" hidden="1" x14ac:dyDescent="0.25">
      <c r="A2238" t="s">
        <v>1894</v>
      </c>
      <c r="B2238" t="s">
        <v>120</v>
      </c>
      <c r="C2238" s="2">
        <f>HYPERLINK("https://cao.dolgi.msk.ru/account/1080247058/", 1080247058)</f>
        <v>1080247058</v>
      </c>
      <c r="D2238" t="s">
        <v>1942</v>
      </c>
      <c r="E2238">
        <v>-2785.7</v>
      </c>
      <c r="F2238">
        <v>-0.98</v>
      </c>
      <c r="G2238" t="s">
        <v>12</v>
      </c>
      <c r="I2238" t="s">
        <v>1428</v>
      </c>
    </row>
    <row r="2239" spans="1:9" hidden="1" x14ac:dyDescent="0.25">
      <c r="A2239" t="s">
        <v>1894</v>
      </c>
      <c r="B2239" t="s">
        <v>122</v>
      </c>
      <c r="C2239" s="2">
        <f>HYPERLINK("https://cao.dolgi.msk.ru/account/1080247066/", 1080247066)</f>
        <v>1080247066</v>
      </c>
      <c r="D2239" t="s">
        <v>1943</v>
      </c>
      <c r="E2239">
        <v>-84.67</v>
      </c>
      <c r="F2239">
        <v>-0.02</v>
      </c>
      <c r="G2239" t="s">
        <v>12</v>
      </c>
      <c r="I2239" t="s">
        <v>1428</v>
      </c>
    </row>
    <row r="2240" spans="1:9" hidden="1" x14ac:dyDescent="0.25">
      <c r="A2240" t="s">
        <v>1894</v>
      </c>
      <c r="B2240" t="s">
        <v>124</v>
      </c>
      <c r="C2240" s="2">
        <f>HYPERLINK("https://cao.dolgi.msk.ru/account/1080247074/", 1080247074)</f>
        <v>1080247074</v>
      </c>
      <c r="D2240" t="s">
        <v>1944</v>
      </c>
      <c r="E2240">
        <v>-2809.1</v>
      </c>
      <c r="F2240">
        <v>-1.07</v>
      </c>
      <c r="G2240" t="s">
        <v>12</v>
      </c>
      <c r="I2240" t="s">
        <v>1428</v>
      </c>
    </row>
    <row r="2241" spans="1:9" hidden="1" x14ac:dyDescent="0.25">
      <c r="A2241" t="s">
        <v>1894</v>
      </c>
      <c r="B2241" t="s">
        <v>126</v>
      </c>
      <c r="C2241" s="2">
        <f>HYPERLINK("https://cao.dolgi.msk.ru/account/1080247082/", 1080247082)</f>
        <v>1080247082</v>
      </c>
      <c r="D2241" t="s">
        <v>1945</v>
      </c>
      <c r="E2241">
        <v>-5530.78</v>
      </c>
      <c r="F2241">
        <v>-1.05</v>
      </c>
      <c r="G2241" t="s">
        <v>12</v>
      </c>
      <c r="I2241" t="s">
        <v>1428</v>
      </c>
    </row>
    <row r="2242" spans="1:9" hidden="1" x14ac:dyDescent="0.25">
      <c r="A2242" t="s">
        <v>1894</v>
      </c>
      <c r="B2242" t="s">
        <v>128</v>
      </c>
      <c r="C2242" s="2">
        <f>HYPERLINK("https://cao.dolgi.msk.ru/account/1080247103/", 1080247103)</f>
        <v>1080247103</v>
      </c>
      <c r="D2242" t="s">
        <v>1946</v>
      </c>
      <c r="E2242">
        <v>-4293.01</v>
      </c>
      <c r="F2242">
        <v>-1.04</v>
      </c>
      <c r="G2242" t="s">
        <v>12</v>
      </c>
      <c r="I2242" t="s">
        <v>1428</v>
      </c>
    </row>
    <row r="2243" spans="1:9" hidden="1" x14ac:dyDescent="0.25">
      <c r="A2243" t="s">
        <v>1894</v>
      </c>
      <c r="B2243" t="s">
        <v>130</v>
      </c>
      <c r="C2243" s="2">
        <f>HYPERLINK("https://cao.dolgi.msk.ru/account/1080247111/", 1080247111)</f>
        <v>1080247111</v>
      </c>
      <c r="D2243" t="s">
        <v>1947</v>
      </c>
      <c r="E2243">
        <v>0</v>
      </c>
      <c r="F2243">
        <v>0</v>
      </c>
      <c r="G2243" t="s">
        <v>12</v>
      </c>
      <c r="I2243" t="s">
        <v>1428</v>
      </c>
    </row>
    <row r="2244" spans="1:9" hidden="1" x14ac:dyDescent="0.25">
      <c r="A2244" t="s">
        <v>1894</v>
      </c>
      <c r="B2244" t="s">
        <v>132</v>
      </c>
      <c r="C2244" s="2">
        <f>HYPERLINK("https://cao.dolgi.msk.ru/account/1080247138/", 1080247138)</f>
        <v>1080247138</v>
      </c>
      <c r="D2244" t="s">
        <v>1948</v>
      </c>
      <c r="E2244">
        <v>-4382.8900000000003</v>
      </c>
      <c r="F2244">
        <v>-1.1399999999999999</v>
      </c>
      <c r="G2244" t="s">
        <v>12</v>
      </c>
      <c r="I2244" t="s">
        <v>1428</v>
      </c>
    </row>
    <row r="2245" spans="1:9" hidden="1" x14ac:dyDescent="0.25">
      <c r="A2245" t="s">
        <v>1894</v>
      </c>
      <c r="B2245" t="s">
        <v>133</v>
      </c>
      <c r="C2245" s="2">
        <f>HYPERLINK("https://cao.dolgi.msk.ru/account/1080247146/", 1080247146)</f>
        <v>1080247146</v>
      </c>
      <c r="D2245" t="s">
        <v>1949</v>
      </c>
      <c r="E2245">
        <v>-4320.7700000000004</v>
      </c>
      <c r="F2245">
        <v>-1.02</v>
      </c>
      <c r="G2245" t="s">
        <v>12</v>
      </c>
      <c r="I2245" t="s">
        <v>1428</v>
      </c>
    </row>
    <row r="2246" spans="1:9" hidden="1" x14ac:dyDescent="0.25">
      <c r="A2246" t="s">
        <v>1894</v>
      </c>
      <c r="B2246" t="s">
        <v>135</v>
      </c>
      <c r="C2246" s="2">
        <f>HYPERLINK("https://cao.dolgi.msk.ru/account/1080247154/", 1080247154)</f>
        <v>1080247154</v>
      </c>
      <c r="D2246" t="s">
        <v>1950</v>
      </c>
      <c r="E2246">
        <v>-3781.04</v>
      </c>
      <c r="F2246">
        <v>-1.1000000000000001</v>
      </c>
      <c r="G2246" t="s">
        <v>12</v>
      </c>
      <c r="I2246" t="s">
        <v>1428</v>
      </c>
    </row>
    <row r="2247" spans="1:9" hidden="1" x14ac:dyDescent="0.25">
      <c r="A2247" t="s">
        <v>1894</v>
      </c>
      <c r="B2247" t="s">
        <v>137</v>
      </c>
      <c r="C2247" s="2">
        <f>HYPERLINK("https://cao.dolgi.msk.ru/account/1080247162/", 1080247162)</f>
        <v>1080247162</v>
      </c>
      <c r="D2247" t="s">
        <v>1951</v>
      </c>
      <c r="E2247">
        <v>-3907.77</v>
      </c>
      <c r="F2247">
        <v>-0.99</v>
      </c>
      <c r="G2247" t="s">
        <v>12</v>
      </c>
      <c r="I2247" t="s">
        <v>1428</v>
      </c>
    </row>
    <row r="2248" spans="1:9" hidden="1" x14ac:dyDescent="0.25">
      <c r="A2248" t="s">
        <v>1894</v>
      </c>
      <c r="B2248" t="s">
        <v>139</v>
      </c>
      <c r="C2248" s="2">
        <f>HYPERLINK("https://cao.dolgi.msk.ru/account/1080247189/", 1080247189)</f>
        <v>1080247189</v>
      </c>
      <c r="D2248" t="s">
        <v>1952</v>
      </c>
      <c r="E2248">
        <v>-11007.46</v>
      </c>
      <c r="F2248">
        <v>-1.54</v>
      </c>
      <c r="G2248" t="s">
        <v>12</v>
      </c>
      <c r="I2248" t="s">
        <v>1428</v>
      </c>
    </row>
    <row r="2249" spans="1:9" hidden="1" x14ac:dyDescent="0.25">
      <c r="A2249" t="s">
        <v>1894</v>
      </c>
      <c r="B2249" t="s">
        <v>141</v>
      </c>
      <c r="C2249" s="2">
        <f>HYPERLINK("https://cao.dolgi.msk.ru/account/1080247197/", 1080247197)</f>
        <v>1080247197</v>
      </c>
      <c r="D2249" t="s">
        <v>1953</v>
      </c>
      <c r="E2249">
        <v>-1356.34</v>
      </c>
      <c r="F2249">
        <v>-1.05</v>
      </c>
      <c r="G2249" t="s">
        <v>12</v>
      </c>
      <c r="I2249" t="s">
        <v>1428</v>
      </c>
    </row>
    <row r="2250" spans="1:9" hidden="1" x14ac:dyDescent="0.25">
      <c r="A2250" t="s">
        <v>1894</v>
      </c>
      <c r="B2250" t="s">
        <v>141</v>
      </c>
      <c r="C2250" s="2">
        <f>HYPERLINK("https://cao.dolgi.msk.ru/account/1083273104/", 1083273104)</f>
        <v>1083273104</v>
      </c>
      <c r="D2250" t="s">
        <v>1954</v>
      </c>
      <c r="E2250">
        <v>-4417.03</v>
      </c>
      <c r="F2250">
        <v>-1.03</v>
      </c>
      <c r="G2250" t="s">
        <v>12</v>
      </c>
      <c r="I2250" t="s">
        <v>1428</v>
      </c>
    </row>
    <row r="2251" spans="1:9" hidden="1" x14ac:dyDescent="0.25">
      <c r="A2251" t="s">
        <v>1894</v>
      </c>
      <c r="B2251" t="s">
        <v>143</v>
      </c>
      <c r="C2251" s="2">
        <f>HYPERLINK("https://cao.dolgi.msk.ru/account/1080247218/", 1080247218)</f>
        <v>1080247218</v>
      </c>
      <c r="D2251" t="s">
        <v>1955</v>
      </c>
      <c r="E2251">
        <v>-3183.91</v>
      </c>
      <c r="F2251">
        <v>-1.1200000000000001</v>
      </c>
      <c r="G2251" t="s">
        <v>12</v>
      </c>
      <c r="I2251" t="s">
        <v>1428</v>
      </c>
    </row>
    <row r="2252" spans="1:9" hidden="1" x14ac:dyDescent="0.25">
      <c r="A2252" t="s">
        <v>1956</v>
      </c>
      <c r="B2252" t="s">
        <v>10</v>
      </c>
      <c r="C2252" s="2">
        <f>HYPERLINK("https://cao.dolgi.msk.ru/account/1080280042/", 1080280042)</f>
        <v>1080280042</v>
      </c>
      <c r="D2252" t="s">
        <v>1957</v>
      </c>
      <c r="E2252">
        <v>-3968.65</v>
      </c>
      <c r="F2252">
        <v>-0.95</v>
      </c>
      <c r="G2252" t="s">
        <v>12</v>
      </c>
      <c r="I2252" t="s">
        <v>1050</v>
      </c>
    </row>
    <row r="2253" spans="1:9" hidden="1" x14ac:dyDescent="0.25">
      <c r="A2253" t="s">
        <v>1956</v>
      </c>
      <c r="B2253" t="s">
        <v>16</v>
      </c>
      <c r="C2253" s="2">
        <f>HYPERLINK("https://cao.dolgi.msk.ru/account/1080280069/", 1080280069)</f>
        <v>1080280069</v>
      </c>
      <c r="D2253" t="s">
        <v>1958</v>
      </c>
      <c r="E2253">
        <v>192.85</v>
      </c>
      <c r="F2253">
        <v>0.09</v>
      </c>
      <c r="G2253" t="s">
        <v>12</v>
      </c>
      <c r="H2253" t="s">
        <v>7</v>
      </c>
      <c r="I2253" t="s">
        <v>1050</v>
      </c>
    </row>
    <row r="2254" spans="1:9" hidden="1" x14ac:dyDescent="0.25">
      <c r="A2254" t="s">
        <v>1956</v>
      </c>
      <c r="B2254" t="s">
        <v>16</v>
      </c>
      <c r="C2254" s="2">
        <f>HYPERLINK("https://cao.dolgi.msk.ru/account/1080280077/", 1080280077)</f>
        <v>1080280077</v>
      </c>
      <c r="D2254" t="s">
        <v>1958</v>
      </c>
      <c r="E2254">
        <v>0</v>
      </c>
      <c r="F2254">
        <v>0</v>
      </c>
      <c r="G2254" t="s">
        <v>12</v>
      </c>
      <c r="H2254" t="s">
        <v>7</v>
      </c>
      <c r="I2254" t="s">
        <v>1050</v>
      </c>
    </row>
    <row r="2255" spans="1:9" hidden="1" x14ac:dyDescent="0.25">
      <c r="A2255" t="s">
        <v>1956</v>
      </c>
      <c r="B2255" t="s">
        <v>16</v>
      </c>
      <c r="C2255" s="2">
        <f>HYPERLINK("https://cao.dolgi.msk.ru/account/1080280085/", 1080280085)</f>
        <v>1080280085</v>
      </c>
      <c r="D2255" t="s">
        <v>1959</v>
      </c>
      <c r="E2255">
        <v>-1259.05</v>
      </c>
      <c r="F2255">
        <v>-1.03</v>
      </c>
      <c r="G2255" t="s">
        <v>12</v>
      </c>
      <c r="H2255" t="s">
        <v>7</v>
      </c>
      <c r="I2255" t="s">
        <v>1050</v>
      </c>
    </row>
    <row r="2256" spans="1:9" hidden="1" x14ac:dyDescent="0.25">
      <c r="A2256" t="s">
        <v>1956</v>
      </c>
      <c r="B2256" t="s">
        <v>18</v>
      </c>
      <c r="C2256" s="2">
        <f>HYPERLINK("https://cao.dolgi.msk.ru/account/1080280093/", 1080280093)</f>
        <v>1080280093</v>
      </c>
      <c r="D2256" t="s">
        <v>1960</v>
      </c>
      <c r="E2256">
        <v>-4469.8999999999996</v>
      </c>
      <c r="F2256">
        <v>-0.73</v>
      </c>
      <c r="G2256" t="s">
        <v>12</v>
      </c>
      <c r="I2256" t="s">
        <v>1050</v>
      </c>
    </row>
    <row r="2257" spans="1:9" hidden="1" x14ac:dyDescent="0.25">
      <c r="A2257" t="s">
        <v>1956</v>
      </c>
      <c r="B2257" t="s">
        <v>20</v>
      </c>
      <c r="C2257" s="2">
        <f>HYPERLINK("https://cao.dolgi.msk.ru/account/1080280106/", 1080280106)</f>
        <v>1080280106</v>
      </c>
      <c r="D2257" t="s">
        <v>1961</v>
      </c>
      <c r="E2257">
        <v>-6871.54</v>
      </c>
      <c r="F2257">
        <v>-0.95</v>
      </c>
      <c r="G2257" t="s">
        <v>12</v>
      </c>
      <c r="I2257" t="s">
        <v>1050</v>
      </c>
    </row>
    <row r="2258" spans="1:9" hidden="1" x14ac:dyDescent="0.25">
      <c r="A2258" t="s">
        <v>1956</v>
      </c>
      <c r="B2258" t="s">
        <v>21</v>
      </c>
      <c r="C2258" s="2">
        <f>HYPERLINK("https://cao.dolgi.msk.ru/account/1080280114/", 1080280114)</f>
        <v>1080280114</v>
      </c>
      <c r="D2258" t="s">
        <v>1962</v>
      </c>
      <c r="E2258">
        <v>468.63</v>
      </c>
      <c r="F2258">
        <v>0.22</v>
      </c>
      <c r="G2258" t="s">
        <v>12</v>
      </c>
      <c r="H2258" t="s">
        <v>7</v>
      </c>
      <c r="I2258" t="s">
        <v>1050</v>
      </c>
    </row>
    <row r="2259" spans="1:9" x14ac:dyDescent="0.25">
      <c r="A2259" t="s">
        <v>1956</v>
      </c>
      <c r="B2259" t="s">
        <v>21</v>
      </c>
      <c r="C2259" s="2">
        <f>HYPERLINK("https://cao.dolgi.msk.ru/account/1080280122/", 1080280122)</f>
        <v>1080280122</v>
      </c>
      <c r="D2259" t="s">
        <v>1962</v>
      </c>
      <c r="E2259">
        <v>21023.19</v>
      </c>
      <c r="F2259">
        <v>8.08</v>
      </c>
      <c r="G2259" t="s">
        <v>12</v>
      </c>
      <c r="H2259" t="s">
        <v>7</v>
      </c>
      <c r="I2259" t="s">
        <v>1050</v>
      </c>
    </row>
    <row r="2260" spans="1:9" x14ac:dyDescent="0.25">
      <c r="A2260" t="s">
        <v>1956</v>
      </c>
      <c r="B2260" t="s">
        <v>21</v>
      </c>
      <c r="C2260" s="2">
        <f>HYPERLINK("https://cao.dolgi.msk.ru/account/1080280149/", 1080280149)</f>
        <v>1080280149</v>
      </c>
      <c r="D2260" t="s">
        <v>1962</v>
      </c>
      <c r="E2260">
        <v>22186.84</v>
      </c>
      <c r="F2260">
        <v>5.22</v>
      </c>
      <c r="G2260" t="s">
        <v>12</v>
      </c>
      <c r="H2260" t="s">
        <v>7</v>
      </c>
      <c r="I2260" t="s">
        <v>1050</v>
      </c>
    </row>
    <row r="2261" spans="1:9" hidden="1" x14ac:dyDescent="0.25">
      <c r="A2261" t="s">
        <v>1956</v>
      </c>
      <c r="B2261" t="s">
        <v>22</v>
      </c>
      <c r="C2261" s="2">
        <f>HYPERLINK("https://cao.dolgi.msk.ru/account/1080280157/", 1080280157)</f>
        <v>1080280157</v>
      </c>
      <c r="D2261" t="s">
        <v>1963</v>
      </c>
      <c r="E2261">
        <v>-4212.5600000000004</v>
      </c>
      <c r="F2261">
        <v>-0.94</v>
      </c>
      <c r="G2261" t="s">
        <v>12</v>
      </c>
      <c r="H2261" t="s">
        <v>7</v>
      </c>
      <c r="I2261" t="s">
        <v>1050</v>
      </c>
    </row>
    <row r="2262" spans="1:9" hidden="1" x14ac:dyDescent="0.25">
      <c r="A2262" t="s">
        <v>1956</v>
      </c>
      <c r="B2262" t="s">
        <v>22</v>
      </c>
      <c r="C2262" s="2">
        <f>HYPERLINK("https://cao.dolgi.msk.ru/account/1080280165/", 1080280165)</f>
        <v>1080280165</v>
      </c>
      <c r="D2262" t="s">
        <v>1964</v>
      </c>
      <c r="E2262">
        <v>-3380.28</v>
      </c>
      <c r="F2262">
        <v>-0.95</v>
      </c>
      <c r="G2262" t="s">
        <v>12</v>
      </c>
      <c r="H2262" t="s">
        <v>7</v>
      </c>
      <c r="I2262" t="s">
        <v>1050</v>
      </c>
    </row>
    <row r="2263" spans="1:9" hidden="1" x14ac:dyDescent="0.25">
      <c r="A2263" t="s">
        <v>1956</v>
      </c>
      <c r="B2263" t="s">
        <v>23</v>
      </c>
      <c r="C2263" s="2">
        <f>HYPERLINK("https://cao.dolgi.msk.ru/account/1080280173/", 1080280173)</f>
        <v>1080280173</v>
      </c>
      <c r="D2263" t="s">
        <v>1965</v>
      </c>
      <c r="E2263">
        <v>-9171.18</v>
      </c>
      <c r="F2263">
        <v>-0.95</v>
      </c>
      <c r="G2263" t="s">
        <v>12</v>
      </c>
      <c r="I2263" t="s">
        <v>1050</v>
      </c>
    </row>
    <row r="2264" spans="1:9" hidden="1" x14ac:dyDescent="0.25">
      <c r="A2264" t="s">
        <v>1956</v>
      </c>
      <c r="B2264" t="s">
        <v>24</v>
      </c>
      <c r="C2264" s="2">
        <f>HYPERLINK("https://cao.dolgi.msk.ru/account/1080280181/", 1080280181)</f>
        <v>1080280181</v>
      </c>
      <c r="D2264" t="s">
        <v>1966</v>
      </c>
      <c r="E2264">
        <v>-6014.24</v>
      </c>
      <c r="F2264">
        <v>-0.91</v>
      </c>
      <c r="G2264" t="s">
        <v>12</v>
      </c>
      <c r="I2264" t="s">
        <v>1050</v>
      </c>
    </row>
    <row r="2265" spans="1:9" hidden="1" x14ac:dyDescent="0.25">
      <c r="A2265" t="s">
        <v>1956</v>
      </c>
      <c r="B2265" t="s">
        <v>27</v>
      </c>
      <c r="C2265" s="2">
        <f>HYPERLINK("https://cao.dolgi.msk.ru/account/1080284764/", 1080284764)</f>
        <v>1080284764</v>
      </c>
      <c r="D2265" t="s">
        <v>1967</v>
      </c>
      <c r="E2265">
        <v>51.72</v>
      </c>
      <c r="F2265">
        <v>0.01</v>
      </c>
      <c r="G2265" t="s">
        <v>12</v>
      </c>
      <c r="I2265" t="s">
        <v>1050</v>
      </c>
    </row>
    <row r="2266" spans="1:9" hidden="1" x14ac:dyDescent="0.25">
      <c r="A2266" t="s">
        <v>1956</v>
      </c>
      <c r="B2266" t="s">
        <v>29</v>
      </c>
      <c r="C2266" s="2">
        <f>HYPERLINK("https://cao.dolgi.msk.ru/account/1080280245/", 1080280245)</f>
        <v>1080280245</v>
      </c>
      <c r="D2266" t="s">
        <v>1968</v>
      </c>
      <c r="E2266">
        <v>103.45</v>
      </c>
      <c r="F2266">
        <v>0.01</v>
      </c>
      <c r="G2266" t="s">
        <v>12</v>
      </c>
      <c r="H2266" t="s">
        <v>7</v>
      </c>
      <c r="I2266" t="s">
        <v>1050</v>
      </c>
    </row>
    <row r="2267" spans="1:9" hidden="1" x14ac:dyDescent="0.25">
      <c r="A2267" t="s">
        <v>1956</v>
      </c>
      <c r="B2267" t="s">
        <v>29</v>
      </c>
      <c r="C2267" s="2">
        <f>HYPERLINK("https://cao.dolgi.msk.ru/account/1080280253/", 1080280253)</f>
        <v>1080280253</v>
      </c>
      <c r="D2267" t="s">
        <v>1968</v>
      </c>
      <c r="E2267">
        <v>-3890.63</v>
      </c>
      <c r="F2267">
        <v>-1.02</v>
      </c>
      <c r="G2267" t="s">
        <v>12</v>
      </c>
      <c r="H2267" t="s">
        <v>7</v>
      </c>
      <c r="I2267" t="s">
        <v>1050</v>
      </c>
    </row>
    <row r="2268" spans="1:9" hidden="1" x14ac:dyDescent="0.25">
      <c r="A2268" t="s">
        <v>1956</v>
      </c>
      <c r="B2268" t="s">
        <v>29</v>
      </c>
      <c r="C2268" s="2">
        <f>HYPERLINK("https://cao.dolgi.msk.ru/account/1080280261/", 1080280261)</f>
        <v>1080280261</v>
      </c>
      <c r="D2268" t="s">
        <v>1969</v>
      </c>
      <c r="E2268">
        <v>4357.6000000000004</v>
      </c>
      <c r="F2268">
        <v>0.7</v>
      </c>
      <c r="G2268" t="s">
        <v>12</v>
      </c>
      <c r="H2268" t="s">
        <v>7</v>
      </c>
      <c r="I2268" t="s">
        <v>1050</v>
      </c>
    </row>
    <row r="2269" spans="1:9" hidden="1" x14ac:dyDescent="0.25">
      <c r="A2269" t="s">
        <v>1956</v>
      </c>
      <c r="B2269" t="s">
        <v>31</v>
      </c>
      <c r="C2269" s="2">
        <f>HYPERLINK("https://cao.dolgi.msk.ru/account/1080280288/", 1080280288)</f>
        <v>1080280288</v>
      </c>
      <c r="D2269" t="s">
        <v>1970</v>
      </c>
      <c r="E2269">
        <v>-4530.45</v>
      </c>
      <c r="F2269">
        <v>-0.92</v>
      </c>
      <c r="G2269" t="s">
        <v>12</v>
      </c>
      <c r="I2269" t="s">
        <v>1050</v>
      </c>
    </row>
    <row r="2270" spans="1:9" hidden="1" x14ac:dyDescent="0.25">
      <c r="A2270" t="s">
        <v>1956</v>
      </c>
      <c r="B2270" t="s">
        <v>33</v>
      </c>
      <c r="C2270" s="2">
        <f>HYPERLINK("https://cao.dolgi.msk.ru/account/1080280296/", 1080280296)</f>
        <v>1080280296</v>
      </c>
      <c r="D2270" t="s">
        <v>1971</v>
      </c>
      <c r="E2270">
        <v>-4390.49</v>
      </c>
      <c r="F2270">
        <v>-0.91</v>
      </c>
      <c r="G2270" t="s">
        <v>12</v>
      </c>
      <c r="I2270" t="s">
        <v>1050</v>
      </c>
    </row>
    <row r="2271" spans="1:9" hidden="1" x14ac:dyDescent="0.25">
      <c r="A2271" t="s">
        <v>1956</v>
      </c>
      <c r="B2271" t="s">
        <v>34</v>
      </c>
      <c r="C2271" s="2">
        <f>HYPERLINK("https://cao.dolgi.msk.ru/account/1080280309/", 1080280309)</f>
        <v>1080280309</v>
      </c>
      <c r="D2271" t="s">
        <v>1972</v>
      </c>
      <c r="E2271">
        <v>5.03</v>
      </c>
      <c r="F2271">
        <v>0</v>
      </c>
      <c r="G2271" t="s">
        <v>12</v>
      </c>
      <c r="H2271" t="s">
        <v>7</v>
      </c>
      <c r="I2271" t="s">
        <v>1050</v>
      </c>
    </row>
    <row r="2272" spans="1:9" hidden="1" x14ac:dyDescent="0.25">
      <c r="A2272" t="s">
        <v>1956</v>
      </c>
      <c r="B2272" t="s">
        <v>34</v>
      </c>
      <c r="C2272" s="2">
        <f>HYPERLINK("https://cao.dolgi.msk.ru/account/1080280317/", 1080280317)</f>
        <v>1080280317</v>
      </c>
      <c r="D2272" t="s">
        <v>1973</v>
      </c>
      <c r="E2272">
        <v>-7.27</v>
      </c>
      <c r="F2272">
        <v>0</v>
      </c>
      <c r="G2272" t="s">
        <v>12</v>
      </c>
      <c r="H2272" t="s">
        <v>7</v>
      </c>
      <c r="I2272" t="s">
        <v>1050</v>
      </c>
    </row>
    <row r="2273" spans="1:9" hidden="1" x14ac:dyDescent="0.25">
      <c r="A2273" t="s">
        <v>1956</v>
      </c>
      <c r="B2273" t="s">
        <v>34</v>
      </c>
      <c r="C2273" s="2">
        <f>HYPERLINK("https://cao.dolgi.msk.ru/account/1080280325/", 1080280325)</f>
        <v>1080280325</v>
      </c>
      <c r="D2273" t="s">
        <v>1973</v>
      </c>
      <c r="E2273">
        <v>-1246.06</v>
      </c>
      <c r="G2273" t="s">
        <v>12</v>
      </c>
      <c r="H2273" t="s">
        <v>7</v>
      </c>
      <c r="I2273" t="s">
        <v>1050</v>
      </c>
    </row>
    <row r="2274" spans="1:9" hidden="1" x14ac:dyDescent="0.25">
      <c r="A2274" t="s">
        <v>1956</v>
      </c>
      <c r="B2274" t="s">
        <v>36</v>
      </c>
      <c r="C2274" s="2">
        <f>HYPERLINK("https://cao.dolgi.msk.ru/account/1080280333/", 1080280333)</f>
        <v>1080280333</v>
      </c>
      <c r="D2274" t="s">
        <v>1974</v>
      </c>
      <c r="E2274">
        <v>42.82</v>
      </c>
      <c r="F2274">
        <v>0.01</v>
      </c>
      <c r="G2274" t="s">
        <v>12</v>
      </c>
      <c r="H2274" t="s">
        <v>7</v>
      </c>
      <c r="I2274" t="s">
        <v>1050</v>
      </c>
    </row>
    <row r="2275" spans="1:9" hidden="1" x14ac:dyDescent="0.25">
      <c r="A2275" t="s">
        <v>1956</v>
      </c>
      <c r="B2275" t="s">
        <v>36</v>
      </c>
      <c r="C2275" s="2">
        <f>HYPERLINK("https://cao.dolgi.msk.ru/account/1080280691/", 1080280691)</f>
        <v>1080280691</v>
      </c>
      <c r="D2275" t="s">
        <v>1975</v>
      </c>
      <c r="E2275">
        <v>-5790.05</v>
      </c>
      <c r="F2275">
        <v>-1.46</v>
      </c>
      <c r="G2275" t="s">
        <v>12</v>
      </c>
      <c r="H2275" t="s">
        <v>7</v>
      </c>
      <c r="I2275" t="s">
        <v>1050</v>
      </c>
    </row>
    <row r="2276" spans="1:9" hidden="1" x14ac:dyDescent="0.25">
      <c r="A2276" t="s">
        <v>1956</v>
      </c>
      <c r="B2276" t="s">
        <v>38</v>
      </c>
      <c r="C2276" s="2">
        <f>HYPERLINK("https://cao.dolgi.msk.ru/account/1080280341/", 1080280341)</f>
        <v>1080280341</v>
      </c>
      <c r="D2276" t="s">
        <v>1976</v>
      </c>
      <c r="E2276">
        <v>-3835.33</v>
      </c>
      <c r="F2276">
        <v>-0.93</v>
      </c>
      <c r="G2276" t="s">
        <v>12</v>
      </c>
      <c r="I2276" t="s">
        <v>1050</v>
      </c>
    </row>
    <row r="2277" spans="1:9" hidden="1" x14ac:dyDescent="0.25">
      <c r="A2277" t="s">
        <v>1956</v>
      </c>
      <c r="B2277" t="s">
        <v>39</v>
      </c>
      <c r="C2277" s="2">
        <f>HYPERLINK("https://cao.dolgi.msk.ru/account/1080280368/", 1080280368)</f>
        <v>1080280368</v>
      </c>
      <c r="D2277" t="s">
        <v>1977</v>
      </c>
      <c r="E2277">
        <v>25.59</v>
      </c>
      <c r="F2277">
        <v>0.01</v>
      </c>
      <c r="G2277" t="s">
        <v>12</v>
      </c>
      <c r="H2277" t="s">
        <v>7</v>
      </c>
      <c r="I2277" t="s">
        <v>1050</v>
      </c>
    </row>
    <row r="2278" spans="1:9" hidden="1" x14ac:dyDescent="0.25">
      <c r="A2278" t="s">
        <v>1956</v>
      </c>
      <c r="B2278" t="s">
        <v>39</v>
      </c>
      <c r="C2278" s="2">
        <f>HYPERLINK("https://cao.dolgi.msk.ru/account/1080280376/", 1080280376)</f>
        <v>1080280376</v>
      </c>
      <c r="D2278" t="s">
        <v>1978</v>
      </c>
      <c r="E2278">
        <v>-2255.79</v>
      </c>
      <c r="F2278">
        <v>-0.94</v>
      </c>
      <c r="G2278" t="s">
        <v>12</v>
      </c>
      <c r="H2278" t="s">
        <v>7</v>
      </c>
      <c r="I2278" t="s">
        <v>1050</v>
      </c>
    </row>
    <row r="2279" spans="1:9" hidden="1" x14ac:dyDescent="0.25">
      <c r="A2279" t="s">
        <v>1956</v>
      </c>
      <c r="B2279" t="s">
        <v>39</v>
      </c>
      <c r="C2279" s="2">
        <f>HYPERLINK("https://cao.dolgi.msk.ru/account/1089129648/", 1089129648)</f>
        <v>1089129648</v>
      </c>
      <c r="D2279" t="s">
        <v>1979</v>
      </c>
      <c r="E2279">
        <v>-537.49</v>
      </c>
      <c r="F2279">
        <v>-0.86</v>
      </c>
      <c r="G2279" t="s">
        <v>12</v>
      </c>
      <c r="H2279" t="s">
        <v>7</v>
      </c>
      <c r="I2279" t="s">
        <v>1050</v>
      </c>
    </row>
    <row r="2280" spans="1:9" hidden="1" x14ac:dyDescent="0.25">
      <c r="A2280" t="s">
        <v>1956</v>
      </c>
      <c r="B2280" t="s">
        <v>40</v>
      </c>
      <c r="C2280" s="2">
        <f>HYPERLINK("https://cao.dolgi.msk.ru/account/1080280384/", 1080280384)</f>
        <v>1080280384</v>
      </c>
      <c r="D2280" t="s">
        <v>1980</v>
      </c>
      <c r="E2280">
        <v>-434.63</v>
      </c>
      <c r="F2280">
        <v>-0.11</v>
      </c>
      <c r="G2280" t="s">
        <v>12</v>
      </c>
      <c r="H2280" t="s">
        <v>7</v>
      </c>
      <c r="I2280" t="s">
        <v>1050</v>
      </c>
    </row>
    <row r="2281" spans="1:9" hidden="1" x14ac:dyDescent="0.25">
      <c r="A2281" t="s">
        <v>1956</v>
      </c>
      <c r="B2281" t="s">
        <v>40</v>
      </c>
      <c r="C2281" s="2">
        <f>HYPERLINK("https://cao.dolgi.msk.ru/account/1080280536/", 1080280536)</f>
        <v>1080280536</v>
      </c>
      <c r="D2281" t="s">
        <v>1980</v>
      </c>
      <c r="E2281">
        <v>-2308.19</v>
      </c>
      <c r="F2281">
        <v>-1.1499999999999999</v>
      </c>
      <c r="G2281" t="s">
        <v>12</v>
      </c>
      <c r="H2281" t="s">
        <v>7</v>
      </c>
      <c r="I2281" t="s">
        <v>1050</v>
      </c>
    </row>
    <row r="2282" spans="1:9" hidden="1" x14ac:dyDescent="0.25">
      <c r="A2282" t="s">
        <v>1956</v>
      </c>
      <c r="B2282" t="s">
        <v>41</v>
      </c>
      <c r="C2282" s="2">
        <f>HYPERLINK("https://cao.dolgi.msk.ru/account/1080280392/", 1080280392)</f>
        <v>1080280392</v>
      </c>
      <c r="D2282" t="s">
        <v>189</v>
      </c>
      <c r="E2282">
        <v>-538.36</v>
      </c>
      <c r="F2282">
        <v>-0.23</v>
      </c>
      <c r="G2282" t="s">
        <v>12</v>
      </c>
      <c r="H2282" t="s">
        <v>7</v>
      </c>
      <c r="I2282" t="s">
        <v>1050</v>
      </c>
    </row>
    <row r="2283" spans="1:9" hidden="1" x14ac:dyDescent="0.25">
      <c r="A2283" t="s">
        <v>1956</v>
      </c>
      <c r="B2283" t="s">
        <v>41</v>
      </c>
      <c r="C2283" s="2">
        <f>HYPERLINK("https://cao.dolgi.msk.ru/account/1080280405/", 1080280405)</f>
        <v>1080280405</v>
      </c>
      <c r="D2283" t="s">
        <v>15</v>
      </c>
      <c r="E2283">
        <v>-180.96</v>
      </c>
      <c r="F2283">
        <v>-0.13</v>
      </c>
      <c r="G2283" t="s">
        <v>12</v>
      </c>
      <c r="H2283" t="s">
        <v>7</v>
      </c>
      <c r="I2283" t="s">
        <v>1050</v>
      </c>
    </row>
    <row r="2284" spans="1:9" hidden="1" x14ac:dyDescent="0.25">
      <c r="A2284" t="s">
        <v>1956</v>
      </c>
      <c r="B2284" t="s">
        <v>41</v>
      </c>
      <c r="C2284" s="2">
        <f>HYPERLINK("https://cao.dolgi.msk.ru/account/1083391071/", 1083391071)</f>
        <v>1083391071</v>
      </c>
      <c r="D2284" t="s">
        <v>189</v>
      </c>
      <c r="E2284">
        <v>-1902.68</v>
      </c>
      <c r="F2284">
        <v>-0.93</v>
      </c>
      <c r="G2284" t="s">
        <v>12</v>
      </c>
      <c r="H2284" t="s">
        <v>7</v>
      </c>
      <c r="I2284" t="s">
        <v>1050</v>
      </c>
    </row>
    <row r="2285" spans="1:9" hidden="1" x14ac:dyDescent="0.25">
      <c r="A2285" t="s">
        <v>1956</v>
      </c>
      <c r="B2285" t="s">
        <v>42</v>
      </c>
      <c r="C2285" s="2">
        <f>HYPERLINK("https://cao.dolgi.msk.ru/account/1080280421/", 1080280421)</f>
        <v>1080280421</v>
      </c>
      <c r="D2285" t="s">
        <v>1981</v>
      </c>
      <c r="E2285">
        <v>-5274.6</v>
      </c>
      <c r="F2285">
        <v>-0.95</v>
      </c>
      <c r="G2285" t="s">
        <v>12</v>
      </c>
      <c r="I2285" t="s">
        <v>1050</v>
      </c>
    </row>
    <row r="2286" spans="1:9" hidden="1" x14ac:dyDescent="0.25">
      <c r="A2286" t="s">
        <v>1956</v>
      </c>
      <c r="B2286" t="s">
        <v>44</v>
      </c>
      <c r="C2286" s="2">
        <f>HYPERLINK("https://cao.dolgi.msk.ru/account/1080280448/", 1080280448)</f>
        <v>1080280448</v>
      </c>
      <c r="D2286" t="s">
        <v>1982</v>
      </c>
      <c r="E2286">
        <v>5876.78</v>
      </c>
      <c r="F2286">
        <v>0.98</v>
      </c>
      <c r="G2286" t="s">
        <v>12</v>
      </c>
      <c r="I2286" t="s">
        <v>1050</v>
      </c>
    </row>
    <row r="2287" spans="1:9" hidden="1" x14ac:dyDescent="0.25">
      <c r="A2287" t="s">
        <v>1956</v>
      </c>
      <c r="B2287" t="s">
        <v>66</v>
      </c>
      <c r="C2287" s="2">
        <f>HYPERLINK("https://cao.dolgi.msk.ru/account/1080280456/", 1080280456)</f>
        <v>1080280456</v>
      </c>
      <c r="D2287" t="s">
        <v>1983</v>
      </c>
      <c r="E2287">
        <v>1749.47</v>
      </c>
      <c r="F2287">
        <v>0.49</v>
      </c>
      <c r="G2287" t="s">
        <v>12</v>
      </c>
      <c r="I2287" t="s">
        <v>1050</v>
      </c>
    </row>
    <row r="2288" spans="1:9" hidden="1" x14ac:dyDescent="0.25">
      <c r="A2288" t="s">
        <v>1956</v>
      </c>
      <c r="B2288" t="s">
        <v>68</v>
      </c>
      <c r="C2288" s="2">
        <f>HYPERLINK("https://cao.dolgi.msk.ru/account/1080280464/", 1080280464)</f>
        <v>1080280464</v>
      </c>
      <c r="D2288" t="s">
        <v>1984</v>
      </c>
      <c r="E2288">
        <v>-2208.81</v>
      </c>
      <c r="F2288">
        <v>-0.96</v>
      </c>
      <c r="G2288" t="s">
        <v>12</v>
      </c>
      <c r="H2288" t="s">
        <v>7</v>
      </c>
      <c r="I2288" t="s">
        <v>1050</v>
      </c>
    </row>
    <row r="2289" spans="1:9" hidden="1" x14ac:dyDescent="0.25">
      <c r="A2289" t="s">
        <v>1956</v>
      </c>
      <c r="B2289" t="s">
        <v>68</v>
      </c>
      <c r="C2289" s="2">
        <f>HYPERLINK("https://cao.dolgi.msk.ru/account/1080280472/", 1080280472)</f>
        <v>1080280472</v>
      </c>
      <c r="D2289" t="s">
        <v>1984</v>
      </c>
      <c r="E2289">
        <v>-2031.42</v>
      </c>
      <c r="F2289">
        <v>-0.84</v>
      </c>
      <c r="G2289" t="s">
        <v>12</v>
      </c>
      <c r="H2289" t="s">
        <v>7</v>
      </c>
      <c r="I2289" t="s">
        <v>1050</v>
      </c>
    </row>
    <row r="2290" spans="1:9" hidden="1" x14ac:dyDescent="0.25">
      <c r="A2290" t="s">
        <v>1956</v>
      </c>
      <c r="B2290" t="s">
        <v>68</v>
      </c>
      <c r="C2290" s="2">
        <f>HYPERLINK("https://cao.dolgi.msk.ru/account/1080283382/", 1080283382)</f>
        <v>1080283382</v>
      </c>
      <c r="D2290" t="s">
        <v>1984</v>
      </c>
      <c r="E2290">
        <v>-1750.18</v>
      </c>
      <c r="F2290">
        <v>-0.97</v>
      </c>
      <c r="G2290" t="s">
        <v>12</v>
      </c>
      <c r="H2290" t="s">
        <v>7</v>
      </c>
      <c r="I2290" t="s">
        <v>1050</v>
      </c>
    </row>
    <row r="2291" spans="1:9" hidden="1" x14ac:dyDescent="0.25">
      <c r="A2291" t="s">
        <v>1956</v>
      </c>
      <c r="B2291" t="s">
        <v>70</v>
      </c>
      <c r="C2291" s="2">
        <f>HYPERLINK("https://cao.dolgi.msk.ru/account/1080280499/", 1080280499)</f>
        <v>1080280499</v>
      </c>
      <c r="D2291" t="s">
        <v>1985</v>
      </c>
      <c r="E2291">
        <v>-4998.03</v>
      </c>
      <c r="F2291">
        <v>-0.92</v>
      </c>
      <c r="G2291" t="s">
        <v>12</v>
      </c>
      <c r="I2291" t="s">
        <v>1050</v>
      </c>
    </row>
    <row r="2292" spans="1:9" hidden="1" x14ac:dyDescent="0.25">
      <c r="A2292" t="s">
        <v>1956</v>
      </c>
      <c r="B2292" t="s">
        <v>72</v>
      </c>
      <c r="C2292" s="2">
        <f>HYPERLINK("https://cao.dolgi.msk.ru/account/1080280528/", 1080280528)</f>
        <v>1080280528</v>
      </c>
      <c r="D2292" t="s">
        <v>1986</v>
      </c>
      <c r="E2292">
        <v>-3727.09</v>
      </c>
      <c r="F2292">
        <v>-0.56999999999999995</v>
      </c>
      <c r="G2292" t="s">
        <v>12</v>
      </c>
      <c r="I2292" t="s">
        <v>1050</v>
      </c>
    </row>
    <row r="2293" spans="1:9" hidden="1" x14ac:dyDescent="0.25">
      <c r="A2293" t="s">
        <v>1956</v>
      </c>
      <c r="B2293" t="s">
        <v>74</v>
      </c>
      <c r="C2293" s="2">
        <f>HYPERLINK("https://cao.dolgi.msk.ru/account/1080280552/", 1080280552)</f>
        <v>1080280552</v>
      </c>
      <c r="D2293" t="s">
        <v>1987</v>
      </c>
      <c r="E2293">
        <v>-5007.62</v>
      </c>
      <c r="F2293">
        <v>-0.93</v>
      </c>
      <c r="G2293" t="s">
        <v>12</v>
      </c>
      <c r="I2293" t="s">
        <v>1050</v>
      </c>
    </row>
    <row r="2294" spans="1:9" x14ac:dyDescent="0.25">
      <c r="A2294" t="s">
        <v>1956</v>
      </c>
      <c r="B2294" t="s">
        <v>76</v>
      </c>
      <c r="C2294" s="2">
        <f>HYPERLINK("https://cao.dolgi.msk.ru/account/1080280579/", 1080280579)</f>
        <v>1080280579</v>
      </c>
      <c r="D2294" t="s">
        <v>1988</v>
      </c>
      <c r="E2294">
        <v>6244.67</v>
      </c>
      <c r="F2294">
        <v>1.41</v>
      </c>
      <c r="G2294" t="s">
        <v>12</v>
      </c>
      <c r="H2294" t="s">
        <v>7</v>
      </c>
      <c r="I2294" t="s">
        <v>1050</v>
      </c>
    </row>
    <row r="2295" spans="1:9" hidden="1" x14ac:dyDescent="0.25">
      <c r="A2295" t="s">
        <v>1956</v>
      </c>
      <c r="B2295" t="s">
        <v>76</v>
      </c>
      <c r="C2295" s="2">
        <f>HYPERLINK("https://cao.dolgi.msk.ru/account/1080280587/", 1080280587)</f>
        <v>1080280587</v>
      </c>
      <c r="D2295" t="s">
        <v>1989</v>
      </c>
      <c r="E2295">
        <v>-2768.68</v>
      </c>
      <c r="F2295">
        <v>-0.96</v>
      </c>
      <c r="G2295" t="s">
        <v>12</v>
      </c>
      <c r="H2295" t="s">
        <v>7</v>
      </c>
      <c r="I2295" t="s">
        <v>1050</v>
      </c>
    </row>
    <row r="2296" spans="1:9" hidden="1" x14ac:dyDescent="0.25">
      <c r="A2296" t="s">
        <v>1956</v>
      </c>
      <c r="B2296" t="s">
        <v>76</v>
      </c>
      <c r="C2296" s="2">
        <f>HYPERLINK("https://cao.dolgi.msk.ru/account/1080320737/", 1080320737)</f>
        <v>1080320737</v>
      </c>
      <c r="D2296" t="s">
        <v>1990</v>
      </c>
      <c r="E2296">
        <v>-2531.52</v>
      </c>
      <c r="F2296">
        <v>-0.94</v>
      </c>
      <c r="G2296" t="s">
        <v>12</v>
      </c>
      <c r="H2296" t="s">
        <v>7</v>
      </c>
      <c r="I2296" t="s">
        <v>1050</v>
      </c>
    </row>
    <row r="2297" spans="1:9" x14ac:dyDescent="0.25">
      <c r="A2297" t="s">
        <v>1956</v>
      </c>
      <c r="B2297" t="s">
        <v>76</v>
      </c>
      <c r="C2297" s="2">
        <f>HYPERLINK("https://cao.dolgi.msk.ru/account/1089123393/", 1089123393)</f>
        <v>1089123393</v>
      </c>
      <c r="D2297" t="s">
        <v>1991</v>
      </c>
      <c r="E2297">
        <v>23134.09</v>
      </c>
      <c r="F2297">
        <v>47.2</v>
      </c>
      <c r="G2297" t="s">
        <v>12</v>
      </c>
      <c r="H2297" t="s">
        <v>7</v>
      </c>
      <c r="I2297" t="s">
        <v>1050</v>
      </c>
    </row>
    <row r="2298" spans="1:9" hidden="1" x14ac:dyDescent="0.25">
      <c r="A2298" t="s">
        <v>1956</v>
      </c>
      <c r="B2298" t="s">
        <v>76</v>
      </c>
      <c r="C2298" s="2">
        <f>HYPERLINK("https://cao.dolgi.msk.ru/account/1089123406/", 1089123406)</f>
        <v>1089123406</v>
      </c>
      <c r="D2298" t="s">
        <v>1990</v>
      </c>
      <c r="E2298">
        <v>0</v>
      </c>
      <c r="F2298">
        <v>0</v>
      </c>
      <c r="G2298" t="s">
        <v>12</v>
      </c>
      <c r="H2298" t="s">
        <v>7</v>
      </c>
      <c r="I2298" t="s">
        <v>1050</v>
      </c>
    </row>
    <row r="2299" spans="1:9" hidden="1" x14ac:dyDescent="0.25">
      <c r="A2299" t="s">
        <v>1956</v>
      </c>
      <c r="B2299" t="s">
        <v>76</v>
      </c>
      <c r="C2299" s="2">
        <f>HYPERLINK("https://cao.dolgi.msk.ru/account/1089123422/", 1089123422)</f>
        <v>1089123422</v>
      </c>
      <c r="D2299" t="s">
        <v>1990</v>
      </c>
      <c r="E2299">
        <v>-489.4</v>
      </c>
      <c r="F2299">
        <v>-1</v>
      </c>
      <c r="G2299" t="s">
        <v>12</v>
      </c>
      <c r="H2299" t="s">
        <v>7</v>
      </c>
      <c r="I2299" t="s">
        <v>1050</v>
      </c>
    </row>
    <row r="2300" spans="1:9" hidden="1" x14ac:dyDescent="0.25">
      <c r="A2300" t="s">
        <v>1956</v>
      </c>
      <c r="B2300" t="s">
        <v>76</v>
      </c>
      <c r="C2300" s="2">
        <f>HYPERLINK("https://cao.dolgi.msk.ru/account/1089123449/", 1089123449)</f>
        <v>1089123449</v>
      </c>
      <c r="D2300" t="s">
        <v>15</v>
      </c>
      <c r="E2300">
        <v>0</v>
      </c>
      <c r="F2300">
        <v>0</v>
      </c>
      <c r="G2300" t="s">
        <v>14</v>
      </c>
      <c r="I2300" t="s">
        <v>1050</v>
      </c>
    </row>
    <row r="2301" spans="1:9" hidden="1" x14ac:dyDescent="0.25">
      <c r="A2301" t="s">
        <v>1956</v>
      </c>
      <c r="B2301" t="s">
        <v>76</v>
      </c>
      <c r="C2301" s="2">
        <f>HYPERLINK("https://cao.dolgi.msk.ru/account/1089123457/", 1089123457)</f>
        <v>1089123457</v>
      </c>
      <c r="D2301" t="s">
        <v>15</v>
      </c>
      <c r="E2301">
        <v>0</v>
      </c>
      <c r="F2301">
        <v>0</v>
      </c>
      <c r="G2301" t="s">
        <v>14</v>
      </c>
      <c r="I2301" t="s">
        <v>1050</v>
      </c>
    </row>
    <row r="2302" spans="1:9" hidden="1" x14ac:dyDescent="0.25">
      <c r="A2302" t="s">
        <v>1956</v>
      </c>
      <c r="B2302" t="s">
        <v>78</v>
      </c>
      <c r="C2302" s="2">
        <f>HYPERLINK("https://cao.dolgi.msk.ru/account/1080280595/", 1080280595)</f>
        <v>1080280595</v>
      </c>
      <c r="D2302" t="s">
        <v>1992</v>
      </c>
      <c r="E2302">
        <v>47.44</v>
      </c>
      <c r="F2302">
        <v>0.01</v>
      </c>
      <c r="G2302" t="s">
        <v>12</v>
      </c>
      <c r="I2302" t="s">
        <v>1050</v>
      </c>
    </row>
    <row r="2303" spans="1:9" hidden="1" x14ac:dyDescent="0.25">
      <c r="A2303" t="s">
        <v>1956</v>
      </c>
      <c r="B2303" t="s">
        <v>80</v>
      </c>
      <c r="C2303" s="2">
        <f>HYPERLINK("https://cao.dolgi.msk.ru/account/1080280608/", 1080280608)</f>
        <v>1080280608</v>
      </c>
      <c r="D2303" t="s">
        <v>1993</v>
      </c>
      <c r="E2303">
        <v>147.47</v>
      </c>
      <c r="F2303">
        <v>0.03</v>
      </c>
      <c r="G2303" t="s">
        <v>12</v>
      </c>
      <c r="H2303" t="s">
        <v>7</v>
      </c>
      <c r="I2303" t="s">
        <v>1050</v>
      </c>
    </row>
    <row r="2304" spans="1:9" hidden="1" x14ac:dyDescent="0.25">
      <c r="A2304" t="s">
        <v>1956</v>
      </c>
      <c r="B2304" t="s">
        <v>80</v>
      </c>
      <c r="C2304" s="2">
        <f>HYPERLINK("https://cao.dolgi.msk.ru/account/1080280624/", 1080280624)</f>
        <v>1080280624</v>
      </c>
      <c r="D2304" t="s">
        <v>1993</v>
      </c>
      <c r="E2304">
        <v>-1009.33</v>
      </c>
      <c r="F2304">
        <v>-0.94</v>
      </c>
      <c r="G2304" t="s">
        <v>12</v>
      </c>
      <c r="H2304" t="s">
        <v>7</v>
      </c>
      <c r="I2304" t="s">
        <v>1050</v>
      </c>
    </row>
    <row r="2305" spans="1:9" hidden="1" x14ac:dyDescent="0.25">
      <c r="A2305" t="s">
        <v>1956</v>
      </c>
      <c r="B2305" t="s">
        <v>82</v>
      </c>
      <c r="C2305" s="2">
        <f>HYPERLINK("https://cao.dolgi.msk.ru/account/1080280632/", 1080280632)</f>
        <v>1080280632</v>
      </c>
      <c r="D2305" t="s">
        <v>1994</v>
      </c>
      <c r="E2305">
        <v>-5586.65</v>
      </c>
      <c r="F2305">
        <v>-0.93</v>
      </c>
      <c r="G2305" t="s">
        <v>12</v>
      </c>
      <c r="H2305" t="s">
        <v>7</v>
      </c>
      <c r="I2305" t="s">
        <v>1050</v>
      </c>
    </row>
    <row r="2306" spans="1:9" hidden="1" x14ac:dyDescent="0.25">
      <c r="A2306" t="s">
        <v>1956</v>
      </c>
      <c r="B2306" t="s">
        <v>82</v>
      </c>
      <c r="C2306" s="2">
        <f>HYPERLINK("https://cao.dolgi.msk.ru/account/1080280659/", 1080280659)</f>
        <v>1080280659</v>
      </c>
      <c r="D2306" t="s">
        <v>1994</v>
      </c>
      <c r="E2306">
        <v>-68.95</v>
      </c>
      <c r="G2306" t="s">
        <v>14</v>
      </c>
      <c r="H2306" t="s">
        <v>7</v>
      </c>
      <c r="I2306" t="s">
        <v>1050</v>
      </c>
    </row>
    <row r="2307" spans="1:9" hidden="1" x14ac:dyDescent="0.25">
      <c r="A2307" t="s">
        <v>1956</v>
      </c>
      <c r="B2307" t="s">
        <v>84</v>
      </c>
      <c r="C2307" s="2">
        <f>HYPERLINK("https://cao.dolgi.msk.ru/account/1080280683/", 1080280683)</f>
        <v>1080280683</v>
      </c>
      <c r="D2307" t="s">
        <v>1995</v>
      </c>
      <c r="E2307">
        <v>270.89999999999998</v>
      </c>
      <c r="F2307">
        <v>0.12</v>
      </c>
      <c r="G2307" t="s">
        <v>12</v>
      </c>
      <c r="H2307" t="s">
        <v>7</v>
      </c>
      <c r="I2307" t="s">
        <v>1050</v>
      </c>
    </row>
    <row r="2308" spans="1:9" hidden="1" x14ac:dyDescent="0.25">
      <c r="A2308" t="s">
        <v>1956</v>
      </c>
      <c r="B2308" t="s">
        <v>84</v>
      </c>
      <c r="C2308" s="2">
        <f>HYPERLINK("https://cao.dolgi.msk.ru/account/1080320745/", 1080320745)</f>
        <v>1080320745</v>
      </c>
      <c r="D2308" t="s">
        <v>1996</v>
      </c>
      <c r="E2308">
        <v>-5896.33</v>
      </c>
      <c r="F2308">
        <v>-0.87</v>
      </c>
      <c r="G2308" t="s">
        <v>12</v>
      </c>
      <c r="H2308" t="s">
        <v>7</v>
      </c>
      <c r="I2308" t="s">
        <v>1050</v>
      </c>
    </row>
    <row r="2309" spans="1:9" hidden="1" x14ac:dyDescent="0.25">
      <c r="A2309" t="s">
        <v>1997</v>
      </c>
      <c r="B2309" t="s">
        <v>10</v>
      </c>
      <c r="C2309" s="2">
        <f>HYPERLINK("https://cao.dolgi.msk.ru/account/1080280712/", 1080280712)</f>
        <v>1080280712</v>
      </c>
      <c r="D2309" t="s">
        <v>1998</v>
      </c>
      <c r="E2309">
        <v>-4659.88</v>
      </c>
      <c r="F2309">
        <v>-1.05</v>
      </c>
      <c r="G2309" t="s">
        <v>12</v>
      </c>
      <c r="I2309" t="s">
        <v>1050</v>
      </c>
    </row>
    <row r="2310" spans="1:9" hidden="1" x14ac:dyDescent="0.25">
      <c r="A2310" t="s">
        <v>1997</v>
      </c>
      <c r="B2310" t="s">
        <v>16</v>
      </c>
      <c r="C2310" s="2">
        <f>HYPERLINK("https://cao.dolgi.msk.ru/account/1080280739/", 1080280739)</f>
        <v>1080280739</v>
      </c>
      <c r="D2310" t="s">
        <v>1999</v>
      </c>
      <c r="E2310">
        <v>-3683.94</v>
      </c>
      <c r="F2310">
        <v>-0.96</v>
      </c>
      <c r="G2310" t="s">
        <v>12</v>
      </c>
      <c r="H2310" t="s">
        <v>7</v>
      </c>
      <c r="I2310" t="s">
        <v>1050</v>
      </c>
    </row>
    <row r="2311" spans="1:9" hidden="1" x14ac:dyDescent="0.25">
      <c r="A2311" t="s">
        <v>1997</v>
      </c>
      <c r="B2311" t="s">
        <v>16</v>
      </c>
      <c r="C2311" s="2">
        <f>HYPERLINK("https://cao.dolgi.msk.ru/account/1080280747/", 1080280747)</f>
        <v>1080280747</v>
      </c>
      <c r="D2311" t="s">
        <v>2000</v>
      </c>
      <c r="E2311">
        <v>9.6999999999999993</v>
      </c>
      <c r="F2311">
        <v>0</v>
      </c>
      <c r="G2311" t="s">
        <v>12</v>
      </c>
      <c r="H2311" t="s">
        <v>7</v>
      </c>
      <c r="I2311" t="s">
        <v>1050</v>
      </c>
    </row>
    <row r="2312" spans="1:9" hidden="1" x14ac:dyDescent="0.25">
      <c r="A2312" t="s">
        <v>1997</v>
      </c>
      <c r="B2312" t="s">
        <v>18</v>
      </c>
      <c r="C2312" s="2">
        <f>HYPERLINK("https://cao.dolgi.msk.ru/account/1080280755/", 1080280755)</f>
        <v>1080280755</v>
      </c>
      <c r="D2312" t="s">
        <v>2001</v>
      </c>
      <c r="E2312">
        <v>-5633.05</v>
      </c>
      <c r="F2312">
        <v>-1.1399999999999999</v>
      </c>
      <c r="G2312" t="s">
        <v>12</v>
      </c>
      <c r="I2312" t="s">
        <v>1050</v>
      </c>
    </row>
    <row r="2313" spans="1:9" hidden="1" x14ac:dyDescent="0.25">
      <c r="A2313" t="s">
        <v>1997</v>
      </c>
      <c r="B2313" t="s">
        <v>20</v>
      </c>
      <c r="C2313" s="2">
        <f>HYPERLINK("https://cao.dolgi.msk.ru/account/1080280763/", 1080280763)</f>
        <v>1080280763</v>
      </c>
      <c r="D2313" t="s">
        <v>2002</v>
      </c>
      <c r="E2313">
        <v>-77.599999999999994</v>
      </c>
      <c r="F2313">
        <v>-0.01</v>
      </c>
      <c r="G2313" t="s">
        <v>12</v>
      </c>
      <c r="I2313" t="s">
        <v>1050</v>
      </c>
    </row>
    <row r="2314" spans="1:9" hidden="1" x14ac:dyDescent="0.25">
      <c r="A2314" t="s">
        <v>1997</v>
      </c>
      <c r="B2314" t="s">
        <v>21</v>
      </c>
      <c r="C2314" s="2">
        <f>HYPERLINK("https://cao.dolgi.msk.ru/account/1080280771/", 1080280771)</f>
        <v>1080280771</v>
      </c>
      <c r="D2314" t="s">
        <v>2003</v>
      </c>
      <c r="E2314">
        <v>-5913.64</v>
      </c>
      <c r="F2314">
        <v>-0.48</v>
      </c>
      <c r="G2314" t="s">
        <v>12</v>
      </c>
      <c r="I2314" t="s">
        <v>1050</v>
      </c>
    </row>
    <row r="2315" spans="1:9" hidden="1" x14ac:dyDescent="0.25">
      <c r="A2315" t="s">
        <v>1997</v>
      </c>
      <c r="B2315" t="s">
        <v>22</v>
      </c>
      <c r="C2315" s="2">
        <f>HYPERLINK("https://cao.dolgi.msk.ru/account/1080280798/", 1080280798)</f>
        <v>1080280798</v>
      </c>
      <c r="D2315" t="s">
        <v>2004</v>
      </c>
      <c r="E2315">
        <v>-3896.96</v>
      </c>
      <c r="F2315">
        <v>-1.22</v>
      </c>
      <c r="G2315" t="s">
        <v>12</v>
      </c>
      <c r="H2315" t="s">
        <v>7</v>
      </c>
      <c r="I2315" t="s">
        <v>1050</v>
      </c>
    </row>
    <row r="2316" spans="1:9" hidden="1" x14ac:dyDescent="0.25">
      <c r="A2316" t="s">
        <v>1997</v>
      </c>
      <c r="B2316" t="s">
        <v>22</v>
      </c>
      <c r="C2316" s="2">
        <f>HYPERLINK("https://cao.dolgi.msk.ru/account/1080280827/", 1080280827)</f>
        <v>1080280827</v>
      </c>
      <c r="D2316" t="s">
        <v>2004</v>
      </c>
      <c r="E2316">
        <v>-544.16999999999996</v>
      </c>
      <c r="F2316">
        <v>-0.08</v>
      </c>
      <c r="G2316" t="s">
        <v>12</v>
      </c>
      <c r="H2316" t="s">
        <v>7</v>
      </c>
      <c r="I2316" t="s">
        <v>1050</v>
      </c>
    </row>
    <row r="2317" spans="1:9" hidden="1" x14ac:dyDescent="0.25">
      <c r="A2317" t="s">
        <v>1997</v>
      </c>
      <c r="B2317" t="s">
        <v>23</v>
      </c>
      <c r="C2317" s="2">
        <f>HYPERLINK("https://cao.dolgi.msk.ru/account/1080280835/", 1080280835)</f>
        <v>1080280835</v>
      </c>
      <c r="D2317" t="s">
        <v>2005</v>
      </c>
      <c r="E2317">
        <v>2910.82</v>
      </c>
      <c r="F2317">
        <v>0.41</v>
      </c>
      <c r="G2317" t="s">
        <v>12</v>
      </c>
      <c r="I2317" t="s">
        <v>1050</v>
      </c>
    </row>
    <row r="2318" spans="1:9" hidden="1" x14ac:dyDescent="0.25">
      <c r="A2318" t="s">
        <v>1997</v>
      </c>
      <c r="B2318" t="s">
        <v>24</v>
      </c>
      <c r="C2318" s="2">
        <f>HYPERLINK("https://cao.dolgi.msk.ru/account/1080280843/", 1080280843)</f>
        <v>1080280843</v>
      </c>
      <c r="D2318" t="s">
        <v>2006</v>
      </c>
      <c r="E2318">
        <v>-8005.18</v>
      </c>
      <c r="F2318">
        <v>-1.02</v>
      </c>
      <c r="G2318" t="s">
        <v>12</v>
      </c>
      <c r="I2318" t="s">
        <v>1050</v>
      </c>
    </row>
    <row r="2319" spans="1:9" hidden="1" x14ac:dyDescent="0.25">
      <c r="A2319" t="s">
        <v>1997</v>
      </c>
      <c r="B2319" t="s">
        <v>27</v>
      </c>
      <c r="C2319" s="2">
        <f>HYPERLINK("https://cao.dolgi.msk.ru/account/1080280851/", 1080280851)</f>
        <v>1080280851</v>
      </c>
      <c r="D2319" t="s">
        <v>2007</v>
      </c>
      <c r="E2319">
        <v>-5481.69</v>
      </c>
      <c r="F2319">
        <v>-1.74</v>
      </c>
      <c r="G2319" t="s">
        <v>12</v>
      </c>
      <c r="H2319" t="s">
        <v>7</v>
      </c>
      <c r="I2319" t="s">
        <v>1050</v>
      </c>
    </row>
    <row r="2320" spans="1:9" hidden="1" x14ac:dyDescent="0.25">
      <c r="A2320" t="s">
        <v>1997</v>
      </c>
      <c r="B2320" t="s">
        <v>27</v>
      </c>
      <c r="C2320" s="2">
        <f>HYPERLINK("https://cao.dolgi.msk.ru/account/1080280878/", 1080280878)</f>
        <v>1080280878</v>
      </c>
      <c r="D2320" t="s">
        <v>2007</v>
      </c>
      <c r="E2320">
        <v>614.03</v>
      </c>
      <c r="F2320">
        <v>0.13</v>
      </c>
      <c r="G2320" t="s">
        <v>12</v>
      </c>
      <c r="H2320" t="s">
        <v>7</v>
      </c>
      <c r="I2320" t="s">
        <v>1050</v>
      </c>
    </row>
    <row r="2321" spans="1:9" hidden="1" x14ac:dyDescent="0.25">
      <c r="A2321" t="s">
        <v>1997</v>
      </c>
      <c r="B2321" t="s">
        <v>29</v>
      </c>
      <c r="C2321" s="2">
        <f>HYPERLINK("https://cao.dolgi.msk.ru/account/1080280886/", 1080280886)</f>
        <v>1080280886</v>
      </c>
      <c r="D2321" t="s">
        <v>2008</v>
      </c>
      <c r="E2321">
        <v>-9385.1200000000008</v>
      </c>
      <c r="F2321">
        <v>-1.05</v>
      </c>
      <c r="G2321" t="s">
        <v>12</v>
      </c>
      <c r="I2321" t="s">
        <v>1050</v>
      </c>
    </row>
    <row r="2322" spans="1:9" hidden="1" x14ac:dyDescent="0.25">
      <c r="A2322" t="s">
        <v>1997</v>
      </c>
      <c r="B2322" t="s">
        <v>31</v>
      </c>
      <c r="C2322" s="2">
        <f>HYPERLINK("https://cao.dolgi.msk.ru/account/1080280894/", 1080280894)</f>
        <v>1080280894</v>
      </c>
      <c r="D2322" t="s">
        <v>2009</v>
      </c>
      <c r="E2322">
        <v>-4859.51</v>
      </c>
      <c r="F2322">
        <v>-0.89</v>
      </c>
      <c r="G2322" t="s">
        <v>12</v>
      </c>
      <c r="I2322" t="s">
        <v>1050</v>
      </c>
    </row>
    <row r="2323" spans="1:9" hidden="1" x14ac:dyDescent="0.25">
      <c r="A2323" t="s">
        <v>1997</v>
      </c>
      <c r="B2323" t="s">
        <v>33</v>
      </c>
      <c r="C2323" s="2">
        <f>HYPERLINK("https://cao.dolgi.msk.ru/account/1080280704/", 1080280704)</f>
        <v>1080280704</v>
      </c>
      <c r="D2323" t="s">
        <v>2010</v>
      </c>
      <c r="E2323">
        <v>-1742.59</v>
      </c>
      <c r="F2323">
        <v>-1.02</v>
      </c>
      <c r="G2323" t="s">
        <v>12</v>
      </c>
      <c r="H2323" t="s">
        <v>7</v>
      </c>
      <c r="I2323" t="s">
        <v>1050</v>
      </c>
    </row>
    <row r="2324" spans="1:9" hidden="1" x14ac:dyDescent="0.25">
      <c r="A2324" t="s">
        <v>1997</v>
      </c>
      <c r="B2324" t="s">
        <v>33</v>
      </c>
      <c r="C2324" s="2">
        <f>HYPERLINK("https://cao.dolgi.msk.ru/account/1080280907/", 1080280907)</f>
        <v>1080280907</v>
      </c>
      <c r="D2324" t="s">
        <v>2010</v>
      </c>
      <c r="E2324">
        <v>-5072.7</v>
      </c>
      <c r="F2324">
        <v>-1.0900000000000001</v>
      </c>
      <c r="G2324" t="s">
        <v>12</v>
      </c>
      <c r="H2324" t="s">
        <v>7</v>
      </c>
      <c r="I2324" t="s">
        <v>1050</v>
      </c>
    </row>
    <row r="2325" spans="1:9" hidden="1" x14ac:dyDescent="0.25">
      <c r="A2325" t="s">
        <v>1997</v>
      </c>
      <c r="B2325" t="s">
        <v>34</v>
      </c>
      <c r="C2325" s="2">
        <f>HYPERLINK("https://cao.dolgi.msk.ru/account/1080280915/", 1080280915)</f>
        <v>1080280915</v>
      </c>
      <c r="D2325" t="s">
        <v>2011</v>
      </c>
      <c r="E2325">
        <v>1.41</v>
      </c>
      <c r="F2325">
        <v>0</v>
      </c>
      <c r="G2325" t="s">
        <v>12</v>
      </c>
      <c r="I2325" t="s">
        <v>1050</v>
      </c>
    </row>
    <row r="2326" spans="1:9" hidden="1" x14ac:dyDescent="0.25">
      <c r="A2326" t="s">
        <v>1997</v>
      </c>
      <c r="B2326" t="s">
        <v>36</v>
      </c>
      <c r="C2326" s="2">
        <f>HYPERLINK("https://cao.dolgi.msk.ru/account/1080280923/", 1080280923)</f>
        <v>1080280923</v>
      </c>
      <c r="D2326" t="s">
        <v>15</v>
      </c>
      <c r="E2326">
        <v>-584.07000000000005</v>
      </c>
      <c r="G2326" t="s">
        <v>14</v>
      </c>
      <c r="I2326" t="s">
        <v>1050</v>
      </c>
    </row>
    <row r="2327" spans="1:9" hidden="1" x14ac:dyDescent="0.25">
      <c r="A2327" t="s">
        <v>1997</v>
      </c>
      <c r="B2327" t="s">
        <v>36</v>
      </c>
      <c r="C2327" s="2">
        <f>HYPERLINK("https://cao.dolgi.msk.ru/account/1080280931/", 1080280931)</f>
        <v>1080280931</v>
      </c>
      <c r="D2327" t="s">
        <v>2012</v>
      </c>
      <c r="E2327">
        <v>-8752.9500000000007</v>
      </c>
      <c r="F2327">
        <v>-1.42</v>
      </c>
      <c r="G2327" t="s">
        <v>12</v>
      </c>
      <c r="I2327" t="s">
        <v>1050</v>
      </c>
    </row>
    <row r="2328" spans="1:9" hidden="1" x14ac:dyDescent="0.25">
      <c r="A2328" t="s">
        <v>1997</v>
      </c>
      <c r="B2328" t="s">
        <v>38</v>
      </c>
      <c r="C2328" s="2">
        <f>HYPERLINK("https://cao.dolgi.msk.ru/account/1080280958/", 1080280958)</f>
        <v>1080280958</v>
      </c>
      <c r="D2328" t="s">
        <v>2013</v>
      </c>
      <c r="E2328">
        <v>-4178.99</v>
      </c>
      <c r="F2328">
        <v>-1.02</v>
      </c>
      <c r="G2328" t="s">
        <v>12</v>
      </c>
      <c r="H2328" t="s">
        <v>7</v>
      </c>
      <c r="I2328" t="s">
        <v>1050</v>
      </c>
    </row>
    <row r="2329" spans="1:9" hidden="1" x14ac:dyDescent="0.25">
      <c r="A2329" t="s">
        <v>1997</v>
      </c>
      <c r="B2329" t="s">
        <v>38</v>
      </c>
      <c r="C2329" s="2">
        <f>HYPERLINK("https://cao.dolgi.msk.ru/account/1080322767/", 1080322767)</f>
        <v>1080322767</v>
      </c>
      <c r="D2329" t="s">
        <v>2013</v>
      </c>
      <c r="E2329">
        <v>-399.55</v>
      </c>
      <c r="F2329">
        <v>-0.42</v>
      </c>
      <c r="G2329" t="s">
        <v>12</v>
      </c>
      <c r="H2329" t="s">
        <v>7</v>
      </c>
      <c r="I2329" t="s">
        <v>1050</v>
      </c>
    </row>
    <row r="2330" spans="1:9" hidden="1" x14ac:dyDescent="0.25">
      <c r="A2330" t="s">
        <v>1997</v>
      </c>
      <c r="B2330" t="s">
        <v>39</v>
      </c>
      <c r="C2330" s="2">
        <f>HYPERLINK("https://cao.dolgi.msk.ru/account/1080280966/", 1080280966)</f>
        <v>1080280966</v>
      </c>
      <c r="D2330" t="s">
        <v>2014</v>
      </c>
      <c r="E2330">
        <v>2487.8200000000002</v>
      </c>
      <c r="G2330" t="s">
        <v>14</v>
      </c>
      <c r="I2330" t="s">
        <v>1050</v>
      </c>
    </row>
    <row r="2331" spans="1:9" hidden="1" x14ac:dyDescent="0.25">
      <c r="A2331" t="s">
        <v>1997</v>
      </c>
      <c r="B2331" t="s">
        <v>39</v>
      </c>
      <c r="C2331" s="2">
        <f>HYPERLINK("https://cao.dolgi.msk.ru/account/1080280974/", 1080280974)</f>
        <v>1080280974</v>
      </c>
      <c r="D2331" t="s">
        <v>62</v>
      </c>
      <c r="E2331">
        <v>9056.65</v>
      </c>
      <c r="F2331">
        <v>1</v>
      </c>
      <c r="G2331" t="s">
        <v>12</v>
      </c>
      <c r="I2331" t="s">
        <v>1050</v>
      </c>
    </row>
    <row r="2332" spans="1:9" hidden="1" x14ac:dyDescent="0.25">
      <c r="A2332" t="s">
        <v>1997</v>
      </c>
      <c r="B2332" t="s">
        <v>40</v>
      </c>
      <c r="C2332" s="2">
        <f>HYPERLINK("https://cao.dolgi.msk.ru/account/1080280982/", 1080280982)</f>
        <v>1080280982</v>
      </c>
      <c r="D2332" t="s">
        <v>2015</v>
      </c>
      <c r="E2332">
        <v>-5785.96</v>
      </c>
      <c r="F2332">
        <v>-1</v>
      </c>
      <c r="G2332" t="s">
        <v>12</v>
      </c>
      <c r="H2332" t="s">
        <v>7</v>
      </c>
      <c r="I2332" t="s">
        <v>1050</v>
      </c>
    </row>
    <row r="2333" spans="1:9" hidden="1" x14ac:dyDescent="0.25">
      <c r="A2333" t="s">
        <v>1997</v>
      </c>
      <c r="B2333" t="s">
        <v>40</v>
      </c>
      <c r="C2333" s="2">
        <f>HYPERLINK("https://cao.dolgi.msk.ru/account/1080281002/", 1080281002)</f>
        <v>1080281002</v>
      </c>
      <c r="D2333" t="s">
        <v>2015</v>
      </c>
      <c r="E2333">
        <v>-2581.62</v>
      </c>
      <c r="F2333">
        <v>-1.02</v>
      </c>
      <c r="G2333" t="s">
        <v>12</v>
      </c>
      <c r="H2333" t="s">
        <v>7</v>
      </c>
      <c r="I2333" t="s">
        <v>1050</v>
      </c>
    </row>
    <row r="2334" spans="1:9" hidden="1" x14ac:dyDescent="0.25">
      <c r="A2334" t="s">
        <v>1997</v>
      </c>
      <c r="B2334" t="s">
        <v>40</v>
      </c>
      <c r="C2334" s="2">
        <f>HYPERLINK("https://cao.dolgi.msk.ru/account/1080281029/", 1080281029)</f>
        <v>1080281029</v>
      </c>
      <c r="D2334" t="s">
        <v>2016</v>
      </c>
      <c r="E2334">
        <v>5200.55</v>
      </c>
      <c r="F2334">
        <v>0.69</v>
      </c>
      <c r="G2334" t="s">
        <v>12</v>
      </c>
      <c r="H2334" t="s">
        <v>7</v>
      </c>
      <c r="I2334" t="s">
        <v>1050</v>
      </c>
    </row>
    <row r="2335" spans="1:9" hidden="1" x14ac:dyDescent="0.25">
      <c r="A2335" t="s">
        <v>1997</v>
      </c>
      <c r="B2335" t="s">
        <v>41</v>
      </c>
      <c r="C2335" s="2">
        <f>HYPERLINK("https://cao.dolgi.msk.ru/account/1080281037/", 1080281037)</f>
        <v>1080281037</v>
      </c>
      <c r="D2335" t="s">
        <v>2017</v>
      </c>
      <c r="E2335">
        <v>-7392.48</v>
      </c>
      <c r="F2335">
        <v>-0.93</v>
      </c>
      <c r="G2335" t="s">
        <v>12</v>
      </c>
      <c r="I2335" t="s">
        <v>1050</v>
      </c>
    </row>
    <row r="2336" spans="1:9" hidden="1" x14ac:dyDescent="0.25">
      <c r="A2336" t="s">
        <v>1997</v>
      </c>
      <c r="B2336" t="s">
        <v>42</v>
      </c>
      <c r="C2336" s="2">
        <f>HYPERLINK("https://cao.dolgi.msk.ru/account/1080281045/", 1080281045)</f>
        <v>1080281045</v>
      </c>
      <c r="D2336" t="s">
        <v>2018</v>
      </c>
      <c r="E2336">
        <v>-7873.47</v>
      </c>
      <c r="F2336">
        <v>-1.21</v>
      </c>
      <c r="G2336" t="s">
        <v>12</v>
      </c>
      <c r="H2336" t="s">
        <v>7</v>
      </c>
      <c r="I2336" t="s">
        <v>1050</v>
      </c>
    </row>
    <row r="2337" spans="1:9" x14ac:dyDescent="0.25">
      <c r="A2337" t="s">
        <v>1997</v>
      </c>
      <c r="B2337" t="s">
        <v>42</v>
      </c>
      <c r="C2337" s="2">
        <f>HYPERLINK("https://cao.dolgi.msk.ru/account/1080281053/", 1080281053)</f>
        <v>1080281053</v>
      </c>
      <c r="D2337" t="s">
        <v>2018</v>
      </c>
      <c r="E2337">
        <v>6732.33</v>
      </c>
      <c r="F2337">
        <v>2.5099999999999998</v>
      </c>
      <c r="G2337" t="s">
        <v>12</v>
      </c>
      <c r="H2337" t="s">
        <v>7</v>
      </c>
      <c r="I2337" t="s">
        <v>1050</v>
      </c>
    </row>
    <row r="2338" spans="1:9" hidden="1" x14ac:dyDescent="0.25">
      <c r="A2338" t="s">
        <v>1997</v>
      </c>
      <c r="B2338" t="s">
        <v>44</v>
      </c>
      <c r="C2338" s="2">
        <f>HYPERLINK("https://cao.dolgi.msk.ru/account/1080281061/", 1080281061)</f>
        <v>1080281061</v>
      </c>
      <c r="D2338" t="s">
        <v>2019</v>
      </c>
      <c r="E2338">
        <v>-7343.52</v>
      </c>
      <c r="F2338">
        <v>-1.02</v>
      </c>
      <c r="G2338" t="s">
        <v>12</v>
      </c>
      <c r="I2338" t="s">
        <v>1050</v>
      </c>
    </row>
    <row r="2339" spans="1:9" x14ac:dyDescent="0.25">
      <c r="A2339" t="s">
        <v>1997</v>
      </c>
      <c r="B2339" t="s">
        <v>66</v>
      </c>
      <c r="C2339" s="2">
        <f>HYPERLINK("https://cao.dolgi.msk.ru/account/1080281088/", 1080281088)</f>
        <v>1080281088</v>
      </c>
      <c r="D2339" t="s">
        <v>2020</v>
      </c>
      <c r="E2339">
        <v>8313.68</v>
      </c>
      <c r="F2339">
        <v>3.05</v>
      </c>
      <c r="G2339" t="s">
        <v>12</v>
      </c>
      <c r="H2339" t="s">
        <v>7</v>
      </c>
      <c r="I2339" t="s">
        <v>1050</v>
      </c>
    </row>
    <row r="2340" spans="1:9" x14ac:dyDescent="0.25">
      <c r="A2340" t="s">
        <v>1997</v>
      </c>
      <c r="B2340" t="s">
        <v>66</v>
      </c>
      <c r="C2340" s="2">
        <f>HYPERLINK("https://cao.dolgi.msk.ru/account/1080281096/", 1080281096)</f>
        <v>1080281096</v>
      </c>
      <c r="D2340" t="s">
        <v>2021</v>
      </c>
      <c r="E2340">
        <v>30075.07</v>
      </c>
      <c r="F2340">
        <v>6.08</v>
      </c>
      <c r="G2340" t="s">
        <v>12</v>
      </c>
      <c r="H2340" t="s">
        <v>7</v>
      </c>
      <c r="I2340" t="s">
        <v>1050</v>
      </c>
    </row>
    <row r="2341" spans="1:9" hidden="1" x14ac:dyDescent="0.25">
      <c r="A2341" t="s">
        <v>1997</v>
      </c>
      <c r="B2341" t="s">
        <v>68</v>
      </c>
      <c r="C2341" s="2">
        <f>HYPERLINK("https://cao.dolgi.msk.ru/account/1080281109/", 1080281109)</f>
        <v>1080281109</v>
      </c>
      <c r="D2341" t="s">
        <v>2022</v>
      </c>
      <c r="E2341">
        <v>-5196.07</v>
      </c>
      <c r="F2341">
        <v>-0.97</v>
      </c>
      <c r="G2341" t="s">
        <v>12</v>
      </c>
      <c r="I2341" t="s">
        <v>1050</v>
      </c>
    </row>
    <row r="2342" spans="1:9" hidden="1" x14ac:dyDescent="0.25">
      <c r="A2342" t="s">
        <v>1997</v>
      </c>
      <c r="B2342" t="s">
        <v>70</v>
      </c>
      <c r="C2342" s="2">
        <f>HYPERLINK("https://cao.dolgi.msk.ru/account/1080281125/", 1080281125)</f>
        <v>1080281125</v>
      </c>
      <c r="D2342" t="s">
        <v>15</v>
      </c>
      <c r="E2342">
        <v>-7.24</v>
      </c>
      <c r="F2342">
        <v>0</v>
      </c>
      <c r="G2342" t="s">
        <v>12</v>
      </c>
      <c r="I2342" t="s">
        <v>1050</v>
      </c>
    </row>
    <row r="2343" spans="1:9" hidden="1" x14ac:dyDescent="0.25">
      <c r="A2343" t="s">
        <v>1997</v>
      </c>
      <c r="B2343" t="s">
        <v>72</v>
      </c>
      <c r="C2343" s="2">
        <f>HYPERLINK("https://cao.dolgi.msk.ru/account/1080281133/", 1080281133)</f>
        <v>1080281133</v>
      </c>
      <c r="D2343" t="s">
        <v>2023</v>
      </c>
      <c r="E2343">
        <v>-18925.07</v>
      </c>
      <c r="F2343">
        <v>-2.39</v>
      </c>
      <c r="G2343" t="s">
        <v>12</v>
      </c>
      <c r="I2343" t="s">
        <v>1050</v>
      </c>
    </row>
    <row r="2344" spans="1:9" hidden="1" x14ac:dyDescent="0.25">
      <c r="A2344" t="s">
        <v>1997</v>
      </c>
      <c r="B2344" t="s">
        <v>74</v>
      </c>
      <c r="C2344" s="2">
        <f>HYPERLINK("https://cao.dolgi.msk.ru/account/1080281141/", 1080281141)</f>
        <v>1080281141</v>
      </c>
      <c r="D2344" t="s">
        <v>2024</v>
      </c>
      <c r="E2344">
        <v>-6395.64</v>
      </c>
      <c r="F2344">
        <v>-1.03</v>
      </c>
      <c r="G2344" t="s">
        <v>12</v>
      </c>
      <c r="I2344" t="s">
        <v>1050</v>
      </c>
    </row>
    <row r="2345" spans="1:9" hidden="1" x14ac:dyDescent="0.25">
      <c r="A2345" t="s">
        <v>1997</v>
      </c>
      <c r="B2345" t="s">
        <v>76</v>
      </c>
      <c r="C2345" s="2">
        <f>HYPERLINK("https://cao.dolgi.msk.ru/account/1080281168/", 1080281168)</f>
        <v>1080281168</v>
      </c>
      <c r="D2345" t="s">
        <v>2025</v>
      </c>
      <c r="E2345">
        <v>-7192.54</v>
      </c>
      <c r="F2345">
        <v>-0.98</v>
      </c>
      <c r="G2345" t="s">
        <v>12</v>
      </c>
      <c r="I2345" t="s">
        <v>1050</v>
      </c>
    </row>
    <row r="2346" spans="1:9" hidden="1" x14ac:dyDescent="0.25">
      <c r="A2346" t="s">
        <v>1997</v>
      </c>
      <c r="B2346" t="s">
        <v>78</v>
      </c>
      <c r="C2346" s="2">
        <f>HYPERLINK("https://cao.dolgi.msk.ru/account/1080281117/", 1080281117)</f>
        <v>1080281117</v>
      </c>
      <c r="D2346" t="s">
        <v>2026</v>
      </c>
      <c r="E2346">
        <v>-1726.83</v>
      </c>
      <c r="F2346">
        <v>-1.01</v>
      </c>
      <c r="G2346" t="s">
        <v>12</v>
      </c>
      <c r="H2346" t="s">
        <v>7</v>
      </c>
      <c r="I2346" t="s">
        <v>1050</v>
      </c>
    </row>
    <row r="2347" spans="1:9" x14ac:dyDescent="0.25">
      <c r="A2347" t="s">
        <v>1997</v>
      </c>
      <c r="B2347" t="s">
        <v>78</v>
      </c>
      <c r="C2347" s="2">
        <f>HYPERLINK("https://cao.dolgi.msk.ru/account/1080281176/", 1080281176)</f>
        <v>1080281176</v>
      </c>
      <c r="D2347" t="s">
        <v>2026</v>
      </c>
      <c r="E2347">
        <v>26159.279999999999</v>
      </c>
      <c r="F2347">
        <v>10.41</v>
      </c>
      <c r="G2347" t="s">
        <v>12</v>
      </c>
      <c r="H2347" t="s">
        <v>7</v>
      </c>
      <c r="I2347" t="s">
        <v>1050</v>
      </c>
    </row>
    <row r="2348" spans="1:9" x14ac:dyDescent="0.25">
      <c r="A2348" t="s">
        <v>1997</v>
      </c>
      <c r="B2348" t="s">
        <v>78</v>
      </c>
      <c r="C2348" s="2">
        <f>HYPERLINK("https://cao.dolgi.msk.ru/account/1080281184/", 1080281184)</f>
        <v>1080281184</v>
      </c>
      <c r="D2348" t="s">
        <v>2026</v>
      </c>
      <c r="E2348">
        <v>4623.93</v>
      </c>
      <c r="F2348">
        <v>3</v>
      </c>
      <c r="G2348" t="s">
        <v>12</v>
      </c>
      <c r="H2348" t="s">
        <v>7</v>
      </c>
      <c r="I2348" t="s">
        <v>1050</v>
      </c>
    </row>
    <row r="2349" spans="1:9" hidden="1" x14ac:dyDescent="0.25">
      <c r="A2349" t="s">
        <v>1997</v>
      </c>
      <c r="B2349" t="s">
        <v>80</v>
      </c>
      <c r="C2349" s="2">
        <f>HYPERLINK("https://cao.dolgi.msk.ru/account/1080281192/", 1080281192)</f>
        <v>1080281192</v>
      </c>
      <c r="D2349" t="s">
        <v>2027</v>
      </c>
      <c r="E2349">
        <v>-9008.11</v>
      </c>
      <c r="F2349">
        <v>-1.59</v>
      </c>
      <c r="G2349" t="s">
        <v>12</v>
      </c>
      <c r="I2349" t="s">
        <v>1050</v>
      </c>
    </row>
    <row r="2350" spans="1:9" hidden="1" x14ac:dyDescent="0.25">
      <c r="A2350" t="s">
        <v>1997</v>
      </c>
      <c r="B2350" t="s">
        <v>82</v>
      </c>
      <c r="C2350" s="2">
        <f>HYPERLINK("https://cao.dolgi.msk.ru/account/1080281213/", 1080281213)</f>
        <v>1080281213</v>
      </c>
      <c r="D2350" t="s">
        <v>2028</v>
      </c>
      <c r="E2350">
        <v>-10380.83</v>
      </c>
      <c r="F2350">
        <v>-1.04</v>
      </c>
      <c r="G2350" t="s">
        <v>12</v>
      </c>
      <c r="I2350" t="s">
        <v>1050</v>
      </c>
    </row>
    <row r="2351" spans="1:9" hidden="1" x14ac:dyDescent="0.25">
      <c r="A2351" t="s">
        <v>1997</v>
      </c>
      <c r="B2351" t="s">
        <v>84</v>
      </c>
      <c r="C2351" s="2">
        <f>HYPERLINK("https://cao.dolgi.msk.ru/account/1080281248/", 1080281248)</f>
        <v>1080281248</v>
      </c>
      <c r="D2351" t="s">
        <v>2029</v>
      </c>
      <c r="E2351">
        <v>-82.97</v>
      </c>
      <c r="F2351">
        <v>-0.01</v>
      </c>
      <c r="G2351" t="s">
        <v>12</v>
      </c>
      <c r="I2351" t="s">
        <v>1050</v>
      </c>
    </row>
    <row r="2352" spans="1:9" hidden="1" x14ac:dyDescent="0.25">
      <c r="A2352" t="s">
        <v>1997</v>
      </c>
      <c r="B2352" t="s">
        <v>86</v>
      </c>
      <c r="C2352" s="2">
        <f>HYPERLINK("https://cao.dolgi.msk.ru/account/1080281256/", 1080281256)</f>
        <v>1080281256</v>
      </c>
      <c r="D2352" t="s">
        <v>2030</v>
      </c>
      <c r="E2352">
        <v>-1834.41</v>
      </c>
      <c r="F2352">
        <v>-1.1599999999999999</v>
      </c>
      <c r="G2352" t="s">
        <v>12</v>
      </c>
      <c r="H2352" t="s">
        <v>7</v>
      </c>
      <c r="I2352" t="s">
        <v>1050</v>
      </c>
    </row>
    <row r="2353" spans="1:9" hidden="1" x14ac:dyDescent="0.25">
      <c r="A2353" t="s">
        <v>1997</v>
      </c>
      <c r="B2353" t="s">
        <v>86</v>
      </c>
      <c r="C2353" s="2">
        <f>HYPERLINK("https://cao.dolgi.msk.ru/account/1080281272/", 1080281272)</f>
        <v>1080281272</v>
      </c>
      <c r="D2353" t="s">
        <v>2030</v>
      </c>
      <c r="E2353">
        <v>-2611.79</v>
      </c>
      <c r="F2353">
        <v>-1.2</v>
      </c>
      <c r="G2353" t="s">
        <v>12</v>
      </c>
      <c r="H2353" t="s">
        <v>7</v>
      </c>
      <c r="I2353" t="s">
        <v>1050</v>
      </c>
    </row>
    <row r="2354" spans="1:9" x14ac:dyDescent="0.25">
      <c r="A2354" t="s">
        <v>1997</v>
      </c>
      <c r="B2354" t="s">
        <v>86</v>
      </c>
      <c r="C2354" s="2">
        <f>HYPERLINK("https://cao.dolgi.msk.ru/account/1089119108/", 1089119108)</f>
        <v>1089119108</v>
      </c>
      <c r="D2354" t="s">
        <v>2031</v>
      </c>
      <c r="E2354">
        <v>136011.23000000001</v>
      </c>
      <c r="F2354">
        <v>62.67</v>
      </c>
      <c r="G2354" t="s">
        <v>12</v>
      </c>
      <c r="H2354" t="s">
        <v>7</v>
      </c>
      <c r="I2354" t="s">
        <v>1050</v>
      </c>
    </row>
    <row r="2355" spans="1:9" hidden="1" x14ac:dyDescent="0.25">
      <c r="A2355" t="s">
        <v>1997</v>
      </c>
      <c r="B2355" t="s">
        <v>88</v>
      </c>
      <c r="C2355" s="2">
        <f>HYPERLINK("https://cao.dolgi.msk.ru/account/1080281299/", 1080281299)</f>
        <v>1080281299</v>
      </c>
      <c r="D2355" t="s">
        <v>62</v>
      </c>
      <c r="E2355">
        <v>-253.68</v>
      </c>
      <c r="F2355">
        <v>-0.02</v>
      </c>
      <c r="G2355" t="s">
        <v>12</v>
      </c>
      <c r="I2355" t="s">
        <v>1050</v>
      </c>
    </row>
    <row r="2356" spans="1:9" hidden="1" x14ac:dyDescent="0.25">
      <c r="A2356" t="s">
        <v>1997</v>
      </c>
      <c r="B2356" t="s">
        <v>90</v>
      </c>
      <c r="C2356" s="2">
        <f>HYPERLINK("https://cao.dolgi.msk.ru/account/1080281301/", 1080281301)</f>
        <v>1080281301</v>
      </c>
      <c r="D2356" t="s">
        <v>2032</v>
      </c>
      <c r="E2356">
        <v>21.03</v>
      </c>
      <c r="F2356">
        <v>0</v>
      </c>
      <c r="G2356" t="s">
        <v>12</v>
      </c>
      <c r="I2356" t="s">
        <v>1050</v>
      </c>
    </row>
    <row r="2357" spans="1:9" hidden="1" x14ac:dyDescent="0.25">
      <c r="A2357" t="s">
        <v>1997</v>
      </c>
      <c r="B2357" t="s">
        <v>90</v>
      </c>
      <c r="C2357" s="2">
        <f>HYPERLINK("https://cao.dolgi.msk.ru/account/1083269105/", 1083269105)</f>
        <v>1083269105</v>
      </c>
      <c r="D2357" t="s">
        <v>2033</v>
      </c>
      <c r="E2357">
        <v>0</v>
      </c>
      <c r="F2357">
        <v>0</v>
      </c>
      <c r="G2357" t="s">
        <v>12</v>
      </c>
      <c r="I2357" t="s">
        <v>1050</v>
      </c>
    </row>
    <row r="2358" spans="1:9" hidden="1" x14ac:dyDescent="0.25">
      <c r="A2358" t="s">
        <v>1997</v>
      </c>
      <c r="B2358" t="s">
        <v>92</v>
      </c>
      <c r="C2358" s="2">
        <f>HYPERLINK("https://cao.dolgi.msk.ru/account/1080281328/", 1080281328)</f>
        <v>1080281328</v>
      </c>
      <c r="D2358" t="s">
        <v>2034</v>
      </c>
      <c r="E2358">
        <v>6.05</v>
      </c>
      <c r="F2358">
        <v>0</v>
      </c>
      <c r="G2358" t="s">
        <v>12</v>
      </c>
      <c r="I2358" t="s">
        <v>1050</v>
      </c>
    </row>
    <row r="2359" spans="1:9" hidden="1" x14ac:dyDescent="0.25">
      <c r="A2359" t="s">
        <v>1997</v>
      </c>
      <c r="B2359" t="s">
        <v>92</v>
      </c>
      <c r="C2359" s="2">
        <f>HYPERLINK("https://cao.dolgi.msk.ru/account/1080281336/", 1080281336)</f>
        <v>1080281336</v>
      </c>
      <c r="D2359" t="s">
        <v>2034</v>
      </c>
      <c r="E2359">
        <v>6.65</v>
      </c>
      <c r="G2359" t="s">
        <v>14</v>
      </c>
      <c r="I2359" t="s">
        <v>1050</v>
      </c>
    </row>
    <row r="2360" spans="1:9" hidden="1" x14ac:dyDescent="0.25">
      <c r="A2360" t="s">
        <v>1997</v>
      </c>
      <c r="B2360" t="s">
        <v>92</v>
      </c>
      <c r="C2360" s="2">
        <f>HYPERLINK("https://cao.dolgi.msk.ru/account/1080322396/", 1080322396)</f>
        <v>1080322396</v>
      </c>
      <c r="D2360" t="s">
        <v>15</v>
      </c>
      <c r="E2360">
        <v>-6.92</v>
      </c>
      <c r="G2360" t="s">
        <v>14</v>
      </c>
      <c r="I2360" t="s">
        <v>1050</v>
      </c>
    </row>
    <row r="2361" spans="1:9" hidden="1" x14ac:dyDescent="0.25">
      <c r="A2361" t="s">
        <v>1997</v>
      </c>
      <c r="B2361" t="s">
        <v>94</v>
      </c>
      <c r="C2361" s="2">
        <f>HYPERLINK("https://cao.dolgi.msk.ru/account/1080281344/", 1080281344)</f>
        <v>1080281344</v>
      </c>
      <c r="D2361" t="s">
        <v>2035</v>
      </c>
      <c r="E2361">
        <v>-4572.45</v>
      </c>
      <c r="F2361">
        <v>-1.03</v>
      </c>
      <c r="G2361" t="s">
        <v>12</v>
      </c>
      <c r="I2361" t="s">
        <v>1050</v>
      </c>
    </row>
    <row r="2362" spans="1:9" hidden="1" x14ac:dyDescent="0.25">
      <c r="A2362" t="s">
        <v>1997</v>
      </c>
      <c r="B2362" t="s">
        <v>96</v>
      </c>
      <c r="C2362" s="2">
        <f>HYPERLINK("https://cao.dolgi.msk.ru/account/1080281352/", 1080281352)</f>
        <v>1080281352</v>
      </c>
      <c r="D2362" t="s">
        <v>2036</v>
      </c>
      <c r="E2362">
        <v>-5355.9</v>
      </c>
      <c r="F2362">
        <v>-1.04</v>
      </c>
      <c r="G2362" t="s">
        <v>12</v>
      </c>
      <c r="I2362" t="s">
        <v>1050</v>
      </c>
    </row>
    <row r="2363" spans="1:9" hidden="1" x14ac:dyDescent="0.25">
      <c r="A2363" t="s">
        <v>1997</v>
      </c>
      <c r="B2363" t="s">
        <v>98</v>
      </c>
      <c r="C2363" s="2">
        <f>HYPERLINK("https://cao.dolgi.msk.ru/account/1080281379/", 1080281379)</f>
        <v>1080281379</v>
      </c>
      <c r="D2363" t="s">
        <v>2037</v>
      </c>
      <c r="E2363">
        <v>-12976.28</v>
      </c>
      <c r="F2363">
        <v>-1.01</v>
      </c>
      <c r="G2363" t="s">
        <v>12</v>
      </c>
      <c r="I2363" t="s">
        <v>1050</v>
      </c>
    </row>
    <row r="2364" spans="1:9" hidden="1" x14ac:dyDescent="0.25">
      <c r="A2364" t="s">
        <v>1997</v>
      </c>
      <c r="B2364" t="s">
        <v>100</v>
      </c>
      <c r="C2364" s="2">
        <f>HYPERLINK("https://cao.dolgi.msk.ru/account/1080281387/", 1080281387)</f>
        <v>1080281387</v>
      </c>
      <c r="D2364" t="s">
        <v>2038</v>
      </c>
      <c r="E2364">
        <v>-8149.21</v>
      </c>
      <c r="F2364">
        <v>-1.17</v>
      </c>
      <c r="G2364" t="s">
        <v>12</v>
      </c>
      <c r="I2364" t="s">
        <v>1050</v>
      </c>
    </row>
    <row r="2365" spans="1:9" hidden="1" x14ac:dyDescent="0.25">
      <c r="A2365" t="s">
        <v>1997</v>
      </c>
      <c r="B2365" t="s">
        <v>102</v>
      </c>
      <c r="C2365" s="2">
        <f>HYPERLINK("https://cao.dolgi.msk.ru/account/1080281395/", 1080281395)</f>
        <v>1080281395</v>
      </c>
      <c r="D2365" t="s">
        <v>2039</v>
      </c>
      <c r="E2365">
        <v>-6545.08</v>
      </c>
      <c r="F2365">
        <v>-0.93</v>
      </c>
      <c r="G2365" t="s">
        <v>12</v>
      </c>
      <c r="I2365" t="s">
        <v>1050</v>
      </c>
    </row>
    <row r="2366" spans="1:9" x14ac:dyDescent="0.25">
      <c r="A2366" t="s">
        <v>1997</v>
      </c>
      <c r="B2366" t="s">
        <v>104</v>
      </c>
      <c r="C2366" s="2">
        <f>HYPERLINK("https://cao.dolgi.msk.ru/account/1080281408/", 1080281408)</f>
        <v>1080281408</v>
      </c>
      <c r="D2366" t="s">
        <v>2040</v>
      </c>
      <c r="E2366">
        <v>1819.36</v>
      </c>
      <c r="F2366">
        <v>1.29</v>
      </c>
      <c r="G2366" t="s">
        <v>12</v>
      </c>
      <c r="H2366" t="s">
        <v>7</v>
      </c>
      <c r="I2366" t="s">
        <v>1050</v>
      </c>
    </row>
    <row r="2367" spans="1:9" x14ac:dyDescent="0.25">
      <c r="A2367" t="s">
        <v>1997</v>
      </c>
      <c r="B2367" t="s">
        <v>104</v>
      </c>
      <c r="C2367" s="2">
        <f>HYPERLINK("https://cao.dolgi.msk.ru/account/1080281416/", 1080281416)</f>
        <v>1080281416</v>
      </c>
      <c r="D2367" t="s">
        <v>2041</v>
      </c>
      <c r="E2367">
        <v>5808.29</v>
      </c>
      <c r="F2367">
        <v>3.42</v>
      </c>
      <c r="G2367" t="s">
        <v>12</v>
      </c>
      <c r="H2367" t="s">
        <v>7</v>
      </c>
      <c r="I2367" t="s">
        <v>1050</v>
      </c>
    </row>
    <row r="2368" spans="1:9" hidden="1" x14ac:dyDescent="0.25">
      <c r="A2368" t="s">
        <v>1997</v>
      </c>
      <c r="B2368" t="s">
        <v>104</v>
      </c>
      <c r="C2368" s="2">
        <f>HYPERLINK("https://cao.dolgi.msk.ru/account/1089126746/", 1089126746)</f>
        <v>1089126746</v>
      </c>
      <c r="D2368" t="s">
        <v>2040</v>
      </c>
      <c r="E2368">
        <v>-1409.07</v>
      </c>
      <c r="F2368">
        <v>-1.03</v>
      </c>
      <c r="G2368" t="s">
        <v>12</v>
      </c>
      <c r="H2368" t="s">
        <v>7</v>
      </c>
      <c r="I2368" t="s">
        <v>1050</v>
      </c>
    </row>
    <row r="2369" spans="1:9" x14ac:dyDescent="0.25">
      <c r="A2369" t="s">
        <v>1997</v>
      </c>
      <c r="B2369" t="s">
        <v>106</v>
      </c>
      <c r="C2369" s="2">
        <f>HYPERLINK("https://cao.dolgi.msk.ru/account/1080281424/", 1080281424)</f>
        <v>1080281424</v>
      </c>
      <c r="D2369" t="s">
        <v>15</v>
      </c>
      <c r="E2369">
        <v>19123.57</v>
      </c>
      <c r="F2369">
        <v>1.62</v>
      </c>
      <c r="G2369" t="s">
        <v>12</v>
      </c>
      <c r="I2369" t="s">
        <v>1050</v>
      </c>
    </row>
    <row r="2370" spans="1:9" hidden="1" x14ac:dyDescent="0.25">
      <c r="A2370" t="s">
        <v>1997</v>
      </c>
      <c r="B2370" t="s">
        <v>108</v>
      </c>
      <c r="C2370" s="2">
        <f>HYPERLINK("https://cao.dolgi.msk.ru/account/1080281432/", 1080281432)</f>
        <v>1080281432</v>
      </c>
      <c r="D2370" t="s">
        <v>2042</v>
      </c>
      <c r="E2370">
        <v>-3142.54</v>
      </c>
      <c r="F2370">
        <v>-0.54</v>
      </c>
      <c r="G2370" t="s">
        <v>12</v>
      </c>
      <c r="I2370" t="s">
        <v>1050</v>
      </c>
    </row>
    <row r="2371" spans="1:9" hidden="1" x14ac:dyDescent="0.25">
      <c r="A2371" t="s">
        <v>1997</v>
      </c>
      <c r="B2371" t="s">
        <v>110</v>
      </c>
      <c r="C2371" s="2">
        <f>HYPERLINK("https://cao.dolgi.msk.ru/account/1080281459/", 1080281459)</f>
        <v>1080281459</v>
      </c>
      <c r="D2371" t="s">
        <v>2043</v>
      </c>
      <c r="E2371">
        <v>-7515.96</v>
      </c>
      <c r="F2371">
        <v>-1.02</v>
      </c>
      <c r="G2371" t="s">
        <v>12</v>
      </c>
      <c r="I2371" t="s">
        <v>1050</v>
      </c>
    </row>
    <row r="2372" spans="1:9" hidden="1" x14ac:dyDescent="0.25">
      <c r="A2372" t="s">
        <v>1997</v>
      </c>
      <c r="B2372" t="s">
        <v>112</v>
      </c>
      <c r="C2372" s="2">
        <f>HYPERLINK("https://cao.dolgi.msk.ru/account/1080281467/", 1080281467)</f>
        <v>1080281467</v>
      </c>
      <c r="D2372" t="s">
        <v>2044</v>
      </c>
      <c r="E2372">
        <v>-15.9</v>
      </c>
      <c r="G2372" t="s">
        <v>14</v>
      </c>
      <c r="I2372" t="s">
        <v>1050</v>
      </c>
    </row>
    <row r="2373" spans="1:9" hidden="1" x14ac:dyDescent="0.25">
      <c r="A2373" t="s">
        <v>1997</v>
      </c>
      <c r="B2373" t="s">
        <v>112</v>
      </c>
      <c r="C2373" s="2">
        <f>HYPERLINK("https://cao.dolgi.msk.ru/account/1080281475/", 1080281475)</f>
        <v>1080281475</v>
      </c>
      <c r="D2373" t="s">
        <v>2045</v>
      </c>
      <c r="E2373">
        <v>-39.020000000000003</v>
      </c>
      <c r="F2373">
        <v>-0.01</v>
      </c>
      <c r="G2373" t="s">
        <v>12</v>
      </c>
      <c r="I2373" t="s">
        <v>1050</v>
      </c>
    </row>
    <row r="2374" spans="1:9" hidden="1" x14ac:dyDescent="0.25">
      <c r="A2374" t="s">
        <v>1997</v>
      </c>
      <c r="B2374" t="s">
        <v>114</v>
      </c>
      <c r="C2374" s="2">
        <f>HYPERLINK("https://cao.dolgi.msk.ru/account/1080281483/", 1080281483)</f>
        <v>1080281483</v>
      </c>
      <c r="D2374" t="s">
        <v>2046</v>
      </c>
      <c r="E2374">
        <v>-6099.47</v>
      </c>
      <c r="F2374">
        <v>-1.07</v>
      </c>
      <c r="G2374" t="s">
        <v>12</v>
      </c>
      <c r="H2374" t="s">
        <v>7</v>
      </c>
      <c r="I2374" t="s">
        <v>1050</v>
      </c>
    </row>
    <row r="2375" spans="1:9" hidden="1" x14ac:dyDescent="0.25">
      <c r="A2375" t="s">
        <v>1997</v>
      </c>
      <c r="B2375" t="s">
        <v>114</v>
      </c>
      <c r="C2375" s="2">
        <f>HYPERLINK("https://cao.dolgi.msk.ru/account/1080281491/", 1080281491)</f>
        <v>1080281491</v>
      </c>
      <c r="D2375" t="s">
        <v>2047</v>
      </c>
      <c r="E2375">
        <v>-1792.61</v>
      </c>
      <c r="F2375">
        <v>-1.28</v>
      </c>
      <c r="G2375" t="s">
        <v>12</v>
      </c>
      <c r="H2375" t="s">
        <v>7</v>
      </c>
      <c r="I2375" t="s">
        <v>1050</v>
      </c>
    </row>
    <row r="2376" spans="1:9" hidden="1" x14ac:dyDescent="0.25">
      <c r="A2376" t="s">
        <v>1997</v>
      </c>
      <c r="B2376" t="s">
        <v>116</v>
      </c>
      <c r="C2376" s="2">
        <f>HYPERLINK("https://cao.dolgi.msk.ru/account/1080281504/", 1080281504)</f>
        <v>1080281504</v>
      </c>
      <c r="D2376" t="s">
        <v>2048</v>
      </c>
      <c r="E2376">
        <v>-6266.84</v>
      </c>
      <c r="F2376">
        <v>-1.01</v>
      </c>
      <c r="G2376" t="s">
        <v>12</v>
      </c>
      <c r="I2376" t="s">
        <v>1050</v>
      </c>
    </row>
    <row r="2377" spans="1:9" hidden="1" x14ac:dyDescent="0.25">
      <c r="A2377" t="s">
        <v>1997</v>
      </c>
      <c r="B2377" t="s">
        <v>118</v>
      </c>
      <c r="C2377" s="2">
        <f>HYPERLINK("https://cao.dolgi.msk.ru/account/1080281512/", 1080281512)</f>
        <v>1080281512</v>
      </c>
      <c r="D2377" t="s">
        <v>2049</v>
      </c>
      <c r="E2377">
        <v>-380.28</v>
      </c>
      <c r="F2377">
        <v>-0.06</v>
      </c>
      <c r="G2377" t="s">
        <v>12</v>
      </c>
      <c r="I2377" t="s">
        <v>1050</v>
      </c>
    </row>
    <row r="2378" spans="1:9" hidden="1" x14ac:dyDescent="0.25">
      <c r="A2378" t="s">
        <v>1997</v>
      </c>
      <c r="B2378" t="s">
        <v>120</v>
      </c>
      <c r="C2378" s="2">
        <f>HYPERLINK("https://cao.dolgi.msk.ru/account/1080281539/", 1080281539)</f>
        <v>1080281539</v>
      </c>
      <c r="D2378" t="s">
        <v>2050</v>
      </c>
      <c r="E2378">
        <v>-6386.12</v>
      </c>
      <c r="F2378">
        <v>-1.02</v>
      </c>
      <c r="G2378" t="s">
        <v>12</v>
      </c>
      <c r="I2378" t="s">
        <v>1050</v>
      </c>
    </row>
    <row r="2379" spans="1:9" hidden="1" x14ac:dyDescent="0.25">
      <c r="A2379" t="s">
        <v>1997</v>
      </c>
      <c r="B2379" t="s">
        <v>122</v>
      </c>
      <c r="C2379" s="2">
        <f>HYPERLINK("https://cao.dolgi.msk.ru/account/1080281547/", 1080281547)</f>
        <v>1080281547</v>
      </c>
      <c r="D2379" t="s">
        <v>2051</v>
      </c>
      <c r="E2379">
        <v>-13543.31</v>
      </c>
      <c r="F2379">
        <v>-1.66</v>
      </c>
      <c r="G2379" t="s">
        <v>12</v>
      </c>
      <c r="I2379" t="s">
        <v>1050</v>
      </c>
    </row>
    <row r="2380" spans="1:9" hidden="1" x14ac:dyDescent="0.25">
      <c r="A2380" t="s">
        <v>1997</v>
      </c>
      <c r="B2380" t="s">
        <v>124</v>
      </c>
      <c r="C2380" s="2">
        <f>HYPERLINK("https://cao.dolgi.msk.ru/account/1080281555/", 1080281555)</f>
        <v>1080281555</v>
      </c>
      <c r="D2380" t="s">
        <v>15</v>
      </c>
      <c r="E2380">
        <v>-6259.95</v>
      </c>
      <c r="F2380">
        <v>-1.1599999999999999</v>
      </c>
      <c r="G2380" t="s">
        <v>12</v>
      </c>
      <c r="I2380" t="s">
        <v>1050</v>
      </c>
    </row>
    <row r="2381" spans="1:9" hidden="1" x14ac:dyDescent="0.25">
      <c r="A2381" t="s">
        <v>1997</v>
      </c>
      <c r="B2381" t="s">
        <v>126</v>
      </c>
      <c r="C2381" s="2">
        <f>HYPERLINK("https://cao.dolgi.msk.ru/account/1080281563/", 1080281563)</f>
        <v>1080281563</v>
      </c>
      <c r="D2381" t="s">
        <v>2052</v>
      </c>
      <c r="E2381">
        <v>-1055</v>
      </c>
      <c r="F2381">
        <v>-0.21</v>
      </c>
      <c r="G2381" t="s">
        <v>12</v>
      </c>
      <c r="I2381" t="s">
        <v>1050</v>
      </c>
    </row>
    <row r="2382" spans="1:9" hidden="1" x14ac:dyDescent="0.25">
      <c r="A2382" t="s">
        <v>1997</v>
      </c>
      <c r="B2382" t="s">
        <v>128</v>
      </c>
      <c r="C2382" s="2">
        <f>HYPERLINK("https://cao.dolgi.msk.ru/account/1080281571/", 1080281571)</f>
        <v>1080281571</v>
      </c>
      <c r="D2382" t="s">
        <v>15</v>
      </c>
      <c r="G2382" t="s">
        <v>14</v>
      </c>
      <c r="I2382" t="s">
        <v>1050</v>
      </c>
    </row>
    <row r="2383" spans="1:9" hidden="1" x14ac:dyDescent="0.25">
      <c r="A2383" t="s">
        <v>1997</v>
      </c>
      <c r="B2383" t="s">
        <v>128</v>
      </c>
      <c r="C2383" s="2">
        <f>HYPERLINK("https://cao.dolgi.msk.ru/account/1080281598/", 1080281598)</f>
        <v>1080281598</v>
      </c>
      <c r="D2383" t="s">
        <v>2053</v>
      </c>
      <c r="E2383">
        <v>-85.89</v>
      </c>
      <c r="F2383">
        <v>-0.01</v>
      </c>
      <c r="G2383" t="s">
        <v>12</v>
      </c>
      <c r="I2383" t="s">
        <v>1050</v>
      </c>
    </row>
    <row r="2384" spans="1:9" hidden="1" x14ac:dyDescent="0.25">
      <c r="A2384" t="s">
        <v>1997</v>
      </c>
      <c r="B2384" t="s">
        <v>130</v>
      </c>
      <c r="C2384" s="2">
        <f>HYPERLINK("https://cao.dolgi.msk.ru/account/1080281619/", 1080281619)</f>
        <v>1080281619</v>
      </c>
      <c r="D2384" t="s">
        <v>2054</v>
      </c>
      <c r="E2384">
        <v>-7833.01</v>
      </c>
      <c r="F2384">
        <v>-1.02</v>
      </c>
      <c r="G2384" t="s">
        <v>12</v>
      </c>
      <c r="I2384" t="s">
        <v>1050</v>
      </c>
    </row>
    <row r="2385" spans="1:9" hidden="1" x14ac:dyDescent="0.25">
      <c r="A2385" t="s">
        <v>1997</v>
      </c>
      <c r="B2385" t="s">
        <v>132</v>
      </c>
      <c r="C2385" s="2">
        <f>HYPERLINK("https://cao.dolgi.msk.ru/account/1080281627/", 1080281627)</f>
        <v>1080281627</v>
      </c>
      <c r="D2385" t="s">
        <v>2055</v>
      </c>
      <c r="E2385">
        <v>-24859.23</v>
      </c>
      <c r="F2385">
        <v>-4.03</v>
      </c>
      <c r="G2385" t="s">
        <v>12</v>
      </c>
      <c r="I2385" t="s">
        <v>1050</v>
      </c>
    </row>
    <row r="2386" spans="1:9" hidden="1" x14ac:dyDescent="0.25">
      <c r="A2386" t="s">
        <v>1997</v>
      </c>
      <c r="B2386" t="s">
        <v>133</v>
      </c>
      <c r="C2386" s="2">
        <f>HYPERLINK("https://cao.dolgi.msk.ru/account/1080281635/", 1080281635)</f>
        <v>1080281635</v>
      </c>
      <c r="D2386" t="s">
        <v>2056</v>
      </c>
      <c r="E2386">
        <v>-8345.42</v>
      </c>
      <c r="F2386">
        <v>-1.54</v>
      </c>
      <c r="G2386" t="s">
        <v>12</v>
      </c>
      <c r="I2386" t="s">
        <v>1050</v>
      </c>
    </row>
    <row r="2387" spans="1:9" hidden="1" x14ac:dyDescent="0.25">
      <c r="A2387" t="s">
        <v>1997</v>
      </c>
      <c r="B2387" t="s">
        <v>135</v>
      </c>
      <c r="C2387" s="2">
        <f>HYPERLINK("https://cao.dolgi.msk.ru/account/1080281643/", 1080281643)</f>
        <v>1080281643</v>
      </c>
      <c r="D2387" t="s">
        <v>2057</v>
      </c>
      <c r="E2387">
        <v>-3345.95</v>
      </c>
      <c r="F2387">
        <v>-0.72</v>
      </c>
      <c r="G2387" t="s">
        <v>12</v>
      </c>
      <c r="I2387" t="s">
        <v>1050</v>
      </c>
    </row>
    <row r="2388" spans="1:9" hidden="1" x14ac:dyDescent="0.25">
      <c r="A2388" t="s">
        <v>1997</v>
      </c>
      <c r="B2388" t="s">
        <v>135</v>
      </c>
      <c r="C2388" s="2">
        <f>HYPERLINK("https://cao.dolgi.msk.ru/account/1080325001/", 1080325001)</f>
        <v>1080325001</v>
      </c>
      <c r="D2388" t="s">
        <v>2058</v>
      </c>
      <c r="E2388">
        <v>-3100.1</v>
      </c>
      <c r="F2388">
        <v>-0.66</v>
      </c>
      <c r="G2388" t="s">
        <v>12</v>
      </c>
      <c r="I2388" t="s">
        <v>1050</v>
      </c>
    </row>
    <row r="2389" spans="1:9" hidden="1" x14ac:dyDescent="0.25">
      <c r="A2389" t="s">
        <v>1997</v>
      </c>
      <c r="B2389" t="s">
        <v>137</v>
      </c>
      <c r="C2389" s="2">
        <f>HYPERLINK("https://cao.dolgi.msk.ru/account/1080281678/", 1080281678)</f>
        <v>1080281678</v>
      </c>
      <c r="D2389" t="s">
        <v>2059</v>
      </c>
      <c r="E2389">
        <v>-6307.72</v>
      </c>
      <c r="F2389">
        <v>-1.04</v>
      </c>
      <c r="G2389" t="s">
        <v>12</v>
      </c>
      <c r="I2389" t="s">
        <v>1050</v>
      </c>
    </row>
    <row r="2390" spans="1:9" hidden="1" x14ac:dyDescent="0.25">
      <c r="A2390" t="s">
        <v>1997</v>
      </c>
      <c r="B2390" t="s">
        <v>139</v>
      </c>
      <c r="C2390" s="2">
        <f>HYPERLINK("https://cao.dolgi.msk.ru/account/1080281686/", 1080281686)</f>
        <v>1080281686</v>
      </c>
      <c r="D2390" t="s">
        <v>2060</v>
      </c>
      <c r="E2390">
        <v>-20407.09</v>
      </c>
      <c r="F2390">
        <v>-2.98</v>
      </c>
      <c r="G2390" t="s">
        <v>12</v>
      </c>
      <c r="I2390" t="s">
        <v>1050</v>
      </c>
    </row>
    <row r="2391" spans="1:9" hidden="1" x14ac:dyDescent="0.25">
      <c r="A2391" t="s">
        <v>1997</v>
      </c>
      <c r="B2391" t="s">
        <v>141</v>
      </c>
      <c r="C2391" s="2">
        <f>HYPERLINK("https://cao.dolgi.msk.ru/account/1080281694/", 1080281694)</f>
        <v>1080281694</v>
      </c>
      <c r="D2391" t="s">
        <v>2061</v>
      </c>
      <c r="E2391">
        <v>-7368.55</v>
      </c>
      <c r="F2391">
        <v>-1.01</v>
      </c>
      <c r="G2391" t="s">
        <v>12</v>
      </c>
      <c r="I2391" t="s">
        <v>1050</v>
      </c>
    </row>
    <row r="2392" spans="1:9" hidden="1" x14ac:dyDescent="0.25">
      <c r="A2392" t="s">
        <v>1997</v>
      </c>
      <c r="B2392" t="s">
        <v>143</v>
      </c>
      <c r="C2392" s="2">
        <f>HYPERLINK("https://cao.dolgi.msk.ru/account/1080281707/", 1080281707)</f>
        <v>1080281707</v>
      </c>
      <c r="D2392" t="s">
        <v>2062</v>
      </c>
      <c r="E2392">
        <v>20.56</v>
      </c>
      <c r="F2392">
        <v>0</v>
      </c>
      <c r="G2392" t="s">
        <v>12</v>
      </c>
      <c r="I2392" t="s">
        <v>1050</v>
      </c>
    </row>
    <row r="2393" spans="1:9" hidden="1" x14ac:dyDescent="0.25">
      <c r="A2393" t="s">
        <v>1997</v>
      </c>
      <c r="B2393" t="s">
        <v>145</v>
      </c>
      <c r="C2393" s="2">
        <f>HYPERLINK("https://cao.dolgi.msk.ru/account/1080281715/", 1080281715)</f>
        <v>1080281715</v>
      </c>
      <c r="D2393" t="s">
        <v>2063</v>
      </c>
      <c r="E2393">
        <v>-17691.669999999998</v>
      </c>
      <c r="F2393">
        <v>-1.69</v>
      </c>
      <c r="G2393" t="s">
        <v>12</v>
      </c>
      <c r="I2393" t="s">
        <v>1050</v>
      </c>
    </row>
    <row r="2394" spans="1:9" hidden="1" x14ac:dyDescent="0.25">
      <c r="A2394" t="s">
        <v>1997</v>
      </c>
      <c r="B2394" t="s">
        <v>147</v>
      </c>
      <c r="C2394" s="2">
        <f>HYPERLINK("https://cao.dolgi.msk.ru/account/1080281723/", 1080281723)</f>
        <v>1080281723</v>
      </c>
      <c r="D2394" t="s">
        <v>2064</v>
      </c>
      <c r="E2394">
        <v>-7950.14</v>
      </c>
      <c r="F2394">
        <v>-1.01</v>
      </c>
      <c r="G2394" t="s">
        <v>12</v>
      </c>
      <c r="I2394" t="s">
        <v>1050</v>
      </c>
    </row>
    <row r="2395" spans="1:9" hidden="1" x14ac:dyDescent="0.25">
      <c r="A2395" t="s">
        <v>1997</v>
      </c>
      <c r="B2395" t="s">
        <v>147</v>
      </c>
      <c r="C2395" s="2">
        <f>HYPERLINK("https://cao.dolgi.msk.ru/account/1080281731/", 1080281731)</f>
        <v>1080281731</v>
      </c>
      <c r="D2395" t="s">
        <v>15</v>
      </c>
      <c r="E2395">
        <v>-3914.87</v>
      </c>
      <c r="G2395" t="s">
        <v>14</v>
      </c>
      <c r="I2395" t="s">
        <v>1050</v>
      </c>
    </row>
    <row r="2396" spans="1:9" hidden="1" x14ac:dyDescent="0.25">
      <c r="A2396" t="s">
        <v>1997</v>
      </c>
      <c r="B2396" t="s">
        <v>147</v>
      </c>
      <c r="C2396" s="2">
        <f>HYPERLINK("https://cao.dolgi.msk.ru/account/1080281758/", 1080281758)</f>
        <v>1080281758</v>
      </c>
      <c r="D2396" t="s">
        <v>15</v>
      </c>
      <c r="E2396">
        <v>14.49</v>
      </c>
      <c r="G2396" t="s">
        <v>14</v>
      </c>
      <c r="I2396" t="s">
        <v>1050</v>
      </c>
    </row>
    <row r="2397" spans="1:9" hidden="1" x14ac:dyDescent="0.25">
      <c r="A2397" t="s">
        <v>2065</v>
      </c>
      <c r="B2397" t="s">
        <v>10</v>
      </c>
      <c r="C2397" s="2">
        <f>HYPERLINK("https://cao.dolgi.msk.ru/account/1080281766/", 1080281766)</f>
        <v>1080281766</v>
      </c>
      <c r="D2397" t="s">
        <v>2066</v>
      </c>
      <c r="E2397">
        <v>5569.55</v>
      </c>
      <c r="F2397">
        <v>0.56000000000000005</v>
      </c>
      <c r="G2397" t="s">
        <v>12</v>
      </c>
      <c r="H2397" t="s">
        <v>7</v>
      </c>
      <c r="I2397" t="s">
        <v>1050</v>
      </c>
    </row>
    <row r="2398" spans="1:9" hidden="1" x14ac:dyDescent="0.25">
      <c r="A2398" t="s">
        <v>2065</v>
      </c>
      <c r="B2398" t="s">
        <v>10</v>
      </c>
      <c r="C2398" s="2">
        <f>HYPERLINK("https://cao.dolgi.msk.ru/account/1080281774/", 1080281774)</f>
        <v>1080281774</v>
      </c>
      <c r="D2398" t="s">
        <v>2066</v>
      </c>
      <c r="E2398">
        <v>-2669.8</v>
      </c>
      <c r="F2398">
        <v>-1.26</v>
      </c>
      <c r="G2398" t="s">
        <v>12</v>
      </c>
      <c r="H2398" t="s">
        <v>7</v>
      </c>
      <c r="I2398" t="s">
        <v>1050</v>
      </c>
    </row>
    <row r="2399" spans="1:9" hidden="1" x14ac:dyDescent="0.25">
      <c r="A2399" t="s">
        <v>2065</v>
      </c>
      <c r="B2399" t="s">
        <v>16</v>
      </c>
      <c r="C2399" s="2">
        <f>HYPERLINK("https://cao.dolgi.msk.ru/account/1080281782/", 1080281782)</f>
        <v>1080281782</v>
      </c>
      <c r="D2399" t="s">
        <v>2067</v>
      </c>
      <c r="E2399">
        <v>315.17</v>
      </c>
      <c r="F2399">
        <v>0.06</v>
      </c>
      <c r="G2399" t="s">
        <v>12</v>
      </c>
      <c r="H2399" t="s">
        <v>7</v>
      </c>
      <c r="I2399" t="s">
        <v>1050</v>
      </c>
    </row>
    <row r="2400" spans="1:9" hidden="1" x14ac:dyDescent="0.25">
      <c r="A2400" t="s">
        <v>2065</v>
      </c>
      <c r="B2400" t="s">
        <v>16</v>
      </c>
      <c r="C2400" s="2">
        <f>HYPERLINK("https://cao.dolgi.msk.ru/account/1080281803/", 1080281803)</f>
        <v>1080281803</v>
      </c>
      <c r="D2400" t="s">
        <v>2068</v>
      </c>
      <c r="E2400">
        <v>-10954.28</v>
      </c>
      <c r="F2400">
        <v>-5.49</v>
      </c>
      <c r="G2400" t="s">
        <v>12</v>
      </c>
      <c r="H2400" t="s">
        <v>7</v>
      </c>
      <c r="I2400" t="s">
        <v>1050</v>
      </c>
    </row>
    <row r="2401" spans="1:9" hidden="1" x14ac:dyDescent="0.25">
      <c r="A2401" t="s">
        <v>2065</v>
      </c>
      <c r="B2401" t="s">
        <v>16</v>
      </c>
      <c r="C2401" s="2">
        <f>HYPERLINK("https://cao.dolgi.msk.ru/account/1080281811/", 1080281811)</f>
        <v>1080281811</v>
      </c>
      <c r="D2401" t="s">
        <v>2068</v>
      </c>
      <c r="E2401">
        <v>-168.49</v>
      </c>
      <c r="F2401">
        <v>-0.03</v>
      </c>
      <c r="G2401" t="s">
        <v>12</v>
      </c>
      <c r="H2401" t="s">
        <v>7</v>
      </c>
      <c r="I2401" t="s">
        <v>1050</v>
      </c>
    </row>
    <row r="2402" spans="1:9" hidden="1" x14ac:dyDescent="0.25">
      <c r="A2402" t="s">
        <v>2065</v>
      </c>
      <c r="B2402" t="s">
        <v>18</v>
      </c>
      <c r="C2402" s="2">
        <f>HYPERLINK("https://cao.dolgi.msk.ru/account/1080281838/", 1080281838)</f>
        <v>1080281838</v>
      </c>
      <c r="D2402" t="s">
        <v>2069</v>
      </c>
      <c r="E2402">
        <v>-8709.1200000000008</v>
      </c>
      <c r="F2402">
        <v>-0.96</v>
      </c>
      <c r="G2402" t="s">
        <v>12</v>
      </c>
      <c r="I2402" t="s">
        <v>1050</v>
      </c>
    </row>
    <row r="2403" spans="1:9" hidden="1" x14ac:dyDescent="0.25">
      <c r="A2403" t="s">
        <v>2065</v>
      </c>
      <c r="B2403" t="s">
        <v>20</v>
      </c>
      <c r="C2403" s="2">
        <f>HYPERLINK("https://cao.dolgi.msk.ru/account/1080281846/", 1080281846)</f>
        <v>1080281846</v>
      </c>
      <c r="D2403" t="s">
        <v>2070</v>
      </c>
      <c r="E2403">
        <v>-10101.59</v>
      </c>
      <c r="F2403">
        <v>-0.97</v>
      </c>
      <c r="G2403" t="s">
        <v>12</v>
      </c>
      <c r="I2403" t="s">
        <v>1050</v>
      </c>
    </row>
    <row r="2404" spans="1:9" hidden="1" x14ac:dyDescent="0.25">
      <c r="A2404" t="s">
        <v>2065</v>
      </c>
      <c r="B2404" t="s">
        <v>21</v>
      </c>
      <c r="C2404" s="2">
        <f>HYPERLINK("https://cao.dolgi.msk.ru/account/1080281854/", 1080281854)</f>
        <v>1080281854</v>
      </c>
      <c r="D2404" t="s">
        <v>2071</v>
      </c>
      <c r="E2404">
        <v>-5117.8100000000004</v>
      </c>
      <c r="F2404">
        <v>-0.74</v>
      </c>
      <c r="G2404" t="s">
        <v>12</v>
      </c>
      <c r="I2404" t="s">
        <v>1050</v>
      </c>
    </row>
    <row r="2405" spans="1:9" hidden="1" x14ac:dyDescent="0.25">
      <c r="A2405" t="s">
        <v>2065</v>
      </c>
      <c r="B2405" t="s">
        <v>22</v>
      </c>
      <c r="C2405" s="2">
        <f>HYPERLINK("https://cao.dolgi.msk.ru/account/1080281862/", 1080281862)</f>
        <v>1080281862</v>
      </c>
      <c r="D2405" t="s">
        <v>2072</v>
      </c>
      <c r="E2405">
        <v>3058.32</v>
      </c>
      <c r="F2405">
        <v>0.28000000000000003</v>
      </c>
      <c r="G2405" t="s">
        <v>12</v>
      </c>
      <c r="I2405" t="s">
        <v>1050</v>
      </c>
    </row>
    <row r="2406" spans="1:9" hidden="1" x14ac:dyDescent="0.25">
      <c r="A2406" t="s">
        <v>2065</v>
      </c>
      <c r="B2406" t="s">
        <v>23</v>
      </c>
      <c r="C2406" s="2">
        <f>HYPERLINK("https://cao.dolgi.msk.ru/account/1080281889/", 1080281889)</f>
        <v>1080281889</v>
      </c>
      <c r="D2406" t="s">
        <v>2073</v>
      </c>
      <c r="E2406">
        <v>-5268.78</v>
      </c>
      <c r="F2406">
        <v>-1.08</v>
      </c>
      <c r="G2406" t="s">
        <v>12</v>
      </c>
      <c r="H2406" t="s">
        <v>7</v>
      </c>
      <c r="I2406" t="s">
        <v>1050</v>
      </c>
    </row>
    <row r="2407" spans="1:9" hidden="1" x14ac:dyDescent="0.25">
      <c r="A2407" t="s">
        <v>2065</v>
      </c>
      <c r="B2407" t="s">
        <v>23</v>
      </c>
      <c r="C2407" s="2">
        <f>HYPERLINK("https://cao.dolgi.msk.ru/account/1080281897/", 1080281897)</f>
        <v>1080281897</v>
      </c>
      <c r="D2407" t="s">
        <v>2073</v>
      </c>
      <c r="E2407">
        <v>-2682.26</v>
      </c>
      <c r="F2407">
        <v>-1.0900000000000001</v>
      </c>
      <c r="G2407" t="s">
        <v>12</v>
      </c>
      <c r="H2407" t="s">
        <v>7</v>
      </c>
      <c r="I2407" t="s">
        <v>1050</v>
      </c>
    </row>
    <row r="2408" spans="1:9" hidden="1" x14ac:dyDescent="0.25">
      <c r="A2408" t="s">
        <v>2065</v>
      </c>
      <c r="B2408" t="s">
        <v>24</v>
      </c>
      <c r="C2408" s="2">
        <f>HYPERLINK("https://cao.dolgi.msk.ru/account/1080281918/", 1080281918)</f>
        <v>1080281918</v>
      </c>
      <c r="D2408" t="s">
        <v>2074</v>
      </c>
      <c r="E2408">
        <v>-11376.29</v>
      </c>
      <c r="F2408">
        <v>-1.06</v>
      </c>
      <c r="G2408" t="s">
        <v>12</v>
      </c>
      <c r="I2408" t="s">
        <v>1050</v>
      </c>
    </row>
    <row r="2409" spans="1:9" hidden="1" x14ac:dyDescent="0.25">
      <c r="A2409" t="s">
        <v>2065</v>
      </c>
      <c r="B2409" t="s">
        <v>27</v>
      </c>
      <c r="C2409" s="2">
        <f>HYPERLINK("https://cao.dolgi.msk.ru/account/1080281926/", 1080281926)</f>
        <v>1080281926</v>
      </c>
      <c r="D2409" t="s">
        <v>2075</v>
      </c>
      <c r="E2409">
        <v>-9541.5300000000007</v>
      </c>
      <c r="F2409">
        <v>-1.28</v>
      </c>
      <c r="G2409" t="s">
        <v>12</v>
      </c>
      <c r="I2409" t="s">
        <v>1050</v>
      </c>
    </row>
    <row r="2410" spans="1:9" hidden="1" x14ac:dyDescent="0.25">
      <c r="A2410" t="s">
        <v>2065</v>
      </c>
      <c r="B2410" t="s">
        <v>29</v>
      </c>
      <c r="C2410" s="2">
        <f>HYPERLINK("https://cao.dolgi.msk.ru/account/1080281934/", 1080281934)</f>
        <v>1080281934</v>
      </c>
      <c r="D2410" t="s">
        <v>2076</v>
      </c>
      <c r="E2410">
        <v>-10.09</v>
      </c>
      <c r="F2410">
        <v>0</v>
      </c>
      <c r="G2410" t="s">
        <v>12</v>
      </c>
      <c r="H2410" t="s">
        <v>7</v>
      </c>
      <c r="I2410" t="s">
        <v>1050</v>
      </c>
    </row>
    <row r="2411" spans="1:9" hidden="1" x14ac:dyDescent="0.25">
      <c r="A2411" t="s">
        <v>2065</v>
      </c>
      <c r="B2411" t="s">
        <v>29</v>
      </c>
      <c r="C2411" s="2">
        <f>HYPERLINK("https://cao.dolgi.msk.ru/account/1080281942/", 1080281942)</f>
        <v>1080281942</v>
      </c>
      <c r="D2411" t="s">
        <v>15</v>
      </c>
      <c r="E2411">
        <v>-3876.21</v>
      </c>
      <c r="F2411">
        <v>-0.99</v>
      </c>
      <c r="G2411" t="s">
        <v>12</v>
      </c>
      <c r="H2411" t="s">
        <v>7</v>
      </c>
      <c r="I2411" t="s">
        <v>1050</v>
      </c>
    </row>
    <row r="2412" spans="1:9" x14ac:dyDescent="0.25">
      <c r="A2412" t="s">
        <v>2065</v>
      </c>
      <c r="B2412" t="s">
        <v>29</v>
      </c>
      <c r="C2412" s="2">
        <f>HYPERLINK("https://cao.dolgi.msk.ru/account/1080281969/", 1080281969)</f>
        <v>1080281969</v>
      </c>
      <c r="D2412" t="s">
        <v>2076</v>
      </c>
      <c r="E2412">
        <v>4724.17</v>
      </c>
      <c r="F2412">
        <v>1.37</v>
      </c>
      <c r="G2412" t="s">
        <v>12</v>
      </c>
      <c r="H2412" t="s">
        <v>7</v>
      </c>
      <c r="I2412" t="s">
        <v>1050</v>
      </c>
    </row>
    <row r="2413" spans="1:9" hidden="1" x14ac:dyDescent="0.25">
      <c r="A2413" t="s">
        <v>2065</v>
      </c>
      <c r="B2413" t="s">
        <v>31</v>
      </c>
      <c r="C2413" s="2">
        <f>HYPERLINK("https://cao.dolgi.msk.ru/account/1080281977/", 1080281977)</f>
        <v>1080281977</v>
      </c>
      <c r="D2413" t="s">
        <v>2077</v>
      </c>
      <c r="E2413">
        <v>-3583.63</v>
      </c>
      <c r="F2413">
        <v>-1.27</v>
      </c>
      <c r="G2413" t="s">
        <v>12</v>
      </c>
      <c r="I2413" t="s">
        <v>1050</v>
      </c>
    </row>
    <row r="2414" spans="1:9" hidden="1" x14ac:dyDescent="0.25">
      <c r="A2414" t="s">
        <v>2065</v>
      </c>
      <c r="B2414" t="s">
        <v>33</v>
      </c>
      <c r="C2414" s="2">
        <f>HYPERLINK("https://cao.dolgi.msk.ru/account/1080281985/", 1080281985)</f>
        <v>1080281985</v>
      </c>
      <c r="D2414" t="s">
        <v>2078</v>
      </c>
      <c r="E2414">
        <v>-1.31</v>
      </c>
      <c r="F2414">
        <v>0</v>
      </c>
      <c r="G2414" t="s">
        <v>12</v>
      </c>
      <c r="I2414" t="s">
        <v>1050</v>
      </c>
    </row>
    <row r="2415" spans="1:9" hidden="1" x14ac:dyDescent="0.25">
      <c r="A2415" t="s">
        <v>2065</v>
      </c>
      <c r="B2415" t="s">
        <v>34</v>
      </c>
      <c r="C2415" s="2">
        <f>HYPERLINK("https://cao.dolgi.msk.ru/account/1080281993/", 1080281993)</f>
        <v>1080281993</v>
      </c>
      <c r="D2415" t="s">
        <v>2079</v>
      </c>
      <c r="E2415">
        <v>6276.87</v>
      </c>
      <c r="F2415">
        <v>1</v>
      </c>
      <c r="G2415" t="s">
        <v>12</v>
      </c>
      <c r="I2415" t="s">
        <v>1050</v>
      </c>
    </row>
    <row r="2416" spans="1:9" hidden="1" x14ac:dyDescent="0.25">
      <c r="A2416" t="s">
        <v>2065</v>
      </c>
      <c r="B2416" t="s">
        <v>36</v>
      </c>
      <c r="C2416" s="2">
        <f>HYPERLINK("https://cao.dolgi.msk.ru/account/1080282005/", 1080282005)</f>
        <v>1080282005</v>
      </c>
      <c r="D2416" t="s">
        <v>2080</v>
      </c>
      <c r="E2416">
        <v>-3284.22</v>
      </c>
      <c r="F2416">
        <v>-1.01</v>
      </c>
      <c r="G2416" t="s">
        <v>12</v>
      </c>
      <c r="I2416" t="s">
        <v>1050</v>
      </c>
    </row>
    <row r="2417" spans="1:9" hidden="1" x14ac:dyDescent="0.25">
      <c r="A2417" t="s">
        <v>2065</v>
      </c>
      <c r="B2417" t="s">
        <v>38</v>
      </c>
      <c r="C2417" s="2">
        <f>HYPERLINK("https://cao.dolgi.msk.ru/account/1080282013/", 1080282013)</f>
        <v>1080282013</v>
      </c>
      <c r="D2417" t="s">
        <v>2081</v>
      </c>
      <c r="E2417">
        <v>-8013.24</v>
      </c>
      <c r="F2417">
        <v>-1.01</v>
      </c>
      <c r="G2417" t="s">
        <v>12</v>
      </c>
      <c r="I2417" t="s">
        <v>1050</v>
      </c>
    </row>
    <row r="2418" spans="1:9" hidden="1" x14ac:dyDescent="0.25">
      <c r="A2418" t="s">
        <v>2065</v>
      </c>
      <c r="B2418" t="s">
        <v>39</v>
      </c>
      <c r="C2418" s="2">
        <f>HYPERLINK("https://cao.dolgi.msk.ru/account/1080282021/", 1080282021)</f>
        <v>1080282021</v>
      </c>
      <c r="D2418" t="s">
        <v>2082</v>
      </c>
      <c r="E2418">
        <v>-4140.71</v>
      </c>
      <c r="F2418">
        <v>-0.92</v>
      </c>
      <c r="G2418" t="s">
        <v>12</v>
      </c>
      <c r="I2418" t="s">
        <v>1050</v>
      </c>
    </row>
    <row r="2419" spans="1:9" hidden="1" x14ac:dyDescent="0.25">
      <c r="A2419" t="s">
        <v>2065</v>
      </c>
      <c r="B2419" t="s">
        <v>40</v>
      </c>
      <c r="C2419" s="2">
        <f>HYPERLINK("https://cao.dolgi.msk.ru/account/1080282048/", 1080282048)</f>
        <v>1080282048</v>
      </c>
      <c r="D2419" t="s">
        <v>2083</v>
      </c>
      <c r="E2419">
        <v>-6523.55</v>
      </c>
      <c r="F2419">
        <v>-0.99</v>
      </c>
      <c r="G2419" t="s">
        <v>12</v>
      </c>
      <c r="I2419" t="s">
        <v>1050</v>
      </c>
    </row>
    <row r="2420" spans="1:9" hidden="1" x14ac:dyDescent="0.25">
      <c r="A2420" t="s">
        <v>2065</v>
      </c>
      <c r="B2420" t="s">
        <v>41</v>
      </c>
      <c r="C2420" s="2">
        <f>HYPERLINK("https://cao.dolgi.msk.ru/account/1080282056/", 1080282056)</f>
        <v>1080282056</v>
      </c>
      <c r="D2420" t="s">
        <v>2084</v>
      </c>
      <c r="E2420">
        <v>-1416.45</v>
      </c>
      <c r="F2420">
        <v>-1.08</v>
      </c>
      <c r="G2420" t="s">
        <v>12</v>
      </c>
      <c r="I2420" t="s">
        <v>1050</v>
      </c>
    </row>
    <row r="2421" spans="1:9" hidden="1" x14ac:dyDescent="0.25">
      <c r="A2421" t="s">
        <v>2065</v>
      </c>
      <c r="B2421" t="s">
        <v>42</v>
      </c>
      <c r="C2421" s="2">
        <f>HYPERLINK("https://cao.dolgi.msk.ru/account/1080282064/", 1080282064)</f>
        <v>1080282064</v>
      </c>
      <c r="D2421" t="s">
        <v>2085</v>
      </c>
      <c r="E2421">
        <v>-4135.2</v>
      </c>
      <c r="F2421">
        <v>-0.93</v>
      </c>
      <c r="G2421" t="s">
        <v>12</v>
      </c>
      <c r="I2421" t="s">
        <v>1050</v>
      </c>
    </row>
    <row r="2422" spans="1:9" hidden="1" x14ac:dyDescent="0.25">
      <c r="A2422" t="s">
        <v>2065</v>
      </c>
      <c r="B2422" t="s">
        <v>44</v>
      </c>
      <c r="C2422" s="2">
        <f>HYPERLINK("https://cao.dolgi.msk.ru/account/1080282072/", 1080282072)</f>
        <v>1080282072</v>
      </c>
      <c r="D2422" t="s">
        <v>2086</v>
      </c>
      <c r="E2422">
        <v>-1798.02</v>
      </c>
      <c r="F2422">
        <v>-1.2</v>
      </c>
      <c r="G2422" t="s">
        <v>12</v>
      </c>
      <c r="I2422" t="s">
        <v>1050</v>
      </c>
    </row>
    <row r="2423" spans="1:9" hidden="1" x14ac:dyDescent="0.25">
      <c r="A2423" t="s">
        <v>2065</v>
      </c>
      <c r="B2423" t="s">
        <v>66</v>
      </c>
      <c r="C2423" s="2">
        <f>HYPERLINK("https://cao.dolgi.msk.ru/account/1080282099/", 1080282099)</f>
        <v>1080282099</v>
      </c>
      <c r="D2423" t="s">
        <v>2087</v>
      </c>
      <c r="E2423">
        <v>-3413.15</v>
      </c>
      <c r="F2423">
        <v>-1.1000000000000001</v>
      </c>
      <c r="G2423" t="s">
        <v>12</v>
      </c>
      <c r="I2423" t="s">
        <v>1050</v>
      </c>
    </row>
    <row r="2424" spans="1:9" hidden="1" x14ac:dyDescent="0.25">
      <c r="A2424" t="s">
        <v>2065</v>
      </c>
      <c r="B2424" t="s">
        <v>68</v>
      </c>
      <c r="C2424" s="2">
        <f>HYPERLINK("https://cao.dolgi.msk.ru/account/1080282101/", 1080282101)</f>
        <v>1080282101</v>
      </c>
      <c r="D2424" t="s">
        <v>2088</v>
      </c>
      <c r="E2424">
        <v>-7135.62</v>
      </c>
      <c r="F2424">
        <v>-2.76</v>
      </c>
      <c r="G2424" t="s">
        <v>12</v>
      </c>
      <c r="I2424" t="s">
        <v>1050</v>
      </c>
    </row>
    <row r="2425" spans="1:9" hidden="1" x14ac:dyDescent="0.25">
      <c r="A2425" t="s">
        <v>2065</v>
      </c>
      <c r="B2425" t="s">
        <v>68</v>
      </c>
      <c r="C2425" s="2">
        <f>HYPERLINK("https://cao.dolgi.msk.ru/account/1089118033/", 1089118033)</f>
        <v>1089118033</v>
      </c>
      <c r="D2425" t="s">
        <v>15</v>
      </c>
      <c r="E2425">
        <v>0</v>
      </c>
      <c r="G2425" t="s">
        <v>14</v>
      </c>
      <c r="I2425" t="s">
        <v>1050</v>
      </c>
    </row>
    <row r="2426" spans="1:9" hidden="1" x14ac:dyDescent="0.25">
      <c r="A2426" t="s">
        <v>2065</v>
      </c>
      <c r="B2426" t="s">
        <v>70</v>
      </c>
      <c r="C2426" s="2">
        <f>HYPERLINK("https://cao.dolgi.msk.ru/account/1080282128/", 1080282128)</f>
        <v>1080282128</v>
      </c>
      <c r="D2426" t="s">
        <v>2089</v>
      </c>
      <c r="E2426">
        <v>-3060.16</v>
      </c>
      <c r="F2426">
        <v>-0.96</v>
      </c>
      <c r="G2426" t="s">
        <v>12</v>
      </c>
      <c r="I2426" t="s">
        <v>1050</v>
      </c>
    </row>
    <row r="2427" spans="1:9" hidden="1" x14ac:dyDescent="0.25">
      <c r="A2427" t="s">
        <v>2065</v>
      </c>
      <c r="B2427" t="s">
        <v>72</v>
      </c>
      <c r="C2427" s="2">
        <f>HYPERLINK("https://cao.dolgi.msk.ru/account/1080282136/", 1080282136)</f>
        <v>1080282136</v>
      </c>
      <c r="D2427" t="s">
        <v>2090</v>
      </c>
      <c r="E2427">
        <v>-2095.02</v>
      </c>
      <c r="F2427">
        <v>-1.0900000000000001</v>
      </c>
      <c r="G2427" t="s">
        <v>12</v>
      </c>
      <c r="I2427" t="s">
        <v>1050</v>
      </c>
    </row>
    <row r="2428" spans="1:9" hidden="1" x14ac:dyDescent="0.25">
      <c r="A2428" t="s">
        <v>2065</v>
      </c>
      <c r="B2428" t="s">
        <v>74</v>
      </c>
      <c r="C2428" s="2">
        <f>HYPERLINK("https://cao.dolgi.msk.ru/account/1080282144/", 1080282144)</f>
        <v>1080282144</v>
      </c>
      <c r="D2428" t="s">
        <v>2091</v>
      </c>
      <c r="E2428">
        <v>-4746.42</v>
      </c>
      <c r="F2428">
        <v>-0.95</v>
      </c>
      <c r="G2428" t="s">
        <v>12</v>
      </c>
      <c r="I2428" t="s">
        <v>1050</v>
      </c>
    </row>
    <row r="2429" spans="1:9" hidden="1" x14ac:dyDescent="0.25">
      <c r="A2429" t="s">
        <v>2065</v>
      </c>
      <c r="B2429" t="s">
        <v>76</v>
      </c>
      <c r="C2429" s="2">
        <f>HYPERLINK("https://cao.dolgi.msk.ru/account/1080282152/", 1080282152)</f>
        <v>1080282152</v>
      </c>
      <c r="D2429" t="s">
        <v>2092</v>
      </c>
      <c r="E2429">
        <v>-582.33000000000004</v>
      </c>
      <c r="F2429">
        <v>-0.19</v>
      </c>
      <c r="G2429" t="s">
        <v>12</v>
      </c>
      <c r="I2429" t="s">
        <v>1050</v>
      </c>
    </row>
    <row r="2430" spans="1:9" hidden="1" x14ac:dyDescent="0.25">
      <c r="A2430" t="s">
        <v>2065</v>
      </c>
      <c r="B2430" t="s">
        <v>78</v>
      </c>
      <c r="C2430" s="2">
        <f>HYPERLINK("https://cao.dolgi.msk.ru/account/1080282179/", 1080282179)</f>
        <v>1080282179</v>
      </c>
      <c r="D2430" t="s">
        <v>2093</v>
      </c>
      <c r="E2430">
        <v>-2286</v>
      </c>
      <c r="F2430">
        <v>-0.98</v>
      </c>
      <c r="G2430" t="s">
        <v>12</v>
      </c>
      <c r="I2430" t="s">
        <v>1050</v>
      </c>
    </row>
    <row r="2431" spans="1:9" hidden="1" x14ac:dyDescent="0.25">
      <c r="A2431" t="s">
        <v>2065</v>
      </c>
      <c r="B2431" t="s">
        <v>80</v>
      </c>
      <c r="C2431" s="2">
        <f>HYPERLINK("https://cao.dolgi.msk.ru/account/1080282187/", 1080282187)</f>
        <v>1080282187</v>
      </c>
      <c r="D2431" t="s">
        <v>2094</v>
      </c>
      <c r="E2431">
        <v>-19.399999999999999</v>
      </c>
      <c r="F2431">
        <v>0</v>
      </c>
      <c r="G2431" t="s">
        <v>12</v>
      </c>
      <c r="I2431" t="s">
        <v>1050</v>
      </c>
    </row>
    <row r="2432" spans="1:9" hidden="1" x14ac:dyDescent="0.25">
      <c r="A2432" t="s">
        <v>2065</v>
      </c>
      <c r="B2432" t="s">
        <v>82</v>
      </c>
      <c r="C2432" s="2">
        <f>HYPERLINK("https://cao.dolgi.msk.ru/account/1080282195/", 1080282195)</f>
        <v>1080282195</v>
      </c>
      <c r="D2432" t="s">
        <v>2095</v>
      </c>
      <c r="E2432">
        <v>-924.5</v>
      </c>
      <c r="F2432">
        <v>-0.23</v>
      </c>
      <c r="G2432" t="s">
        <v>12</v>
      </c>
      <c r="I2432" t="s">
        <v>1050</v>
      </c>
    </row>
    <row r="2433" spans="1:9" hidden="1" x14ac:dyDescent="0.25">
      <c r="A2433" t="s">
        <v>2065</v>
      </c>
      <c r="B2433" t="s">
        <v>84</v>
      </c>
      <c r="C2433" s="2">
        <f>HYPERLINK("https://cao.dolgi.msk.ru/account/1080282208/", 1080282208)</f>
        <v>1080282208</v>
      </c>
      <c r="D2433" t="s">
        <v>2096</v>
      </c>
      <c r="E2433">
        <v>49.84</v>
      </c>
      <c r="F2433">
        <v>0.02</v>
      </c>
      <c r="G2433" t="s">
        <v>12</v>
      </c>
      <c r="I2433" t="s">
        <v>1050</v>
      </c>
    </row>
    <row r="2434" spans="1:9" hidden="1" x14ac:dyDescent="0.25">
      <c r="A2434" t="s">
        <v>2065</v>
      </c>
      <c r="B2434" t="s">
        <v>86</v>
      </c>
      <c r="C2434" s="2">
        <f>HYPERLINK("https://cao.dolgi.msk.ru/account/1080282216/", 1080282216)</f>
        <v>1080282216</v>
      </c>
      <c r="D2434" t="s">
        <v>2097</v>
      </c>
      <c r="E2434">
        <v>-4550.38</v>
      </c>
      <c r="F2434">
        <v>-0.98</v>
      </c>
      <c r="G2434" t="s">
        <v>12</v>
      </c>
      <c r="I2434" t="s">
        <v>1050</v>
      </c>
    </row>
    <row r="2435" spans="1:9" hidden="1" x14ac:dyDescent="0.25">
      <c r="A2435" t="s">
        <v>2065</v>
      </c>
      <c r="B2435" t="s">
        <v>88</v>
      </c>
      <c r="C2435" s="2">
        <f>HYPERLINK("https://cao.dolgi.msk.ru/account/1080282224/", 1080282224)</f>
        <v>1080282224</v>
      </c>
      <c r="D2435" t="s">
        <v>2098</v>
      </c>
      <c r="E2435">
        <v>-5131.8999999999996</v>
      </c>
      <c r="F2435">
        <v>-1.44</v>
      </c>
      <c r="G2435" t="s">
        <v>12</v>
      </c>
      <c r="I2435" t="s">
        <v>1050</v>
      </c>
    </row>
    <row r="2436" spans="1:9" hidden="1" x14ac:dyDescent="0.25">
      <c r="A2436" t="s">
        <v>2065</v>
      </c>
      <c r="B2436" t="s">
        <v>90</v>
      </c>
      <c r="C2436" s="2">
        <f>HYPERLINK("https://cao.dolgi.msk.ru/account/1080282232/", 1080282232)</f>
        <v>1080282232</v>
      </c>
      <c r="D2436" t="s">
        <v>2099</v>
      </c>
      <c r="E2436">
        <v>-921.26</v>
      </c>
      <c r="F2436">
        <v>-0.25</v>
      </c>
      <c r="G2436" t="s">
        <v>12</v>
      </c>
      <c r="I2436" t="s">
        <v>1050</v>
      </c>
    </row>
    <row r="2437" spans="1:9" hidden="1" x14ac:dyDescent="0.25">
      <c r="A2437" t="s">
        <v>2065</v>
      </c>
      <c r="B2437" t="s">
        <v>92</v>
      </c>
      <c r="C2437" s="2">
        <f>HYPERLINK("https://cao.dolgi.msk.ru/account/1080282259/", 1080282259)</f>
        <v>1080282259</v>
      </c>
      <c r="D2437" t="s">
        <v>736</v>
      </c>
      <c r="E2437">
        <v>-3038.23</v>
      </c>
      <c r="F2437">
        <v>-0.55000000000000004</v>
      </c>
      <c r="G2437" t="s">
        <v>12</v>
      </c>
      <c r="I2437" t="s">
        <v>1050</v>
      </c>
    </row>
    <row r="2438" spans="1:9" x14ac:dyDescent="0.25">
      <c r="A2438" t="s">
        <v>2065</v>
      </c>
      <c r="B2438" t="s">
        <v>94</v>
      </c>
      <c r="C2438" s="2">
        <f>HYPERLINK("https://cao.dolgi.msk.ru/account/1080282267/", 1080282267)</f>
        <v>1080282267</v>
      </c>
      <c r="D2438" t="s">
        <v>2100</v>
      </c>
      <c r="E2438">
        <v>3907.94</v>
      </c>
      <c r="F2438">
        <v>1.06</v>
      </c>
      <c r="G2438" t="s">
        <v>12</v>
      </c>
      <c r="I2438" t="s">
        <v>1050</v>
      </c>
    </row>
    <row r="2439" spans="1:9" x14ac:dyDescent="0.25">
      <c r="A2439" t="s">
        <v>2065</v>
      </c>
      <c r="B2439" t="s">
        <v>96</v>
      </c>
      <c r="C2439" s="2">
        <f>HYPERLINK("https://cao.dolgi.msk.ru/account/1080282275/", 1080282275)</f>
        <v>1080282275</v>
      </c>
      <c r="D2439" t="s">
        <v>2101</v>
      </c>
      <c r="E2439">
        <v>6417.33</v>
      </c>
      <c r="F2439">
        <v>1.1100000000000001</v>
      </c>
      <c r="G2439" t="s">
        <v>12</v>
      </c>
      <c r="I2439" t="s">
        <v>1050</v>
      </c>
    </row>
    <row r="2440" spans="1:9" hidden="1" x14ac:dyDescent="0.25">
      <c r="A2440" t="s">
        <v>2065</v>
      </c>
      <c r="B2440" t="s">
        <v>98</v>
      </c>
      <c r="C2440" s="2">
        <f>HYPERLINK("https://cao.dolgi.msk.ru/account/1080282283/", 1080282283)</f>
        <v>1080282283</v>
      </c>
      <c r="D2440" t="s">
        <v>2102</v>
      </c>
      <c r="E2440">
        <v>-3647.64</v>
      </c>
      <c r="F2440">
        <v>-0.93</v>
      </c>
      <c r="G2440" t="s">
        <v>12</v>
      </c>
      <c r="I2440" t="s">
        <v>1050</v>
      </c>
    </row>
    <row r="2441" spans="1:9" hidden="1" x14ac:dyDescent="0.25">
      <c r="A2441" t="s">
        <v>2065</v>
      </c>
      <c r="B2441" t="s">
        <v>100</v>
      </c>
      <c r="C2441" s="2">
        <f>HYPERLINK("https://cao.dolgi.msk.ru/account/1080282291/", 1080282291)</f>
        <v>1080282291</v>
      </c>
      <c r="D2441" t="s">
        <v>2103</v>
      </c>
      <c r="E2441">
        <v>51.75</v>
      </c>
      <c r="F2441">
        <v>0.01</v>
      </c>
      <c r="G2441" t="s">
        <v>12</v>
      </c>
      <c r="I2441" t="s">
        <v>1050</v>
      </c>
    </row>
    <row r="2442" spans="1:9" hidden="1" x14ac:dyDescent="0.25">
      <c r="A2442" t="s">
        <v>2065</v>
      </c>
      <c r="B2442" t="s">
        <v>102</v>
      </c>
      <c r="C2442" s="2">
        <f>HYPERLINK("https://cao.dolgi.msk.ru/account/1080282304/", 1080282304)</f>
        <v>1080282304</v>
      </c>
      <c r="D2442" t="s">
        <v>2104</v>
      </c>
      <c r="E2442">
        <v>-2822.01</v>
      </c>
      <c r="F2442">
        <v>-0.94</v>
      </c>
      <c r="G2442" t="s">
        <v>12</v>
      </c>
      <c r="I2442" t="s">
        <v>1050</v>
      </c>
    </row>
    <row r="2443" spans="1:9" hidden="1" x14ac:dyDescent="0.25">
      <c r="A2443" t="s">
        <v>2065</v>
      </c>
      <c r="B2443" t="s">
        <v>104</v>
      </c>
      <c r="C2443" s="2">
        <f>HYPERLINK("https://cao.dolgi.msk.ru/account/1080282312/", 1080282312)</f>
        <v>1080282312</v>
      </c>
      <c r="D2443" t="s">
        <v>2105</v>
      </c>
      <c r="E2443">
        <v>-24805.05</v>
      </c>
      <c r="F2443">
        <v>-7.13</v>
      </c>
      <c r="G2443" t="s">
        <v>12</v>
      </c>
      <c r="I2443" t="s">
        <v>1050</v>
      </c>
    </row>
    <row r="2444" spans="1:9" hidden="1" x14ac:dyDescent="0.25">
      <c r="A2444" t="s">
        <v>2065</v>
      </c>
      <c r="B2444" t="s">
        <v>106</v>
      </c>
      <c r="C2444" s="2">
        <f>HYPERLINK("https://cao.dolgi.msk.ru/account/1080282339/", 1080282339)</f>
        <v>1080282339</v>
      </c>
      <c r="D2444" t="s">
        <v>2106</v>
      </c>
      <c r="E2444">
        <v>-8946.31</v>
      </c>
      <c r="F2444">
        <v>-0.56999999999999995</v>
      </c>
      <c r="G2444" t="s">
        <v>12</v>
      </c>
      <c r="I2444" t="s">
        <v>1050</v>
      </c>
    </row>
    <row r="2445" spans="1:9" hidden="1" x14ac:dyDescent="0.25">
      <c r="A2445" t="s">
        <v>2065</v>
      </c>
      <c r="B2445" t="s">
        <v>108</v>
      </c>
      <c r="C2445" s="2">
        <f>HYPERLINK("https://cao.dolgi.msk.ru/account/1080282347/", 1080282347)</f>
        <v>1080282347</v>
      </c>
      <c r="D2445" t="s">
        <v>2107</v>
      </c>
      <c r="E2445">
        <v>-4445.34</v>
      </c>
      <c r="F2445">
        <v>-0.94</v>
      </c>
      <c r="G2445" t="s">
        <v>12</v>
      </c>
      <c r="I2445" t="s">
        <v>1050</v>
      </c>
    </row>
    <row r="2446" spans="1:9" hidden="1" x14ac:dyDescent="0.25">
      <c r="A2446" t="s">
        <v>2065</v>
      </c>
      <c r="B2446" t="s">
        <v>110</v>
      </c>
      <c r="C2446" s="2">
        <f>HYPERLINK("https://cao.dolgi.msk.ru/account/1080282355/", 1080282355)</f>
        <v>1080282355</v>
      </c>
      <c r="D2446" t="s">
        <v>2108</v>
      </c>
      <c r="E2446">
        <v>-1487.08</v>
      </c>
      <c r="F2446">
        <v>-0.64</v>
      </c>
      <c r="G2446" t="s">
        <v>12</v>
      </c>
      <c r="I2446" t="s">
        <v>1050</v>
      </c>
    </row>
    <row r="2447" spans="1:9" hidden="1" x14ac:dyDescent="0.25">
      <c r="A2447" t="s">
        <v>2065</v>
      </c>
      <c r="B2447" t="s">
        <v>112</v>
      </c>
      <c r="C2447" s="2">
        <f>HYPERLINK("https://cao.dolgi.msk.ru/account/1080282363/", 1080282363)</f>
        <v>1080282363</v>
      </c>
      <c r="D2447" t="s">
        <v>2109</v>
      </c>
      <c r="E2447">
        <v>-5963.42</v>
      </c>
      <c r="F2447">
        <v>-0.99</v>
      </c>
      <c r="G2447" t="s">
        <v>12</v>
      </c>
      <c r="I2447" t="s">
        <v>1050</v>
      </c>
    </row>
    <row r="2448" spans="1:9" hidden="1" x14ac:dyDescent="0.25">
      <c r="A2448" t="s">
        <v>2065</v>
      </c>
      <c r="B2448" t="s">
        <v>114</v>
      </c>
      <c r="C2448" s="2">
        <f>HYPERLINK("https://cao.dolgi.msk.ru/account/1080282371/", 1080282371)</f>
        <v>1080282371</v>
      </c>
      <c r="D2448" t="s">
        <v>2110</v>
      </c>
      <c r="E2448">
        <v>-3679.67</v>
      </c>
      <c r="F2448">
        <v>-0.98</v>
      </c>
      <c r="G2448" t="s">
        <v>12</v>
      </c>
      <c r="I2448" t="s">
        <v>1050</v>
      </c>
    </row>
    <row r="2449" spans="1:9" hidden="1" x14ac:dyDescent="0.25">
      <c r="A2449" t="s">
        <v>2065</v>
      </c>
      <c r="B2449" t="s">
        <v>116</v>
      </c>
      <c r="C2449" s="2">
        <f>HYPERLINK("https://cao.dolgi.msk.ru/account/1080282398/", 1080282398)</f>
        <v>1080282398</v>
      </c>
      <c r="D2449" t="s">
        <v>2111</v>
      </c>
      <c r="E2449">
        <v>-4910.59</v>
      </c>
      <c r="F2449">
        <v>-1.6</v>
      </c>
      <c r="G2449" t="s">
        <v>12</v>
      </c>
      <c r="I2449" t="s">
        <v>1050</v>
      </c>
    </row>
    <row r="2450" spans="1:9" hidden="1" x14ac:dyDescent="0.25">
      <c r="A2450" t="s">
        <v>2065</v>
      </c>
      <c r="B2450" t="s">
        <v>118</v>
      </c>
      <c r="C2450" s="2">
        <f>HYPERLINK("https://cao.dolgi.msk.ru/account/1080282419/", 1080282419)</f>
        <v>1080282419</v>
      </c>
      <c r="D2450" t="s">
        <v>2112</v>
      </c>
      <c r="E2450">
        <v>-3353.21</v>
      </c>
      <c r="F2450">
        <v>-0.87</v>
      </c>
      <c r="G2450" t="s">
        <v>12</v>
      </c>
      <c r="I2450" t="s">
        <v>1050</v>
      </c>
    </row>
    <row r="2451" spans="1:9" hidden="1" x14ac:dyDescent="0.25">
      <c r="A2451" t="s">
        <v>2065</v>
      </c>
      <c r="B2451" t="s">
        <v>120</v>
      </c>
      <c r="C2451" s="2">
        <f>HYPERLINK("https://cao.dolgi.msk.ru/account/1080282427/", 1080282427)</f>
        <v>1080282427</v>
      </c>
      <c r="D2451" t="s">
        <v>2113</v>
      </c>
      <c r="E2451">
        <v>-2641.25</v>
      </c>
      <c r="F2451">
        <v>-0.96</v>
      </c>
      <c r="G2451" t="s">
        <v>12</v>
      </c>
      <c r="I2451" t="s">
        <v>1050</v>
      </c>
    </row>
    <row r="2452" spans="1:9" hidden="1" x14ac:dyDescent="0.25">
      <c r="A2452" t="s">
        <v>2065</v>
      </c>
      <c r="B2452" t="s">
        <v>122</v>
      </c>
      <c r="C2452" s="2">
        <f>HYPERLINK("https://cao.dolgi.msk.ru/account/1080282435/", 1080282435)</f>
        <v>1080282435</v>
      </c>
      <c r="D2452" t="s">
        <v>62</v>
      </c>
      <c r="E2452">
        <v>-13536.03</v>
      </c>
      <c r="F2452">
        <v>-4.1100000000000003</v>
      </c>
      <c r="G2452" t="s">
        <v>12</v>
      </c>
      <c r="I2452" t="s">
        <v>1050</v>
      </c>
    </row>
    <row r="2453" spans="1:9" x14ac:dyDescent="0.25">
      <c r="A2453" t="s">
        <v>2065</v>
      </c>
      <c r="B2453" t="s">
        <v>124</v>
      </c>
      <c r="C2453" s="2">
        <f>HYPERLINK("https://cao.dolgi.msk.ru/account/1080282443/", 1080282443)</f>
        <v>1080282443</v>
      </c>
      <c r="D2453" t="s">
        <v>2114</v>
      </c>
      <c r="E2453">
        <v>7491.43</v>
      </c>
      <c r="F2453">
        <v>2.0099999999999998</v>
      </c>
      <c r="G2453" t="s">
        <v>12</v>
      </c>
      <c r="I2453" t="s">
        <v>1050</v>
      </c>
    </row>
    <row r="2454" spans="1:9" hidden="1" x14ac:dyDescent="0.25">
      <c r="A2454" t="s">
        <v>2065</v>
      </c>
      <c r="B2454" t="s">
        <v>126</v>
      </c>
      <c r="C2454" s="2">
        <f>HYPERLINK("https://cao.dolgi.msk.ru/account/1080282451/", 1080282451)</f>
        <v>1080282451</v>
      </c>
      <c r="D2454" t="s">
        <v>2115</v>
      </c>
      <c r="E2454">
        <v>20.079999999999998</v>
      </c>
      <c r="F2454">
        <v>0.01</v>
      </c>
      <c r="G2454" t="s">
        <v>12</v>
      </c>
      <c r="I2454" t="s">
        <v>1050</v>
      </c>
    </row>
    <row r="2455" spans="1:9" hidden="1" x14ac:dyDescent="0.25">
      <c r="A2455" t="s">
        <v>2065</v>
      </c>
      <c r="B2455" t="s">
        <v>128</v>
      </c>
      <c r="C2455" s="2">
        <f>HYPERLINK("https://cao.dolgi.msk.ru/account/1080282478/", 1080282478)</f>
        <v>1080282478</v>
      </c>
      <c r="D2455" t="s">
        <v>2116</v>
      </c>
      <c r="G2455" t="s">
        <v>14</v>
      </c>
      <c r="I2455" t="s">
        <v>1050</v>
      </c>
    </row>
    <row r="2456" spans="1:9" x14ac:dyDescent="0.25">
      <c r="A2456" t="s">
        <v>2065</v>
      </c>
      <c r="B2456" t="s">
        <v>130</v>
      </c>
      <c r="C2456" s="2">
        <f>HYPERLINK("https://cao.dolgi.msk.ru/account/1080282486/", 1080282486)</f>
        <v>1080282486</v>
      </c>
      <c r="D2456" t="s">
        <v>2117</v>
      </c>
      <c r="E2456">
        <v>298114.53999999998</v>
      </c>
      <c r="F2456">
        <v>46.14</v>
      </c>
      <c r="G2456" t="s">
        <v>12</v>
      </c>
      <c r="I2456" t="s">
        <v>1050</v>
      </c>
    </row>
    <row r="2457" spans="1:9" hidden="1" x14ac:dyDescent="0.25">
      <c r="A2457" t="s">
        <v>2065</v>
      </c>
      <c r="B2457" t="s">
        <v>132</v>
      </c>
      <c r="C2457" s="2">
        <f>HYPERLINK("https://cao.dolgi.msk.ru/account/1080282494/", 1080282494)</f>
        <v>1080282494</v>
      </c>
      <c r="D2457" t="s">
        <v>2118</v>
      </c>
      <c r="E2457">
        <v>-11.92</v>
      </c>
      <c r="F2457">
        <v>0</v>
      </c>
      <c r="G2457" t="s">
        <v>12</v>
      </c>
      <c r="I2457" t="s">
        <v>1050</v>
      </c>
    </row>
    <row r="2458" spans="1:9" x14ac:dyDescent="0.25">
      <c r="A2458" t="s">
        <v>2065</v>
      </c>
      <c r="B2458" t="s">
        <v>133</v>
      </c>
      <c r="C2458" s="2">
        <f>HYPERLINK("https://cao.dolgi.msk.ru/account/1080282507/", 1080282507)</f>
        <v>1080282507</v>
      </c>
      <c r="D2458" t="s">
        <v>2119</v>
      </c>
      <c r="E2458">
        <v>8013.3</v>
      </c>
      <c r="F2458">
        <v>5</v>
      </c>
      <c r="G2458" t="s">
        <v>12</v>
      </c>
      <c r="I2458" t="s">
        <v>1050</v>
      </c>
    </row>
    <row r="2459" spans="1:9" hidden="1" x14ac:dyDescent="0.25">
      <c r="A2459" t="s">
        <v>2065</v>
      </c>
      <c r="B2459" t="s">
        <v>135</v>
      </c>
      <c r="C2459" s="2">
        <f>HYPERLINK("https://cao.dolgi.msk.ru/account/1080282515/", 1080282515)</f>
        <v>1080282515</v>
      </c>
      <c r="D2459" t="s">
        <v>2120</v>
      </c>
      <c r="E2459">
        <v>-2346.0500000000002</v>
      </c>
      <c r="F2459">
        <v>-0.47</v>
      </c>
      <c r="G2459" t="s">
        <v>12</v>
      </c>
      <c r="I2459" t="s">
        <v>1050</v>
      </c>
    </row>
    <row r="2460" spans="1:9" x14ac:dyDescent="0.25">
      <c r="A2460" t="s">
        <v>2065</v>
      </c>
      <c r="B2460" t="s">
        <v>137</v>
      </c>
      <c r="C2460" s="2">
        <f>HYPERLINK("https://cao.dolgi.msk.ru/account/1080282523/", 1080282523)</f>
        <v>1080282523</v>
      </c>
      <c r="D2460" t="s">
        <v>2121</v>
      </c>
      <c r="E2460">
        <v>11224.17</v>
      </c>
      <c r="F2460">
        <v>3.49</v>
      </c>
      <c r="G2460" t="s">
        <v>12</v>
      </c>
      <c r="I2460" t="s">
        <v>1050</v>
      </c>
    </row>
    <row r="2461" spans="1:9" hidden="1" x14ac:dyDescent="0.25">
      <c r="A2461" t="s">
        <v>2065</v>
      </c>
      <c r="B2461" t="s">
        <v>139</v>
      </c>
      <c r="C2461" s="2">
        <f>HYPERLINK("https://cao.dolgi.msk.ru/account/1080282531/", 1080282531)</f>
        <v>1080282531</v>
      </c>
      <c r="D2461" t="s">
        <v>2122</v>
      </c>
      <c r="E2461">
        <v>-1520.02</v>
      </c>
      <c r="F2461">
        <v>-0.72</v>
      </c>
      <c r="G2461" t="s">
        <v>12</v>
      </c>
      <c r="I2461" t="s">
        <v>1050</v>
      </c>
    </row>
    <row r="2462" spans="1:9" hidden="1" x14ac:dyDescent="0.25">
      <c r="A2462" t="s">
        <v>2065</v>
      </c>
      <c r="B2462" t="s">
        <v>141</v>
      </c>
      <c r="C2462" s="2">
        <f>HYPERLINK("https://cao.dolgi.msk.ru/account/1080282558/", 1080282558)</f>
        <v>1080282558</v>
      </c>
      <c r="D2462" t="s">
        <v>2123</v>
      </c>
      <c r="E2462">
        <v>-5354.42</v>
      </c>
      <c r="F2462">
        <v>-1.22</v>
      </c>
      <c r="G2462" t="s">
        <v>12</v>
      </c>
      <c r="I2462" t="s">
        <v>1050</v>
      </c>
    </row>
    <row r="2463" spans="1:9" hidden="1" x14ac:dyDescent="0.25">
      <c r="A2463" t="s">
        <v>2065</v>
      </c>
      <c r="B2463" t="s">
        <v>143</v>
      </c>
      <c r="C2463" s="2">
        <f>HYPERLINK("https://cao.dolgi.msk.ru/account/1080282566/", 1080282566)</f>
        <v>1080282566</v>
      </c>
      <c r="D2463" t="s">
        <v>2124</v>
      </c>
      <c r="E2463">
        <v>-2347.2800000000002</v>
      </c>
      <c r="F2463">
        <v>-0.9</v>
      </c>
      <c r="G2463" t="s">
        <v>12</v>
      </c>
      <c r="I2463" t="s">
        <v>1050</v>
      </c>
    </row>
    <row r="2464" spans="1:9" hidden="1" x14ac:dyDescent="0.25">
      <c r="A2464" t="s">
        <v>2065</v>
      </c>
      <c r="B2464" t="s">
        <v>145</v>
      </c>
      <c r="C2464" s="2">
        <f>HYPERLINK("https://cao.dolgi.msk.ru/account/1080282574/", 1080282574)</f>
        <v>1080282574</v>
      </c>
      <c r="D2464" t="s">
        <v>2125</v>
      </c>
      <c r="E2464">
        <v>23.18</v>
      </c>
      <c r="F2464">
        <v>0.01</v>
      </c>
      <c r="G2464" t="s">
        <v>12</v>
      </c>
      <c r="I2464" t="s">
        <v>1050</v>
      </c>
    </row>
    <row r="2465" spans="1:9" hidden="1" x14ac:dyDescent="0.25">
      <c r="A2465" t="s">
        <v>2065</v>
      </c>
      <c r="B2465" t="s">
        <v>147</v>
      </c>
      <c r="C2465" s="2">
        <f>HYPERLINK("https://cao.dolgi.msk.ru/account/1080282582/", 1080282582)</f>
        <v>1080282582</v>
      </c>
      <c r="D2465" t="s">
        <v>2126</v>
      </c>
      <c r="E2465">
        <v>0</v>
      </c>
      <c r="F2465">
        <v>0</v>
      </c>
      <c r="G2465" t="s">
        <v>12</v>
      </c>
      <c r="I2465" t="s">
        <v>1050</v>
      </c>
    </row>
    <row r="2466" spans="1:9" hidden="1" x14ac:dyDescent="0.25">
      <c r="A2466" t="s">
        <v>2065</v>
      </c>
      <c r="B2466" t="s">
        <v>149</v>
      </c>
      <c r="C2466" s="2">
        <f>HYPERLINK("https://cao.dolgi.msk.ru/account/1080282603/", 1080282603)</f>
        <v>1080282603</v>
      </c>
      <c r="D2466" t="s">
        <v>2127</v>
      </c>
      <c r="E2466">
        <v>-10322.33</v>
      </c>
      <c r="F2466">
        <v>-1.72</v>
      </c>
      <c r="G2466" t="s">
        <v>12</v>
      </c>
      <c r="I2466" t="s">
        <v>1050</v>
      </c>
    </row>
    <row r="2467" spans="1:9" hidden="1" x14ac:dyDescent="0.25">
      <c r="A2467" t="s">
        <v>2065</v>
      </c>
      <c r="B2467" t="s">
        <v>151</v>
      </c>
      <c r="C2467" s="2">
        <f>HYPERLINK("https://cao.dolgi.msk.ru/account/1080282611/", 1080282611)</f>
        <v>1080282611</v>
      </c>
      <c r="D2467" t="s">
        <v>2128</v>
      </c>
      <c r="E2467">
        <v>-11237.06</v>
      </c>
      <c r="F2467">
        <v>-3.56</v>
      </c>
      <c r="G2467" t="s">
        <v>12</v>
      </c>
      <c r="I2467" t="s">
        <v>1050</v>
      </c>
    </row>
    <row r="2468" spans="1:9" hidden="1" x14ac:dyDescent="0.25">
      <c r="A2468" t="s">
        <v>2065</v>
      </c>
      <c r="B2468" t="s">
        <v>153</v>
      </c>
      <c r="C2468" s="2">
        <f>HYPERLINK("https://cao.dolgi.msk.ru/account/1080282638/", 1080282638)</f>
        <v>1080282638</v>
      </c>
      <c r="D2468" t="s">
        <v>2129</v>
      </c>
      <c r="E2468">
        <v>-3702.07</v>
      </c>
      <c r="F2468">
        <v>-0.93</v>
      </c>
      <c r="G2468" t="s">
        <v>12</v>
      </c>
      <c r="I2468" t="s">
        <v>1050</v>
      </c>
    </row>
    <row r="2469" spans="1:9" hidden="1" x14ac:dyDescent="0.25">
      <c r="A2469" t="s">
        <v>2065</v>
      </c>
      <c r="B2469" t="s">
        <v>155</v>
      </c>
      <c r="C2469" s="2">
        <f>HYPERLINK("https://cao.dolgi.msk.ru/account/1080282646/", 1080282646)</f>
        <v>1080282646</v>
      </c>
      <c r="D2469" t="s">
        <v>2130</v>
      </c>
      <c r="E2469">
        <v>-6941.27</v>
      </c>
      <c r="F2469">
        <v>-2.09</v>
      </c>
      <c r="G2469" t="s">
        <v>12</v>
      </c>
      <c r="I2469" t="s">
        <v>1050</v>
      </c>
    </row>
    <row r="2470" spans="1:9" hidden="1" x14ac:dyDescent="0.25">
      <c r="A2470" t="s">
        <v>2065</v>
      </c>
      <c r="B2470" t="s">
        <v>157</v>
      </c>
      <c r="C2470" s="2">
        <f>HYPERLINK("https://cao.dolgi.msk.ru/account/1080282654/", 1080282654)</f>
        <v>1080282654</v>
      </c>
      <c r="D2470" t="s">
        <v>2131</v>
      </c>
      <c r="E2470">
        <v>-3769.22</v>
      </c>
      <c r="F2470">
        <v>-1.01</v>
      </c>
      <c r="G2470" t="s">
        <v>12</v>
      </c>
      <c r="I2470" t="s">
        <v>1050</v>
      </c>
    </row>
    <row r="2471" spans="1:9" hidden="1" x14ac:dyDescent="0.25">
      <c r="A2471" t="s">
        <v>2065</v>
      </c>
      <c r="B2471" t="s">
        <v>159</v>
      </c>
      <c r="C2471" s="2">
        <f>HYPERLINK("https://cao.dolgi.msk.ru/account/1080282662/", 1080282662)</f>
        <v>1080282662</v>
      </c>
      <c r="D2471" t="s">
        <v>2132</v>
      </c>
      <c r="E2471">
        <v>-4357.9799999999996</v>
      </c>
      <c r="F2471">
        <v>-0.99</v>
      </c>
      <c r="G2471" t="s">
        <v>12</v>
      </c>
      <c r="I2471" t="s">
        <v>1050</v>
      </c>
    </row>
    <row r="2472" spans="1:9" hidden="1" x14ac:dyDescent="0.25">
      <c r="A2472" t="s">
        <v>2065</v>
      </c>
      <c r="B2472" t="s">
        <v>161</v>
      </c>
      <c r="C2472" s="2">
        <f>HYPERLINK("https://cao.dolgi.msk.ru/account/1080282689/", 1080282689)</f>
        <v>1080282689</v>
      </c>
      <c r="D2472" t="s">
        <v>2133</v>
      </c>
      <c r="E2472">
        <v>-6139.36</v>
      </c>
      <c r="F2472">
        <v>-1.01</v>
      </c>
      <c r="G2472" t="s">
        <v>12</v>
      </c>
      <c r="I2472" t="s">
        <v>1050</v>
      </c>
    </row>
    <row r="2473" spans="1:9" x14ac:dyDescent="0.25">
      <c r="A2473" t="s">
        <v>2065</v>
      </c>
      <c r="B2473" t="s">
        <v>163</v>
      </c>
      <c r="C2473" s="2">
        <f>HYPERLINK("https://cao.dolgi.msk.ru/account/1080282697/", 1080282697)</f>
        <v>1080282697</v>
      </c>
      <c r="D2473" t="s">
        <v>2134</v>
      </c>
      <c r="E2473">
        <v>2925.46</v>
      </c>
      <c r="F2473">
        <v>1.01</v>
      </c>
      <c r="G2473" t="s">
        <v>12</v>
      </c>
      <c r="I2473" t="s">
        <v>1050</v>
      </c>
    </row>
    <row r="2474" spans="1:9" hidden="1" x14ac:dyDescent="0.25">
      <c r="A2474" t="s">
        <v>2135</v>
      </c>
      <c r="B2474" t="s">
        <v>10</v>
      </c>
      <c r="C2474" s="2">
        <f>HYPERLINK("https://cao.dolgi.msk.ru/account/1080282726/", 1080282726)</f>
        <v>1080282726</v>
      </c>
      <c r="D2474" t="s">
        <v>2136</v>
      </c>
      <c r="E2474">
        <v>-14245.14</v>
      </c>
      <c r="F2474">
        <v>-1.84</v>
      </c>
      <c r="G2474" t="s">
        <v>12</v>
      </c>
      <c r="I2474" t="s">
        <v>1050</v>
      </c>
    </row>
    <row r="2475" spans="1:9" hidden="1" x14ac:dyDescent="0.25">
      <c r="A2475" t="s">
        <v>2135</v>
      </c>
      <c r="B2475" t="s">
        <v>10</v>
      </c>
      <c r="C2475" s="2">
        <f>HYPERLINK("https://cao.dolgi.msk.ru/account/1080282734/", 1080282734)</f>
        <v>1080282734</v>
      </c>
      <c r="D2475" t="s">
        <v>15</v>
      </c>
      <c r="G2475" t="s">
        <v>14</v>
      </c>
      <c r="I2475" t="s">
        <v>1050</v>
      </c>
    </row>
    <row r="2476" spans="1:9" hidden="1" x14ac:dyDescent="0.25">
      <c r="A2476" t="s">
        <v>2135</v>
      </c>
      <c r="B2476" t="s">
        <v>16</v>
      </c>
      <c r="C2476" s="2">
        <f>HYPERLINK("https://cao.dolgi.msk.ru/account/1080282742/", 1080282742)</f>
        <v>1080282742</v>
      </c>
      <c r="D2476" t="s">
        <v>2137</v>
      </c>
      <c r="E2476">
        <v>-8022.35</v>
      </c>
      <c r="F2476">
        <v>-1.1399999999999999</v>
      </c>
      <c r="G2476" t="s">
        <v>12</v>
      </c>
      <c r="I2476" t="s">
        <v>1050</v>
      </c>
    </row>
    <row r="2477" spans="1:9" hidden="1" x14ac:dyDescent="0.25">
      <c r="A2477" t="s">
        <v>2135</v>
      </c>
      <c r="B2477" t="s">
        <v>18</v>
      </c>
      <c r="C2477" s="2">
        <f>HYPERLINK("https://cao.dolgi.msk.ru/account/1080282769/", 1080282769)</f>
        <v>1080282769</v>
      </c>
      <c r="D2477" t="s">
        <v>2138</v>
      </c>
      <c r="E2477">
        <v>-11809.33</v>
      </c>
      <c r="F2477">
        <v>-1.0900000000000001</v>
      </c>
      <c r="G2477" t="s">
        <v>12</v>
      </c>
      <c r="H2477" t="s">
        <v>7</v>
      </c>
      <c r="I2477" t="s">
        <v>1050</v>
      </c>
    </row>
    <row r="2478" spans="1:9" hidden="1" x14ac:dyDescent="0.25">
      <c r="A2478" t="s">
        <v>2135</v>
      </c>
      <c r="B2478" t="s">
        <v>18</v>
      </c>
      <c r="C2478" s="2">
        <f>HYPERLINK("https://cao.dolgi.msk.ru/account/1080282777/", 1080282777)</f>
        <v>1080282777</v>
      </c>
      <c r="D2478" t="s">
        <v>2139</v>
      </c>
      <c r="E2478">
        <v>0</v>
      </c>
      <c r="G2478" t="s">
        <v>14</v>
      </c>
      <c r="H2478" t="s">
        <v>7</v>
      </c>
      <c r="I2478" t="s">
        <v>1050</v>
      </c>
    </row>
    <row r="2479" spans="1:9" hidden="1" x14ac:dyDescent="0.25">
      <c r="A2479" t="s">
        <v>2135</v>
      </c>
      <c r="B2479" t="s">
        <v>18</v>
      </c>
      <c r="C2479" s="2">
        <f>HYPERLINK("https://cao.dolgi.msk.ru/account/1080282785/", 1080282785)</f>
        <v>1080282785</v>
      </c>
      <c r="D2479" t="s">
        <v>15</v>
      </c>
      <c r="E2479">
        <v>0</v>
      </c>
      <c r="G2479" t="s">
        <v>14</v>
      </c>
      <c r="H2479" t="s">
        <v>7</v>
      </c>
      <c r="I2479" t="s">
        <v>1050</v>
      </c>
    </row>
    <row r="2480" spans="1:9" hidden="1" x14ac:dyDescent="0.25">
      <c r="A2480" t="s">
        <v>2135</v>
      </c>
      <c r="B2480" t="s">
        <v>18</v>
      </c>
      <c r="C2480" s="2">
        <f>HYPERLINK("https://cao.dolgi.msk.ru/account/1080282793/", 1080282793)</f>
        <v>1080282793</v>
      </c>
      <c r="D2480" t="s">
        <v>2140</v>
      </c>
      <c r="E2480">
        <v>0</v>
      </c>
      <c r="G2480" t="s">
        <v>14</v>
      </c>
      <c r="H2480" t="s">
        <v>7</v>
      </c>
      <c r="I2480" t="s">
        <v>1050</v>
      </c>
    </row>
    <row r="2481" spans="1:9" hidden="1" x14ac:dyDescent="0.25">
      <c r="A2481" t="s">
        <v>2135</v>
      </c>
      <c r="B2481" t="s">
        <v>18</v>
      </c>
      <c r="C2481" s="2">
        <f>HYPERLINK("https://cao.dolgi.msk.ru/account/1083270958/", 1083270958)</f>
        <v>1083270958</v>
      </c>
      <c r="D2481" t="s">
        <v>2141</v>
      </c>
      <c r="E2481">
        <v>0</v>
      </c>
      <c r="G2481" t="s">
        <v>14</v>
      </c>
      <c r="H2481" t="s">
        <v>7</v>
      </c>
      <c r="I2481" t="s">
        <v>1050</v>
      </c>
    </row>
    <row r="2482" spans="1:9" hidden="1" x14ac:dyDescent="0.25">
      <c r="A2482" t="s">
        <v>2135</v>
      </c>
      <c r="B2482" t="s">
        <v>18</v>
      </c>
      <c r="C2482" s="2">
        <f>HYPERLINK("https://cao.dolgi.msk.ru/account/1089122761/", 1089122761)</f>
        <v>1089122761</v>
      </c>
      <c r="D2482" t="s">
        <v>2139</v>
      </c>
      <c r="E2482">
        <v>0</v>
      </c>
      <c r="G2482" t="s">
        <v>14</v>
      </c>
      <c r="H2482" t="s">
        <v>7</v>
      </c>
      <c r="I2482" t="s">
        <v>1050</v>
      </c>
    </row>
    <row r="2483" spans="1:9" hidden="1" x14ac:dyDescent="0.25">
      <c r="A2483" t="s">
        <v>2135</v>
      </c>
      <c r="B2483" t="s">
        <v>20</v>
      </c>
      <c r="C2483" s="2">
        <f>HYPERLINK("https://cao.dolgi.msk.ru/account/1080282806/", 1080282806)</f>
        <v>1080282806</v>
      </c>
      <c r="D2483" t="s">
        <v>15</v>
      </c>
      <c r="E2483">
        <v>-3295.41</v>
      </c>
      <c r="F2483">
        <v>-1.71</v>
      </c>
      <c r="G2483" t="s">
        <v>12</v>
      </c>
      <c r="H2483" t="s">
        <v>7</v>
      </c>
      <c r="I2483" t="s">
        <v>1050</v>
      </c>
    </row>
    <row r="2484" spans="1:9" hidden="1" x14ac:dyDescent="0.25">
      <c r="A2484" t="s">
        <v>2135</v>
      </c>
      <c r="B2484" t="s">
        <v>20</v>
      </c>
      <c r="C2484" s="2">
        <f>HYPERLINK("https://cao.dolgi.msk.ru/account/1080282814/", 1080282814)</f>
        <v>1080282814</v>
      </c>
      <c r="D2484" t="s">
        <v>2142</v>
      </c>
      <c r="E2484">
        <v>-437.77</v>
      </c>
      <c r="F2484">
        <v>-0.17</v>
      </c>
      <c r="G2484" t="s">
        <v>12</v>
      </c>
      <c r="H2484" t="s">
        <v>7</v>
      </c>
      <c r="I2484" t="s">
        <v>1050</v>
      </c>
    </row>
    <row r="2485" spans="1:9" hidden="1" x14ac:dyDescent="0.25">
      <c r="A2485" t="s">
        <v>2135</v>
      </c>
      <c r="B2485" t="s">
        <v>20</v>
      </c>
      <c r="C2485" s="2">
        <f>HYPERLINK("https://cao.dolgi.msk.ru/account/1080282822/", 1080282822)</f>
        <v>1080282822</v>
      </c>
      <c r="D2485" t="s">
        <v>2142</v>
      </c>
      <c r="E2485">
        <v>-5323.26</v>
      </c>
      <c r="F2485">
        <v>-1.07</v>
      </c>
      <c r="G2485" t="s">
        <v>12</v>
      </c>
      <c r="H2485" t="s">
        <v>7</v>
      </c>
      <c r="I2485" t="s">
        <v>1050</v>
      </c>
    </row>
    <row r="2486" spans="1:9" hidden="1" x14ac:dyDescent="0.25">
      <c r="A2486" t="s">
        <v>2135</v>
      </c>
      <c r="B2486" t="s">
        <v>21</v>
      </c>
      <c r="C2486" s="2">
        <f>HYPERLINK("https://cao.dolgi.msk.ru/account/1080282718/", 1080282718)</f>
        <v>1080282718</v>
      </c>
      <c r="D2486" t="s">
        <v>2143</v>
      </c>
      <c r="E2486">
        <v>780.56</v>
      </c>
      <c r="F2486">
        <v>7.0000000000000007E-2</v>
      </c>
      <c r="G2486" t="s">
        <v>12</v>
      </c>
      <c r="I2486" t="s">
        <v>1050</v>
      </c>
    </row>
    <row r="2487" spans="1:9" hidden="1" x14ac:dyDescent="0.25">
      <c r="A2487" t="s">
        <v>2135</v>
      </c>
      <c r="B2487" t="s">
        <v>22</v>
      </c>
      <c r="C2487" s="2">
        <f>HYPERLINK("https://cao.dolgi.msk.ru/account/1080282865/", 1080282865)</f>
        <v>1080282865</v>
      </c>
      <c r="D2487" t="s">
        <v>2144</v>
      </c>
      <c r="E2487">
        <v>-4424.66</v>
      </c>
      <c r="F2487">
        <v>-0.61</v>
      </c>
      <c r="G2487" t="s">
        <v>12</v>
      </c>
      <c r="I2487" t="s">
        <v>1050</v>
      </c>
    </row>
    <row r="2488" spans="1:9" hidden="1" x14ac:dyDescent="0.25">
      <c r="A2488" t="s">
        <v>2135</v>
      </c>
      <c r="B2488" t="s">
        <v>23</v>
      </c>
      <c r="C2488" s="2">
        <f>HYPERLINK("https://cao.dolgi.msk.ru/account/1080282873/", 1080282873)</f>
        <v>1080282873</v>
      </c>
      <c r="D2488" t="s">
        <v>2145</v>
      </c>
      <c r="E2488">
        <v>-9563.3799999999992</v>
      </c>
      <c r="F2488">
        <v>-1.17</v>
      </c>
      <c r="G2488" t="s">
        <v>12</v>
      </c>
      <c r="I2488" t="s">
        <v>1050</v>
      </c>
    </row>
    <row r="2489" spans="1:9" hidden="1" x14ac:dyDescent="0.25">
      <c r="A2489" t="s">
        <v>2135</v>
      </c>
      <c r="B2489" t="s">
        <v>24</v>
      </c>
      <c r="C2489" s="2">
        <f>HYPERLINK("https://cao.dolgi.msk.ru/account/1080282881/", 1080282881)</f>
        <v>1080282881</v>
      </c>
      <c r="D2489" t="s">
        <v>2146</v>
      </c>
      <c r="E2489">
        <v>-6236.19</v>
      </c>
      <c r="F2489">
        <v>-1.1399999999999999</v>
      </c>
      <c r="G2489" t="s">
        <v>12</v>
      </c>
      <c r="I2489" t="s">
        <v>1050</v>
      </c>
    </row>
    <row r="2490" spans="1:9" hidden="1" x14ac:dyDescent="0.25">
      <c r="A2490" t="s">
        <v>2135</v>
      </c>
      <c r="B2490" t="s">
        <v>27</v>
      </c>
      <c r="C2490" s="2">
        <f>HYPERLINK("https://cao.dolgi.msk.ru/account/1080282902/", 1080282902)</f>
        <v>1080282902</v>
      </c>
      <c r="D2490" t="s">
        <v>2147</v>
      </c>
      <c r="E2490">
        <v>36.47</v>
      </c>
      <c r="F2490">
        <v>0</v>
      </c>
      <c r="G2490" t="s">
        <v>12</v>
      </c>
      <c r="I2490" t="s">
        <v>1050</v>
      </c>
    </row>
    <row r="2491" spans="1:9" hidden="1" x14ac:dyDescent="0.25">
      <c r="A2491" t="s">
        <v>2135</v>
      </c>
      <c r="B2491" t="s">
        <v>29</v>
      </c>
      <c r="C2491" s="2">
        <f>HYPERLINK("https://cao.dolgi.msk.ru/account/1080282929/", 1080282929)</f>
        <v>1080282929</v>
      </c>
      <c r="D2491" t="s">
        <v>2148</v>
      </c>
      <c r="E2491">
        <v>-15272.59</v>
      </c>
      <c r="F2491">
        <v>-2.41</v>
      </c>
      <c r="G2491" t="s">
        <v>12</v>
      </c>
      <c r="I2491" t="s">
        <v>1050</v>
      </c>
    </row>
    <row r="2492" spans="1:9" hidden="1" x14ac:dyDescent="0.25">
      <c r="A2492" t="s">
        <v>2135</v>
      </c>
      <c r="B2492" t="s">
        <v>31</v>
      </c>
      <c r="C2492" s="2">
        <f>HYPERLINK("https://cao.dolgi.msk.ru/account/1080282937/", 1080282937)</f>
        <v>1080282937</v>
      </c>
      <c r="D2492" t="s">
        <v>15</v>
      </c>
      <c r="G2492" t="s">
        <v>14</v>
      </c>
      <c r="H2492" t="s">
        <v>7</v>
      </c>
      <c r="I2492" t="s">
        <v>1050</v>
      </c>
    </row>
    <row r="2493" spans="1:9" hidden="1" x14ac:dyDescent="0.25">
      <c r="A2493" t="s">
        <v>2135</v>
      </c>
      <c r="B2493" t="s">
        <v>31</v>
      </c>
      <c r="C2493" s="2">
        <f>HYPERLINK("https://cao.dolgi.msk.ru/account/1080282945/", 1080282945)</f>
        <v>1080282945</v>
      </c>
      <c r="D2493" t="s">
        <v>2149</v>
      </c>
      <c r="E2493">
        <v>0</v>
      </c>
      <c r="F2493">
        <v>0</v>
      </c>
      <c r="G2493" t="s">
        <v>12</v>
      </c>
      <c r="H2493" t="s">
        <v>7</v>
      </c>
      <c r="I2493" t="s">
        <v>1050</v>
      </c>
    </row>
    <row r="2494" spans="1:9" hidden="1" x14ac:dyDescent="0.25">
      <c r="A2494" t="s">
        <v>2135</v>
      </c>
      <c r="B2494" t="s">
        <v>31</v>
      </c>
      <c r="C2494" s="2">
        <f>HYPERLINK("https://cao.dolgi.msk.ru/account/1080282953/", 1080282953)</f>
        <v>1080282953</v>
      </c>
      <c r="D2494" t="s">
        <v>2150</v>
      </c>
      <c r="E2494">
        <v>-3192.61</v>
      </c>
      <c r="F2494">
        <v>-0.43</v>
      </c>
      <c r="G2494" t="s">
        <v>12</v>
      </c>
      <c r="H2494" t="s">
        <v>7</v>
      </c>
      <c r="I2494" t="s">
        <v>1050</v>
      </c>
    </row>
    <row r="2495" spans="1:9" hidden="1" x14ac:dyDescent="0.25">
      <c r="A2495" t="s">
        <v>2135</v>
      </c>
      <c r="B2495" t="s">
        <v>31</v>
      </c>
      <c r="C2495" s="2">
        <f>HYPERLINK("https://cao.dolgi.msk.ru/account/1080322476/", 1080322476)</f>
        <v>1080322476</v>
      </c>
      <c r="D2495" t="s">
        <v>2151</v>
      </c>
      <c r="E2495">
        <v>-3396.15</v>
      </c>
      <c r="F2495">
        <v>-0.66</v>
      </c>
      <c r="G2495" t="s">
        <v>12</v>
      </c>
      <c r="H2495" t="s">
        <v>7</v>
      </c>
      <c r="I2495" t="s">
        <v>1050</v>
      </c>
    </row>
    <row r="2496" spans="1:9" hidden="1" x14ac:dyDescent="0.25">
      <c r="A2496" t="s">
        <v>2135</v>
      </c>
      <c r="B2496" t="s">
        <v>33</v>
      </c>
      <c r="C2496" s="2">
        <f>HYPERLINK("https://cao.dolgi.msk.ru/account/1080282961/", 1080282961)</f>
        <v>1080282961</v>
      </c>
      <c r="D2496" t="s">
        <v>2152</v>
      </c>
      <c r="E2496">
        <v>-7509.71</v>
      </c>
      <c r="F2496">
        <v>-1.0900000000000001</v>
      </c>
      <c r="G2496" t="s">
        <v>12</v>
      </c>
      <c r="I2496" t="s">
        <v>1050</v>
      </c>
    </row>
    <row r="2497" spans="1:9" hidden="1" x14ac:dyDescent="0.25">
      <c r="A2497" t="s">
        <v>2135</v>
      </c>
      <c r="B2497" t="s">
        <v>34</v>
      </c>
      <c r="C2497" s="2">
        <f>HYPERLINK("https://cao.dolgi.msk.ru/account/1080282996/", 1080282996)</f>
        <v>1080282996</v>
      </c>
      <c r="D2497" t="s">
        <v>2153</v>
      </c>
      <c r="E2497">
        <v>-10163.32</v>
      </c>
      <c r="F2497">
        <v>-1</v>
      </c>
      <c r="G2497" t="s">
        <v>12</v>
      </c>
      <c r="I2497" t="s">
        <v>1050</v>
      </c>
    </row>
    <row r="2498" spans="1:9" hidden="1" x14ac:dyDescent="0.25">
      <c r="A2498" t="s">
        <v>2135</v>
      </c>
      <c r="B2498" t="s">
        <v>36</v>
      </c>
      <c r="C2498" s="2">
        <f>HYPERLINK("https://cao.dolgi.msk.ru/account/1080283008/", 1080283008)</f>
        <v>1080283008</v>
      </c>
      <c r="D2498" t="s">
        <v>2154</v>
      </c>
      <c r="E2498">
        <v>0</v>
      </c>
      <c r="F2498">
        <v>0</v>
      </c>
      <c r="G2498" t="s">
        <v>12</v>
      </c>
      <c r="I2498" t="s">
        <v>1050</v>
      </c>
    </row>
    <row r="2499" spans="1:9" hidden="1" x14ac:dyDescent="0.25">
      <c r="A2499" t="s">
        <v>2135</v>
      </c>
      <c r="B2499" t="s">
        <v>38</v>
      </c>
      <c r="C2499" s="2">
        <f>HYPERLINK("https://cao.dolgi.msk.ru/account/1080283016/", 1080283016)</f>
        <v>1080283016</v>
      </c>
      <c r="D2499" t="s">
        <v>2155</v>
      </c>
      <c r="E2499">
        <v>-9200.94</v>
      </c>
      <c r="F2499">
        <v>-1.1299999999999999</v>
      </c>
      <c r="G2499" t="s">
        <v>12</v>
      </c>
      <c r="I2499" t="s">
        <v>1050</v>
      </c>
    </row>
    <row r="2500" spans="1:9" hidden="1" x14ac:dyDescent="0.25">
      <c r="A2500" t="s">
        <v>2135</v>
      </c>
      <c r="B2500" t="s">
        <v>39</v>
      </c>
      <c r="C2500" s="2">
        <f>HYPERLINK("https://cao.dolgi.msk.ru/account/1080283024/", 1080283024)</f>
        <v>1080283024</v>
      </c>
      <c r="D2500" t="s">
        <v>2156</v>
      </c>
      <c r="E2500">
        <v>-9588.17</v>
      </c>
      <c r="F2500">
        <v>-1.1200000000000001</v>
      </c>
      <c r="G2500" t="s">
        <v>12</v>
      </c>
      <c r="I2500" t="s">
        <v>1050</v>
      </c>
    </row>
    <row r="2501" spans="1:9" hidden="1" x14ac:dyDescent="0.25">
      <c r="A2501" t="s">
        <v>2135</v>
      </c>
      <c r="B2501" t="s">
        <v>40</v>
      </c>
      <c r="C2501" s="2">
        <f>HYPERLINK("https://cao.dolgi.msk.ru/account/1080283032/", 1080283032)</f>
        <v>1080283032</v>
      </c>
      <c r="D2501" t="s">
        <v>2157</v>
      </c>
      <c r="E2501">
        <v>0</v>
      </c>
      <c r="F2501">
        <v>0</v>
      </c>
      <c r="G2501" t="s">
        <v>12</v>
      </c>
      <c r="I2501" t="s">
        <v>1050</v>
      </c>
    </row>
    <row r="2502" spans="1:9" hidden="1" x14ac:dyDescent="0.25">
      <c r="A2502" t="s">
        <v>2135</v>
      </c>
      <c r="B2502" t="s">
        <v>41</v>
      </c>
      <c r="C2502" s="2">
        <f>HYPERLINK("https://cao.dolgi.msk.ru/account/1080283059/", 1080283059)</f>
        <v>1080283059</v>
      </c>
      <c r="D2502" t="s">
        <v>2158</v>
      </c>
      <c r="E2502">
        <v>-13845.04</v>
      </c>
      <c r="F2502">
        <v>-1.07</v>
      </c>
      <c r="G2502" t="s">
        <v>12</v>
      </c>
      <c r="I2502" t="s">
        <v>1050</v>
      </c>
    </row>
    <row r="2503" spans="1:9" hidden="1" x14ac:dyDescent="0.25">
      <c r="A2503" t="s">
        <v>2135</v>
      </c>
      <c r="B2503" t="s">
        <v>42</v>
      </c>
      <c r="C2503" s="2">
        <f>HYPERLINK("https://cao.dolgi.msk.ru/account/1080283075/", 1080283075)</f>
        <v>1080283075</v>
      </c>
      <c r="D2503" t="s">
        <v>2159</v>
      </c>
      <c r="E2503">
        <v>6371.07</v>
      </c>
      <c r="F2503">
        <v>1</v>
      </c>
      <c r="G2503" t="s">
        <v>12</v>
      </c>
      <c r="I2503" t="s">
        <v>1050</v>
      </c>
    </row>
    <row r="2504" spans="1:9" hidden="1" x14ac:dyDescent="0.25">
      <c r="A2504" t="s">
        <v>2135</v>
      </c>
      <c r="B2504" t="s">
        <v>44</v>
      </c>
      <c r="C2504" s="2">
        <f>HYPERLINK("https://cao.dolgi.msk.ru/account/1080283083/", 1080283083)</f>
        <v>1080283083</v>
      </c>
      <c r="D2504" t="s">
        <v>15</v>
      </c>
      <c r="E2504">
        <v>-2374.9699999999998</v>
      </c>
      <c r="F2504">
        <v>-1</v>
      </c>
      <c r="G2504" t="s">
        <v>12</v>
      </c>
      <c r="H2504" t="s">
        <v>7</v>
      </c>
      <c r="I2504" t="s">
        <v>1050</v>
      </c>
    </row>
    <row r="2505" spans="1:9" hidden="1" x14ac:dyDescent="0.25">
      <c r="A2505" t="s">
        <v>2135</v>
      </c>
      <c r="B2505" t="s">
        <v>44</v>
      </c>
      <c r="C2505" s="2">
        <f>HYPERLINK("https://cao.dolgi.msk.ru/account/1080283091/", 1080283091)</f>
        <v>1080283091</v>
      </c>
      <c r="D2505" t="s">
        <v>15</v>
      </c>
      <c r="E2505">
        <v>-1154.25</v>
      </c>
      <c r="F2505">
        <v>-0.28999999999999998</v>
      </c>
      <c r="G2505" t="s">
        <v>12</v>
      </c>
      <c r="H2505" t="s">
        <v>7</v>
      </c>
      <c r="I2505" t="s">
        <v>1050</v>
      </c>
    </row>
    <row r="2506" spans="1:9" hidden="1" x14ac:dyDescent="0.25">
      <c r="A2506" t="s">
        <v>2135</v>
      </c>
      <c r="B2506" t="s">
        <v>44</v>
      </c>
      <c r="C2506" s="2">
        <f>HYPERLINK("https://cao.dolgi.msk.ru/account/1080283104/", 1080283104)</f>
        <v>1080283104</v>
      </c>
      <c r="D2506" t="s">
        <v>15</v>
      </c>
      <c r="E2506">
        <v>-4527.6099999999997</v>
      </c>
      <c r="F2506">
        <v>-0.82</v>
      </c>
      <c r="G2506" t="s">
        <v>12</v>
      </c>
      <c r="H2506" t="s">
        <v>7</v>
      </c>
      <c r="I2506" t="s">
        <v>1050</v>
      </c>
    </row>
    <row r="2507" spans="1:9" hidden="1" x14ac:dyDescent="0.25">
      <c r="A2507" t="s">
        <v>2135</v>
      </c>
      <c r="B2507" t="s">
        <v>66</v>
      </c>
      <c r="C2507" s="2">
        <f>HYPERLINK("https://cao.dolgi.msk.ru/account/1080283112/", 1080283112)</f>
        <v>1080283112</v>
      </c>
      <c r="D2507" t="s">
        <v>2160</v>
      </c>
      <c r="E2507">
        <v>-10565.31</v>
      </c>
      <c r="F2507">
        <v>-1.0900000000000001</v>
      </c>
      <c r="G2507" t="s">
        <v>12</v>
      </c>
      <c r="I2507" t="s">
        <v>1050</v>
      </c>
    </row>
    <row r="2508" spans="1:9" hidden="1" x14ac:dyDescent="0.25">
      <c r="A2508" t="s">
        <v>2135</v>
      </c>
      <c r="B2508" t="s">
        <v>66</v>
      </c>
      <c r="C2508" s="2">
        <f>HYPERLINK("https://cao.dolgi.msk.ru/account/1089118076/", 1089118076)</f>
        <v>1089118076</v>
      </c>
      <c r="D2508" t="s">
        <v>2161</v>
      </c>
      <c r="E2508">
        <v>0</v>
      </c>
      <c r="G2508" t="s">
        <v>14</v>
      </c>
      <c r="I2508" t="s">
        <v>1050</v>
      </c>
    </row>
    <row r="2509" spans="1:9" hidden="1" x14ac:dyDescent="0.25">
      <c r="A2509" t="s">
        <v>2135</v>
      </c>
      <c r="B2509" t="s">
        <v>68</v>
      </c>
      <c r="C2509" s="2">
        <f>HYPERLINK("https://cao.dolgi.msk.ru/account/1080283139/", 1080283139)</f>
        <v>1080283139</v>
      </c>
      <c r="D2509" t="s">
        <v>2162</v>
      </c>
      <c r="E2509">
        <v>-2188.92</v>
      </c>
      <c r="F2509">
        <v>-0.94</v>
      </c>
      <c r="G2509" t="s">
        <v>12</v>
      </c>
      <c r="H2509" t="s">
        <v>7</v>
      </c>
      <c r="I2509" t="s">
        <v>1050</v>
      </c>
    </row>
    <row r="2510" spans="1:9" hidden="1" x14ac:dyDescent="0.25">
      <c r="A2510" t="s">
        <v>2135</v>
      </c>
      <c r="B2510" t="s">
        <v>68</v>
      </c>
      <c r="C2510" s="2">
        <f>HYPERLINK("https://cao.dolgi.msk.ru/account/1080283147/", 1080283147)</f>
        <v>1080283147</v>
      </c>
      <c r="D2510" t="s">
        <v>2162</v>
      </c>
      <c r="E2510">
        <v>0</v>
      </c>
      <c r="F2510">
        <v>0</v>
      </c>
      <c r="G2510" t="s">
        <v>12</v>
      </c>
      <c r="H2510" t="s">
        <v>7</v>
      </c>
      <c r="I2510" t="s">
        <v>1050</v>
      </c>
    </row>
    <row r="2511" spans="1:9" hidden="1" x14ac:dyDescent="0.25">
      <c r="A2511" t="s">
        <v>2135</v>
      </c>
      <c r="B2511" t="s">
        <v>68</v>
      </c>
      <c r="C2511" s="2">
        <f>HYPERLINK("https://cao.dolgi.msk.ru/account/1080283155/", 1080283155)</f>
        <v>1080283155</v>
      </c>
      <c r="D2511" t="s">
        <v>2162</v>
      </c>
      <c r="E2511">
        <v>-652.04</v>
      </c>
      <c r="F2511">
        <v>-0.39</v>
      </c>
      <c r="G2511" t="s">
        <v>12</v>
      </c>
      <c r="H2511" t="s">
        <v>7</v>
      </c>
      <c r="I2511" t="s">
        <v>1050</v>
      </c>
    </row>
    <row r="2512" spans="1:9" hidden="1" x14ac:dyDescent="0.25">
      <c r="A2512" t="s">
        <v>2135</v>
      </c>
      <c r="B2512" t="s">
        <v>68</v>
      </c>
      <c r="C2512" s="2">
        <f>HYPERLINK("https://cao.dolgi.msk.ru/account/1080283163/", 1080283163)</f>
        <v>1080283163</v>
      </c>
      <c r="D2512" t="s">
        <v>2162</v>
      </c>
      <c r="E2512">
        <v>359.09</v>
      </c>
      <c r="F2512">
        <v>0.35</v>
      </c>
      <c r="G2512" t="s">
        <v>12</v>
      </c>
      <c r="H2512" t="s">
        <v>7</v>
      </c>
      <c r="I2512" t="s">
        <v>1050</v>
      </c>
    </row>
    <row r="2513" spans="1:9" hidden="1" x14ac:dyDescent="0.25">
      <c r="A2513" t="s">
        <v>2135</v>
      </c>
      <c r="B2513" t="s">
        <v>70</v>
      </c>
      <c r="C2513" s="2">
        <f>HYPERLINK("https://cao.dolgi.msk.ru/account/1080283171/", 1080283171)</f>
        <v>1080283171</v>
      </c>
      <c r="D2513" t="s">
        <v>2163</v>
      </c>
      <c r="E2513">
        <v>22.17</v>
      </c>
      <c r="F2513">
        <v>0</v>
      </c>
      <c r="G2513" t="s">
        <v>12</v>
      </c>
      <c r="I2513" t="s">
        <v>1050</v>
      </c>
    </row>
    <row r="2514" spans="1:9" hidden="1" x14ac:dyDescent="0.25">
      <c r="A2514" t="s">
        <v>2135</v>
      </c>
      <c r="B2514" t="s">
        <v>72</v>
      </c>
      <c r="C2514" s="2">
        <f>HYPERLINK("https://cao.dolgi.msk.ru/account/1080283198/", 1080283198)</f>
        <v>1080283198</v>
      </c>
      <c r="D2514" t="s">
        <v>2164</v>
      </c>
      <c r="E2514">
        <v>212.24</v>
      </c>
      <c r="F2514">
        <v>0.08</v>
      </c>
      <c r="G2514" t="s">
        <v>12</v>
      </c>
      <c r="H2514" t="s">
        <v>7</v>
      </c>
      <c r="I2514" t="s">
        <v>1050</v>
      </c>
    </row>
    <row r="2515" spans="1:9" hidden="1" x14ac:dyDescent="0.25">
      <c r="A2515" t="s">
        <v>2135</v>
      </c>
      <c r="B2515" t="s">
        <v>72</v>
      </c>
      <c r="C2515" s="2">
        <f>HYPERLINK("https://cao.dolgi.msk.ru/account/1080283219/", 1080283219)</f>
        <v>1080283219</v>
      </c>
      <c r="D2515" t="s">
        <v>2165</v>
      </c>
      <c r="E2515">
        <v>-3357.14</v>
      </c>
      <c r="F2515">
        <v>-1.33</v>
      </c>
      <c r="G2515" t="s">
        <v>12</v>
      </c>
      <c r="H2515" t="s">
        <v>7</v>
      </c>
      <c r="I2515" t="s">
        <v>1050</v>
      </c>
    </row>
    <row r="2516" spans="1:9" hidden="1" x14ac:dyDescent="0.25">
      <c r="A2516" t="s">
        <v>2135</v>
      </c>
      <c r="B2516" t="s">
        <v>72</v>
      </c>
      <c r="C2516" s="2">
        <f>HYPERLINK("https://cao.dolgi.msk.ru/account/1080283227/", 1080283227)</f>
        <v>1080283227</v>
      </c>
      <c r="D2516" t="s">
        <v>2166</v>
      </c>
      <c r="E2516">
        <v>-1825.17</v>
      </c>
      <c r="F2516">
        <v>-0.71</v>
      </c>
      <c r="G2516" t="s">
        <v>12</v>
      </c>
      <c r="H2516" t="s">
        <v>7</v>
      </c>
      <c r="I2516" t="s">
        <v>1050</v>
      </c>
    </row>
    <row r="2517" spans="1:9" hidden="1" x14ac:dyDescent="0.25">
      <c r="A2517" t="s">
        <v>2135</v>
      </c>
      <c r="B2517" t="s">
        <v>72</v>
      </c>
      <c r="C2517" s="2">
        <f>HYPERLINK("https://cao.dolgi.msk.ru/account/1080324957/", 1080324957)</f>
        <v>1080324957</v>
      </c>
      <c r="D2517" t="s">
        <v>15</v>
      </c>
      <c r="E2517">
        <v>-3884.8</v>
      </c>
      <c r="F2517">
        <v>-1.23</v>
      </c>
      <c r="G2517" t="s">
        <v>12</v>
      </c>
      <c r="H2517" t="s">
        <v>7</v>
      </c>
      <c r="I2517" t="s">
        <v>1050</v>
      </c>
    </row>
    <row r="2518" spans="1:9" hidden="1" x14ac:dyDescent="0.25">
      <c r="A2518" t="s">
        <v>2135</v>
      </c>
      <c r="B2518" t="s">
        <v>74</v>
      </c>
      <c r="C2518" s="2">
        <f>HYPERLINK("https://cao.dolgi.msk.ru/account/1080283235/", 1080283235)</f>
        <v>1080283235</v>
      </c>
      <c r="D2518" t="s">
        <v>2167</v>
      </c>
      <c r="E2518">
        <v>-29.1</v>
      </c>
      <c r="F2518">
        <v>-0.01</v>
      </c>
      <c r="G2518" t="s">
        <v>12</v>
      </c>
      <c r="I2518" t="s">
        <v>1050</v>
      </c>
    </row>
    <row r="2519" spans="1:9" hidden="1" x14ac:dyDescent="0.25">
      <c r="A2519" t="s">
        <v>2135</v>
      </c>
      <c r="B2519" t="s">
        <v>76</v>
      </c>
      <c r="C2519" s="2">
        <f>HYPERLINK("https://cao.dolgi.msk.ru/account/1080283243/", 1080283243)</f>
        <v>1080283243</v>
      </c>
      <c r="D2519" t="s">
        <v>2168</v>
      </c>
      <c r="E2519">
        <v>-8698.17</v>
      </c>
      <c r="F2519">
        <v>-1.0900000000000001</v>
      </c>
      <c r="G2519" t="s">
        <v>12</v>
      </c>
      <c r="I2519" t="s">
        <v>1050</v>
      </c>
    </row>
    <row r="2520" spans="1:9" hidden="1" x14ac:dyDescent="0.25">
      <c r="A2520" t="s">
        <v>2135</v>
      </c>
      <c r="B2520" t="s">
        <v>78</v>
      </c>
      <c r="C2520" s="2">
        <f>HYPERLINK("https://cao.dolgi.msk.ru/account/1080283251/", 1080283251)</f>
        <v>1080283251</v>
      </c>
      <c r="D2520" t="s">
        <v>2169</v>
      </c>
      <c r="E2520">
        <v>-739.25</v>
      </c>
      <c r="F2520">
        <v>-0.1</v>
      </c>
      <c r="G2520" t="s">
        <v>12</v>
      </c>
      <c r="I2520" t="s">
        <v>1050</v>
      </c>
    </row>
    <row r="2521" spans="1:9" hidden="1" x14ac:dyDescent="0.25">
      <c r="A2521" t="s">
        <v>2135</v>
      </c>
      <c r="B2521" t="s">
        <v>80</v>
      </c>
      <c r="C2521" s="2">
        <f>HYPERLINK("https://cao.dolgi.msk.ru/account/1080283278/", 1080283278)</f>
        <v>1080283278</v>
      </c>
      <c r="D2521" t="s">
        <v>2170</v>
      </c>
      <c r="E2521">
        <v>-12571.93</v>
      </c>
      <c r="F2521">
        <v>-1.28</v>
      </c>
      <c r="G2521" t="s">
        <v>12</v>
      </c>
      <c r="I2521" t="s">
        <v>1050</v>
      </c>
    </row>
    <row r="2522" spans="1:9" hidden="1" x14ac:dyDescent="0.25">
      <c r="A2522" t="s">
        <v>2135</v>
      </c>
      <c r="B2522" t="s">
        <v>82</v>
      </c>
      <c r="C2522" s="2">
        <f>HYPERLINK("https://cao.dolgi.msk.ru/account/1080283286/", 1080283286)</f>
        <v>1080283286</v>
      </c>
      <c r="D2522" t="s">
        <v>2171</v>
      </c>
      <c r="E2522">
        <v>-46.28</v>
      </c>
      <c r="F2522">
        <v>-0.01</v>
      </c>
      <c r="G2522" t="s">
        <v>12</v>
      </c>
      <c r="I2522" t="s">
        <v>1050</v>
      </c>
    </row>
    <row r="2523" spans="1:9" hidden="1" x14ac:dyDescent="0.25">
      <c r="A2523" t="s">
        <v>2135</v>
      </c>
      <c r="B2523" t="s">
        <v>84</v>
      </c>
      <c r="C2523" s="2">
        <f>HYPERLINK("https://cao.dolgi.msk.ru/account/1080283294/", 1080283294)</f>
        <v>1080283294</v>
      </c>
      <c r="D2523" t="s">
        <v>2172</v>
      </c>
      <c r="E2523">
        <v>-8572.16</v>
      </c>
      <c r="F2523">
        <v>-2.13</v>
      </c>
      <c r="G2523" t="s">
        <v>12</v>
      </c>
      <c r="I2523" t="s">
        <v>1050</v>
      </c>
    </row>
    <row r="2524" spans="1:9" hidden="1" x14ac:dyDescent="0.25">
      <c r="A2524" t="s">
        <v>2135</v>
      </c>
      <c r="B2524" t="s">
        <v>86</v>
      </c>
      <c r="C2524" s="2">
        <f>HYPERLINK("https://cao.dolgi.msk.ru/account/1080283307/", 1080283307)</f>
        <v>1080283307</v>
      </c>
      <c r="D2524" t="s">
        <v>2173</v>
      </c>
      <c r="G2524" t="s">
        <v>14</v>
      </c>
      <c r="I2524" t="s">
        <v>1050</v>
      </c>
    </row>
    <row r="2525" spans="1:9" hidden="1" x14ac:dyDescent="0.25">
      <c r="A2525" t="s">
        <v>2135</v>
      </c>
      <c r="B2525" t="s">
        <v>88</v>
      </c>
      <c r="C2525" s="2">
        <f>HYPERLINK("https://cao.dolgi.msk.ru/account/1080283315/", 1080283315)</f>
        <v>1080283315</v>
      </c>
      <c r="D2525" t="s">
        <v>2174</v>
      </c>
      <c r="E2525">
        <v>-9296.35</v>
      </c>
      <c r="F2525">
        <v>-1.1499999999999999</v>
      </c>
      <c r="G2525" t="s">
        <v>12</v>
      </c>
      <c r="I2525" t="s">
        <v>1050</v>
      </c>
    </row>
    <row r="2526" spans="1:9" hidden="1" x14ac:dyDescent="0.25">
      <c r="A2526" t="s">
        <v>2135</v>
      </c>
      <c r="B2526" t="s">
        <v>90</v>
      </c>
      <c r="C2526" s="2">
        <f>HYPERLINK("https://cao.dolgi.msk.ru/account/1080283358/", 1080283358)</f>
        <v>1080283358</v>
      </c>
      <c r="D2526" t="s">
        <v>2175</v>
      </c>
      <c r="E2526">
        <v>-6323.11</v>
      </c>
      <c r="F2526">
        <v>-1.1299999999999999</v>
      </c>
      <c r="G2526" t="s">
        <v>12</v>
      </c>
      <c r="I2526" t="s">
        <v>1050</v>
      </c>
    </row>
    <row r="2527" spans="1:9" hidden="1" x14ac:dyDescent="0.25">
      <c r="A2527" t="s">
        <v>2135</v>
      </c>
      <c r="B2527" t="s">
        <v>92</v>
      </c>
      <c r="C2527" s="2">
        <f>HYPERLINK("https://cao.dolgi.msk.ru/account/1080283374/", 1080283374)</f>
        <v>1080283374</v>
      </c>
      <c r="D2527" t="s">
        <v>2176</v>
      </c>
      <c r="E2527">
        <v>677.06</v>
      </c>
      <c r="F2527">
        <v>7.0000000000000007E-2</v>
      </c>
      <c r="G2527" t="s">
        <v>12</v>
      </c>
      <c r="I2527" t="s">
        <v>1050</v>
      </c>
    </row>
    <row r="2528" spans="1:9" hidden="1" x14ac:dyDescent="0.25">
      <c r="A2528" t="s">
        <v>2135</v>
      </c>
      <c r="B2528" t="s">
        <v>94</v>
      </c>
      <c r="C2528" s="2">
        <f>HYPERLINK("https://cao.dolgi.msk.ru/account/1080283403/", 1080283403)</f>
        <v>1080283403</v>
      </c>
      <c r="D2528" t="s">
        <v>15</v>
      </c>
      <c r="G2528" t="s">
        <v>14</v>
      </c>
      <c r="I2528" t="s">
        <v>1050</v>
      </c>
    </row>
    <row r="2529" spans="1:9" hidden="1" x14ac:dyDescent="0.25">
      <c r="A2529" t="s">
        <v>2135</v>
      </c>
      <c r="B2529" t="s">
        <v>94</v>
      </c>
      <c r="C2529" s="2">
        <f>HYPERLINK("https://cao.dolgi.msk.ru/account/1080283411/", 1080283411)</f>
        <v>1080283411</v>
      </c>
      <c r="D2529" t="s">
        <v>15</v>
      </c>
      <c r="G2529" t="s">
        <v>14</v>
      </c>
      <c r="I2529" t="s">
        <v>1050</v>
      </c>
    </row>
    <row r="2530" spans="1:9" hidden="1" x14ac:dyDescent="0.25">
      <c r="A2530" t="s">
        <v>2135</v>
      </c>
      <c r="B2530" t="s">
        <v>94</v>
      </c>
      <c r="C2530" s="2">
        <f>HYPERLINK("https://cao.dolgi.msk.ru/account/1080283438/", 1080283438)</f>
        <v>1080283438</v>
      </c>
      <c r="D2530" t="s">
        <v>2177</v>
      </c>
      <c r="E2530">
        <v>-8650.24</v>
      </c>
      <c r="F2530">
        <v>-1.08</v>
      </c>
      <c r="G2530" t="s">
        <v>12</v>
      </c>
      <c r="I2530" t="s">
        <v>1050</v>
      </c>
    </row>
    <row r="2531" spans="1:9" hidden="1" x14ac:dyDescent="0.25">
      <c r="A2531" t="s">
        <v>2135</v>
      </c>
      <c r="B2531" t="s">
        <v>96</v>
      </c>
      <c r="C2531" s="2">
        <f>HYPERLINK("https://cao.dolgi.msk.ru/account/1080283446/", 1080283446)</f>
        <v>1080283446</v>
      </c>
      <c r="D2531" t="s">
        <v>2178</v>
      </c>
      <c r="E2531">
        <v>-6253.72</v>
      </c>
      <c r="F2531">
        <v>-1.08</v>
      </c>
      <c r="G2531" t="s">
        <v>12</v>
      </c>
      <c r="I2531" t="s">
        <v>1050</v>
      </c>
    </row>
    <row r="2532" spans="1:9" hidden="1" x14ac:dyDescent="0.25">
      <c r="A2532" t="s">
        <v>2135</v>
      </c>
      <c r="B2532" t="s">
        <v>98</v>
      </c>
      <c r="C2532" s="2">
        <f>HYPERLINK("https://cao.dolgi.msk.ru/account/1080283454/", 1080283454)</f>
        <v>1080283454</v>
      </c>
      <c r="D2532" t="s">
        <v>2179</v>
      </c>
      <c r="E2532">
        <v>-7765.78</v>
      </c>
      <c r="F2532">
        <v>-1.25</v>
      </c>
      <c r="G2532" t="s">
        <v>12</v>
      </c>
      <c r="I2532" t="s">
        <v>1050</v>
      </c>
    </row>
    <row r="2533" spans="1:9" hidden="1" x14ac:dyDescent="0.25">
      <c r="A2533" t="s">
        <v>2135</v>
      </c>
      <c r="B2533" t="s">
        <v>100</v>
      </c>
      <c r="C2533" s="2">
        <f>HYPERLINK("https://cao.dolgi.msk.ru/account/1080283462/", 1080283462)</f>
        <v>1080283462</v>
      </c>
      <c r="D2533" t="s">
        <v>2180</v>
      </c>
      <c r="E2533">
        <v>-5412.35</v>
      </c>
      <c r="F2533">
        <v>-0.28999999999999998</v>
      </c>
      <c r="G2533" t="s">
        <v>12</v>
      </c>
      <c r="I2533" t="s">
        <v>1050</v>
      </c>
    </row>
    <row r="2534" spans="1:9" hidden="1" x14ac:dyDescent="0.25">
      <c r="A2534" t="s">
        <v>2135</v>
      </c>
      <c r="B2534" t="s">
        <v>102</v>
      </c>
      <c r="C2534" s="2">
        <f>HYPERLINK("https://cao.dolgi.msk.ru/account/1080283489/", 1080283489)</f>
        <v>1080283489</v>
      </c>
      <c r="D2534" t="s">
        <v>2181</v>
      </c>
      <c r="E2534">
        <v>-6425.88</v>
      </c>
      <c r="F2534">
        <v>-1.21</v>
      </c>
      <c r="G2534" t="s">
        <v>12</v>
      </c>
      <c r="I2534" t="s">
        <v>1050</v>
      </c>
    </row>
    <row r="2535" spans="1:9" hidden="1" x14ac:dyDescent="0.25">
      <c r="A2535" t="s">
        <v>2135</v>
      </c>
      <c r="B2535" t="s">
        <v>104</v>
      </c>
      <c r="C2535" s="2">
        <f>HYPERLINK("https://cao.dolgi.msk.ru/account/1080283497/", 1080283497)</f>
        <v>1080283497</v>
      </c>
      <c r="D2535" t="s">
        <v>2182</v>
      </c>
      <c r="E2535">
        <v>-11834.08</v>
      </c>
      <c r="F2535">
        <v>-1.06</v>
      </c>
      <c r="G2535" t="s">
        <v>12</v>
      </c>
      <c r="I2535" t="s">
        <v>1050</v>
      </c>
    </row>
    <row r="2536" spans="1:9" hidden="1" x14ac:dyDescent="0.25">
      <c r="A2536" t="s">
        <v>2135</v>
      </c>
      <c r="B2536" t="s">
        <v>106</v>
      </c>
      <c r="C2536" s="2">
        <f>HYPERLINK("https://cao.dolgi.msk.ru/account/1080283518/", 1080283518)</f>
        <v>1080283518</v>
      </c>
      <c r="D2536" t="s">
        <v>2183</v>
      </c>
      <c r="E2536">
        <v>-1075.55</v>
      </c>
      <c r="F2536">
        <v>-0.09</v>
      </c>
      <c r="G2536" t="s">
        <v>12</v>
      </c>
      <c r="I2536" t="s">
        <v>1050</v>
      </c>
    </row>
    <row r="2537" spans="1:9" hidden="1" x14ac:dyDescent="0.25">
      <c r="A2537" t="s">
        <v>2135</v>
      </c>
      <c r="B2537" t="s">
        <v>108</v>
      </c>
      <c r="C2537" s="2">
        <f>HYPERLINK("https://cao.dolgi.msk.ru/account/1080283526/", 1080283526)</f>
        <v>1080283526</v>
      </c>
      <c r="D2537" t="s">
        <v>2184</v>
      </c>
      <c r="E2537">
        <v>-5677.11</v>
      </c>
      <c r="F2537">
        <v>-0.79</v>
      </c>
      <c r="G2537" t="s">
        <v>12</v>
      </c>
      <c r="I2537" t="s">
        <v>1050</v>
      </c>
    </row>
    <row r="2538" spans="1:9" hidden="1" x14ac:dyDescent="0.25">
      <c r="A2538" t="s">
        <v>2135</v>
      </c>
      <c r="B2538" t="s">
        <v>110</v>
      </c>
      <c r="C2538" s="2">
        <f>HYPERLINK("https://cao.dolgi.msk.ru/account/1080283534/", 1080283534)</f>
        <v>1080283534</v>
      </c>
      <c r="D2538" t="s">
        <v>2185</v>
      </c>
      <c r="E2538">
        <v>-10352.09</v>
      </c>
      <c r="F2538">
        <v>-1.1000000000000001</v>
      </c>
      <c r="G2538" t="s">
        <v>12</v>
      </c>
      <c r="I2538" t="s">
        <v>1050</v>
      </c>
    </row>
    <row r="2539" spans="1:9" hidden="1" x14ac:dyDescent="0.25">
      <c r="A2539" t="s">
        <v>2135</v>
      </c>
      <c r="B2539" t="s">
        <v>112</v>
      </c>
      <c r="C2539" s="2">
        <f>HYPERLINK("https://cao.dolgi.msk.ru/account/1080283585/", 1080283585)</f>
        <v>1080283585</v>
      </c>
      <c r="D2539" t="s">
        <v>2186</v>
      </c>
      <c r="E2539">
        <v>-31.8</v>
      </c>
      <c r="F2539">
        <v>0</v>
      </c>
      <c r="G2539" t="s">
        <v>12</v>
      </c>
      <c r="I2539" t="s">
        <v>1050</v>
      </c>
    </row>
    <row r="2540" spans="1:9" hidden="1" x14ac:dyDescent="0.25">
      <c r="A2540" t="s">
        <v>2135</v>
      </c>
      <c r="B2540" t="s">
        <v>114</v>
      </c>
      <c r="C2540" s="2">
        <f>HYPERLINK("https://cao.dolgi.msk.ru/account/1080283606/", 1080283606)</f>
        <v>1080283606</v>
      </c>
      <c r="D2540" t="s">
        <v>2187</v>
      </c>
      <c r="E2540">
        <v>-9864.8799999999992</v>
      </c>
      <c r="F2540">
        <v>-1.21</v>
      </c>
      <c r="G2540" t="s">
        <v>12</v>
      </c>
      <c r="I2540" t="s">
        <v>1050</v>
      </c>
    </row>
    <row r="2541" spans="1:9" hidden="1" x14ac:dyDescent="0.25">
      <c r="A2541" t="s">
        <v>2135</v>
      </c>
      <c r="B2541" t="s">
        <v>116</v>
      </c>
      <c r="C2541" s="2">
        <f>HYPERLINK("https://cao.dolgi.msk.ru/account/1080283614/", 1080283614)</f>
        <v>1080283614</v>
      </c>
      <c r="D2541" t="s">
        <v>2188</v>
      </c>
      <c r="E2541">
        <v>-9231.6299999999992</v>
      </c>
      <c r="F2541">
        <v>-1.24</v>
      </c>
      <c r="G2541" t="s">
        <v>12</v>
      </c>
      <c r="I2541" t="s">
        <v>1050</v>
      </c>
    </row>
    <row r="2542" spans="1:9" hidden="1" x14ac:dyDescent="0.25">
      <c r="A2542" t="s">
        <v>2135</v>
      </c>
      <c r="B2542" t="s">
        <v>118</v>
      </c>
      <c r="C2542" s="2">
        <f>HYPERLINK("https://cao.dolgi.msk.ru/account/1080283622/", 1080283622)</f>
        <v>1080283622</v>
      </c>
      <c r="D2542" t="s">
        <v>2189</v>
      </c>
      <c r="E2542">
        <v>-5145.74</v>
      </c>
      <c r="F2542">
        <v>-0.69</v>
      </c>
      <c r="G2542" t="s">
        <v>12</v>
      </c>
      <c r="I2542" t="s">
        <v>1050</v>
      </c>
    </row>
    <row r="2543" spans="1:9" hidden="1" x14ac:dyDescent="0.25">
      <c r="A2543" t="s">
        <v>2135</v>
      </c>
      <c r="B2543" t="s">
        <v>120</v>
      </c>
      <c r="C2543" s="2">
        <f>HYPERLINK("https://cao.dolgi.msk.ru/account/1080283649/", 1080283649)</f>
        <v>1080283649</v>
      </c>
      <c r="D2543" t="s">
        <v>2190</v>
      </c>
      <c r="E2543">
        <v>6935.39</v>
      </c>
      <c r="F2543">
        <v>0.89</v>
      </c>
      <c r="G2543" t="s">
        <v>12</v>
      </c>
      <c r="I2543" t="s">
        <v>1050</v>
      </c>
    </row>
    <row r="2544" spans="1:9" hidden="1" x14ac:dyDescent="0.25">
      <c r="A2544" t="s">
        <v>2135</v>
      </c>
      <c r="B2544" t="s">
        <v>122</v>
      </c>
      <c r="C2544" s="2">
        <f>HYPERLINK("https://cao.dolgi.msk.ru/account/1080283657/", 1080283657)</f>
        <v>1080283657</v>
      </c>
      <c r="D2544" t="s">
        <v>2191</v>
      </c>
      <c r="E2544">
        <v>-15192.3</v>
      </c>
      <c r="F2544">
        <v>-1.08</v>
      </c>
      <c r="G2544" t="s">
        <v>12</v>
      </c>
      <c r="I2544" t="s">
        <v>1050</v>
      </c>
    </row>
    <row r="2545" spans="1:9" hidden="1" x14ac:dyDescent="0.25">
      <c r="A2545" t="s">
        <v>2135</v>
      </c>
      <c r="B2545" t="s">
        <v>124</v>
      </c>
      <c r="C2545" s="2">
        <f>HYPERLINK("https://cao.dolgi.msk.ru/account/1080283665/", 1080283665)</f>
        <v>1080283665</v>
      </c>
      <c r="D2545" t="s">
        <v>2192</v>
      </c>
      <c r="E2545">
        <v>-2362.5700000000002</v>
      </c>
      <c r="F2545">
        <v>-1.1200000000000001</v>
      </c>
      <c r="G2545" t="s">
        <v>12</v>
      </c>
      <c r="H2545" t="s">
        <v>7</v>
      </c>
      <c r="I2545" t="s">
        <v>1050</v>
      </c>
    </row>
    <row r="2546" spans="1:9" hidden="1" x14ac:dyDescent="0.25">
      <c r="A2546" t="s">
        <v>2135</v>
      </c>
      <c r="B2546" t="s">
        <v>124</v>
      </c>
      <c r="C2546" s="2">
        <f>HYPERLINK("https://cao.dolgi.msk.ru/account/1080283673/", 1080283673)</f>
        <v>1080283673</v>
      </c>
      <c r="D2546" t="s">
        <v>2192</v>
      </c>
      <c r="E2546">
        <v>2129.08</v>
      </c>
      <c r="F2546">
        <v>0.99</v>
      </c>
      <c r="G2546" t="s">
        <v>12</v>
      </c>
      <c r="H2546" t="s">
        <v>7</v>
      </c>
      <c r="I2546" t="s">
        <v>1050</v>
      </c>
    </row>
    <row r="2547" spans="1:9" hidden="1" x14ac:dyDescent="0.25">
      <c r="A2547" t="s">
        <v>2135</v>
      </c>
      <c r="B2547" t="s">
        <v>124</v>
      </c>
      <c r="C2547" s="2">
        <f>HYPERLINK("https://cao.dolgi.msk.ru/account/1080283681/", 1080283681)</f>
        <v>1080283681</v>
      </c>
      <c r="D2547" t="s">
        <v>2193</v>
      </c>
      <c r="E2547">
        <v>1239</v>
      </c>
      <c r="F2547">
        <v>0.6</v>
      </c>
      <c r="G2547" t="s">
        <v>12</v>
      </c>
      <c r="H2547" t="s">
        <v>7</v>
      </c>
      <c r="I2547" t="s">
        <v>1050</v>
      </c>
    </row>
    <row r="2548" spans="1:9" hidden="1" x14ac:dyDescent="0.25">
      <c r="A2548" t="s">
        <v>2194</v>
      </c>
      <c r="B2548" t="s">
        <v>10</v>
      </c>
      <c r="C2548" s="2">
        <f>HYPERLINK("https://cao.dolgi.msk.ru/account/1080283702/", 1080283702)</f>
        <v>1080283702</v>
      </c>
      <c r="D2548" t="s">
        <v>2195</v>
      </c>
      <c r="E2548">
        <v>-792.73</v>
      </c>
      <c r="F2548">
        <v>-0.21</v>
      </c>
      <c r="G2548" t="s">
        <v>12</v>
      </c>
      <c r="H2548" t="s">
        <v>7</v>
      </c>
      <c r="I2548" t="s">
        <v>1050</v>
      </c>
    </row>
    <row r="2549" spans="1:9" hidden="1" x14ac:dyDescent="0.25">
      <c r="A2549" t="s">
        <v>2194</v>
      </c>
      <c r="B2549" t="s">
        <v>10</v>
      </c>
      <c r="C2549" s="2">
        <f>HYPERLINK("https://cao.dolgi.msk.ru/account/1080283729/", 1080283729)</f>
        <v>1080283729</v>
      </c>
      <c r="D2549" t="s">
        <v>2196</v>
      </c>
      <c r="E2549">
        <v>0</v>
      </c>
      <c r="F2549">
        <v>0</v>
      </c>
      <c r="G2549" t="s">
        <v>12</v>
      </c>
      <c r="H2549" t="s">
        <v>7</v>
      </c>
      <c r="I2549" t="s">
        <v>1050</v>
      </c>
    </row>
    <row r="2550" spans="1:9" hidden="1" x14ac:dyDescent="0.25">
      <c r="A2550" t="s">
        <v>2194</v>
      </c>
      <c r="B2550" t="s">
        <v>16</v>
      </c>
      <c r="C2550" s="2">
        <f>HYPERLINK("https://cao.dolgi.msk.ru/account/1080283737/", 1080283737)</f>
        <v>1080283737</v>
      </c>
      <c r="D2550" t="s">
        <v>2197</v>
      </c>
      <c r="E2550">
        <v>-38.799999999999997</v>
      </c>
      <c r="F2550">
        <v>0</v>
      </c>
      <c r="G2550" t="s">
        <v>12</v>
      </c>
      <c r="I2550" t="s">
        <v>1050</v>
      </c>
    </row>
    <row r="2551" spans="1:9" hidden="1" x14ac:dyDescent="0.25">
      <c r="A2551" t="s">
        <v>2194</v>
      </c>
      <c r="B2551" t="s">
        <v>16</v>
      </c>
      <c r="C2551" s="2">
        <f>HYPERLINK("https://cao.dolgi.msk.ru/account/1080283745/", 1080283745)</f>
        <v>1080283745</v>
      </c>
      <c r="D2551" t="s">
        <v>15</v>
      </c>
      <c r="G2551" t="s">
        <v>14</v>
      </c>
      <c r="I2551" t="s">
        <v>1050</v>
      </c>
    </row>
    <row r="2552" spans="1:9" hidden="1" x14ac:dyDescent="0.25">
      <c r="A2552" t="s">
        <v>2194</v>
      </c>
      <c r="B2552" t="s">
        <v>16</v>
      </c>
      <c r="C2552" s="2">
        <f>HYPERLINK("https://cao.dolgi.msk.ru/account/1080283921/", 1080283921)</f>
        <v>1080283921</v>
      </c>
      <c r="D2552" t="s">
        <v>15</v>
      </c>
      <c r="G2552" t="s">
        <v>14</v>
      </c>
      <c r="I2552" t="s">
        <v>1050</v>
      </c>
    </row>
    <row r="2553" spans="1:9" x14ac:dyDescent="0.25">
      <c r="A2553" t="s">
        <v>2194</v>
      </c>
      <c r="B2553" t="s">
        <v>18</v>
      </c>
      <c r="C2553" s="2">
        <f>HYPERLINK("https://cao.dolgi.msk.ru/account/1080283753/", 1080283753)</f>
        <v>1080283753</v>
      </c>
      <c r="D2553" t="s">
        <v>2198</v>
      </c>
      <c r="E2553">
        <v>122324.94</v>
      </c>
      <c r="F2553">
        <v>14.73</v>
      </c>
      <c r="G2553" t="s">
        <v>12</v>
      </c>
      <c r="I2553" t="s">
        <v>1050</v>
      </c>
    </row>
    <row r="2554" spans="1:9" hidden="1" x14ac:dyDescent="0.25">
      <c r="A2554" t="s">
        <v>2194</v>
      </c>
      <c r="B2554" t="s">
        <v>20</v>
      </c>
      <c r="C2554" s="2">
        <f>HYPERLINK("https://cao.dolgi.msk.ru/account/1080283761/", 1080283761)</f>
        <v>1080283761</v>
      </c>
      <c r="D2554" t="s">
        <v>2199</v>
      </c>
      <c r="E2554">
        <v>0</v>
      </c>
      <c r="G2554" t="s">
        <v>14</v>
      </c>
      <c r="I2554" t="s">
        <v>1050</v>
      </c>
    </row>
    <row r="2555" spans="1:9" hidden="1" x14ac:dyDescent="0.25">
      <c r="A2555" t="s">
        <v>2194</v>
      </c>
      <c r="B2555" t="s">
        <v>20</v>
      </c>
      <c r="C2555" s="2">
        <f>HYPERLINK("https://cao.dolgi.msk.ru/account/1080283788/", 1080283788)</f>
        <v>1080283788</v>
      </c>
      <c r="D2555" t="s">
        <v>2199</v>
      </c>
      <c r="E2555">
        <v>-93.09</v>
      </c>
      <c r="F2555">
        <v>-0.01</v>
      </c>
      <c r="G2555" t="s">
        <v>12</v>
      </c>
      <c r="I2555" t="s">
        <v>1050</v>
      </c>
    </row>
    <row r="2556" spans="1:9" hidden="1" x14ac:dyDescent="0.25">
      <c r="A2556" t="s">
        <v>2194</v>
      </c>
      <c r="B2556" t="s">
        <v>21</v>
      </c>
      <c r="C2556" s="2">
        <f>HYPERLINK("https://cao.dolgi.msk.ru/account/1080283796/", 1080283796)</f>
        <v>1080283796</v>
      </c>
      <c r="D2556" t="s">
        <v>2200</v>
      </c>
      <c r="E2556">
        <v>-838.07</v>
      </c>
      <c r="F2556">
        <v>-0.12</v>
      </c>
      <c r="G2556" t="s">
        <v>12</v>
      </c>
      <c r="I2556" t="s">
        <v>1050</v>
      </c>
    </row>
    <row r="2557" spans="1:9" hidden="1" x14ac:dyDescent="0.25">
      <c r="A2557" t="s">
        <v>2194</v>
      </c>
      <c r="B2557" t="s">
        <v>22</v>
      </c>
      <c r="C2557" s="2">
        <f>HYPERLINK("https://cao.dolgi.msk.ru/account/1080283809/", 1080283809)</f>
        <v>1080283809</v>
      </c>
      <c r="D2557" t="s">
        <v>2201</v>
      </c>
      <c r="G2557" t="s">
        <v>14</v>
      </c>
      <c r="I2557" t="s">
        <v>1050</v>
      </c>
    </row>
    <row r="2558" spans="1:9" hidden="1" x14ac:dyDescent="0.25">
      <c r="A2558" t="s">
        <v>2194</v>
      </c>
      <c r="B2558" t="s">
        <v>22</v>
      </c>
      <c r="C2558" s="2">
        <f>HYPERLINK("https://cao.dolgi.msk.ru/account/1080283817/", 1080283817)</f>
        <v>1080283817</v>
      </c>
      <c r="D2558" t="s">
        <v>2202</v>
      </c>
      <c r="E2558">
        <v>-185.43</v>
      </c>
      <c r="F2558">
        <v>-0.02</v>
      </c>
      <c r="G2558" t="s">
        <v>12</v>
      </c>
      <c r="I2558" t="s">
        <v>1050</v>
      </c>
    </row>
    <row r="2559" spans="1:9" hidden="1" x14ac:dyDescent="0.25">
      <c r="A2559" t="s">
        <v>2194</v>
      </c>
      <c r="B2559" t="s">
        <v>22</v>
      </c>
      <c r="C2559" s="2">
        <f>HYPERLINK("https://cao.dolgi.msk.ru/account/1089131641/", 1089131641)</f>
        <v>1089131641</v>
      </c>
      <c r="D2559" t="s">
        <v>15</v>
      </c>
      <c r="E2559">
        <v>312.01</v>
      </c>
      <c r="G2559" t="s">
        <v>14</v>
      </c>
      <c r="I2559" t="s">
        <v>1050</v>
      </c>
    </row>
    <row r="2560" spans="1:9" hidden="1" x14ac:dyDescent="0.25">
      <c r="A2560" t="s">
        <v>2194</v>
      </c>
      <c r="B2560" t="s">
        <v>23</v>
      </c>
      <c r="C2560" s="2">
        <f>HYPERLINK("https://cao.dolgi.msk.ru/account/1080283825/", 1080283825)</f>
        <v>1080283825</v>
      </c>
      <c r="D2560" t="s">
        <v>2203</v>
      </c>
      <c r="E2560">
        <v>0</v>
      </c>
      <c r="F2560">
        <v>0</v>
      </c>
      <c r="G2560" t="s">
        <v>12</v>
      </c>
      <c r="I2560" t="s">
        <v>1050</v>
      </c>
    </row>
    <row r="2561" spans="1:9" hidden="1" x14ac:dyDescent="0.25">
      <c r="A2561" t="s">
        <v>2194</v>
      </c>
      <c r="B2561" t="s">
        <v>24</v>
      </c>
      <c r="C2561" s="2">
        <f>HYPERLINK("https://cao.dolgi.msk.ru/account/1080283833/", 1080283833)</f>
        <v>1080283833</v>
      </c>
      <c r="D2561" t="s">
        <v>2204</v>
      </c>
      <c r="E2561">
        <v>-7117.55</v>
      </c>
      <c r="F2561">
        <v>-1.1399999999999999</v>
      </c>
      <c r="G2561" t="s">
        <v>12</v>
      </c>
      <c r="I2561" t="s">
        <v>1050</v>
      </c>
    </row>
    <row r="2562" spans="1:9" x14ac:dyDescent="0.25">
      <c r="A2562" t="s">
        <v>2194</v>
      </c>
      <c r="B2562" t="s">
        <v>27</v>
      </c>
      <c r="C2562" s="2">
        <f>HYPERLINK("https://cao.dolgi.msk.ru/account/1080283841/", 1080283841)</f>
        <v>1080283841</v>
      </c>
      <c r="D2562" t="s">
        <v>2205</v>
      </c>
      <c r="E2562">
        <v>6267.09</v>
      </c>
      <c r="F2562">
        <v>1.05</v>
      </c>
      <c r="G2562" t="s">
        <v>12</v>
      </c>
      <c r="I2562" t="s">
        <v>1050</v>
      </c>
    </row>
    <row r="2563" spans="1:9" hidden="1" x14ac:dyDescent="0.25">
      <c r="A2563" t="s">
        <v>2194</v>
      </c>
      <c r="B2563" t="s">
        <v>29</v>
      </c>
      <c r="C2563" s="2">
        <f>HYPERLINK("https://cao.dolgi.msk.ru/account/1080283868/", 1080283868)</f>
        <v>1080283868</v>
      </c>
      <c r="D2563" t="s">
        <v>2206</v>
      </c>
      <c r="E2563">
        <v>-4614.42</v>
      </c>
      <c r="F2563">
        <v>-0.95</v>
      </c>
      <c r="G2563" t="s">
        <v>12</v>
      </c>
      <c r="H2563" t="s">
        <v>7</v>
      </c>
      <c r="I2563" t="s">
        <v>1050</v>
      </c>
    </row>
    <row r="2564" spans="1:9" hidden="1" x14ac:dyDescent="0.25">
      <c r="A2564" t="s">
        <v>2194</v>
      </c>
      <c r="B2564" t="s">
        <v>29</v>
      </c>
      <c r="C2564" s="2">
        <f>HYPERLINK("https://cao.dolgi.msk.ru/account/1080283876/", 1080283876)</f>
        <v>1080283876</v>
      </c>
      <c r="D2564" t="s">
        <v>2207</v>
      </c>
      <c r="E2564">
        <v>-61.31</v>
      </c>
      <c r="F2564">
        <v>-0.01</v>
      </c>
      <c r="G2564" t="s">
        <v>12</v>
      </c>
      <c r="H2564" t="s">
        <v>7</v>
      </c>
      <c r="I2564" t="s">
        <v>1050</v>
      </c>
    </row>
    <row r="2565" spans="1:9" hidden="1" x14ac:dyDescent="0.25">
      <c r="A2565" t="s">
        <v>2194</v>
      </c>
      <c r="B2565" t="s">
        <v>31</v>
      </c>
      <c r="C2565" s="2">
        <f>HYPERLINK("https://cao.dolgi.msk.ru/account/1080283884/", 1080283884)</f>
        <v>1080283884</v>
      </c>
      <c r="D2565" t="s">
        <v>2208</v>
      </c>
      <c r="E2565">
        <v>-68.13</v>
      </c>
      <c r="F2565">
        <v>-0.01</v>
      </c>
      <c r="G2565" t="s">
        <v>12</v>
      </c>
      <c r="I2565" t="s">
        <v>1050</v>
      </c>
    </row>
    <row r="2566" spans="1:9" hidden="1" x14ac:dyDescent="0.25">
      <c r="A2566" t="s">
        <v>2194</v>
      </c>
      <c r="B2566" t="s">
        <v>33</v>
      </c>
      <c r="C2566" s="2">
        <f>HYPERLINK("https://cao.dolgi.msk.ru/account/1080283892/", 1080283892)</f>
        <v>1080283892</v>
      </c>
      <c r="D2566" t="s">
        <v>2209</v>
      </c>
      <c r="E2566">
        <v>2370.23</v>
      </c>
      <c r="F2566">
        <v>0.69</v>
      </c>
      <c r="G2566" t="s">
        <v>12</v>
      </c>
      <c r="I2566" t="s">
        <v>1050</v>
      </c>
    </row>
    <row r="2567" spans="1:9" x14ac:dyDescent="0.25">
      <c r="A2567" t="s">
        <v>2194</v>
      </c>
      <c r="B2567" t="s">
        <v>33</v>
      </c>
      <c r="C2567" s="2">
        <f>HYPERLINK("https://cao.dolgi.msk.ru/account/1083270069/", 1083270069)</f>
        <v>1083270069</v>
      </c>
      <c r="D2567" t="s">
        <v>2210</v>
      </c>
      <c r="E2567">
        <v>5005.49</v>
      </c>
      <c r="F2567">
        <v>1.21</v>
      </c>
      <c r="G2567" t="s">
        <v>12</v>
      </c>
      <c r="I2567" t="s">
        <v>1050</v>
      </c>
    </row>
    <row r="2568" spans="1:9" hidden="1" x14ac:dyDescent="0.25">
      <c r="A2568" t="s">
        <v>2194</v>
      </c>
      <c r="B2568" t="s">
        <v>34</v>
      </c>
      <c r="C2568" s="2">
        <f>HYPERLINK("https://cao.dolgi.msk.ru/account/1080283913/", 1080283913)</f>
        <v>1080283913</v>
      </c>
      <c r="D2568" t="s">
        <v>2211</v>
      </c>
      <c r="E2568">
        <v>-8103.14</v>
      </c>
      <c r="F2568">
        <v>-1.03</v>
      </c>
      <c r="G2568" t="s">
        <v>12</v>
      </c>
      <c r="I2568" t="s">
        <v>1050</v>
      </c>
    </row>
    <row r="2569" spans="1:9" hidden="1" x14ac:dyDescent="0.25">
      <c r="A2569" t="s">
        <v>2194</v>
      </c>
      <c r="B2569" t="s">
        <v>36</v>
      </c>
      <c r="C2569" s="2">
        <f>HYPERLINK("https://cao.dolgi.msk.ru/account/1080283948/", 1080283948)</f>
        <v>1080283948</v>
      </c>
      <c r="D2569" t="s">
        <v>2212</v>
      </c>
      <c r="E2569">
        <v>-8481.76</v>
      </c>
      <c r="F2569">
        <v>-0.96</v>
      </c>
      <c r="G2569" t="s">
        <v>12</v>
      </c>
      <c r="I2569" t="s">
        <v>1050</v>
      </c>
    </row>
    <row r="2570" spans="1:9" hidden="1" x14ac:dyDescent="0.25">
      <c r="A2570" t="s">
        <v>2194</v>
      </c>
      <c r="B2570" t="s">
        <v>38</v>
      </c>
      <c r="C2570" s="2">
        <f>HYPERLINK("https://cao.dolgi.msk.ru/account/1080283956/", 1080283956)</f>
        <v>1080283956</v>
      </c>
      <c r="D2570" t="s">
        <v>2213</v>
      </c>
      <c r="E2570">
        <v>-7632.75</v>
      </c>
      <c r="F2570">
        <v>-1.04</v>
      </c>
      <c r="G2570" t="s">
        <v>12</v>
      </c>
      <c r="I2570" t="s">
        <v>1050</v>
      </c>
    </row>
    <row r="2571" spans="1:9" hidden="1" x14ac:dyDescent="0.25">
      <c r="A2571" t="s">
        <v>2194</v>
      </c>
      <c r="B2571" t="s">
        <v>38</v>
      </c>
      <c r="C2571" s="2">
        <f>HYPERLINK("https://cao.dolgi.msk.ru/account/1080283964/", 1080283964)</f>
        <v>1080283964</v>
      </c>
      <c r="D2571" t="s">
        <v>15</v>
      </c>
      <c r="E2571">
        <v>0</v>
      </c>
      <c r="G2571" t="s">
        <v>14</v>
      </c>
      <c r="I2571" t="s">
        <v>1050</v>
      </c>
    </row>
    <row r="2572" spans="1:9" hidden="1" x14ac:dyDescent="0.25">
      <c r="A2572" t="s">
        <v>2194</v>
      </c>
      <c r="B2572" t="s">
        <v>38</v>
      </c>
      <c r="C2572" s="2">
        <f>HYPERLINK("https://cao.dolgi.msk.ru/account/1083274633/", 1083274633)</f>
        <v>1083274633</v>
      </c>
      <c r="D2572" t="s">
        <v>15</v>
      </c>
      <c r="E2572">
        <v>0</v>
      </c>
      <c r="G2572" t="s">
        <v>14</v>
      </c>
      <c r="I2572" t="s">
        <v>1050</v>
      </c>
    </row>
    <row r="2573" spans="1:9" hidden="1" x14ac:dyDescent="0.25">
      <c r="A2573" t="s">
        <v>2194</v>
      </c>
      <c r="B2573" t="s">
        <v>39</v>
      </c>
      <c r="C2573" s="2">
        <f>HYPERLINK("https://cao.dolgi.msk.ru/account/1080283972/", 1080283972)</f>
        <v>1080283972</v>
      </c>
      <c r="D2573" t="s">
        <v>2214</v>
      </c>
      <c r="E2573">
        <v>7874.58</v>
      </c>
      <c r="F2573">
        <v>1</v>
      </c>
      <c r="G2573" t="s">
        <v>12</v>
      </c>
      <c r="I2573" t="s">
        <v>1050</v>
      </c>
    </row>
    <row r="2574" spans="1:9" hidden="1" x14ac:dyDescent="0.25">
      <c r="A2574" t="s">
        <v>2194</v>
      </c>
      <c r="B2574" t="s">
        <v>40</v>
      </c>
      <c r="C2574" s="2">
        <f>HYPERLINK("https://cao.dolgi.msk.ru/account/1080283999/", 1080283999)</f>
        <v>1080283999</v>
      </c>
      <c r="D2574" t="s">
        <v>15</v>
      </c>
      <c r="E2574">
        <v>699.22</v>
      </c>
      <c r="G2574" t="s">
        <v>14</v>
      </c>
      <c r="I2574" t="s">
        <v>1050</v>
      </c>
    </row>
    <row r="2575" spans="1:9" hidden="1" x14ac:dyDescent="0.25">
      <c r="A2575" t="s">
        <v>2194</v>
      </c>
      <c r="B2575" t="s">
        <v>40</v>
      </c>
      <c r="C2575" s="2">
        <f>HYPERLINK("https://cao.dolgi.msk.ru/account/1080284019/", 1080284019)</f>
        <v>1080284019</v>
      </c>
      <c r="D2575" t="s">
        <v>2215</v>
      </c>
      <c r="E2575">
        <v>-38023.550000000003</v>
      </c>
      <c r="F2575">
        <v>-4.5199999999999996</v>
      </c>
      <c r="G2575" t="s">
        <v>12</v>
      </c>
      <c r="I2575" t="s">
        <v>1050</v>
      </c>
    </row>
    <row r="2576" spans="1:9" x14ac:dyDescent="0.25">
      <c r="A2576" t="s">
        <v>2194</v>
      </c>
      <c r="B2576" t="s">
        <v>41</v>
      </c>
      <c r="C2576" s="2">
        <f>HYPERLINK("https://cao.dolgi.msk.ru/account/1080284027/", 1080284027)</f>
        <v>1080284027</v>
      </c>
      <c r="D2576" t="s">
        <v>2216</v>
      </c>
      <c r="E2576">
        <v>15819.91</v>
      </c>
      <c r="F2576">
        <v>1.46</v>
      </c>
      <c r="G2576" t="s">
        <v>12</v>
      </c>
      <c r="I2576" t="s">
        <v>1050</v>
      </c>
    </row>
    <row r="2577" spans="1:9" hidden="1" x14ac:dyDescent="0.25">
      <c r="A2577" t="s">
        <v>2194</v>
      </c>
      <c r="B2577" t="s">
        <v>42</v>
      </c>
      <c r="C2577" s="2">
        <f>HYPERLINK("https://cao.dolgi.msk.ru/account/1080284035/", 1080284035)</f>
        <v>1080284035</v>
      </c>
      <c r="D2577" t="s">
        <v>2217</v>
      </c>
      <c r="E2577">
        <v>-9879.3799999999992</v>
      </c>
      <c r="F2577">
        <v>-0.99</v>
      </c>
      <c r="G2577" t="s">
        <v>12</v>
      </c>
      <c r="I2577" t="s">
        <v>1050</v>
      </c>
    </row>
    <row r="2578" spans="1:9" hidden="1" x14ac:dyDescent="0.25">
      <c r="A2578" t="s">
        <v>2194</v>
      </c>
      <c r="B2578" t="s">
        <v>44</v>
      </c>
      <c r="C2578" s="2">
        <f>HYPERLINK("https://cao.dolgi.msk.ru/account/1080284051/", 1080284051)</f>
        <v>1080284051</v>
      </c>
      <c r="D2578" t="s">
        <v>2218</v>
      </c>
      <c r="E2578">
        <v>-9859.25</v>
      </c>
      <c r="F2578">
        <v>-1.1499999999999999</v>
      </c>
      <c r="G2578" t="s">
        <v>12</v>
      </c>
      <c r="I2578" t="s">
        <v>1050</v>
      </c>
    </row>
    <row r="2579" spans="1:9" hidden="1" x14ac:dyDescent="0.25">
      <c r="A2579" t="s">
        <v>2194</v>
      </c>
      <c r="B2579" t="s">
        <v>68</v>
      </c>
      <c r="C2579" s="2">
        <f>HYPERLINK("https://cao.dolgi.msk.ru/account/1080284107/", 1080284107)</f>
        <v>1080284107</v>
      </c>
      <c r="D2579" t="s">
        <v>15</v>
      </c>
      <c r="G2579" t="s">
        <v>14</v>
      </c>
      <c r="I2579" t="s">
        <v>1050</v>
      </c>
    </row>
    <row r="2580" spans="1:9" hidden="1" x14ac:dyDescent="0.25">
      <c r="A2580" t="s">
        <v>2194</v>
      </c>
      <c r="B2580" t="s">
        <v>68</v>
      </c>
      <c r="C2580" s="2">
        <f>HYPERLINK("https://cao.dolgi.msk.ru/account/1080284115/", 1080284115)</f>
        <v>1080284115</v>
      </c>
      <c r="D2580" t="s">
        <v>2219</v>
      </c>
      <c r="G2580" t="s">
        <v>14</v>
      </c>
      <c r="I2580" t="s">
        <v>1050</v>
      </c>
    </row>
    <row r="2581" spans="1:9" hidden="1" x14ac:dyDescent="0.25">
      <c r="A2581" t="s">
        <v>2194</v>
      </c>
      <c r="B2581" t="s">
        <v>68</v>
      </c>
      <c r="C2581" s="2">
        <f>HYPERLINK("https://cao.dolgi.msk.ru/account/1080320913/", 1080320913)</f>
        <v>1080320913</v>
      </c>
      <c r="D2581" t="s">
        <v>15</v>
      </c>
      <c r="G2581" t="s">
        <v>14</v>
      </c>
      <c r="I2581" t="s">
        <v>1050</v>
      </c>
    </row>
    <row r="2582" spans="1:9" hidden="1" x14ac:dyDescent="0.25">
      <c r="A2582" t="s">
        <v>2194</v>
      </c>
      <c r="B2582" t="s">
        <v>70</v>
      </c>
      <c r="C2582" s="2">
        <f>HYPERLINK("https://cao.dolgi.msk.ru/account/1080284123/", 1080284123)</f>
        <v>1080284123</v>
      </c>
      <c r="D2582" t="s">
        <v>2220</v>
      </c>
      <c r="E2582">
        <v>-2760.89</v>
      </c>
      <c r="F2582">
        <v>-0.38</v>
      </c>
      <c r="G2582" t="s">
        <v>12</v>
      </c>
      <c r="I2582" t="s">
        <v>1050</v>
      </c>
    </row>
    <row r="2583" spans="1:9" hidden="1" x14ac:dyDescent="0.25">
      <c r="A2583" t="s">
        <v>2194</v>
      </c>
      <c r="B2583" t="s">
        <v>72</v>
      </c>
      <c r="C2583" s="2">
        <f>HYPERLINK("https://cao.dolgi.msk.ru/account/1080284131/", 1080284131)</f>
        <v>1080284131</v>
      </c>
      <c r="D2583" t="s">
        <v>2221</v>
      </c>
      <c r="E2583">
        <v>-7996.78</v>
      </c>
      <c r="F2583">
        <v>-1.1299999999999999</v>
      </c>
      <c r="G2583" t="s">
        <v>12</v>
      </c>
      <c r="I2583" t="s">
        <v>1050</v>
      </c>
    </row>
    <row r="2584" spans="1:9" hidden="1" x14ac:dyDescent="0.25">
      <c r="A2584" t="s">
        <v>2194</v>
      </c>
      <c r="B2584" t="s">
        <v>74</v>
      </c>
      <c r="C2584" s="2">
        <f>HYPERLINK("https://cao.dolgi.msk.ru/account/1080284158/", 1080284158)</f>
        <v>1080284158</v>
      </c>
      <c r="D2584" t="s">
        <v>2222</v>
      </c>
      <c r="E2584">
        <v>-3317.29</v>
      </c>
      <c r="F2584">
        <v>-1</v>
      </c>
      <c r="G2584" t="s">
        <v>12</v>
      </c>
      <c r="H2584" t="s">
        <v>7</v>
      </c>
      <c r="I2584" t="s">
        <v>1050</v>
      </c>
    </row>
    <row r="2585" spans="1:9" hidden="1" x14ac:dyDescent="0.25">
      <c r="A2585" t="s">
        <v>2194</v>
      </c>
      <c r="B2585" t="s">
        <v>74</v>
      </c>
      <c r="C2585" s="2">
        <f>HYPERLINK("https://cao.dolgi.msk.ru/account/1080284166/", 1080284166)</f>
        <v>1080284166</v>
      </c>
      <c r="D2585" t="s">
        <v>2223</v>
      </c>
      <c r="E2585">
        <v>-106.62</v>
      </c>
      <c r="F2585">
        <v>-0.01</v>
      </c>
      <c r="G2585" t="s">
        <v>12</v>
      </c>
      <c r="H2585" t="s">
        <v>7</v>
      </c>
      <c r="I2585" t="s">
        <v>1050</v>
      </c>
    </row>
    <row r="2586" spans="1:9" hidden="1" x14ac:dyDescent="0.25">
      <c r="A2586" t="s">
        <v>2194</v>
      </c>
      <c r="B2586" t="s">
        <v>76</v>
      </c>
      <c r="C2586" s="2">
        <f>HYPERLINK("https://cao.dolgi.msk.ru/account/1080284174/", 1080284174)</f>
        <v>1080284174</v>
      </c>
      <c r="D2586" t="s">
        <v>2224</v>
      </c>
      <c r="E2586">
        <v>-7424.06</v>
      </c>
      <c r="F2586">
        <v>-1.1200000000000001</v>
      </c>
      <c r="G2586" t="s">
        <v>12</v>
      </c>
      <c r="I2586" t="s">
        <v>1050</v>
      </c>
    </row>
    <row r="2587" spans="1:9" hidden="1" x14ac:dyDescent="0.25">
      <c r="A2587" t="s">
        <v>2194</v>
      </c>
      <c r="B2587" t="s">
        <v>78</v>
      </c>
      <c r="C2587" s="2">
        <f>HYPERLINK("https://cao.dolgi.msk.ru/account/1080284182/", 1080284182)</f>
        <v>1080284182</v>
      </c>
      <c r="D2587" t="s">
        <v>2225</v>
      </c>
      <c r="E2587">
        <v>-19865.830000000002</v>
      </c>
      <c r="F2587">
        <v>-2.2599999999999998</v>
      </c>
      <c r="G2587" t="s">
        <v>12</v>
      </c>
      <c r="I2587" t="s">
        <v>1050</v>
      </c>
    </row>
    <row r="2588" spans="1:9" hidden="1" x14ac:dyDescent="0.25">
      <c r="A2588" t="s">
        <v>2194</v>
      </c>
      <c r="B2588" t="s">
        <v>80</v>
      </c>
      <c r="C2588" s="2">
        <f>HYPERLINK("https://cao.dolgi.msk.ru/account/1080284203/", 1080284203)</f>
        <v>1080284203</v>
      </c>
      <c r="D2588" t="s">
        <v>2226</v>
      </c>
      <c r="E2588">
        <v>-4649.8100000000004</v>
      </c>
      <c r="F2588">
        <v>-1.07</v>
      </c>
      <c r="G2588" t="s">
        <v>12</v>
      </c>
      <c r="I2588" t="s">
        <v>1050</v>
      </c>
    </row>
    <row r="2589" spans="1:9" hidden="1" x14ac:dyDescent="0.25">
      <c r="A2589" t="s">
        <v>2194</v>
      </c>
      <c r="B2589" t="s">
        <v>82</v>
      </c>
      <c r="C2589" s="2">
        <f>HYPERLINK("https://cao.dolgi.msk.ru/account/1080284043/", 1080284043)</f>
        <v>1080284043</v>
      </c>
      <c r="D2589" t="s">
        <v>2227</v>
      </c>
      <c r="E2589">
        <v>-12.15</v>
      </c>
      <c r="F2589">
        <v>0</v>
      </c>
      <c r="G2589" t="s">
        <v>12</v>
      </c>
      <c r="I2589" t="s">
        <v>1050</v>
      </c>
    </row>
    <row r="2590" spans="1:9" hidden="1" x14ac:dyDescent="0.25">
      <c r="A2590" t="s">
        <v>2194</v>
      </c>
      <c r="B2590" t="s">
        <v>84</v>
      </c>
      <c r="C2590" s="2">
        <f>HYPERLINK("https://cao.dolgi.msk.ru/account/1080284238/", 1080284238)</f>
        <v>1080284238</v>
      </c>
      <c r="D2590" t="s">
        <v>2228</v>
      </c>
      <c r="E2590">
        <v>-9663.99</v>
      </c>
      <c r="F2590">
        <v>-1.1399999999999999</v>
      </c>
      <c r="G2590" t="s">
        <v>12</v>
      </c>
      <c r="I2590" t="s">
        <v>1050</v>
      </c>
    </row>
    <row r="2591" spans="1:9" hidden="1" x14ac:dyDescent="0.25">
      <c r="A2591" t="s">
        <v>2194</v>
      </c>
      <c r="B2591" t="s">
        <v>86</v>
      </c>
      <c r="C2591" s="2">
        <f>HYPERLINK("https://cao.dolgi.msk.ru/account/1080284246/", 1080284246)</f>
        <v>1080284246</v>
      </c>
      <c r="D2591" t="s">
        <v>2229</v>
      </c>
      <c r="E2591">
        <v>-10050.48</v>
      </c>
      <c r="F2591">
        <v>-0.97</v>
      </c>
      <c r="G2591" t="s">
        <v>12</v>
      </c>
      <c r="I2591" t="s">
        <v>1050</v>
      </c>
    </row>
    <row r="2592" spans="1:9" hidden="1" x14ac:dyDescent="0.25">
      <c r="A2592" t="s">
        <v>2194</v>
      </c>
      <c r="B2592" t="s">
        <v>88</v>
      </c>
      <c r="C2592" s="2">
        <f>HYPERLINK("https://cao.dolgi.msk.ru/account/1080284254/", 1080284254)</f>
        <v>1080284254</v>
      </c>
      <c r="D2592" t="s">
        <v>2230</v>
      </c>
      <c r="E2592">
        <v>-2</v>
      </c>
      <c r="F2592">
        <v>0</v>
      </c>
      <c r="G2592" t="s">
        <v>12</v>
      </c>
      <c r="I2592" t="s">
        <v>1050</v>
      </c>
    </row>
    <row r="2593" spans="1:9" hidden="1" x14ac:dyDescent="0.25">
      <c r="A2593" t="s">
        <v>2194</v>
      </c>
      <c r="B2593" t="s">
        <v>90</v>
      </c>
      <c r="C2593" s="2">
        <f>HYPERLINK("https://cao.dolgi.msk.ru/account/1080284262/", 1080284262)</f>
        <v>1080284262</v>
      </c>
      <c r="D2593" t="s">
        <v>2231</v>
      </c>
      <c r="E2593">
        <v>-6212.52</v>
      </c>
      <c r="F2593">
        <v>-0.98</v>
      </c>
      <c r="G2593" t="s">
        <v>12</v>
      </c>
      <c r="I2593" t="s">
        <v>1050</v>
      </c>
    </row>
    <row r="2594" spans="1:9" hidden="1" x14ac:dyDescent="0.25">
      <c r="A2594" t="s">
        <v>2194</v>
      </c>
      <c r="B2594" t="s">
        <v>92</v>
      </c>
      <c r="C2594" s="2">
        <f>HYPERLINK("https://cao.dolgi.msk.ru/account/1080284289/", 1080284289)</f>
        <v>1080284289</v>
      </c>
      <c r="D2594" t="s">
        <v>2232</v>
      </c>
      <c r="E2594">
        <v>-10026.17</v>
      </c>
      <c r="F2594">
        <v>-1.0900000000000001</v>
      </c>
      <c r="G2594" t="s">
        <v>12</v>
      </c>
      <c r="I2594" t="s">
        <v>1050</v>
      </c>
    </row>
    <row r="2595" spans="1:9" hidden="1" x14ac:dyDescent="0.25">
      <c r="A2595" t="s">
        <v>2194</v>
      </c>
      <c r="B2595" t="s">
        <v>92</v>
      </c>
      <c r="C2595" s="2">
        <f>HYPERLINK("https://cao.dolgi.msk.ru/account/1080284297/", 1080284297)</f>
        <v>1080284297</v>
      </c>
      <c r="D2595" t="s">
        <v>2233</v>
      </c>
      <c r="G2595" t="s">
        <v>14</v>
      </c>
      <c r="I2595" t="s">
        <v>1050</v>
      </c>
    </row>
    <row r="2596" spans="1:9" hidden="1" x14ac:dyDescent="0.25">
      <c r="A2596" t="s">
        <v>2194</v>
      </c>
      <c r="B2596" t="s">
        <v>92</v>
      </c>
      <c r="C2596" s="2">
        <f>HYPERLINK("https://cao.dolgi.msk.ru/account/1080284318/", 1080284318)</f>
        <v>1080284318</v>
      </c>
      <c r="D2596" t="s">
        <v>2233</v>
      </c>
      <c r="E2596">
        <v>-554.41</v>
      </c>
      <c r="G2596" t="s">
        <v>14</v>
      </c>
      <c r="I2596" t="s">
        <v>1050</v>
      </c>
    </row>
    <row r="2597" spans="1:9" hidden="1" x14ac:dyDescent="0.25">
      <c r="A2597" t="s">
        <v>2194</v>
      </c>
      <c r="B2597" t="s">
        <v>94</v>
      </c>
      <c r="C2597" s="2">
        <f>HYPERLINK("https://cao.dolgi.msk.ru/account/1080284326/", 1080284326)</f>
        <v>1080284326</v>
      </c>
      <c r="D2597" t="s">
        <v>2234</v>
      </c>
      <c r="E2597">
        <v>-8017.49</v>
      </c>
      <c r="F2597">
        <v>-0.97</v>
      </c>
      <c r="G2597" t="s">
        <v>12</v>
      </c>
      <c r="I2597" t="s">
        <v>1050</v>
      </c>
    </row>
    <row r="2598" spans="1:9" hidden="1" x14ac:dyDescent="0.25">
      <c r="A2598" t="s">
        <v>2194</v>
      </c>
      <c r="B2598" t="s">
        <v>96</v>
      </c>
      <c r="C2598" s="2">
        <f>HYPERLINK("https://cao.dolgi.msk.ru/account/1080284334/", 1080284334)</f>
        <v>1080284334</v>
      </c>
      <c r="D2598" t="s">
        <v>15</v>
      </c>
      <c r="E2598">
        <v>-2933.28</v>
      </c>
      <c r="F2598">
        <v>-0.26</v>
      </c>
      <c r="G2598" t="s">
        <v>12</v>
      </c>
      <c r="I2598" t="s">
        <v>1050</v>
      </c>
    </row>
    <row r="2599" spans="1:9" hidden="1" x14ac:dyDescent="0.25">
      <c r="A2599" t="s">
        <v>2194</v>
      </c>
      <c r="B2599" t="s">
        <v>98</v>
      </c>
      <c r="C2599" s="2">
        <f>HYPERLINK("https://cao.dolgi.msk.ru/account/1080284342/", 1080284342)</f>
        <v>1080284342</v>
      </c>
      <c r="D2599" t="s">
        <v>2235</v>
      </c>
      <c r="E2599">
        <v>-5089.2299999999996</v>
      </c>
      <c r="F2599">
        <v>-1.1200000000000001</v>
      </c>
      <c r="G2599" t="s">
        <v>12</v>
      </c>
      <c r="I2599" t="s">
        <v>1050</v>
      </c>
    </row>
    <row r="2600" spans="1:9" hidden="1" x14ac:dyDescent="0.25">
      <c r="A2600" t="s">
        <v>2194</v>
      </c>
      <c r="B2600" t="s">
        <v>100</v>
      </c>
      <c r="C2600" s="2">
        <f>HYPERLINK("https://cao.dolgi.msk.ru/account/1080284369/", 1080284369)</f>
        <v>1080284369</v>
      </c>
      <c r="D2600" t="s">
        <v>2236</v>
      </c>
      <c r="E2600">
        <v>-7873.63</v>
      </c>
      <c r="F2600">
        <v>-1.1000000000000001</v>
      </c>
      <c r="G2600" t="s">
        <v>12</v>
      </c>
      <c r="I2600" t="s">
        <v>1050</v>
      </c>
    </row>
    <row r="2601" spans="1:9" hidden="1" x14ac:dyDescent="0.25">
      <c r="A2601" t="s">
        <v>2194</v>
      </c>
      <c r="B2601" t="s">
        <v>102</v>
      </c>
      <c r="C2601" s="2">
        <f>HYPERLINK("https://cao.dolgi.msk.ru/account/1080284377/", 1080284377)</f>
        <v>1080284377</v>
      </c>
      <c r="D2601" t="s">
        <v>2237</v>
      </c>
      <c r="E2601">
        <v>0</v>
      </c>
      <c r="G2601" t="s">
        <v>14</v>
      </c>
      <c r="I2601" t="s">
        <v>1050</v>
      </c>
    </row>
    <row r="2602" spans="1:9" hidden="1" x14ac:dyDescent="0.25">
      <c r="A2602" t="s">
        <v>2194</v>
      </c>
      <c r="B2602" t="s">
        <v>102</v>
      </c>
      <c r="C2602" s="2">
        <f>HYPERLINK("https://cao.dolgi.msk.ru/account/1080284385/", 1080284385)</f>
        <v>1080284385</v>
      </c>
      <c r="D2602" t="s">
        <v>2238</v>
      </c>
      <c r="E2602">
        <v>-8662.06</v>
      </c>
      <c r="F2602">
        <v>-1.1399999999999999</v>
      </c>
      <c r="G2602" t="s">
        <v>12</v>
      </c>
      <c r="I2602" t="s">
        <v>1050</v>
      </c>
    </row>
    <row r="2603" spans="1:9" hidden="1" x14ac:dyDescent="0.25">
      <c r="A2603" t="s">
        <v>2194</v>
      </c>
      <c r="B2603" t="s">
        <v>102</v>
      </c>
      <c r="C2603" s="2">
        <f>HYPERLINK("https://cao.dolgi.msk.ru/account/1080284393/", 1080284393)</f>
        <v>1080284393</v>
      </c>
      <c r="D2603" t="s">
        <v>2239</v>
      </c>
      <c r="E2603">
        <v>-3099.56</v>
      </c>
      <c r="G2603" t="s">
        <v>14</v>
      </c>
      <c r="I2603" t="s">
        <v>1050</v>
      </c>
    </row>
    <row r="2604" spans="1:9" hidden="1" x14ac:dyDescent="0.25">
      <c r="A2604" t="s">
        <v>2194</v>
      </c>
      <c r="B2604" t="s">
        <v>102</v>
      </c>
      <c r="C2604" s="2">
        <f>HYPERLINK("https://cao.dolgi.msk.ru/account/1083391434/", 1083391434)</f>
        <v>1083391434</v>
      </c>
      <c r="D2604" t="s">
        <v>189</v>
      </c>
      <c r="E2604">
        <v>0</v>
      </c>
      <c r="F2604">
        <v>0</v>
      </c>
      <c r="G2604" t="s">
        <v>14</v>
      </c>
      <c r="I2604" t="s">
        <v>1050</v>
      </c>
    </row>
    <row r="2605" spans="1:9" hidden="1" x14ac:dyDescent="0.25">
      <c r="A2605" t="s">
        <v>2194</v>
      </c>
      <c r="B2605" t="s">
        <v>104</v>
      </c>
      <c r="C2605" s="2">
        <f>HYPERLINK("https://cao.dolgi.msk.ru/account/1080284406/", 1080284406)</f>
        <v>1080284406</v>
      </c>
      <c r="D2605" t="s">
        <v>2240</v>
      </c>
      <c r="E2605">
        <v>817.73</v>
      </c>
      <c r="F2605">
        <v>0.08</v>
      </c>
      <c r="G2605" t="s">
        <v>12</v>
      </c>
      <c r="I2605" t="s">
        <v>1050</v>
      </c>
    </row>
    <row r="2606" spans="1:9" hidden="1" x14ac:dyDescent="0.25">
      <c r="A2606" t="s">
        <v>2241</v>
      </c>
      <c r="B2606" t="s">
        <v>10</v>
      </c>
      <c r="C2606" s="2">
        <f>HYPERLINK("https://cao.dolgi.msk.ru/account/1080288714/", 1080288714)</f>
        <v>1080288714</v>
      </c>
      <c r="D2606" t="s">
        <v>2242</v>
      </c>
      <c r="E2606">
        <v>-3036.57</v>
      </c>
      <c r="F2606">
        <v>-1.69</v>
      </c>
      <c r="G2606" t="s">
        <v>12</v>
      </c>
      <c r="H2606" t="s">
        <v>7</v>
      </c>
      <c r="I2606" t="s">
        <v>1050</v>
      </c>
    </row>
    <row r="2607" spans="1:9" hidden="1" x14ac:dyDescent="0.25">
      <c r="A2607" t="s">
        <v>2241</v>
      </c>
      <c r="B2607" t="s">
        <v>10</v>
      </c>
      <c r="C2607" s="2">
        <f>HYPERLINK("https://cao.dolgi.msk.ru/account/1080288722/", 1080288722)</f>
        <v>1080288722</v>
      </c>
      <c r="D2607" t="s">
        <v>2243</v>
      </c>
      <c r="G2607" t="s">
        <v>14</v>
      </c>
      <c r="H2607" t="s">
        <v>7</v>
      </c>
      <c r="I2607" t="s">
        <v>1050</v>
      </c>
    </row>
    <row r="2608" spans="1:9" hidden="1" x14ac:dyDescent="0.25">
      <c r="A2608" t="s">
        <v>2241</v>
      </c>
      <c r="B2608" t="s">
        <v>10</v>
      </c>
      <c r="C2608" s="2">
        <f>HYPERLINK("https://cao.dolgi.msk.ru/account/1083273956/", 1083273956)</f>
        <v>1083273956</v>
      </c>
      <c r="D2608" t="s">
        <v>15</v>
      </c>
      <c r="E2608">
        <v>-3293.99</v>
      </c>
      <c r="F2608">
        <v>-1.24</v>
      </c>
      <c r="G2608" t="s">
        <v>12</v>
      </c>
      <c r="H2608" t="s">
        <v>7</v>
      </c>
      <c r="I2608" t="s">
        <v>1050</v>
      </c>
    </row>
    <row r="2609" spans="1:9" hidden="1" x14ac:dyDescent="0.25">
      <c r="A2609" t="s">
        <v>2241</v>
      </c>
      <c r="B2609" t="s">
        <v>10</v>
      </c>
      <c r="C2609" s="2">
        <f>HYPERLINK("https://cao.dolgi.msk.ru/account/1083274596/", 1083274596)</f>
        <v>1083274596</v>
      </c>
      <c r="D2609" t="s">
        <v>15</v>
      </c>
      <c r="E2609">
        <v>-3070.83</v>
      </c>
      <c r="F2609">
        <v>-1.74</v>
      </c>
      <c r="G2609" t="s">
        <v>12</v>
      </c>
      <c r="H2609" t="s">
        <v>7</v>
      </c>
      <c r="I2609" t="s">
        <v>1050</v>
      </c>
    </row>
    <row r="2610" spans="1:9" hidden="1" x14ac:dyDescent="0.25">
      <c r="A2610" t="s">
        <v>2241</v>
      </c>
      <c r="B2610" t="s">
        <v>16</v>
      </c>
      <c r="C2610" s="2">
        <f>HYPERLINK("https://cao.dolgi.msk.ru/account/1080288749/", 1080288749)</f>
        <v>1080288749</v>
      </c>
      <c r="D2610" t="s">
        <v>15</v>
      </c>
      <c r="E2610">
        <v>4182.17</v>
      </c>
      <c r="F2610">
        <v>0.95</v>
      </c>
      <c r="G2610" t="s">
        <v>12</v>
      </c>
      <c r="I2610" t="s">
        <v>1050</v>
      </c>
    </row>
    <row r="2611" spans="1:9" hidden="1" x14ac:dyDescent="0.25">
      <c r="A2611" t="s">
        <v>2241</v>
      </c>
      <c r="B2611" t="s">
        <v>18</v>
      </c>
      <c r="C2611" s="2">
        <f>HYPERLINK("https://cao.dolgi.msk.ru/account/1080288757/", 1080288757)</f>
        <v>1080288757</v>
      </c>
      <c r="D2611" t="s">
        <v>2244</v>
      </c>
      <c r="E2611">
        <v>-30.59</v>
      </c>
      <c r="F2611">
        <v>-0.01</v>
      </c>
      <c r="G2611" t="s">
        <v>12</v>
      </c>
      <c r="I2611" t="s">
        <v>1050</v>
      </c>
    </row>
    <row r="2612" spans="1:9" hidden="1" x14ac:dyDescent="0.25">
      <c r="A2612" t="s">
        <v>2241</v>
      </c>
      <c r="B2612" t="s">
        <v>20</v>
      </c>
      <c r="C2612" s="2">
        <f>HYPERLINK("https://cao.dolgi.msk.ru/account/1080288765/", 1080288765)</f>
        <v>1080288765</v>
      </c>
      <c r="D2612" t="s">
        <v>2245</v>
      </c>
      <c r="E2612">
        <v>-6614.7</v>
      </c>
      <c r="F2612">
        <v>-1.1299999999999999</v>
      </c>
      <c r="G2612" t="s">
        <v>12</v>
      </c>
      <c r="I2612" t="s">
        <v>1050</v>
      </c>
    </row>
    <row r="2613" spans="1:9" hidden="1" x14ac:dyDescent="0.25">
      <c r="A2613" t="s">
        <v>2241</v>
      </c>
      <c r="B2613" t="s">
        <v>21</v>
      </c>
      <c r="C2613" s="2">
        <f>HYPERLINK("https://cao.dolgi.msk.ru/account/1080288909/", 1080288909)</f>
        <v>1080288909</v>
      </c>
      <c r="D2613" t="s">
        <v>2246</v>
      </c>
      <c r="E2613">
        <v>-4004.56</v>
      </c>
      <c r="F2613">
        <v>-1.1000000000000001</v>
      </c>
      <c r="G2613" t="s">
        <v>12</v>
      </c>
      <c r="I2613" t="s">
        <v>1050</v>
      </c>
    </row>
    <row r="2614" spans="1:9" hidden="1" x14ac:dyDescent="0.25">
      <c r="A2614" t="s">
        <v>2241</v>
      </c>
      <c r="B2614" t="s">
        <v>22</v>
      </c>
      <c r="C2614" s="2">
        <f>HYPERLINK("https://cao.dolgi.msk.ru/account/1080288773/", 1080288773)</f>
        <v>1080288773</v>
      </c>
      <c r="D2614" t="s">
        <v>2247</v>
      </c>
      <c r="E2614">
        <v>-4125.21</v>
      </c>
      <c r="F2614">
        <v>-0.93</v>
      </c>
      <c r="G2614" t="s">
        <v>12</v>
      </c>
      <c r="I2614" t="s">
        <v>1050</v>
      </c>
    </row>
    <row r="2615" spans="1:9" hidden="1" x14ac:dyDescent="0.25">
      <c r="A2615" t="s">
        <v>2241</v>
      </c>
      <c r="B2615" t="s">
        <v>23</v>
      </c>
      <c r="C2615" s="2">
        <f>HYPERLINK("https://cao.dolgi.msk.ru/account/1080288802/", 1080288802)</f>
        <v>1080288802</v>
      </c>
      <c r="D2615" t="s">
        <v>2248</v>
      </c>
      <c r="E2615">
        <v>-6044.22</v>
      </c>
      <c r="F2615">
        <v>-1.03</v>
      </c>
      <c r="G2615" t="s">
        <v>12</v>
      </c>
      <c r="I2615" t="s">
        <v>1050</v>
      </c>
    </row>
    <row r="2616" spans="1:9" hidden="1" x14ac:dyDescent="0.25">
      <c r="A2616" t="s">
        <v>2241</v>
      </c>
      <c r="B2616" t="s">
        <v>24</v>
      </c>
      <c r="C2616" s="2">
        <f>HYPERLINK("https://cao.dolgi.msk.ru/account/1080288829/", 1080288829)</f>
        <v>1080288829</v>
      </c>
      <c r="D2616" t="s">
        <v>2249</v>
      </c>
      <c r="E2616">
        <v>-2330.0300000000002</v>
      </c>
      <c r="F2616">
        <v>-1.1399999999999999</v>
      </c>
      <c r="G2616" t="s">
        <v>12</v>
      </c>
      <c r="I2616" t="s">
        <v>1050</v>
      </c>
    </row>
    <row r="2617" spans="1:9" hidden="1" x14ac:dyDescent="0.25">
      <c r="A2617" t="s">
        <v>2241</v>
      </c>
      <c r="B2617" t="s">
        <v>27</v>
      </c>
      <c r="C2617" s="2">
        <f>HYPERLINK("https://cao.dolgi.msk.ru/account/1080288837/", 1080288837)</f>
        <v>1080288837</v>
      </c>
      <c r="D2617" t="s">
        <v>2250</v>
      </c>
      <c r="E2617">
        <v>0</v>
      </c>
      <c r="F2617">
        <v>0</v>
      </c>
      <c r="G2617" t="s">
        <v>12</v>
      </c>
      <c r="I2617" t="s">
        <v>1050</v>
      </c>
    </row>
    <row r="2618" spans="1:9" hidden="1" x14ac:dyDescent="0.25">
      <c r="A2618" t="s">
        <v>2241</v>
      </c>
      <c r="B2618" t="s">
        <v>29</v>
      </c>
      <c r="C2618" s="2">
        <f>HYPERLINK("https://cao.dolgi.msk.ru/account/1080288845/", 1080288845)</f>
        <v>1080288845</v>
      </c>
      <c r="D2618" t="s">
        <v>2251</v>
      </c>
      <c r="E2618">
        <v>-7770.51</v>
      </c>
      <c r="F2618">
        <v>-1.1100000000000001</v>
      </c>
      <c r="G2618" t="s">
        <v>12</v>
      </c>
      <c r="I2618" t="s">
        <v>1050</v>
      </c>
    </row>
    <row r="2619" spans="1:9" hidden="1" x14ac:dyDescent="0.25">
      <c r="A2619" t="s">
        <v>2241</v>
      </c>
      <c r="B2619" t="s">
        <v>31</v>
      </c>
      <c r="C2619" s="2">
        <f>HYPERLINK("https://cao.dolgi.msk.ru/account/1080288853/", 1080288853)</f>
        <v>1080288853</v>
      </c>
      <c r="D2619" t="s">
        <v>2252</v>
      </c>
      <c r="E2619">
        <v>19.47</v>
      </c>
      <c r="F2619">
        <v>0.01</v>
      </c>
      <c r="G2619" t="s">
        <v>12</v>
      </c>
      <c r="I2619" t="s">
        <v>1050</v>
      </c>
    </row>
    <row r="2620" spans="1:9" hidden="1" x14ac:dyDescent="0.25">
      <c r="A2620" t="s">
        <v>2241</v>
      </c>
      <c r="B2620" t="s">
        <v>33</v>
      </c>
      <c r="C2620" s="2">
        <f>HYPERLINK("https://cao.dolgi.msk.ru/account/1080288861/", 1080288861)</f>
        <v>1080288861</v>
      </c>
      <c r="D2620" t="s">
        <v>62</v>
      </c>
      <c r="E2620">
        <v>-6016.38</v>
      </c>
      <c r="F2620">
        <v>-1.01</v>
      </c>
      <c r="G2620" t="s">
        <v>12</v>
      </c>
      <c r="I2620" t="s">
        <v>1050</v>
      </c>
    </row>
    <row r="2621" spans="1:9" hidden="1" x14ac:dyDescent="0.25">
      <c r="A2621" t="s">
        <v>2241</v>
      </c>
      <c r="B2621" t="s">
        <v>34</v>
      </c>
      <c r="C2621" s="2">
        <f>HYPERLINK("https://cao.dolgi.msk.ru/account/1080288888/", 1080288888)</f>
        <v>1080288888</v>
      </c>
      <c r="D2621" t="s">
        <v>2253</v>
      </c>
      <c r="E2621">
        <v>572.82000000000005</v>
      </c>
      <c r="G2621" t="s">
        <v>14</v>
      </c>
      <c r="H2621" t="s">
        <v>7</v>
      </c>
      <c r="I2621" t="s">
        <v>1050</v>
      </c>
    </row>
    <row r="2622" spans="1:9" hidden="1" x14ac:dyDescent="0.25">
      <c r="A2622" t="s">
        <v>2241</v>
      </c>
      <c r="B2622" t="s">
        <v>34</v>
      </c>
      <c r="C2622" s="2">
        <f>HYPERLINK("https://cao.dolgi.msk.ru/account/1080288896/", 1080288896)</f>
        <v>1080288896</v>
      </c>
      <c r="D2622" t="s">
        <v>2254</v>
      </c>
      <c r="E2622">
        <v>-10789.56</v>
      </c>
      <c r="F2622">
        <v>-1.1100000000000001</v>
      </c>
      <c r="G2622" t="s">
        <v>12</v>
      </c>
      <c r="H2622" t="s">
        <v>7</v>
      </c>
      <c r="I2622" t="s">
        <v>1050</v>
      </c>
    </row>
    <row r="2623" spans="1:9" hidden="1" x14ac:dyDescent="0.25">
      <c r="A2623" t="s">
        <v>2241</v>
      </c>
      <c r="B2623" t="s">
        <v>34</v>
      </c>
      <c r="C2623" s="2">
        <f>HYPERLINK("https://cao.dolgi.msk.ru/account/1083271109/", 1083271109)</f>
        <v>1083271109</v>
      </c>
      <c r="D2623" t="s">
        <v>2255</v>
      </c>
      <c r="E2623">
        <v>0</v>
      </c>
      <c r="G2623" t="s">
        <v>14</v>
      </c>
      <c r="H2623" t="s">
        <v>7</v>
      </c>
      <c r="I2623" t="s">
        <v>1050</v>
      </c>
    </row>
    <row r="2624" spans="1:9" hidden="1" x14ac:dyDescent="0.25">
      <c r="A2624" t="s">
        <v>2241</v>
      </c>
      <c r="B2624" t="s">
        <v>36</v>
      </c>
      <c r="C2624" s="2">
        <f>HYPERLINK("https://cao.dolgi.msk.ru/account/1080288917/", 1080288917)</f>
        <v>1080288917</v>
      </c>
      <c r="D2624" t="s">
        <v>2256</v>
      </c>
      <c r="E2624">
        <v>-1882</v>
      </c>
      <c r="F2624">
        <v>-1.35</v>
      </c>
      <c r="G2624" t="s">
        <v>12</v>
      </c>
      <c r="I2624" t="s">
        <v>1050</v>
      </c>
    </row>
    <row r="2625" spans="1:9" hidden="1" x14ac:dyDescent="0.25">
      <c r="A2625" t="s">
        <v>2241</v>
      </c>
      <c r="B2625" t="s">
        <v>38</v>
      </c>
      <c r="C2625" s="2">
        <f>HYPERLINK("https://cao.dolgi.msk.ru/account/1080288925/", 1080288925)</f>
        <v>1080288925</v>
      </c>
      <c r="D2625" t="s">
        <v>2257</v>
      </c>
      <c r="E2625">
        <v>-7465.91</v>
      </c>
      <c r="F2625">
        <v>-1.04</v>
      </c>
      <c r="G2625" t="s">
        <v>12</v>
      </c>
      <c r="I2625" t="s">
        <v>1050</v>
      </c>
    </row>
    <row r="2626" spans="1:9" hidden="1" x14ac:dyDescent="0.25">
      <c r="A2626" t="s">
        <v>2241</v>
      </c>
      <c r="B2626" t="s">
        <v>39</v>
      </c>
      <c r="C2626" s="2">
        <f>HYPERLINK("https://cao.dolgi.msk.ru/account/1080288933/", 1080288933)</f>
        <v>1080288933</v>
      </c>
      <c r="D2626" t="s">
        <v>2258</v>
      </c>
      <c r="E2626">
        <v>-4071.13</v>
      </c>
      <c r="F2626">
        <v>-0.94</v>
      </c>
      <c r="G2626" t="s">
        <v>12</v>
      </c>
      <c r="I2626" t="s">
        <v>1050</v>
      </c>
    </row>
    <row r="2627" spans="1:9" hidden="1" x14ac:dyDescent="0.25">
      <c r="A2627" t="s">
        <v>2241</v>
      </c>
      <c r="B2627" t="s">
        <v>40</v>
      </c>
      <c r="C2627" s="2">
        <f>HYPERLINK("https://cao.dolgi.msk.ru/account/1080288941/", 1080288941)</f>
        <v>1080288941</v>
      </c>
      <c r="D2627" t="s">
        <v>2259</v>
      </c>
      <c r="E2627">
        <v>-4185.3</v>
      </c>
      <c r="F2627">
        <v>-1.42</v>
      </c>
      <c r="G2627" t="s">
        <v>12</v>
      </c>
      <c r="I2627" t="s">
        <v>1050</v>
      </c>
    </row>
    <row r="2628" spans="1:9" hidden="1" x14ac:dyDescent="0.25">
      <c r="A2628" t="s">
        <v>2241</v>
      </c>
      <c r="B2628" t="s">
        <v>41</v>
      </c>
      <c r="C2628" s="2">
        <f>HYPERLINK("https://cao.dolgi.msk.ru/account/1080289135/", 1080289135)</f>
        <v>1080289135</v>
      </c>
      <c r="D2628" t="s">
        <v>2260</v>
      </c>
      <c r="E2628">
        <v>24.2</v>
      </c>
      <c r="F2628">
        <v>0</v>
      </c>
      <c r="G2628" t="s">
        <v>12</v>
      </c>
      <c r="I2628" t="s">
        <v>1050</v>
      </c>
    </row>
    <row r="2629" spans="1:9" hidden="1" x14ac:dyDescent="0.25">
      <c r="A2629" t="s">
        <v>2241</v>
      </c>
      <c r="B2629" t="s">
        <v>42</v>
      </c>
      <c r="C2629" s="2">
        <f>HYPERLINK("https://cao.dolgi.msk.ru/account/1080289127/", 1080289127)</f>
        <v>1080289127</v>
      </c>
      <c r="D2629" t="s">
        <v>2261</v>
      </c>
      <c r="E2629">
        <v>-1723.25</v>
      </c>
      <c r="F2629">
        <v>-1.22</v>
      </c>
      <c r="G2629" t="s">
        <v>12</v>
      </c>
      <c r="I2629" t="s">
        <v>1050</v>
      </c>
    </row>
    <row r="2630" spans="1:9" hidden="1" x14ac:dyDescent="0.25">
      <c r="A2630" t="s">
        <v>2241</v>
      </c>
      <c r="B2630" t="s">
        <v>42</v>
      </c>
      <c r="C2630" s="2">
        <f>HYPERLINK("https://cao.dolgi.msk.ru/account/1089130921/", 1089130921)</f>
        <v>1089130921</v>
      </c>
      <c r="D2630" t="s">
        <v>2262</v>
      </c>
      <c r="E2630">
        <v>-3418.43</v>
      </c>
      <c r="F2630">
        <v>-1.22</v>
      </c>
      <c r="G2630" t="s">
        <v>12</v>
      </c>
      <c r="I2630" t="s">
        <v>1050</v>
      </c>
    </row>
    <row r="2631" spans="1:9" hidden="1" x14ac:dyDescent="0.25">
      <c r="A2631" t="s">
        <v>2241</v>
      </c>
      <c r="B2631" t="s">
        <v>44</v>
      </c>
      <c r="C2631" s="2">
        <f>HYPERLINK("https://cao.dolgi.msk.ru/account/1080289119/", 1080289119)</f>
        <v>1080289119</v>
      </c>
      <c r="D2631" t="s">
        <v>2263</v>
      </c>
      <c r="E2631">
        <v>-3529.62</v>
      </c>
      <c r="F2631">
        <v>-1.08</v>
      </c>
      <c r="G2631" t="s">
        <v>12</v>
      </c>
      <c r="I2631" t="s">
        <v>1050</v>
      </c>
    </row>
    <row r="2632" spans="1:9" hidden="1" x14ac:dyDescent="0.25">
      <c r="A2632" t="s">
        <v>2241</v>
      </c>
      <c r="B2632" t="s">
        <v>66</v>
      </c>
      <c r="C2632" s="2">
        <f>HYPERLINK("https://cao.dolgi.msk.ru/account/1080289098/", 1080289098)</f>
        <v>1080289098</v>
      </c>
      <c r="D2632" t="s">
        <v>2264</v>
      </c>
      <c r="E2632">
        <v>-26.56</v>
      </c>
      <c r="G2632" t="s">
        <v>14</v>
      </c>
      <c r="I2632" t="s">
        <v>1050</v>
      </c>
    </row>
    <row r="2633" spans="1:9" hidden="1" x14ac:dyDescent="0.25">
      <c r="A2633" t="s">
        <v>2241</v>
      </c>
      <c r="B2633" t="s">
        <v>66</v>
      </c>
      <c r="C2633" s="2">
        <f>HYPERLINK("https://cao.dolgi.msk.ru/account/1083283935/", 1083283935)</f>
        <v>1083283935</v>
      </c>
      <c r="D2633" t="s">
        <v>15</v>
      </c>
      <c r="E2633">
        <v>-9467.32</v>
      </c>
      <c r="F2633">
        <v>-1.52</v>
      </c>
      <c r="G2633" t="s">
        <v>12</v>
      </c>
      <c r="I2633" t="s">
        <v>1050</v>
      </c>
    </row>
    <row r="2634" spans="1:9" hidden="1" x14ac:dyDescent="0.25">
      <c r="A2634" t="s">
        <v>2241</v>
      </c>
      <c r="B2634" t="s">
        <v>68</v>
      </c>
      <c r="C2634" s="2">
        <f>HYPERLINK("https://cao.dolgi.msk.ru/account/1080289071/", 1080289071)</f>
        <v>1080289071</v>
      </c>
      <c r="D2634" t="s">
        <v>2265</v>
      </c>
      <c r="E2634">
        <v>-7242.16</v>
      </c>
      <c r="F2634">
        <v>-1.1000000000000001</v>
      </c>
      <c r="G2634" t="s">
        <v>12</v>
      </c>
      <c r="I2634" t="s">
        <v>1050</v>
      </c>
    </row>
    <row r="2635" spans="1:9" hidden="1" x14ac:dyDescent="0.25">
      <c r="A2635" t="s">
        <v>2241</v>
      </c>
      <c r="B2635" t="s">
        <v>70</v>
      </c>
      <c r="C2635" s="2">
        <f>HYPERLINK("https://cao.dolgi.msk.ru/account/1080289063/", 1080289063)</f>
        <v>1080289063</v>
      </c>
      <c r="D2635" t="s">
        <v>15</v>
      </c>
      <c r="E2635">
        <v>-3199.88</v>
      </c>
      <c r="F2635">
        <v>-0.87</v>
      </c>
      <c r="G2635" t="s">
        <v>12</v>
      </c>
      <c r="I2635" t="s">
        <v>1050</v>
      </c>
    </row>
    <row r="2636" spans="1:9" hidden="1" x14ac:dyDescent="0.25">
      <c r="A2636" t="s">
        <v>2241</v>
      </c>
      <c r="B2636" t="s">
        <v>72</v>
      </c>
      <c r="C2636" s="2">
        <f>HYPERLINK("https://cao.dolgi.msk.ru/account/1080289039/", 1080289039)</f>
        <v>1080289039</v>
      </c>
      <c r="D2636" t="s">
        <v>15</v>
      </c>
      <c r="E2636">
        <v>0</v>
      </c>
      <c r="G2636" t="s">
        <v>14</v>
      </c>
      <c r="I2636" t="s">
        <v>1050</v>
      </c>
    </row>
    <row r="2637" spans="1:9" hidden="1" x14ac:dyDescent="0.25">
      <c r="A2637" t="s">
        <v>2241</v>
      </c>
      <c r="B2637" t="s">
        <v>72</v>
      </c>
      <c r="C2637" s="2">
        <f>HYPERLINK("https://cao.dolgi.msk.ru/account/1080289047/", 1080289047)</f>
        <v>1080289047</v>
      </c>
      <c r="D2637" t="s">
        <v>2266</v>
      </c>
      <c r="E2637">
        <v>-2557.91</v>
      </c>
      <c r="F2637">
        <v>-0.61</v>
      </c>
      <c r="G2637" t="s">
        <v>12</v>
      </c>
      <c r="I2637" t="s">
        <v>1050</v>
      </c>
    </row>
    <row r="2638" spans="1:9" hidden="1" x14ac:dyDescent="0.25">
      <c r="A2638" t="s">
        <v>2241</v>
      </c>
      <c r="B2638" t="s">
        <v>72</v>
      </c>
      <c r="C2638" s="2">
        <f>HYPERLINK("https://cao.dolgi.msk.ru/account/1080289055/", 1080289055)</f>
        <v>1080289055</v>
      </c>
      <c r="D2638" t="s">
        <v>15</v>
      </c>
      <c r="G2638" t="s">
        <v>14</v>
      </c>
      <c r="I2638" t="s">
        <v>1050</v>
      </c>
    </row>
    <row r="2639" spans="1:9" hidden="1" x14ac:dyDescent="0.25">
      <c r="A2639" t="s">
        <v>2241</v>
      </c>
      <c r="B2639" t="s">
        <v>74</v>
      </c>
      <c r="C2639" s="2">
        <f>HYPERLINK("https://cao.dolgi.msk.ru/account/1080289012/", 1080289012)</f>
        <v>1080289012</v>
      </c>
      <c r="D2639" t="s">
        <v>2267</v>
      </c>
      <c r="E2639">
        <v>-6254.6</v>
      </c>
      <c r="F2639">
        <v>-1.07</v>
      </c>
      <c r="G2639" t="s">
        <v>12</v>
      </c>
      <c r="I2639" t="s">
        <v>1050</v>
      </c>
    </row>
    <row r="2640" spans="1:9" hidden="1" x14ac:dyDescent="0.25">
      <c r="A2640" t="s">
        <v>2241</v>
      </c>
      <c r="B2640" t="s">
        <v>76</v>
      </c>
      <c r="C2640" s="2">
        <f>HYPERLINK("https://cao.dolgi.msk.ru/account/1080289004/", 1080289004)</f>
        <v>1080289004</v>
      </c>
      <c r="D2640" t="s">
        <v>2268</v>
      </c>
      <c r="E2640">
        <v>7.93</v>
      </c>
      <c r="F2640">
        <v>0</v>
      </c>
      <c r="G2640" t="s">
        <v>12</v>
      </c>
      <c r="I2640" t="s">
        <v>1050</v>
      </c>
    </row>
    <row r="2641" spans="1:9" hidden="1" x14ac:dyDescent="0.25">
      <c r="A2641" t="s">
        <v>2241</v>
      </c>
      <c r="B2641" t="s">
        <v>78</v>
      </c>
      <c r="C2641" s="2">
        <f>HYPERLINK("https://cao.dolgi.msk.ru/account/1080288992/", 1080288992)</f>
        <v>1080288992</v>
      </c>
      <c r="D2641" t="s">
        <v>2269</v>
      </c>
      <c r="E2641">
        <v>-3576.01</v>
      </c>
      <c r="F2641">
        <v>-1.0900000000000001</v>
      </c>
      <c r="G2641" t="s">
        <v>12</v>
      </c>
      <c r="I2641" t="s">
        <v>1050</v>
      </c>
    </row>
    <row r="2642" spans="1:9" hidden="1" x14ac:dyDescent="0.25">
      <c r="A2642" t="s">
        <v>2241</v>
      </c>
      <c r="B2642" t="s">
        <v>78</v>
      </c>
      <c r="C2642" s="2">
        <f>HYPERLINK("https://cao.dolgi.msk.ru/account/1083270704/", 1083270704)</f>
        <v>1083270704</v>
      </c>
      <c r="D2642" t="s">
        <v>2269</v>
      </c>
      <c r="E2642">
        <v>-2019.23</v>
      </c>
      <c r="F2642">
        <v>-1.07</v>
      </c>
      <c r="G2642" t="s">
        <v>12</v>
      </c>
      <c r="I2642" t="s">
        <v>1050</v>
      </c>
    </row>
    <row r="2643" spans="1:9" hidden="1" x14ac:dyDescent="0.25">
      <c r="A2643" t="s">
        <v>2241</v>
      </c>
      <c r="B2643" t="s">
        <v>80</v>
      </c>
      <c r="C2643" s="2">
        <f>HYPERLINK("https://cao.dolgi.msk.ru/account/1080288976/", 1080288976)</f>
        <v>1080288976</v>
      </c>
      <c r="D2643" t="s">
        <v>2270</v>
      </c>
      <c r="E2643">
        <v>-6913.39</v>
      </c>
      <c r="F2643">
        <v>-1.04</v>
      </c>
      <c r="G2643" t="s">
        <v>12</v>
      </c>
      <c r="I2643" t="s">
        <v>1050</v>
      </c>
    </row>
    <row r="2644" spans="1:9" hidden="1" x14ac:dyDescent="0.25">
      <c r="A2644" t="s">
        <v>2241</v>
      </c>
      <c r="B2644" t="s">
        <v>80</v>
      </c>
      <c r="C2644" s="2">
        <f>HYPERLINK("https://cao.dolgi.msk.ru/account/1080288984/", 1080288984)</f>
        <v>1080288984</v>
      </c>
      <c r="D2644" t="s">
        <v>2271</v>
      </c>
      <c r="G2644" t="s">
        <v>14</v>
      </c>
      <c r="I2644" t="s">
        <v>1050</v>
      </c>
    </row>
    <row r="2645" spans="1:9" hidden="1" x14ac:dyDescent="0.25">
      <c r="A2645" t="s">
        <v>2241</v>
      </c>
      <c r="B2645" t="s">
        <v>82</v>
      </c>
      <c r="C2645" s="2">
        <f>HYPERLINK("https://cao.dolgi.msk.ru/account/1080288781/", 1080288781)</f>
        <v>1080288781</v>
      </c>
      <c r="D2645" t="s">
        <v>2272</v>
      </c>
      <c r="E2645">
        <v>-7121.79</v>
      </c>
      <c r="F2645">
        <v>-1.74</v>
      </c>
      <c r="G2645" t="s">
        <v>12</v>
      </c>
      <c r="I2645" t="s">
        <v>1050</v>
      </c>
    </row>
    <row r="2646" spans="1:9" hidden="1" x14ac:dyDescent="0.25">
      <c r="A2646" t="s">
        <v>2241</v>
      </c>
      <c r="B2646" t="s">
        <v>84</v>
      </c>
      <c r="C2646" s="2">
        <f>HYPERLINK("https://cao.dolgi.msk.ru/account/1080288968/", 1080288968)</f>
        <v>1080288968</v>
      </c>
      <c r="D2646" t="s">
        <v>2273</v>
      </c>
      <c r="E2646">
        <v>-8185.61</v>
      </c>
      <c r="F2646">
        <v>-1.18</v>
      </c>
      <c r="G2646" t="s">
        <v>12</v>
      </c>
      <c r="I2646" t="s">
        <v>1050</v>
      </c>
    </row>
    <row r="2647" spans="1:9" hidden="1" x14ac:dyDescent="0.25">
      <c r="A2647" t="s">
        <v>2274</v>
      </c>
      <c r="B2647" t="s">
        <v>34</v>
      </c>
      <c r="C2647" s="2">
        <f>HYPERLINK("https://cao.dolgi.msk.ru/account/1080007847/", 1080007847)</f>
        <v>1080007847</v>
      </c>
      <c r="D2647" t="s">
        <v>2275</v>
      </c>
      <c r="E2647">
        <v>-5559.95</v>
      </c>
      <c r="F2647">
        <v>-1.04</v>
      </c>
      <c r="G2647" t="s">
        <v>12</v>
      </c>
      <c r="I2647" t="s">
        <v>13</v>
      </c>
    </row>
    <row r="2648" spans="1:9" hidden="1" x14ac:dyDescent="0.25">
      <c r="A2648" t="s">
        <v>2274</v>
      </c>
      <c r="B2648" t="s">
        <v>39</v>
      </c>
      <c r="C2648" s="2">
        <f>HYPERLINK("https://cao.dolgi.msk.ru/account/1080006414/", 1080006414)</f>
        <v>1080006414</v>
      </c>
      <c r="D2648" t="s">
        <v>62</v>
      </c>
      <c r="E2648">
        <v>0</v>
      </c>
      <c r="F2648">
        <v>0</v>
      </c>
      <c r="G2648" t="s">
        <v>12</v>
      </c>
      <c r="I2648" t="s">
        <v>13</v>
      </c>
    </row>
    <row r="2649" spans="1:9" hidden="1" x14ac:dyDescent="0.25">
      <c r="A2649" t="s">
        <v>2274</v>
      </c>
      <c r="B2649" t="s">
        <v>40</v>
      </c>
      <c r="C2649" s="2">
        <f>HYPERLINK("https://cao.dolgi.msk.ru/account/1080006609/", 1080006609)</f>
        <v>1080006609</v>
      </c>
      <c r="D2649" t="s">
        <v>2275</v>
      </c>
      <c r="E2649">
        <v>-12932.19</v>
      </c>
      <c r="F2649">
        <v>-1.02</v>
      </c>
      <c r="G2649" t="s">
        <v>12</v>
      </c>
      <c r="I2649" t="s">
        <v>13</v>
      </c>
    </row>
    <row r="2650" spans="1:9" hidden="1" x14ac:dyDescent="0.25">
      <c r="A2650" t="s">
        <v>2274</v>
      </c>
      <c r="B2650" t="s">
        <v>41</v>
      </c>
      <c r="C2650" s="2">
        <f>HYPERLINK("https://cao.dolgi.msk.ru/account/1080006844/", 1080006844)</f>
        <v>1080006844</v>
      </c>
      <c r="D2650" t="s">
        <v>62</v>
      </c>
      <c r="E2650">
        <v>8065.07</v>
      </c>
      <c r="F2650">
        <v>0.69</v>
      </c>
      <c r="G2650" t="s">
        <v>12</v>
      </c>
      <c r="I2650" t="s">
        <v>13</v>
      </c>
    </row>
    <row r="2651" spans="1:9" hidden="1" x14ac:dyDescent="0.25">
      <c r="A2651" t="s">
        <v>2274</v>
      </c>
      <c r="B2651" t="s">
        <v>42</v>
      </c>
      <c r="C2651" s="2">
        <f>HYPERLINK("https://cao.dolgi.msk.ru/account/1080006908/", 1080006908)</f>
        <v>1080006908</v>
      </c>
      <c r="D2651" t="s">
        <v>62</v>
      </c>
      <c r="E2651">
        <v>10900.99</v>
      </c>
      <c r="F2651">
        <v>0.99</v>
      </c>
      <c r="G2651" t="s">
        <v>12</v>
      </c>
      <c r="I2651" t="s">
        <v>13</v>
      </c>
    </row>
    <row r="2652" spans="1:9" hidden="1" x14ac:dyDescent="0.25">
      <c r="A2652" t="s">
        <v>2274</v>
      </c>
      <c r="B2652" t="s">
        <v>44</v>
      </c>
      <c r="C2652" s="2">
        <f>HYPERLINK("https://cao.dolgi.msk.ru/account/1080007185/", 1080007185)</f>
        <v>1080007185</v>
      </c>
      <c r="D2652" t="s">
        <v>2276</v>
      </c>
      <c r="E2652">
        <v>-73.2</v>
      </c>
      <c r="F2652">
        <v>-0.01</v>
      </c>
      <c r="G2652" t="s">
        <v>12</v>
      </c>
      <c r="I2652" t="s">
        <v>13</v>
      </c>
    </row>
    <row r="2653" spans="1:9" hidden="1" x14ac:dyDescent="0.25">
      <c r="A2653" t="s">
        <v>2274</v>
      </c>
      <c r="B2653" t="s">
        <v>66</v>
      </c>
      <c r="C2653" s="2">
        <f>HYPERLINK("https://cao.dolgi.msk.ru/account/1080007206/", 1080007206)</f>
        <v>1080007206</v>
      </c>
      <c r="D2653" t="s">
        <v>2277</v>
      </c>
      <c r="E2653">
        <v>-13790.67</v>
      </c>
      <c r="F2653">
        <v>-1.02</v>
      </c>
      <c r="G2653" t="s">
        <v>12</v>
      </c>
      <c r="I2653" t="s">
        <v>13</v>
      </c>
    </row>
    <row r="2654" spans="1:9" hidden="1" x14ac:dyDescent="0.25">
      <c r="A2654" t="s">
        <v>2274</v>
      </c>
      <c r="B2654" t="s">
        <v>68</v>
      </c>
      <c r="C2654" s="2">
        <f>HYPERLINK("https://cao.dolgi.msk.ru/account/1080007214/", 1080007214)</f>
        <v>1080007214</v>
      </c>
      <c r="D2654" t="s">
        <v>15</v>
      </c>
      <c r="E2654">
        <v>-23072.13</v>
      </c>
      <c r="F2654">
        <v>-1.02</v>
      </c>
      <c r="G2654" t="s">
        <v>12</v>
      </c>
      <c r="I2654" t="s">
        <v>13</v>
      </c>
    </row>
    <row r="2655" spans="1:9" hidden="1" x14ac:dyDescent="0.25">
      <c r="A2655" t="s">
        <v>2274</v>
      </c>
      <c r="B2655" t="s">
        <v>72</v>
      </c>
      <c r="C2655" s="2">
        <f>HYPERLINK("https://cao.dolgi.msk.ru/account/1080007601/", 1080007601)</f>
        <v>1080007601</v>
      </c>
      <c r="D2655" t="s">
        <v>2278</v>
      </c>
      <c r="E2655">
        <v>4.4000000000000004</v>
      </c>
      <c r="G2655" t="s">
        <v>14</v>
      </c>
      <c r="I2655" t="s">
        <v>13</v>
      </c>
    </row>
    <row r="2656" spans="1:9" hidden="1" x14ac:dyDescent="0.25">
      <c r="A2656" t="s">
        <v>2274</v>
      </c>
      <c r="B2656" t="s">
        <v>74</v>
      </c>
      <c r="C2656" s="2">
        <f>HYPERLINK("https://cao.dolgi.msk.ru/account/1080007476/", 1080007476)</f>
        <v>1080007476</v>
      </c>
      <c r="D2656" t="s">
        <v>62</v>
      </c>
      <c r="E2656">
        <v>28.94</v>
      </c>
      <c r="F2656">
        <v>0</v>
      </c>
      <c r="G2656" t="s">
        <v>12</v>
      </c>
      <c r="I2656" t="s">
        <v>13</v>
      </c>
    </row>
    <row r="2657" spans="1:9" hidden="1" x14ac:dyDescent="0.25">
      <c r="A2657" t="s">
        <v>2274</v>
      </c>
      <c r="B2657" t="s">
        <v>76</v>
      </c>
      <c r="C2657" s="2">
        <f>HYPERLINK("https://cao.dolgi.msk.ru/account/1080007484/", 1080007484)</f>
        <v>1080007484</v>
      </c>
      <c r="D2657" t="s">
        <v>2279</v>
      </c>
      <c r="E2657">
        <v>-16929.8</v>
      </c>
      <c r="F2657">
        <v>-1.1100000000000001</v>
      </c>
      <c r="G2657" t="s">
        <v>12</v>
      </c>
      <c r="I2657" t="s">
        <v>13</v>
      </c>
    </row>
    <row r="2658" spans="1:9" hidden="1" x14ac:dyDescent="0.25">
      <c r="A2658" t="s">
        <v>2274</v>
      </c>
      <c r="B2658" t="s">
        <v>2280</v>
      </c>
      <c r="C2658" s="2">
        <f>HYPERLINK("https://cao.dolgi.msk.ru/account/1080007599/", 1080007599)</f>
        <v>1080007599</v>
      </c>
      <c r="D2658" t="s">
        <v>2281</v>
      </c>
      <c r="E2658">
        <v>-28404.62</v>
      </c>
      <c r="F2658">
        <v>-1.08</v>
      </c>
      <c r="G2658" t="s">
        <v>12</v>
      </c>
      <c r="I2658" t="s">
        <v>13</v>
      </c>
    </row>
    <row r="2659" spans="1:9" hidden="1" x14ac:dyDescent="0.25">
      <c r="A2659" t="s">
        <v>2282</v>
      </c>
      <c r="B2659" t="s">
        <v>10</v>
      </c>
      <c r="C2659" s="2">
        <f>HYPERLINK("https://cao.dolgi.msk.ru/account/1080003993/", 1080003993)</f>
        <v>1080003993</v>
      </c>
      <c r="D2659" t="s">
        <v>2283</v>
      </c>
      <c r="G2659" t="s">
        <v>14</v>
      </c>
      <c r="I2659" t="s">
        <v>13</v>
      </c>
    </row>
    <row r="2660" spans="1:9" hidden="1" x14ac:dyDescent="0.25">
      <c r="A2660" t="s">
        <v>2282</v>
      </c>
      <c r="B2660" t="s">
        <v>10</v>
      </c>
      <c r="C2660" s="2">
        <f>HYPERLINK("https://cao.dolgi.msk.ru/account/1080004005/", 1080004005)</f>
        <v>1080004005</v>
      </c>
      <c r="D2660" t="s">
        <v>15</v>
      </c>
      <c r="G2660" t="s">
        <v>14</v>
      </c>
      <c r="I2660" t="s">
        <v>13</v>
      </c>
    </row>
    <row r="2661" spans="1:9" hidden="1" x14ac:dyDescent="0.25">
      <c r="A2661" t="s">
        <v>2282</v>
      </c>
      <c r="B2661" t="s">
        <v>10</v>
      </c>
      <c r="C2661" s="2">
        <f>HYPERLINK("https://cao.dolgi.msk.ru/account/1080004013/", 1080004013)</f>
        <v>1080004013</v>
      </c>
      <c r="D2661" t="s">
        <v>15</v>
      </c>
      <c r="G2661" t="s">
        <v>14</v>
      </c>
      <c r="I2661" t="s">
        <v>13</v>
      </c>
    </row>
    <row r="2662" spans="1:9" hidden="1" x14ac:dyDescent="0.25">
      <c r="A2662" t="s">
        <v>2282</v>
      </c>
      <c r="B2662" t="s">
        <v>10</v>
      </c>
      <c r="C2662" s="2">
        <f>HYPERLINK("https://cao.dolgi.msk.ru/account/1080004021/", 1080004021)</f>
        <v>1080004021</v>
      </c>
      <c r="D2662" t="s">
        <v>15</v>
      </c>
      <c r="G2662" t="s">
        <v>14</v>
      </c>
      <c r="I2662" t="s">
        <v>13</v>
      </c>
    </row>
    <row r="2663" spans="1:9" hidden="1" x14ac:dyDescent="0.25">
      <c r="A2663" t="s">
        <v>2282</v>
      </c>
      <c r="B2663" t="s">
        <v>16</v>
      </c>
      <c r="C2663" s="2">
        <f>HYPERLINK("https://cao.dolgi.msk.ru/account/1080004064/", 1080004064)</f>
        <v>1080004064</v>
      </c>
      <c r="D2663" t="s">
        <v>2284</v>
      </c>
      <c r="G2663" t="s">
        <v>14</v>
      </c>
      <c r="I2663" t="s">
        <v>13</v>
      </c>
    </row>
    <row r="2664" spans="1:9" hidden="1" x14ac:dyDescent="0.25">
      <c r="A2664" t="s">
        <v>2282</v>
      </c>
      <c r="B2664" t="s">
        <v>18</v>
      </c>
      <c r="C2664" s="2">
        <f>HYPERLINK("https://cao.dolgi.msk.ru/account/1080004187/", 1080004187)</f>
        <v>1080004187</v>
      </c>
      <c r="D2664" t="s">
        <v>2285</v>
      </c>
      <c r="E2664">
        <v>71.08</v>
      </c>
      <c r="F2664">
        <v>0.08</v>
      </c>
      <c r="G2664" t="s">
        <v>14</v>
      </c>
      <c r="I2664" t="s">
        <v>13</v>
      </c>
    </row>
    <row r="2665" spans="1:9" hidden="1" x14ac:dyDescent="0.25">
      <c r="A2665" t="s">
        <v>2282</v>
      </c>
      <c r="B2665" t="s">
        <v>18</v>
      </c>
      <c r="C2665" s="2">
        <f>HYPERLINK("https://cao.dolgi.msk.ru/account/1083385368/", 1083385368)</f>
        <v>1083385368</v>
      </c>
      <c r="D2665" t="s">
        <v>2285</v>
      </c>
      <c r="E2665">
        <v>-6415.62</v>
      </c>
      <c r="F2665">
        <v>-0.97</v>
      </c>
      <c r="G2665" t="s">
        <v>12</v>
      </c>
      <c r="I2665" t="s">
        <v>13</v>
      </c>
    </row>
    <row r="2666" spans="1:9" hidden="1" x14ac:dyDescent="0.25">
      <c r="A2666" t="s">
        <v>2282</v>
      </c>
      <c r="B2666" t="s">
        <v>20</v>
      </c>
      <c r="C2666" s="2">
        <f>HYPERLINK("https://cao.dolgi.msk.ru/account/1080004304/", 1080004304)</f>
        <v>1080004304</v>
      </c>
      <c r="D2666" t="s">
        <v>2286</v>
      </c>
      <c r="E2666">
        <v>-9706.26</v>
      </c>
      <c r="G2666" t="s">
        <v>14</v>
      </c>
      <c r="I2666" t="s">
        <v>13</v>
      </c>
    </row>
    <row r="2667" spans="1:9" hidden="1" x14ac:dyDescent="0.25">
      <c r="A2667" t="s">
        <v>2282</v>
      </c>
      <c r="B2667" t="s">
        <v>20</v>
      </c>
      <c r="C2667" s="2">
        <f>HYPERLINK("https://cao.dolgi.msk.ru/account/1083385245/", 1083385245)</f>
        <v>1083385245</v>
      </c>
      <c r="D2667" t="s">
        <v>2286</v>
      </c>
      <c r="E2667">
        <v>-838.17</v>
      </c>
      <c r="F2667">
        <v>-0.11</v>
      </c>
      <c r="G2667" t="s">
        <v>12</v>
      </c>
      <c r="I2667" t="s">
        <v>13</v>
      </c>
    </row>
    <row r="2668" spans="1:9" hidden="1" x14ac:dyDescent="0.25">
      <c r="A2668" t="s">
        <v>2282</v>
      </c>
      <c r="B2668" t="s">
        <v>21</v>
      </c>
      <c r="C2668" s="2">
        <f>HYPERLINK("https://cao.dolgi.msk.ru/account/1080004419/", 1080004419)</f>
        <v>1080004419</v>
      </c>
      <c r="D2668" t="s">
        <v>2287</v>
      </c>
      <c r="E2668">
        <v>-36.15</v>
      </c>
      <c r="G2668" t="s">
        <v>14</v>
      </c>
      <c r="I2668" t="s">
        <v>13</v>
      </c>
    </row>
    <row r="2669" spans="1:9" hidden="1" x14ac:dyDescent="0.25">
      <c r="A2669" t="s">
        <v>2282</v>
      </c>
      <c r="B2669" t="s">
        <v>21</v>
      </c>
      <c r="C2669" s="2">
        <f>HYPERLINK("https://cao.dolgi.msk.ru/account/1083385501/", 1083385501)</f>
        <v>1083385501</v>
      </c>
      <c r="D2669" t="s">
        <v>2287</v>
      </c>
      <c r="E2669">
        <v>-4996.67</v>
      </c>
      <c r="F2669">
        <v>-0.95</v>
      </c>
      <c r="G2669" t="s">
        <v>12</v>
      </c>
      <c r="I2669" t="s">
        <v>13</v>
      </c>
    </row>
    <row r="2670" spans="1:9" hidden="1" x14ac:dyDescent="0.25">
      <c r="A2670" t="s">
        <v>2282</v>
      </c>
      <c r="B2670" t="s">
        <v>22</v>
      </c>
      <c r="C2670" s="2">
        <f>HYPERLINK("https://cao.dolgi.msk.ru/account/1080004507/", 1080004507)</f>
        <v>1080004507</v>
      </c>
      <c r="D2670" t="s">
        <v>2288</v>
      </c>
      <c r="E2670">
        <v>1223.5</v>
      </c>
      <c r="G2670" t="s">
        <v>14</v>
      </c>
      <c r="I2670" t="s">
        <v>13</v>
      </c>
    </row>
    <row r="2671" spans="1:9" hidden="1" x14ac:dyDescent="0.25">
      <c r="A2671" t="s">
        <v>2282</v>
      </c>
      <c r="B2671" t="s">
        <v>22</v>
      </c>
      <c r="C2671" s="2">
        <f>HYPERLINK("https://cao.dolgi.msk.ru/account/1080004603/", 1080004603)</f>
        <v>1080004603</v>
      </c>
      <c r="D2671" t="s">
        <v>15</v>
      </c>
      <c r="G2671" t="s">
        <v>14</v>
      </c>
      <c r="I2671" t="s">
        <v>13</v>
      </c>
    </row>
    <row r="2672" spans="1:9" hidden="1" x14ac:dyDescent="0.25">
      <c r="A2672" t="s">
        <v>2282</v>
      </c>
      <c r="B2672" t="s">
        <v>22</v>
      </c>
      <c r="C2672" s="2">
        <f>HYPERLINK("https://cao.dolgi.msk.ru/account/1083385413/", 1083385413)</f>
        <v>1083385413</v>
      </c>
      <c r="D2672" t="s">
        <v>2288</v>
      </c>
      <c r="E2672">
        <v>-7474.56</v>
      </c>
      <c r="F2672">
        <v>-0.97</v>
      </c>
      <c r="G2672" t="s">
        <v>12</v>
      </c>
      <c r="I2672" t="s">
        <v>13</v>
      </c>
    </row>
    <row r="2673" spans="1:9" hidden="1" x14ac:dyDescent="0.25">
      <c r="A2673" t="s">
        <v>2282</v>
      </c>
      <c r="B2673" t="s">
        <v>23</v>
      </c>
      <c r="C2673" s="2">
        <f>HYPERLINK("https://cao.dolgi.msk.ru/account/1080004611/", 1080004611)</f>
        <v>1080004611</v>
      </c>
      <c r="D2673" t="s">
        <v>2289</v>
      </c>
      <c r="E2673">
        <v>734.49</v>
      </c>
      <c r="G2673" t="s">
        <v>14</v>
      </c>
      <c r="I2673" t="s">
        <v>13</v>
      </c>
    </row>
    <row r="2674" spans="1:9" hidden="1" x14ac:dyDescent="0.25">
      <c r="A2674" t="s">
        <v>2282</v>
      </c>
      <c r="B2674" t="s">
        <v>23</v>
      </c>
      <c r="C2674" s="2">
        <f>HYPERLINK("https://cao.dolgi.msk.ru/account/1083385376/", 1083385376)</f>
        <v>1083385376</v>
      </c>
      <c r="D2674" t="s">
        <v>2289</v>
      </c>
      <c r="E2674">
        <v>-10495.96</v>
      </c>
      <c r="F2674">
        <v>-0.98</v>
      </c>
      <c r="G2674" t="s">
        <v>12</v>
      </c>
      <c r="I2674" t="s">
        <v>13</v>
      </c>
    </row>
    <row r="2675" spans="1:9" hidden="1" x14ac:dyDescent="0.25">
      <c r="A2675" t="s">
        <v>2282</v>
      </c>
      <c r="B2675" t="s">
        <v>24</v>
      </c>
      <c r="C2675" s="2">
        <f>HYPERLINK("https://cao.dolgi.msk.ru/account/1080004646/", 1080004646)</f>
        <v>1080004646</v>
      </c>
      <c r="D2675" t="s">
        <v>2290</v>
      </c>
      <c r="E2675">
        <v>2100.98</v>
      </c>
      <c r="G2675" t="s">
        <v>14</v>
      </c>
      <c r="I2675" t="s">
        <v>13</v>
      </c>
    </row>
    <row r="2676" spans="1:9" hidden="1" x14ac:dyDescent="0.25">
      <c r="A2676" t="s">
        <v>2282</v>
      </c>
      <c r="B2676" t="s">
        <v>24</v>
      </c>
      <c r="C2676" s="2">
        <f>HYPERLINK("https://cao.dolgi.msk.ru/account/1083385421/", 1083385421)</f>
        <v>1083385421</v>
      </c>
      <c r="D2676" t="s">
        <v>2290</v>
      </c>
      <c r="E2676">
        <v>-7885.93</v>
      </c>
      <c r="F2676">
        <v>-0.98</v>
      </c>
      <c r="G2676" t="s">
        <v>12</v>
      </c>
      <c r="I2676" t="s">
        <v>13</v>
      </c>
    </row>
    <row r="2677" spans="1:9" hidden="1" x14ac:dyDescent="0.25">
      <c r="A2677" t="s">
        <v>2282</v>
      </c>
      <c r="B2677" t="s">
        <v>27</v>
      </c>
      <c r="C2677" s="2">
        <f>HYPERLINK("https://cao.dolgi.msk.ru/account/1080004777/", 1080004777)</f>
        <v>1080004777</v>
      </c>
      <c r="D2677" t="s">
        <v>2291</v>
      </c>
      <c r="E2677">
        <v>1747</v>
      </c>
      <c r="G2677" t="s">
        <v>14</v>
      </c>
      <c r="I2677" t="s">
        <v>13</v>
      </c>
    </row>
    <row r="2678" spans="1:9" hidden="1" x14ac:dyDescent="0.25">
      <c r="A2678" t="s">
        <v>2282</v>
      </c>
      <c r="B2678" t="s">
        <v>27</v>
      </c>
      <c r="C2678" s="2">
        <f>HYPERLINK("https://cao.dolgi.msk.ru/account/1083385499/", 1083385499)</f>
        <v>1083385499</v>
      </c>
      <c r="D2678" t="s">
        <v>2291</v>
      </c>
      <c r="E2678">
        <v>-5269.31</v>
      </c>
      <c r="F2678">
        <v>-0.91</v>
      </c>
      <c r="G2678" t="s">
        <v>12</v>
      </c>
      <c r="I2678" t="s">
        <v>13</v>
      </c>
    </row>
    <row r="2679" spans="1:9" hidden="1" x14ac:dyDescent="0.25">
      <c r="A2679" t="s">
        <v>2282</v>
      </c>
      <c r="B2679" t="s">
        <v>29</v>
      </c>
      <c r="C2679" s="2">
        <f>HYPERLINK("https://cao.dolgi.msk.ru/account/1080004785/", 1080004785)</f>
        <v>1080004785</v>
      </c>
      <c r="D2679" t="s">
        <v>2292</v>
      </c>
      <c r="E2679">
        <v>-392.08</v>
      </c>
      <c r="G2679" t="s">
        <v>14</v>
      </c>
      <c r="I2679" t="s">
        <v>13</v>
      </c>
    </row>
    <row r="2680" spans="1:9" hidden="1" x14ac:dyDescent="0.25">
      <c r="A2680" t="s">
        <v>2282</v>
      </c>
      <c r="B2680" t="s">
        <v>29</v>
      </c>
      <c r="C2680" s="2">
        <f>HYPERLINK("https://cao.dolgi.msk.ru/account/1083385384/", 1083385384)</f>
        <v>1083385384</v>
      </c>
      <c r="D2680" t="s">
        <v>15</v>
      </c>
      <c r="E2680">
        <v>-7916.08</v>
      </c>
      <c r="F2680">
        <v>-0.98</v>
      </c>
      <c r="G2680" t="s">
        <v>12</v>
      </c>
      <c r="I2680" t="s">
        <v>13</v>
      </c>
    </row>
    <row r="2681" spans="1:9" hidden="1" x14ac:dyDescent="0.25">
      <c r="A2681" t="s">
        <v>2282</v>
      </c>
      <c r="B2681" t="s">
        <v>31</v>
      </c>
      <c r="C2681" s="2">
        <f>HYPERLINK("https://cao.dolgi.msk.ru/account/1080004857/", 1080004857)</f>
        <v>1080004857</v>
      </c>
      <c r="D2681" t="s">
        <v>2293</v>
      </c>
      <c r="E2681">
        <v>-3352.2</v>
      </c>
      <c r="G2681" t="s">
        <v>14</v>
      </c>
      <c r="I2681" t="s">
        <v>13</v>
      </c>
    </row>
    <row r="2682" spans="1:9" hidden="1" x14ac:dyDescent="0.25">
      <c r="A2682" t="s">
        <v>2282</v>
      </c>
      <c r="B2682" t="s">
        <v>31</v>
      </c>
      <c r="C2682" s="2">
        <f>HYPERLINK("https://cao.dolgi.msk.ru/account/1083385317/", 1083385317)</f>
        <v>1083385317</v>
      </c>
      <c r="D2682" t="s">
        <v>2293</v>
      </c>
      <c r="E2682">
        <v>-7950.28</v>
      </c>
      <c r="F2682">
        <v>-0.97</v>
      </c>
      <c r="G2682" t="s">
        <v>12</v>
      </c>
      <c r="I2682" t="s">
        <v>13</v>
      </c>
    </row>
    <row r="2683" spans="1:9" hidden="1" x14ac:dyDescent="0.25">
      <c r="A2683" t="s">
        <v>2282</v>
      </c>
      <c r="B2683" t="s">
        <v>33</v>
      </c>
      <c r="C2683" s="2">
        <f>HYPERLINK("https://cao.dolgi.msk.ru/account/1080005059/", 1080005059)</f>
        <v>1080005059</v>
      </c>
      <c r="D2683" t="s">
        <v>2294</v>
      </c>
      <c r="E2683">
        <v>-99.24</v>
      </c>
      <c r="G2683" t="s">
        <v>14</v>
      </c>
      <c r="I2683" t="s">
        <v>13</v>
      </c>
    </row>
    <row r="2684" spans="1:9" hidden="1" x14ac:dyDescent="0.25">
      <c r="A2684" t="s">
        <v>2282</v>
      </c>
      <c r="B2684" t="s">
        <v>33</v>
      </c>
      <c r="C2684" s="2">
        <f>HYPERLINK("https://cao.dolgi.msk.ru/account/1083385472/", 1083385472)</f>
        <v>1083385472</v>
      </c>
      <c r="D2684" t="s">
        <v>2294</v>
      </c>
      <c r="E2684">
        <v>-7390.66</v>
      </c>
      <c r="F2684">
        <v>-0.98</v>
      </c>
      <c r="G2684" t="s">
        <v>12</v>
      </c>
      <c r="I2684" t="s">
        <v>13</v>
      </c>
    </row>
    <row r="2685" spans="1:9" hidden="1" x14ac:dyDescent="0.25">
      <c r="A2685" t="s">
        <v>2282</v>
      </c>
      <c r="B2685" t="s">
        <v>263</v>
      </c>
      <c r="C2685" s="2">
        <f>HYPERLINK("https://cao.dolgi.msk.ru/account/1080005032/", 1080005032)</f>
        <v>1080005032</v>
      </c>
      <c r="D2685" t="s">
        <v>15</v>
      </c>
      <c r="G2685" t="s">
        <v>14</v>
      </c>
      <c r="I2685" t="s">
        <v>13</v>
      </c>
    </row>
    <row r="2686" spans="1:9" hidden="1" x14ac:dyDescent="0.25">
      <c r="A2686" t="s">
        <v>2282</v>
      </c>
      <c r="B2686" t="s">
        <v>34</v>
      </c>
      <c r="C2686" s="2">
        <f>HYPERLINK("https://cao.dolgi.msk.ru/account/1080005083/", 1080005083)</f>
        <v>1080005083</v>
      </c>
      <c r="D2686" t="s">
        <v>2295</v>
      </c>
      <c r="E2686">
        <v>3921.75</v>
      </c>
      <c r="G2686" t="s">
        <v>14</v>
      </c>
      <c r="I2686" t="s">
        <v>13</v>
      </c>
    </row>
    <row r="2687" spans="1:9" x14ac:dyDescent="0.25">
      <c r="A2687" t="s">
        <v>2282</v>
      </c>
      <c r="B2687" t="s">
        <v>34</v>
      </c>
      <c r="C2687" s="2">
        <f>HYPERLINK("https://cao.dolgi.msk.ru/account/1083385405/", 1083385405)</f>
        <v>1083385405</v>
      </c>
      <c r="D2687" t="s">
        <v>2295</v>
      </c>
      <c r="E2687">
        <v>16898.37</v>
      </c>
      <c r="F2687">
        <v>2.13</v>
      </c>
      <c r="G2687" t="s">
        <v>12</v>
      </c>
      <c r="I2687" t="s">
        <v>13</v>
      </c>
    </row>
    <row r="2688" spans="1:9" hidden="1" x14ac:dyDescent="0.25">
      <c r="A2688" t="s">
        <v>2282</v>
      </c>
      <c r="B2688" t="s">
        <v>36</v>
      </c>
      <c r="C2688" s="2">
        <f>HYPERLINK("https://cao.dolgi.msk.ru/account/1080005104/", 1080005104)</f>
        <v>1080005104</v>
      </c>
      <c r="D2688" t="s">
        <v>2296</v>
      </c>
      <c r="E2688">
        <v>-353.66</v>
      </c>
      <c r="G2688" t="s">
        <v>14</v>
      </c>
      <c r="I2688" t="s">
        <v>13</v>
      </c>
    </row>
    <row r="2689" spans="1:9" hidden="1" x14ac:dyDescent="0.25">
      <c r="A2689" t="s">
        <v>2282</v>
      </c>
      <c r="B2689" t="s">
        <v>36</v>
      </c>
      <c r="C2689" s="2">
        <f>HYPERLINK("https://cao.dolgi.msk.ru/account/1083385325/", 1083385325)</f>
        <v>1083385325</v>
      </c>
      <c r="D2689" t="s">
        <v>2297</v>
      </c>
      <c r="E2689">
        <v>-6914.33</v>
      </c>
      <c r="F2689">
        <v>-0.98</v>
      </c>
      <c r="G2689" t="s">
        <v>12</v>
      </c>
      <c r="I2689" t="s">
        <v>13</v>
      </c>
    </row>
    <row r="2690" spans="1:9" hidden="1" x14ac:dyDescent="0.25">
      <c r="A2690" t="s">
        <v>2282</v>
      </c>
      <c r="B2690" t="s">
        <v>38</v>
      </c>
      <c r="C2690" s="2">
        <f>HYPERLINK("https://cao.dolgi.msk.ru/account/1080005112/", 1080005112)</f>
        <v>1080005112</v>
      </c>
      <c r="D2690" t="s">
        <v>2298</v>
      </c>
      <c r="E2690">
        <v>-329.34</v>
      </c>
      <c r="G2690" t="s">
        <v>14</v>
      </c>
      <c r="I2690" t="s">
        <v>13</v>
      </c>
    </row>
    <row r="2691" spans="1:9" hidden="1" x14ac:dyDescent="0.25">
      <c r="A2691" t="s">
        <v>2282</v>
      </c>
      <c r="B2691" t="s">
        <v>38</v>
      </c>
      <c r="C2691" s="2">
        <f>HYPERLINK("https://cao.dolgi.msk.ru/account/1083385253/", 1083385253)</f>
        <v>1083385253</v>
      </c>
      <c r="D2691" t="s">
        <v>2298</v>
      </c>
      <c r="E2691">
        <v>-6754.89</v>
      </c>
      <c r="F2691">
        <v>-0.93</v>
      </c>
      <c r="G2691" t="s">
        <v>12</v>
      </c>
      <c r="I2691" t="s">
        <v>13</v>
      </c>
    </row>
    <row r="2692" spans="1:9" hidden="1" x14ac:dyDescent="0.25">
      <c r="A2692" t="s">
        <v>2282</v>
      </c>
      <c r="B2692" t="s">
        <v>39</v>
      </c>
      <c r="C2692" s="2">
        <f>HYPERLINK("https://cao.dolgi.msk.ru/account/1080005139/", 1080005139)</f>
        <v>1080005139</v>
      </c>
      <c r="D2692" t="s">
        <v>2299</v>
      </c>
      <c r="E2692">
        <v>1333.09</v>
      </c>
      <c r="G2692" t="s">
        <v>14</v>
      </c>
      <c r="I2692" t="s">
        <v>13</v>
      </c>
    </row>
    <row r="2693" spans="1:9" hidden="1" x14ac:dyDescent="0.25">
      <c r="A2693" t="s">
        <v>2282</v>
      </c>
      <c r="B2693" t="s">
        <v>39</v>
      </c>
      <c r="C2693" s="2">
        <f>HYPERLINK("https://cao.dolgi.msk.ru/account/1083385392/", 1083385392)</f>
        <v>1083385392</v>
      </c>
      <c r="D2693" t="s">
        <v>2299</v>
      </c>
      <c r="E2693">
        <v>-6393.96</v>
      </c>
      <c r="F2693">
        <v>-0.99</v>
      </c>
      <c r="G2693" t="s">
        <v>12</v>
      </c>
      <c r="I2693" t="s">
        <v>13</v>
      </c>
    </row>
    <row r="2694" spans="1:9" hidden="1" x14ac:dyDescent="0.25">
      <c r="A2694" t="s">
        <v>2282</v>
      </c>
      <c r="B2694" t="s">
        <v>40</v>
      </c>
      <c r="C2694" s="2">
        <f>HYPERLINK("https://cao.dolgi.msk.ru/account/1080005147/", 1080005147)</f>
        <v>1080005147</v>
      </c>
      <c r="D2694" t="s">
        <v>2300</v>
      </c>
      <c r="E2694">
        <v>-57</v>
      </c>
      <c r="F2694">
        <v>-0.4</v>
      </c>
      <c r="G2694" t="s">
        <v>14</v>
      </c>
      <c r="I2694" t="s">
        <v>13</v>
      </c>
    </row>
    <row r="2695" spans="1:9" hidden="1" x14ac:dyDescent="0.25">
      <c r="A2695" t="s">
        <v>2282</v>
      </c>
      <c r="B2695" t="s">
        <v>40</v>
      </c>
      <c r="C2695" s="2">
        <f>HYPERLINK("https://cao.dolgi.msk.ru/account/1083385448/", 1083385448)</f>
        <v>1083385448</v>
      </c>
      <c r="D2695" t="s">
        <v>2300</v>
      </c>
      <c r="E2695">
        <v>-3890.86</v>
      </c>
      <c r="F2695">
        <v>-0.96</v>
      </c>
      <c r="G2695" t="s">
        <v>12</v>
      </c>
      <c r="I2695" t="s">
        <v>13</v>
      </c>
    </row>
    <row r="2696" spans="1:9" hidden="1" x14ac:dyDescent="0.25">
      <c r="A2696" t="s">
        <v>2282</v>
      </c>
      <c r="B2696" t="s">
        <v>41</v>
      </c>
      <c r="C2696" s="2">
        <f>HYPERLINK("https://cao.dolgi.msk.ru/account/1080005155/", 1080005155)</f>
        <v>1080005155</v>
      </c>
      <c r="D2696" t="s">
        <v>2301</v>
      </c>
      <c r="E2696">
        <v>-326.60000000000002</v>
      </c>
      <c r="F2696">
        <v>-0.08</v>
      </c>
      <c r="G2696" t="s">
        <v>14</v>
      </c>
      <c r="I2696" t="s">
        <v>13</v>
      </c>
    </row>
    <row r="2697" spans="1:9" hidden="1" x14ac:dyDescent="0.25">
      <c r="A2697" t="s">
        <v>2282</v>
      </c>
      <c r="B2697" t="s">
        <v>41</v>
      </c>
      <c r="C2697" s="2">
        <f>HYPERLINK("https://cao.dolgi.msk.ru/account/1083385261/", 1083385261)</f>
        <v>1083385261</v>
      </c>
      <c r="D2697" t="s">
        <v>2301</v>
      </c>
      <c r="E2697">
        <v>-6961.54</v>
      </c>
      <c r="F2697">
        <v>-0.98</v>
      </c>
      <c r="G2697" t="s">
        <v>12</v>
      </c>
      <c r="I2697" t="s">
        <v>13</v>
      </c>
    </row>
    <row r="2698" spans="1:9" hidden="1" x14ac:dyDescent="0.25">
      <c r="A2698" t="s">
        <v>2282</v>
      </c>
      <c r="B2698" t="s">
        <v>42</v>
      </c>
      <c r="C2698" s="2">
        <f>HYPERLINK("https://cao.dolgi.msk.ru/account/1080005163/", 1080005163)</f>
        <v>1080005163</v>
      </c>
      <c r="D2698" t="s">
        <v>15</v>
      </c>
      <c r="E2698">
        <v>-2278.9299999999998</v>
      </c>
      <c r="G2698" t="s">
        <v>14</v>
      </c>
      <c r="H2698" t="s">
        <v>7</v>
      </c>
      <c r="I2698" t="s">
        <v>13</v>
      </c>
    </row>
    <row r="2699" spans="1:9" hidden="1" x14ac:dyDescent="0.25">
      <c r="A2699" t="s">
        <v>2282</v>
      </c>
      <c r="B2699" t="s">
        <v>42</v>
      </c>
      <c r="C2699" s="2">
        <f>HYPERLINK("https://cao.dolgi.msk.ru/account/1080005171/", 1080005171)</f>
        <v>1080005171</v>
      </c>
      <c r="D2699" t="s">
        <v>2301</v>
      </c>
      <c r="E2699">
        <v>0</v>
      </c>
      <c r="G2699" t="s">
        <v>14</v>
      </c>
      <c r="H2699" t="s">
        <v>7</v>
      </c>
      <c r="I2699" t="s">
        <v>13</v>
      </c>
    </row>
    <row r="2700" spans="1:9" hidden="1" x14ac:dyDescent="0.25">
      <c r="A2700" t="s">
        <v>2282</v>
      </c>
      <c r="B2700" t="s">
        <v>42</v>
      </c>
      <c r="C2700" s="2">
        <f>HYPERLINK("https://cao.dolgi.msk.ru/account/1083385333/", 1083385333)</f>
        <v>1083385333</v>
      </c>
      <c r="D2700" t="s">
        <v>15</v>
      </c>
      <c r="E2700">
        <v>-113.67</v>
      </c>
      <c r="F2700">
        <v>-0.02</v>
      </c>
      <c r="G2700" t="s">
        <v>12</v>
      </c>
      <c r="H2700" t="s">
        <v>7</v>
      </c>
      <c r="I2700" t="s">
        <v>13</v>
      </c>
    </row>
    <row r="2701" spans="1:9" x14ac:dyDescent="0.25">
      <c r="A2701" t="s">
        <v>2282</v>
      </c>
      <c r="B2701" t="s">
        <v>42</v>
      </c>
      <c r="C2701" s="2">
        <f>HYPERLINK("https://cao.dolgi.msk.ru/account/1083385456/", 1083385456)</f>
        <v>1083385456</v>
      </c>
      <c r="D2701" t="s">
        <v>2301</v>
      </c>
      <c r="E2701">
        <v>5532.34</v>
      </c>
      <c r="F2701">
        <v>1.86</v>
      </c>
      <c r="G2701" t="s">
        <v>12</v>
      </c>
      <c r="H2701" t="s">
        <v>7</v>
      </c>
      <c r="I2701" t="s">
        <v>13</v>
      </c>
    </row>
    <row r="2702" spans="1:9" hidden="1" x14ac:dyDescent="0.25">
      <c r="A2702" t="s">
        <v>2282</v>
      </c>
      <c r="B2702" t="s">
        <v>44</v>
      </c>
      <c r="C2702" s="2">
        <f>HYPERLINK("https://cao.dolgi.msk.ru/account/1080005198/", 1080005198)</f>
        <v>1080005198</v>
      </c>
      <c r="D2702" t="s">
        <v>2302</v>
      </c>
      <c r="E2702">
        <v>132.44</v>
      </c>
      <c r="G2702" t="s">
        <v>14</v>
      </c>
      <c r="I2702" t="s">
        <v>13</v>
      </c>
    </row>
    <row r="2703" spans="1:9" hidden="1" x14ac:dyDescent="0.25">
      <c r="A2703" t="s">
        <v>2282</v>
      </c>
      <c r="B2703" t="s">
        <v>44</v>
      </c>
      <c r="C2703" s="2">
        <f>HYPERLINK("https://cao.dolgi.msk.ru/account/1083385288/", 1083385288)</f>
        <v>1083385288</v>
      </c>
      <c r="D2703" t="s">
        <v>2302</v>
      </c>
      <c r="E2703">
        <v>-10244.290000000001</v>
      </c>
      <c r="F2703">
        <v>-0.69</v>
      </c>
      <c r="G2703" t="s">
        <v>12</v>
      </c>
      <c r="I2703" t="s">
        <v>13</v>
      </c>
    </row>
    <row r="2704" spans="1:9" hidden="1" x14ac:dyDescent="0.25">
      <c r="A2704" t="s">
        <v>2282</v>
      </c>
      <c r="B2704" t="s">
        <v>66</v>
      </c>
      <c r="C2704" s="2">
        <f>HYPERLINK("https://cao.dolgi.msk.ru/account/1080005219/", 1080005219)</f>
        <v>1080005219</v>
      </c>
      <c r="D2704" t="s">
        <v>2303</v>
      </c>
      <c r="E2704">
        <v>28.07</v>
      </c>
      <c r="G2704" t="s">
        <v>14</v>
      </c>
      <c r="I2704" t="s">
        <v>13</v>
      </c>
    </row>
    <row r="2705" spans="1:9" hidden="1" x14ac:dyDescent="0.25">
      <c r="A2705" t="s">
        <v>2282</v>
      </c>
      <c r="B2705" t="s">
        <v>66</v>
      </c>
      <c r="C2705" s="2">
        <f>HYPERLINK("https://cao.dolgi.msk.ru/account/1083385296/", 1083385296)</f>
        <v>1083385296</v>
      </c>
      <c r="D2705" t="s">
        <v>2303</v>
      </c>
      <c r="E2705">
        <v>0</v>
      </c>
      <c r="F2705">
        <v>0</v>
      </c>
      <c r="G2705" t="s">
        <v>12</v>
      </c>
      <c r="I2705" t="s">
        <v>13</v>
      </c>
    </row>
    <row r="2706" spans="1:9" hidden="1" x14ac:dyDescent="0.25">
      <c r="A2706" t="s">
        <v>2282</v>
      </c>
      <c r="B2706" t="s">
        <v>68</v>
      </c>
      <c r="C2706" s="2">
        <f>HYPERLINK("https://cao.dolgi.msk.ru/account/1080005227/", 1080005227)</f>
        <v>1080005227</v>
      </c>
      <c r="D2706" t="s">
        <v>2304</v>
      </c>
      <c r="E2706">
        <v>103.43</v>
      </c>
      <c r="G2706" t="s">
        <v>14</v>
      </c>
      <c r="I2706" t="s">
        <v>13</v>
      </c>
    </row>
    <row r="2707" spans="1:9" hidden="1" x14ac:dyDescent="0.25">
      <c r="A2707" t="s">
        <v>2282</v>
      </c>
      <c r="B2707" t="s">
        <v>68</v>
      </c>
      <c r="C2707" s="2">
        <f>HYPERLINK("https://cao.dolgi.msk.ru/account/1083385309/", 1083385309)</f>
        <v>1083385309</v>
      </c>
      <c r="D2707" t="s">
        <v>2304</v>
      </c>
      <c r="E2707">
        <v>-6923.49</v>
      </c>
      <c r="F2707">
        <v>-0.98</v>
      </c>
      <c r="G2707" t="s">
        <v>12</v>
      </c>
      <c r="I2707" t="s">
        <v>13</v>
      </c>
    </row>
    <row r="2708" spans="1:9" hidden="1" x14ac:dyDescent="0.25">
      <c r="A2708" t="s">
        <v>2282</v>
      </c>
      <c r="B2708" t="s">
        <v>70</v>
      </c>
      <c r="C2708" s="2">
        <f>HYPERLINK("https://cao.dolgi.msk.ru/account/1080013921/", 1080013921)</f>
        <v>1080013921</v>
      </c>
      <c r="D2708" t="s">
        <v>2305</v>
      </c>
      <c r="E2708">
        <v>-119.4</v>
      </c>
      <c r="F2708">
        <v>-0.09</v>
      </c>
      <c r="G2708" t="s">
        <v>14</v>
      </c>
      <c r="I2708" t="s">
        <v>13</v>
      </c>
    </row>
    <row r="2709" spans="1:9" hidden="1" x14ac:dyDescent="0.25">
      <c r="A2709" t="s">
        <v>2282</v>
      </c>
      <c r="B2709" t="s">
        <v>70</v>
      </c>
      <c r="C2709" s="2">
        <f>HYPERLINK("https://cao.dolgi.msk.ru/account/1083385464/", 1083385464)</f>
        <v>1083385464</v>
      </c>
      <c r="D2709" t="s">
        <v>2305</v>
      </c>
      <c r="E2709">
        <v>-5561.29</v>
      </c>
      <c r="F2709">
        <v>-0.96</v>
      </c>
      <c r="G2709" t="s">
        <v>12</v>
      </c>
      <c r="I2709" t="s">
        <v>13</v>
      </c>
    </row>
    <row r="2710" spans="1:9" hidden="1" x14ac:dyDescent="0.25">
      <c r="A2710" t="s">
        <v>2282</v>
      </c>
      <c r="B2710" t="s">
        <v>72</v>
      </c>
      <c r="C2710" s="2">
        <f>HYPERLINK("https://cao.dolgi.msk.ru/account/1080005235/", 1080005235)</f>
        <v>1080005235</v>
      </c>
      <c r="D2710" t="s">
        <v>2306</v>
      </c>
      <c r="E2710">
        <v>821.68</v>
      </c>
      <c r="G2710" t="s">
        <v>14</v>
      </c>
      <c r="I2710" t="s">
        <v>13</v>
      </c>
    </row>
    <row r="2711" spans="1:9" hidden="1" x14ac:dyDescent="0.25">
      <c r="A2711" t="s">
        <v>2282</v>
      </c>
      <c r="B2711" t="s">
        <v>72</v>
      </c>
      <c r="C2711" s="2">
        <f>HYPERLINK("https://cao.dolgi.msk.ru/account/1083385341/", 1083385341)</f>
        <v>1083385341</v>
      </c>
      <c r="D2711" t="s">
        <v>2306</v>
      </c>
      <c r="E2711">
        <v>-347.98</v>
      </c>
      <c r="F2711">
        <v>-0.1</v>
      </c>
      <c r="G2711" t="s">
        <v>12</v>
      </c>
      <c r="I2711" t="s">
        <v>13</v>
      </c>
    </row>
    <row r="2712" spans="1:9" hidden="1" x14ac:dyDescent="0.25">
      <c r="A2712" t="s">
        <v>2307</v>
      </c>
      <c r="B2712" t="s">
        <v>10</v>
      </c>
      <c r="C2712" s="2">
        <f>HYPERLINK("https://cao.dolgi.msk.ru/account/1080092287/", 1080092287)</f>
        <v>1080092287</v>
      </c>
      <c r="D2712" t="s">
        <v>15</v>
      </c>
      <c r="G2712" t="s">
        <v>14</v>
      </c>
      <c r="I2712" t="s">
        <v>230</v>
      </c>
    </row>
    <row r="2713" spans="1:9" hidden="1" x14ac:dyDescent="0.25">
      <c r="A2713" t="s">
        <v>2307</v>
      </c>
      <c r="B2713" t="s">
        <v>10</v>
      </c>
      <c r="C2713" s="2">
        <f>HYPERLINK("https://cao.dolgi.msk.ru/account/1080092295/", 1080092295)</f>
        <v>1080092295</v>
      </c>
      <c r="D2713" t="s">
        <v>15</v>
      </c>
      <c r="G2713" t="s">
        <v>14</v>
      </c>
      <c r="I2713" t="s">
        <v>230</v>
      </c>
    </row>
    <row r="2714" spans="1:9" hidden="1" x14ac:dyDescent="0.25">
      <c r="A2714" t="s">
        <v>2307</v>
      </c>
      <c r="B2714" t="s">
        <v>16</v>
      </c>
      <c r="C2714" s="2">
        <f>HYPERLINK("https://cao.dolgi.msk.ru/account/1080092308/", 1080092308)</f>
        <v>1080092308</v>
      </c>
      <c r="D2714" t="s">
        <v>2308</v>
      </c>
      <c r="E2714">
        <v>-4327.66</v>
      </c>
      <c r="F2714">
        <v>-1.1100000000000001</v>
      </c>
      <c r="G2714" t="s">
        <v>12</v>
      </c>
      <c r="I2714" t="s">
        <v>230</v>
      </c>
    </row>
    <row r="2715" spans="1:9" x14ac:dyDescent="0.25">
      <c r="A2715" t="s">
        <v>2307</v>
      </c>
      <c r="B2715" t="s">
        <v>18</v>
      </c>
      <c r="C2715" s="2">
        <f>HYPERLINK("https://cao.dolgi.msk.ru/account/1080092316/", 1080092316)</f>
        <v>1080092316</v>
      </c>
      <c r="D2715" t="s">
        <v>15</v>
      </c>
      <c r="E2715">
        <v>3284.12</v>
      </c>
      <c r="F2715">
        <v>1.87</v>
      </c>
      <c r="G2715" t="s">
        <v>12</v>
      </c>
      <c r="H2715" t="s">
        <v>7</v>
      </c>
      <c r="I2715" t="s">
        <v>230</v>
      </c>
    </row>
    <row r="2716" spans="1:9" hidden="1" x14ac:dyDescent="0.25">
      <c r="A2716" t="s">
        <v>2307</v>
      </c>
      <c r="B2716" t="s">
        <v>18</v>
      </c>
      <c r="C2716" s="2">
        <f>HYPERLINK("https://cao.dolgi.msk.ru/account/1080092324/", 1080092324)</f>
        <v>1080092324</v>
      </c>
      <c r="D2716" t="s">
        <v>15</v>
      </c>
      <c r="E2716">
        <v>-2254.02</v>
      </c>
      <c r="F2716">
        <v>-1.1599999999999999</v>
      </c>
      <c r="G2716" t="s">
        <v>12</v>
      </c>
      <c r="H2716" t="s">
        <v>7</v>
      </c>
      <c r="I2716" t="s">
        <v>230</v>
      </c>
    </row>
    <row r="2717" spans="1:9" x14ac:dyDescent="0.25">
      <c r="A2717" t="s">
        <v>2307</v>
      </c>
      <c r="B2717" t="s">
        <v>18</v>
      </c>
      <c r="C2717" s="2">
        <f>HYPERLINK("https://cao.dolgi.msk.ru/account/1080092332/", 1080092332)</f>
        <v>1080092332</v>
      </c>
      <c r="D2717" t="s">
        <v>15</v>
      </c>
      <c r="E2717">
        <v>112903.79</v>
      </c>
      <c r="F2717">
        <v>71.040000000000006</v>
      </c>
      <c r="G2717" t="s">
        <v>12</v>
      </c>
      <c r="H2717" t="s">
        <v>7</v>
      </c>
      <c r="I2717" t="s">
        <v>230</v>
      </c>
    </row>
    <row r="2718" spans="1:9" hidden="1" x14ac:dyDescent="0.25">
      <c r="A2718" t="s">
        <v>2307</v>
      </c>
      <c r="B2718" t="s">
        <v>20</v>
      </c>
      <c r="C2718" s="2">
        <f>HYPERLINK("https://cao.dolgi.msk.ru/account/1080092359/", 1080092359)</f>
        <v>1080092359</v>
      </c>
      <c r="D2718" t="s">
        <v>2309</v>
      </c>
      <c r="E2718">
        <v>1277.69</v>
      </c>
      <c r="F2718">
        <v>0.31</v>
      </c>
      <c r="G2718" t="s">
        <v>12</v>
      </c>
      <c r="I2718" t="s">
        <v>230</v>
      </c>
    </row>
    <row r="2719" spans="1:9" hidden="1" x14ac:dyDescent="0.25">
      <c r="A2719" t="s">
        <v>2307</v>
      </c>
      <c r="B2719" t="s">
        <v>21</v>
      </c>
      <c r="C2719" s="2">
        <f>HYPERLINK("https://cao.dolgi.msk.ru/account/1080092367/", 1080092367)</f>
        <v>1080092367</v>
      </c>
      <c r="D2719" t="s">
        <v>2310</v>
      </c>
      <c r="E2719">
        <v>-9154.36</v>
      </c>
      <c r="F2719">
        <v>-0.97</v>
      </c>
      <c r="G2719" t="s">
        <v>12</v>
      </c>
      <c r="I2719" t="s">
        <v>230</v>
      </c>
    </row>
    <row r="2720" spans="1:9" hidden="1" x14ac:dyDescent="0.25">
      <c r="A2720" t="s">
        <v>2307</v>
      </c>
      <c r="B2720" t="s">
        <v>22</v>
      </c>
      <c r="C2720" s="2">
        <f>HYPERLINK("https://cao.dolgi.msk.ru/account/1080092375/", 1080092375)</f>
        <v>1080092375</v>
      </c>
      <c r="D2720" t="s">
        <v>2311</v>
      </c>
      <c r="E2720">
        <v>-3680.65</v>
      </c>
      <c r="F2720">
        <v>-1.07</v>
      </c>
      <c r="G2720" t="s">
        <v>12</v>
      </c>
      <c r="I2720" t="s">
        <v>230</v>
      </c>
    </row>
    <row r="2721" spans="1:9" hidden="1" x14ac:dyDescent="0.25">
      <c r="A2721" t="s">
        <v>2307</v>
      </c>
      <c r="B2721" t="s">
        <v>23</v>
      </c>
      <c r="C2721" s="2">
        <f>HYPERLINK("https://cao.dolgi.msk.ru/account/1080092383/", 1080092383)</f>
        <v>1080092383</v>
      </c>
      <c r="D2721" t="s">
        <v>2312</v>
      </c>
      <c r="E2721">
        <v>-1199.29</v>
      </c>
      <c r="F2721">
        <v>-0.13</v>
      </c>
      <c r="G2721" t="s">
        <v>12</v>
      </c>
      <c r="I2721" t="s">
        <v>230</v>
      </c>
    </row>
    <row r="2722" spans="1:9" hidden="1" x14ac:dyDescent="0.25">
      <c r="A2722" t="s">
        <v>2307</v>
      </c>
      <c r="B2722" t="s">
        <v>24</v>
      </c>
      <c r="C2722" s="2">
        <f>HYPERLINK("https://cao.dolgi.msk.ru/account/1080092391/", 1080092391)</f>
        <v>1080092391</v>
      </c>
      <c r="D2722" t="s">
        <v>2313</v>
      </c>
      <c r="E2722">
        <v>119.25</v>
      </c>
      <c r="F2722">
        <v>0.02</v>
      </c>
      <c r="G2722" t="s">
        <v>12</v>
      </c>
      <c r="I2722" t="s">
        <v>230</v>
      </c>
    </row>
    <row r="2723" spans="1:9" hidden="1" x14ac:dyDescent="0.25">
      <c r="A2723" t="s">
        <v>2307</v>
      </c>
      <c r="B2723" t="s">
        <v>27</v>
      </c>
      <c r="C2723" s="2">
        <f>HYPERLINK("https://cao.dolgi.msk.ru/account/1080092404/", 1080092404)</f>
        <v>1080092404</v>
      </c>
      <c r="D2723" t="s">
        <v>15</v>
      </c>
      <c r="G2723" t="s">
        <v>14</v>
      </c>
      <c r="I2723" t="s">
        <v>230</v>
      </c>
    </row>
    <row r="2724" spans="1:9" hidden="1" x14ac:dyDescent="0.25">
      <c r="A2724" t="s">
        <v>2307</v>
      </c>
      <c r="B2724" t="s">
        <v>27</v>
      </c>
      <c r="C2724" s="2">
        <f>HYPERLINK("https://cao.dolgi.msk.ru/account/1080092412/", 1080092412)</f>
        <v>1080092412</v>
      </c>
      <c r="D2724" t="s">
        <v>2314</v>
      </c>
      <c r="E2724">
        <v>-9340.23</v>
      </c>
      <c r="F2724">
        <v>-1.17</v>
      </c>
      <c r="G2724" t="s">
        <v>12</v>
      </c>
      <c r="I2724" t="s">
        <v>230</v>
      </c>
    </row>
    <row r="2725" spans="1:9" hidden="1" x14ac:dyDescent="0.25">
      <c r="A2725" t="s">
        <v>2307</v>
      </c>
      <c r="B2725" t="s">
        <v>29</v>
      </c>
      <c r="C2725" s="2">
        <f>HYPERLINK("https://cao.dolgi.msk.ru/account/1080092439/", 1080092439)</f>
        <v>1080092439</v>
      </c>
      <c r="D2725" t="s">
        <v>2315</v>
      </c>
      <c r="E2725">
        <v>-186.27</v>
      </c>
      <c r="F2725">
        <v>-0.03</v>
      </c>
      <c r="G2725" t="s">
        <v>12</v>
      </c>
      <c r="I2725" t="s">
        <v>230</v>
      </c>
    </row>
    <row r="2726" spans="1:9" hidden="1" x14ac:dyDescent="0.25">
      <c r="A2726" t="s">
        <v>2307</v>
      </c>
      <c r="B2726" t="s">
        <v>31</v>
      </c>
      <c r="C2726" s="2">
        <f>HYPERLINK("https://cao.dolgi.msk.ru/account/1080092447/", 1080092447)</f>
        <v>1080092447</v>
      </c>
      <c r="D2726" t="s">
        <v>2316</v>
      </c>
      <c r="E2726">
        <v>-6585.36</v>
      </c>
      <c r="F2726">
        <v>-1.2</v>
      </c>
      <c r="G2726" t="s">
        <v>12</v>
      </c>
      <c r="I2726" t="s">
        <v>230</v>
      </c>
    </row>
    <row r="2727" spans="1:9" hidden="1" x14ac:dyDescent="0.25">
      <c r="A2727" t="s">
        <v>2307</v>
      </c>
      <c r="B2727" t="s">
        <v>33</v>
      </c>
      <c r="C2727" s="2">
        <f>HYPERLINK("https://cao.dolgi.msk.ru/account/1080092455/", 1080092455)</f>
        <v>1080092455</v>
      </c>
      <c r="D2727" t="s">
        <v>15</v>
      </c>
      <c r="G2727" t="s">
        <v>14</v>
      </c>
      <c r="H2727" t="s">
        <v>7</v>
      </c>
      <c r="I2727" t="s">
        <v>230</v>
      </c>
    </row>
    <row r="2728" spans="1:9" hidden="1" x14ac:dyDescent="0.25">
      <c r="A2728" t="s">
        <v>2307</v>
      </c>
      <c r="B2728" t="s">
        <v>33</v>
      </c>
      <c r="C2728" s="2">
        <f>HYPERLINK("https://cao.dolgi.msk.ru/account/1080325888/", 1080325888)</f>
        <v>1080325888</v>
      </c>
      <c r="D2728" t="s">
        <v>15</v>
      </c>
      <c r="G2728" t="s">
        <v>14</v>
      </c>
      <c r="H2728" t="s">
        <v>7</v>
      </c>
      <c r="I2728" t="s">
        <v>230</v>
      </c>
    </row>
    <row r="2729" spans="1:9" hidden="1" x14ac:dyDescent="0.25">
      <c r="A2729" t="s">
        <v>2307</v>
      </c>
      <c r="B2729" t="s">
        <v>34</v>
      </c>
      <c r="C2729" s="2">
        <f>HYPERLINK("https://cao.dolgi.msk.ru/account/1080092463/", 1080092463)</f>
        <v>1080092463</v>
      </c>
      <c r="D2729" t="s">
        <v>15</v>
      </c>
      <c r="G2729" t="s">
        <v>14</v>
      </c>
      <c r="I2729" t="s">
        <v>230</v>
      </c>
    </row>
    <row r="2730" spans="1:9" hidden="1" x14ac:dyDescent="0.25">
      <c r="A2730" t="s">
        <v>2307</v>
      </c>
      <c r="B2730" t="s">
        <v>34</v>
      </c>
      <c r="C2730" s="2">
        <f>HYPERLINK("https://cao.dolgi.msk.ru/account/1080092471/", 1080092471)</f>
        <v>1080092471</v>
      </c>
      <c r="D2730" t="s">
        <v>2317</v>
      </c>
      <c r="E2730">
        <v>4686.01</v>
      </c>
      <c r="F2730">
        <v>0.94</v>
      </c>
      <c r="G2730" t="s">
        <v>12</v>
      </c>
      <c r="I2730" t="s">
        <v>230</v>
      </c>
    </row>
    <row r="2731" spans="1:9" hidden="1" x14ac:dyDescent="0.25">
      <c r="A2731" t="s">
        <v>2307</v>
      </c>
      <c r="B2731" t="s">
        <v>34</v>
      </c>
      <c r="C2731" s="2">
        <f>HYPERLINK("https://cao.dolgi.msk.ru/account/1080324703/", 1080324703)</f>
        <v>1080324703</v>
      </c>
      <c r="D2731" t="s">
        <v>15</v>
      </c>
      <c r="G2731" t="s">
        <v>14</v>
      </c>
      <c r="I2731" t="s">
        <v>230</v>
      </c>
    </row>
    <row r="2732" spans="1:9" hidden="1" x14ac:dyDescent="0.25">
      <c r="A2732" t="s">
        <v>2307</v>
      </c>
      <c r="B2732" t="s">
        <v>36</v>
      </c>
      <c r="C2732" s="2">
        <f>HYPERLINK("https://cao.dolgi.msk.ru/account/1080092498/", 1080092498)</f>
        <v>1080092498</v>
      </c>
      <c r="D2732" t="s">
        <v>15</v>
      </c>
      <c r="G2732" t="s">
        <v>14</v>
      </c>
      <c r="I2732" t="s">
        <v>230</v>
      </c>
    </row>
    <row r="2733" spans="1:9" hidden="1" x14ac:dyDescent="0.25">
      <c r="A2733" t="s">
        <v>2307</v>
      </c>
      <c r="B2733" t="s">
        <v>36</v>
      </c>
      <c r="C2733" s="2">
        <f>HYPERLINK("https://cao.dolgi.msk.ru/account/1080092519/", 1080092519)</f>
        <v>1080092519</v>
      </c>
      <c r="D2733" t="s">
        <v>2318</v>
      </c>
      <c r="E2733">
        <v>-6122.41</v>
      </c>
      <c r="F2733">
        <v>-1.1499999999999999</v>
      </c>
      <c r="G2733" t="s">
        <v>12</v>
      </c>
      <c r="I2733" t="s">
        <v>230</v>
      </c>
    </row>
    <row r="2734" spans="1:9" hidden="1" x14ac:dyDescent="0.25">
      <c r="A2734" t="s">
        <v>2307</v>
      </c>
      <c r="B2734" t="s">
        <v>38</v>
      </c>
      <c r="C2734" s="2">
        <f>HYPERLINK("https://cao.dolgi.msk.ru/account/1080092527/", 1080092527)</f>
        <v>1080092527</v>
      </c>
      <c r="D2734" t="s">
        <v>2319</v>
      </c>
      <c r="E2734">
        <v>-5103.67</v>
      </c>
      <c r="F2734">
        <v>-1.06</v>
      </c>
      <c r="G2734" t="s">
        <v>12</v>
      </c>
      <c r="I2734" t="s">
        <v>230</v>
      </c>
    </row>
    <row r="2735" spans="1:9" hidden="1" x14ac:dyDescent="0.25">
      <c r="A2735" t="s">
        <v>2307</v>
      </c>
      <c r="B2735" t="s">
        <v>39</v>
      </c>
      <c r="C2735" s="2">
        <f>HYPERLINK("https://cao.dolgi.msk.ru/account/1080092535/", 1080092535)</f>
        <v>1080092535</v>
      </c>
      <c r="D2735" t="s">
        <v>2320</v>
      </c>
      <c r="E2735">
        <v>7779.54</v>
      </c>
      <c r="F2735">
        <v>0.93</v>
      </c>
      <c r="G2735" t="s">
        <v>12</v>
      </c>
      <c r="I2735" t="s">
        <v>230</v>
      </c>
    </row>
    <row r="2736" spans="1:9" hidden="1" x14ac:dyDescent="0.25">
      <c r="A2736" t="s">
        <v>2307</v>
      </c>
      <c r="B2736" t="s">
        <v>40</v>
      </c>
      <c r="C2736" s="2">
        <f>HYPERLINK("https://cao.dolgi.msk.ru/account/1080092543/", 1080092543)</f>
        <v>1080092543</v>
      </c>
      <c r="D2736" t="s">
        <v>2321</v>
      </c>
      <c r="E2736">
        <v>-1478.27</v>
      </c>
      <c r="F2736">
        <v>-1.01</v>
      </c>
      <c r="G2736" t="s">
        <v>12</v>
      </c>
      <c r="H2736" t="s">
        <v>7</v>
      </c>
      <c r="I2736" t="s">
        <v>230</v>
      </c>
    </row>
    <row r="2737" spans="1:9" hidden="1" x14ac:dyDescent="0.25">
      <c r="A2737" t="s">
        <v>2307</v>
      </c>
      <c r="B2737" t="s">
        <v>40</v>
      </c>
      <c r="C2737" s="2">
        <f>HYPERLINK("https://cao.dolgi.msk.ru/account/1080092551/", 1080092551)</f>
        <v>1080092551</v>
      </c>
      <c r="D2737" t="s">
        <v>62</v>
      </c>
      <c r="E2737">
        <v>-7439.5</v>
      </c>
      <c r="F2737">
        <v>-1.08</v>
      </c>
      <c r="G2737" t="s">
        <v>12</v>
      </c>
      <c r="H2737" t="s">
        <v>7</v>
      </c>
      <c r="I2737" t="s">
        <v>230</v>
      </c>
    </row>
    <row r="2738" spans="1:9" hidden="1" x14ac:dyDescent="0.25">
      <c r="A2738" t="s">
        <v>2307</v>
      </c>
      <c r="B2738" t="s">
        <v>41</v>
      </c>
      <c r="C2738" s="2">
        <f>HYPERLINK("https://cao.dolgi.msk.ru/account/1080092578/", 1080092578)</f>
        <v>1080092578</v>
      </c>
      <c r="D2738" t="s">
        <v>2322</v>
      </c>
      <c r="E2738">
        <v>-774.12</v>
      </c>
      <c r="F2738">
        <v>-0.15</v>
      </c>
      <c r="G2738" t="s">
        <v>12</v>
      </c>
      <c r="I2738" t="s">
        <v>230</v>
      </c>
    </row>
    <row r="2739" spans="1:9" hidden="1" x14ac:dyDescent="0.25">
      <c r="A2739" t="s">
        <v>2307</v>
      </c>
      <c r="B2739" t="s">
        <v>41</v>
      </c>
      <c r="C2739" s="2">
        <f>HYPERLINK("https://cao.dolgi.msk.ru/account/1089122462/", 1089122462)</f>
        <v>1089122462</v>
      </c>
      <c r="D2739" t="s">
        <v>15</v>
      </c>
      <c r="E2739">
        <v>-110.09</v>
      </c>
      <c r="F2739">
        <v>-0.11</v>
      </c>
      <c r="G2739" t="s">
        <v>12</v>
      </c>
      <c r="I2739" t="s">
        <v>230</v>
      </c>
    </row>
    <row r="2740" spans="1:9" hidden="1" x14ac:dyDescent="0.25">
      <c r="A2740" t="s">
        <v>2307</v>
      </c>
      <c r="B2740" t="s">
        <v>41</v>
      </c>
      <c r="C2740" s="2">
        <f>HYPERLINK("https://cao.dolgi.msk.ru/account/1089122999/", 1089122999)</f>
        <v>1089122999</v>
      </c>
      <c r="D2740" t="s">
        <v>15</v>
      </c>
      <c r="E2740">
        <v>-3778.18</v>
      </c>
      <c r="F2740">
        <v>-3.99</v>
      </c>
      <c r="G2740" t="s">
        <v>12</v>
      </c>
      <c r="I2740" t="s">
        <v>230</v>
      </c>
    </row>
    <row r="2741" spans="1:9" hidden="1" x14ac:dyDescent="0.25">
      <c r="A2741" t="s">
        <v>2307</v>
      </c>
      <c r="B2741" t="s">
        <v>42</v>
      </c>
      <c r="C2741" s="2">
        <f>HYPERLINK("https://cao.dolgi.msk.ru/account/1080092586/", 1080092586)</f>
        <v>1080092586</v>
      </c>
      <c r="D2741" t="s">
        <v>2323</v>
      </c>
      <c r="E2741">
        <v>0</v>
      </c>
      <c r="F2741">
        <v>0</v>
      </c>
      <c r="G2741" t="s">
        <v>12</v>
      </c>
      <c r="I2741" t="s">
        <v>230</v>
      </c>
    </row>
    <row r="2742" spans="1:9" hidden="1" x14ac:dyDescent="0.25">
      <c r="A2742" t="s">
        <v>2307</v>
      </c>
      <c r="B2742" t="s">
        <v>44</v>
      </c>
      <c r="C2742" s="2">
        <f>HYPERLINK("https://cao.dolgi.msk.ru/account/1080092594/", 1080092594)</f>
        <v>1080092594</v>
      </c>
      <c r="D2742" t="s">
        <v>2324</v>
      </c>
      <c r="E2742">
        <v>-2261.11</v>
      </c>
      <c r="F2742">
        <v>-1.1000000000000001</v>
      </c>
      <c r="G2742" t="s">
        <v>12</v>
      </c>
      <c r="H2742" t="s">
        <v>7</v>
      </c>
      <c r="I2742" t="s">
        <v>230</v>
      </c>
    </row>
    <row r="2743" spans="1:9" hidden="1" x14ac:dyDescent="0.25">
      <c r="A2743" t="s">
        <v>2307</v>
      </c>
      <c r="B2743" t="s">
        <v>44</v>
      </c>
      <c r="C2743" s="2">
        <f>HYPERLINK("https://cao.dolgi.msk.ru/account/1080092607/", 1080092607)</f>
        <v>1080092607</v>
      </c>
      <c r="D2743" t="s">
        <v>2324</v>
      </c>
      <c r="E2743">
        <v>-8691.68</v>
      </c>
      <c r="F2743">
        <v>-1.1499999999999999</v>
      </c>
      <c r="G2743" t="s">
        <v>12</v>
      </c>
      <c r="H2743" t="s">
        <v>7</v>
      </c>
      <c r="I2743" t="s">
        <v>230</v>
      </c>
    </row>
    <row r="2744" spans="1:9" hidden="1" x14ac:dyDescent="0.25">
      <c r="A2744" t="s">
        <v>2307</v>
      </c>
      <c r="B2744" t="s">
        <v>66</v>
      </c>
      <c r="C2744" s="2">
        <f>HYPERLINK("https://cao.dolgi.msk.ru/account/1080092615/", 1080092615)</f>
        <v>1080092615</v>
      </c>
      <c r="D2744" t="s">
        <v>2325</v>
      </c>
      <c r="G2744" t="s">
        <v>14</v>
      </c>
      <c r="I2744" t="s">
        <v>230</v>
      </c>
    </row>
    <row r="2745" spans="1:9" hidden="1" x14ac:dyDescent="0.25">
      <c r="A2745" t="s">
        <v>2307</v>
      </c>
      <c r="B2745" t="s">
        <v>66</v>
      </c>
      <c r="C2745" s="2">
        <f>HYPERLINK("https://cao.dolgi.msk.ru/account/1080092623/", 1080092623)</f>
        <v>1080092623</v>
      </c>
      <c r="D2745" t="s">
        <v>2326</v>
      </c>
      <c r="E2745">
        <v>-10565.8</v>
      </c>
      <c r="F2745">
        <v>-1.88</v>
      </c>
      <c r="G2745" t="s">
        <v>12</v>
      </c>
      <c r="I2745" t="s">
        <v>230</v>
      </c>
    </row>
    <row r="2746" spans="1:9" hidden="1" x14ac:dyDescent="0.25">
      <c r="A2746" t="s">
        <v>2307</v>
      </c>
      <c r="B2746" t="s">
        <v>68</v>
      </c>
      <c r="C2746" s="2">
        <f>HYPERLINK("https://cao.dolgi.msk.ru/account/1080092631/", 1080092631)</f>
        <v>1080092631</v>
      </c>
      <c r="D2746" t="s">
        <v>2327</v>
      </c>
      <c r="E2746">
        <v>-6768.91</v>
      </c>
      <c r="F2746">
        <v>-1.1599999999999999</v>
      </c>
      <c r="G2746" t="s">
        <v>12</v>
      </c>
      <c r="I2746" t="s">
        <v>230</v>
      </c>
    </row>
    <row r="2747" spans="1:9" hidden="1" x14ac:dyDescent="0.25">
      <c r="A2747" t="s">
        <v>2307</v>
      </c>
      <c r="B2747" t="s">
        <v>70</v>
      </c>
      <c r="C2747" s="2">
        <f>HYPERLINK("https://cao.dolgi.msk.ru/account/1080092658/", 1080092658)</f>
        <v>1080092658</v>
      </c>
      <c r="D2747" t="s">
        <v>2328</v>
      </c>
      <c r="E2747">
        <v>-9873.61</v>
      </c>
      <c r="F2747">
        <v>-1.0900000000000001</v>
      </c>
      <c r="G2747" t="s">
        <v>12</v>
      </c>
      <c r="I2747" t="s">
        <v>230</v>
      </c>
    </row>
    <row r="2748" spans="1:9" hidden="1" x14ac:dyDescent="0.25">
      <c r="A2748" t="s">
        <v>2307</v>
      </c>
      <c r="B2748" t="s">
        <v>72</v>
      </c>
      <c r="C2748" s="2">
        <f>HYPERLINK("https://cao.dolgi.msk.ru/account/1080092666/", 1080092666)</f>
        <v>1080092666</v>
      </c>
      <c r="D2748" t="s">
        <v>2329</v>
      </c>
      <c r="E2748">
        <v>-8193.58</v>
      </c>
      <c r="F2748">
        <v>-1.07</v>
      </c>
      <c r="G2748" t="s">
        <v>12</v>
      </c>
      <c r="I2748" t="s">
        <v>230</v>
      </c>
    </row>
    <row r="2749" spans="1:9" hidden="1" x14ac:dyDescent="0.25">
      <c r="A2749" t="s">
        <v>2307</v>
      </c>
      <c r="B2749" t="s">
        <v>74</v>
      </c>
      <c r="C2749" s="2">
        <f>HYPERLINK("https://cao.dolgi.msk.ru/account/1080092674/", 1080092674)</f>
        <v>1080092674</v>
      </c>
      <c r="D2749" t="s">
        <v>2330</v>
      </c>
      <c r="E2749">
        <v>-8313.6200000000008</v>
      </c>
      <c r="F2749">
        <v>-0.98</v>
      </c>
      <c r="G2749" t="s">
        <v>12</v>
      </c>
      <c r="I2749" t="s">
        <v>230</v>
      </c>
    </row>
    <row r="2750" spans="1:9" hidden="1" x14ac:dyDescent="0.25">
      <c r="A2750" t="s">
        <v>2307</v>
      </c>
      <c r="B2750" t="s">
        <v>76</v>
      </c>
      <c r="C2750" s="2">
        <f>HYPERLINK("https://cao.dolgi.msk.ru/account/1080092682/", 1080092682)</f>
        <v>1080092682</v>
      </c>
      <c r="D2750" t="s">
        <v>2331</v>
      </c>
      <c r="E2750">
        <v>-8358.19</v>
      </c>
      <c r="F2750">
        <v>-1.6</v>
      </c>
      <c r="G2750" t="s">
        <v>12</v>
      </c>
      <c r="I2750" t="s">
        <v>230</v>
      </c>
    </row>
    <row r="2751" spans="1:9" hidden="1" x14ac:dyDescent="0.25">
      <c r="A2751" t="s">
        <v>2307</v>
      </c>
      <c r="B2751" t="s">
        <v>78</v>
      </c>
      <c r="C2751" s="2">
        <f>HYPERLINK("https://cao.dolgi.msk.ru/account/1080324041/", 1080324041)</f>
        <v>1080324041</v>
      </c>
      <c r="D2751" t="s">
        <v>15</v>
      </c>
      <c r="E2751">
        <v>-5144.57</v>
      </c>
      <c r="F2751">
        <v>-0.91</v>
      </c>
      <c r="G2751" t="s">
        <v>12</v>
      </c>
      <c r="I2751" t="s">
        <v>230</v>
      </c>
    </row>
    <row r="2752" spans="1:9" hidden="1" x14ac:dyDescent="0.25">
      <c r="A2752" t="s">
        <v>2307</v>
      </c>
      <c r="B2752" t="s">
        <v>80</v>
      </c>
      <c r="C2752" s="2">
        <f>HYPERLINK("https://cao.dolgi.msk.ru/account/1080092703/", 1080092703)</f>
        <v>1080092703</v>
      </c>
      <c r="D2752" t="s">
        <v>15</v>
      </c>
      <c r="G2752" t="s">
        <v>14</v>
      </c>
      <c r="I2752" t="s">
        <v>230</v>
      </c>
    </row>
    <row r="2753" spans="1:9" hidden="1" x14ac:dyDescent="0.25">
      <c r="A2753" t="s">
        <v>2307</v>
      </c>
      <c r="B2753" t="s">
        <v>80</v>
      </c>
      <c r="C2753" s="2">
        <f>HYPERLINK("https://cao.dolgi.msk.ru/account/1080092711/", 1080092711)</f>
        <v>1080092711</v>
      </c>
      <c r="D2753" t="s">
        <v>2332</v>
      </c>
      <c r="E2753">
        <v>0</v>
      </c>
      <c r="G2753" t="s">
        <v>14</v>
      </c>
      <c r="I2753" t="s">
        <v>230</v>
      </c>
    </row>
    <row r="2754" spans="1:9" hidden="1" x14ac:dyDescent="0.25">
      <c r="A2754" t="s">
        <v>2307</v>
      </c>
      <c r="B2754" t="s">
        <v>80</v>
      </c>
      <c r="C2754" s="2">
        <f>HYPERLINK("https://cao.dolgi.msk.ru/account/1080092738/", 1080092738)</f>
        <v>1080092738</v>
      </c>
      <c r="D2754" t="s">
        <v>15</v>
      </c>
      <c r="G2754" t="s">
        <v>14</v>
      </c>
      <c r="I2754" t="s">
        <v>230</v>
      </c>
    </row>
    <row r="2755" spans="1:9" hidden="1" x14ac:dyDescent="0.25">
      <c r="A2755" t="s">
        <v>2307</v>
      </c>
      <c r="B2755" t="s">
        <v>82</v>
      </c>
      <c r="C2755" s="2">
        <f>HYPERLINK("https://cao.dolgi.msk.ru/account/1080092746/", 1080092746)</f>
        <v>1080092746</v>
      </c>
      <c r="D2755" t="s">
        <v>2333</v>
      </c>
      <c r="E2755">
        <v>-8693.1200000000008</v>
      </c>
      <c r="F2755">
        <v>-1.03</v>
      </c>
      <c r="G2755" t="s">
        <v>12</v>
      </c>
      <c r="I2755" t="s">
        <v>230</v>
      </c>
    </row>
    <row r="2756" spans="1:9" hidden="1" x14ac:dyDescent="0.25">
      <c r="A2756" t="s">
        <v>2307</v>
      </c>
      <c r="B2756" t="s">
        <v>84</v>
      </c>
      <c r="C2756" s="2">
        <f>HYPERLINK("https://cao.dolgi.msk.ru/account/1080092754/", 1080092754)</f>
        <v>1080092754</v>
      </c>
      <c r="D2756" t="s">
        <v>2334</v>
      </c>
      <c r="E2756">
        <v>0</v>
      </c>
      <c r="F2756">
        <v>0</v>
      </c>
      <c r="G2756" t="s">
        <v>12</v>
      </c>
      <c r="I2756" t="s">
        <v>230</v>
      </c>
    </row>
    <row r="2757" spans="1:9" hidden="1" x14ac:dyDescent="0.25">
      <c r="A2757" t="s">
        <v>2307</v>
      </c>
      <c r="B2757" t="s">
        <v>86</v>
      </c>
      <c r="C2757" s="2">
        <f>HYPERLINK("https://cao.dolgi.msk.ru/account/1080092762/", 1080092762)</f>
        <v>1080092762</v>
      </c>
      <c r="D2757" t="s">
        <v>2335</v>
      </c>
      <c r="E2757">
        <v>0</v>
      </c>
      <c r="F2757">
        <v>0</v>
      </c>
      <c r="G2757" t="s">
        <v>12</v>
      </c>
      <c r="I2757" t="s">
        <v>230</v>
      </c>
    </row>
    <row r="2758" spans="1:9" hidden="1" x14ac:dyDescent="0.25">
      <c r="A2758" t="s">
        <v>2307</v>
      </c>
      <c r="B2758" t="s">
        <v>88</v>
      </c>
      <c r="C2758" s="2">
        <f>HYPERLINK("https://cao.dolgi.msk.ru/account/1080092789/", 1080092789)</f>
        <v>1080092789</v>
      </c>
      <c r="D2758" t="s">
        <v>2336</v>
      </c>
      <c r="E2758">
        <v>0</v>
      </c>
      <c r="F2758">
        <v>0</v>
      </c>
      <c r="G2758" t="s">
        <v>12</v>
      </c>
      <c r="I2758" t="s">
        <v>230</v>
      </c>
    </row>
    <row r="2759" spans="1:9" hidden="1" x14ac:dyDescent="0.25">
      <c r="A2759" t="s">
        <v>2307</v>
      </c>
      <c r="B2759" t="s">
        <v>90</v>
      </c>
      <c r="C2759" s="2">
        <f>HYPERLINK("https://cao.dolgi.msk.ru/account/1080092818/", 1080092818)</f>
        <v>1080092818</v>
      </c>
      <c r="D2759" t="s">
        <v>2337</v>
      </c>
      <c r="E2759">
        <v>-7709.54</v>
      </c>
      <c r="F2759">
        <v>-1.0900000000000001</v>
      </c>
      <c r="G2759" t="s">
        <v>12</v>
      </c>
      <c r="I2759" t="s">
        <v>230</v>
      </c>
    </row>
    <row r="2760" spans="1:9" hidden="1" x14ac:dyDescent="0.25">
      <c r="A2760" t="s">
        <v>2307</v>
      </c>
      <c r="B2760" t="s">
        <v>92</v>
      </c>
      <c r="C2760" s="2">
        <f>HYPERLINK("https://cao.dolgi.msk.ru/account/1080092826/", 1080092826)</f>
        <v>1080092826</v>
      </c>
      <c r="D2760" t="s">
        <v>2338</v>
      </c>
      <c r="E2760">
        <v>-1939.11</v>
      </c>
      <c r="F2760">
        <v>-1.35</v>
      </c>
      <c r="G2760" t="s">
        <v>12</v>
      </c>
      <c r="H2760" t="s">
        <v>7</v>
      </c>
      <c r="I2760" t="s">
        <v>230</v>
      </c>
    </row>
    <row r="2761" spans="1:9" hidden="1" x14ac:dyDescent="0.25">
      <c r="A2761" t="s">
        <v>2307</v>
      </c>
      <c r="B2761" t="s">
        <v>92</v>
      </c>
      <c r="C2761" s="2">
        <f>HYPERLINK("https://cao.dolgi.msk.ru/account/1080092834/", 1080092834)</f>
        <v>1080092834</v>
      </c>
      <c r="D2761" t="s">
        <v>2338</v>
      </c>
      <c r="E2761">
        <v>-4754.6400000000003</v>
      </c>
      <c r="F2761">
        <v>-1.24</v>
      </c>
      <c r="G2761" t="s">
        <v>12</v>
      </c>
      <c r="H2761" t="s">
        <v>7</v>
      </c>
      <c r="I2761" t="s">
        <v>230</v>
      </c>
    </row>
    <row r="2762" spans="1:9" hidden="1" x14ac:dyDescent="0.25">
      <c r="A2762" t="s">
        <v>2307</v>
      </c>
      <c r="B2762" t="s">
        <v>92</v>
      </c>
      <c r="C2762" s="2">
        <f>HYPERLINK("https://cao.dolgi.msk.ru/account/1080092842/", 1080092842)</f>
        <v>1080092842</v>
      </c>
      <c r="D2762" t="s">
        <v>2338</v>
      </c>
      <c r="E2762">
        <v>-2461.3000000000002</v>
      </c>
      <c r="F2762">
        <v>-1.18</v>
      </c>
      <c r="G2762" t="s">
        <v>12</v>
      </c>
      <c r="H2762" t="s">
        <v>7</v>
      </c>
      <c r="I2762" t="s">
        <v>230</v>
      </c>
    </row>
    <row r="2763" spans="1:9" hidden="1" x14ac:dyDescent="0.25">
      <c r="A2763" t="s">
        <v>2307</v>
      </c>
      <c r="B2763" t="s">
        <v>94</v>
      </c>
      <c r="C2763" s="2">
        <f>HYPERLINK("https://cao.dolgi.msk.ru/account/1080092869/", 1080092869)</f>
        <v>1080092869</v>
      </c>
      <c r="D2763" t="s">
        <v>2339</v>
      </c>
      <c r="E2763">
        <v>-4133.3599999999997</v>
      </c>
      <c r="F2763">
        <v>-1.1000000000000001</v>
      </c>
      <c r="G2763" t="s">
        <v>12</v>
      </c>
      <c r="I2763" t="s">
        <v>230</v>
      </c>
    </row>
    <row r="2764" spans="1:9" hidden="1" x14ac:dyDescent="0.25">
      <c r="A2764" t="s">
        <v>2307</v>
      </c>
      <c r="B2764" t="s">
        <v>96</v>
      </c>
      <c r="C2764" s="2">
        <f>HYPERLINK("https://cao.dolgi.msk.ru/account/1080092877/", 1080092877)</f>
        <v>1080092877</v>
      </c>
      <c r="D2764" t="s">
        <v>2340</v>
      </c>
      <c r="E2764">
        <v>-5540.53</v>
      </c>
      <c r="F2764">
        <v>-1.42</v>
      </c>
      <c r="G2764" t="s">
        <v>12</v>
      </c>
      <c r="I2764" t="s">
        <v>230</v>
      </c>
    </row>
    <row r="2765" spans="1:9" hidden="1" x14ac:dyDescent="0.25">
      <c r="A2765" t="s">
        <v>2307</v>
      </c>
      <c r="B2765" t="s">
        <v>98</v>
      </c>
      <c r="C2765" s="2">
        <f>HYPERLINK("https://cao.dolgi.msk.ru/account/1080092885/", 1080092885)</f>
        <v>1080092885</v>
      </c>
      <c r="D2765" t="s">
        <v>2341</v>
      </c>
      <c r="E2765">
        <v>-9611.5499999999993</v>
      </c>
      <c r="F2765">
        <v>-1.08</v>
      </c>
      <c r="G2765" t="s">
        <v>12</v>
      </c>
      <c r="I2765" t="s">
        <v>230</v>
      </c>
    </row>
    <row r="2766" spans="1:9" hidden="1" x14ac:dyDescent="0.25">
      <c r="A2766" t="s">
        <v>2307</v>
      </c>
      <c r="B2766" t="s">
        <v>100</v>
      </c>
      <c r="C2766" s="2">
        <f>HYPERLINK("https://cao.dolgi.msk.ru/account/1080092893/", 1080092893)</f>
        <v>1080092893</v>
      </c>
      <c r="D2766" t="s">
        <v>2342</v>
      </c>
      <c r="E2766">
        <v>-7051.92</v>
      </c>
      <c r="F2766">
        <v>-1.1299999999999999</v>
      </c>
      <c r="G2766" t="s">
        <v>12</v>
      </c>
      <c r="I2766" t="s">
        <v>230</v>
      </c>
    </row>
    <row r="2767" spans="1:9" hidden="1" x14ac:dyDescent="0.25">
      <c r="A2767" t="s">
        <v>2307</v>
      </c>
      <c r="B2767" t="s">
        <v>102</v>
      </c>
      <c r="C2767" s="2">
        <f>HYPERLINK("https://cao.dolgi.msk.ru/account/1080092906/", 1080092906)</f>
        <v>1080092906</v>
      </c>
      <c r="D2767" t="s">
        <v>2343</v>
      </c>
      <c r="E2767">
        <v>-6622.25</v>
      </c>
      <c r="F2767">
        <v>-1.06</v>
      </c>
      <c r="G2767" t="s">
        <v>12</v>
      </c>
      <c r="I2767" t="s">
        <v>230</v>
      </c>
    </row>
    <row r="2768" spans="1:9" hidden="1" x14ac:dyDescent="0.25">
      <c r="A2768" t="s">
        <v>2307</v>
      </c>
      <c r="B2768" t="s">
        <v>104</v>
      </c>
      <c r="C2768" s="2">
        <f>HYPERLINK("https://cao.dolgi.msk.ru/account/1080092922/", 1080092922)</f>
        <v>1080092922</v>
      </c>
      <c r="D2768" t="s">
        <v>2344</v>
      </c>
      <c r="E2768">
        <v>-8755.16</v>
      </c>
      <c r="F2768">
        <v>-1.18</v>
      </c>
      <c r="G2768" t="s">
        <v>12</v>
      </c>
      <c r="I2768" t="s">
        <v>230</v>
      </c>
    </row>
    <row r="2769" spans="1:9" hidden="1" x14ac:dyDescent="0.25">
      <c r="A2769" t="s">
        <v>2345</v>
      </c>
      <c r="B2769" t="s">
        <v>18</v>
      </c>
      <c r="C2769" s="2">
        <f>HYPERLINK("https://cao.dolgi.msk.ru/account/1080065692/", 1080065692)</f>
        <v>1080065692</v>
      </c>
      <c r="D2769" t="s">
        <v>2346</v>
      </c>
      <c r="E2769">
        <v>9394.19</v>
      </c>
      <c r="F2769">
        <v>0.98</v>
      </c>
      <c r="G2769" t="s">
        <v>12</v>
      </c>
      <c r="I2769" t="s">
        <v>230</v>
      </c>
    </row>
    <row r="2770" spans="1:9" hidden="1" x14ac:dyDescent="0.25">
      <c r="A2770" t="s">
        <v>2345</v>
      </c>
      <c r="B2770" t="s">
        <v>20</v>
      </c>
      <c r="C2770" s="2">
        <f>HYPERLINK("https://cao.dolgi.msk.ru/account/1080065713/", 1080065713)</f>
        <v>1080065713</v>
      </c>
      <c r="D2770" t="s">
        <v>15</v>
      </c>
      <c r="G2770" t="s">
        <v>14</v>
      </c>
      <c r="I2770" t="s">
        <v>230</v>
      </c>
    </row>
    <row r="2771" spans="1:9" hidden="1" x14ac:dyDescent="0.25">
      <c r="A2771" t="s">
        <v>2345</v>
      </c>
      <c r="B2771" t="s">
        <v>20</v>
      </c>
      <c r="C2771" s="2">
        <f>HYPERLINK("https://cao.dolgi.msk.ru/account/1080065721/", 1080065721)</f>
        <v>1080065721</v>
      </c>
      <c r="D2771" t="s">
        <v>2347</v>
      </c>
      <c r="G2771" t="s">
        <v>14</v>
      </c>
      <c r="I2771" t="s">
        <v>230</v>
      </c>
    </row>
    <row r="2772" spans="1:9" hidden="1" x14ac:dyDescent="0.25">
      <c r="A2772" t="s">
        <v>2345</v>
      </c>
      <c r="B2772" t="s">
        <v>21</v>
      </c>
      <c r="C2772" s="2">
        <f>HYPERLINK("https://cao.dolgi.msk.ru/account/1080065748/", 1080065748)</f>
        <v>1080065748</v>
      </c>
      <c r="D2772" t="s">
        <v>2348</v>
      </c>
      <c r="E2772">
        <v>-9374.24</v>
      </c>
      <c r="F2772">
        <v>-1.0900000000000001</v>
      </c>
      <c r="G2772" t="s">
        <v>12</v>
      </c>
      <c r="I2772" t="s">
        <v>230</v>
      </c>
    </row>
    <row r="2773" spans="1:9" hidden="1" x14ac:dyDescent="0.25">
      <c r="A2773" t="s">
        <v>2345</v>
      </c>
      <c r="B2773" t="s">
        <v>22</v>
      </c>
      <c r="C2773" s="2">
        <f>HYPERLINK("https://cao.dolgi.msk.ru/account/1080065756/", 1080065756)</f>
        <v>1080065756</v>
      </c>
      <c r="D2773" t="s">
        <v>2349</v>
      </c>
      <c r="E2773">
        <v>-8479.66</v>
      </c>
      <c r="F2773">
        <v>-1.1299999999999999</v>
      </c>
      <c r="G2773" t="s">
        <v>12</v>
      </c>
      <c r="I2773" t="s">
        <v>230</v>
      </c>
    </row>
    <row r="2774" spans="1:9" hidden="1" x14ac:dyDescent="0.25">
      <c r="A2774" t="s">
        <v>2345</v>
      </c>
      <c r="B2774" t="s">
        <v>22</v>
      </c>
      <c r="C2774" s="2">
        <f>HYPERLINK("https://cao.dolgi.msk.ru/account/1080065764/", 1080065764)</f>
        <v>1080065764</v>
      </c>
      <c r="D2774" t="s">
        <v>15</v>
      </c>
      <c r="G2774" t="s">
        <v>14</v>
      </c>
      <c r="I2774" t="s">
        <v>230</v>
      </c>
    </row>
    <row r="2775" spans="1:9" hidden="1" x14ac:dyDescent="0.25">
      <c r="A2775" t="s">
        <v>2345</v>
      </c>
      <c r="B2775" t="s">
        <v>23</v>
      </c>
      <c r="C2775" s="2">
        <f>HYPERLINK("https://cao.dolgi.msk.ru/account/1080065772/", 1080065772)</f>
        <v>1080065772</v>
      </c>
      <c r="D2775" t="s">
        <v>2350</v>
      </c>
      <c r="E2775">
        <v>-10193.120000000001</v>
      </c>
      <c r="F2775">
        <v>-1.22</v>
      </c>
      <c r="G2775" t="s">
        <v>12</v>
      </c>
      <c r="I2775" t="s">
        <v>230</v>
      </c>
    </row>
    <row r="2776" spans="1:9" hidden="1" x14ac:dyDescent="0.25">
      <c r="A2776" t="s">
        <v>2345</v>
      </c>
      <c r="B2776" t="s">
        <v>24</v>
      </c>
      <c r="C2776" s="2">
        <f>HYPERLINK("https://cao.dolgi.msk.ru/account/1080065799/", 1080065799)</f>
        <v>1080065799</v>
      </c>
      <c r="D2776" t="s">
        <v>2351</v>
      </c>
      <c r="E2776">
        <v>-12391.54</v>
      </c>
      <c r="F2776">
        <v>-1.1100000000000001</v>
      </c>
      <c r="G2776" t="s">
        <v>12</v>
      </c>
      <c r="I2776" t="s">
        <v>230</v>
      </c>
    </row>
    <row r="2777" spans="1:9" hidden="1" x14ac:dyDescent="0.25">
      <c r="A2777" t="s">
        <v>2345</v>
      </c>
      <c r="B2777" t="s">
        <v>27</v>
      </c>
      <c r="C2777" s="2">
        <f>HYPERLINK("https://cao.dolgi.msk.ru/account/1080065801/", 1080065801)</f>
        <v>1080065801</v>
      </c>
      <c r="D2777" t="s">
        <v>2352</v>
      </c>
      <c r="E2777">
        <v>-9470.82</v>
      </c>
      <c r="F2777">
        <v>-1.98</v>
      </c>
      <c r="G2777" t="s">
        <v>12</v>
      </c>
      <c r="I2777" t="s">
        <v>230</v>
      </c>
    </row>
    <row r="2778" spans="1:9" hidden="1" x14ac:dyDescent="0.25">
      <c r="A2778" t="s">
        <v>2345</v>
      </c>
      <c r="B2778" t="s">
        <v>27</v>
      </c>
      <c r="C2778" s="2">
        <f>HYPERLINK("https://cao.dolgi.msk.ru/account/1080065852/", 1080065852)</f>
        <v>1080065852</v>
      </c>
      <c r="D2778" t="s">
        <v>2353</v>
      </c>
      <c r="E2778">
        <v>1561.44</v>
      </c>
      <c r="F2778">
        <v>0.54</v>
      </c>
      <c r="G2778" t="s">
        <v>14</v>
      </c>
      <c r="I2778" t="s">
        <v>230</v>
      </c>
    </row>
    <row r="2779" spans="1:9" hidden="1" x14ac:dyDescent="0.25">
      <c r="A2779" t="s">
        <v>2345</v>
      </c>
      <c r="B2779" t="s">
        <v>29</v>
      </c>
      <c r="C2779" s="2">
        <f>HYPERLINK("https://cao.dolgi.msk.ru/account/1080065828/", 1080065828)</f>
        <v>1080065828</v>
      </c>
      <c r="D2779" t="s">
        <v>2354</v>
      </c>
      <c r="E2779">
        <v>-8597.52</v>
      </c>
      <c r="F2779">
        <v>-1.23</v>
      </c>
      <c r="G2779" t="s">
        <v>12</v>
      </c>
      <c r="I2779" t="s">
        <v>230</v>
      </c>
    </row>
    <row r="2780" spans="1:9" hidden="1" x14ac:dyDescent="0.25">
      <c r="A2780" t="s">
        <v>2345</v>
      </c>
      <c r="B2780" t="s">
        <v>31</v>
      </c>
      <c r="C2780" s="2">
        <f>HYPERLINK("https://cao.dolgi.msk.ru/account/1080065844/", 1080065844)</f>
        <v>1080065844</v>
      </c>
      <c r="D2780" t="s">
        <v>2355</v>
      </c>
      <c r="E2780">
        <v>-20423.849999999999</v>
      </c>
      <c r="F2780">
        <v>-1.06</v>
      </c>
      <c r="G2780" t="s">
        <v>12</v>
      </c>
      <c r="I2780" t="s">
        <v>230</v>
      </c>
    </row>
    <row r="2781" spans="1:9" hidden="1" x14ac:dyDescent="0.25">
      <c r="A2781" t="s">
        <v>2345</v>
      </c>
      <c r="B2781" t="s">
        <v>33</v>
      </c>
      <c r="C2781" s="2">
        <f>HYPERLINK("https://cao.dolgi.msk.ru/account/1080065879/", 1080065879)</f>
        <v>1080065879</v>
      </c>
      <c r="D2781" t="s">
        <v>2356</v>
      </c>
      <c r="E2781">
        <v>-9114.15</v>
      </c>
      <c r="F2781">
        <v>-0.88</v>
      </c>
      <c r="G2781" t="s">
        <v>12</v>
      </c>
      <c r="I2781" t="s">
        <v>230</v>
      </c>
    </row>
    <row r="2782" spans="1:9" hidden="1" x14ac:dyDescent="0.25">
      <c r="A2782" t="s">
        <v>2345</v>
      </c>
      <c r="B2782" t="s">
        <v>34</v>
      </c>
      <c r="C2782" s="2">
        <f>HYPERLINK("https://cao.dolgi.msk.ru/account/1080065887/", 1080065887)</f>
        <v>1080065887</v>
      </c>
      <c r="D2782" t="s">
        <v>2357</v>
      </c>
      <c r="E2782">
        <v>48.6</v>
      </c>
      <c r="F2782">
        <v>0</v>
      </c>
      <c r="G2782" t="s">
        <v>12</v>
      </c>
      <c r="I2782" t="s">
        <v>230</v>
      </c>
    </row>
    <row r="2783" spans="1:9" hidden="1" x14ac:dyDescent="0.25">
      <c r="A2783" t="s">
        <v>2345</v>
      </c>
      <c r="B2783" t="s">
        <v>36</v>
      </c>
      <c r="C2783" s="2">
        <f>HYPERLINK("https://cao.dolgi.msk.ru/account/1080065895/", 1080065895)</f>
        <v>1080065895</v>
      </c>
      <c r="D2783" t="s">
        <v>2358</v>
      </c>
      <c r="E2783">
        <v>-9789.6299999999992</v>
      </c>
      <c r="F2783">
        <v>-1.07</v>
      </c>
      <c r="G2783" t="s">
        <v>12</v>
      </c>
      <c r="I2783" t="s">
        <v>230</v>
      </c>
    </row>
    <row r="2784" spans="1:9" hidden="1" x14ac:dyDescent="0.25">
      <c r="A2784" t="s">
        <v>2345</v>
      </c>
      <c r="B2784" t="s">
        <v>38</v>
      </c>
      <c r="C2784" s="2">
        <f>HYPERLINK("https://cao.dolgi.msk.ru/account/1080065908/", 1080065908)</f>
        <v>1080065908</v>
      </c>
      <c r="D2784" t="s">
        <v>2359</v>
      </c>
      <c r="E2784">
        <v>-15225.72</v>
      </c>
      <c r="F2784">
        <v>-0.95</v>
      </c>
      <c r="G2784" t="s">
        <v>12</v>
      </c>
      <c r="H2784" t="s">
        <v>7</v>
      </c>
      <c r="I2784" t="s">
        <v>230</v>
      </c>
    </row>
    <row r="2785" spans="1:9" hidden="1" x14ac:dyDescent="0.25">
      <c r="A2785" t="s">
        <v>2345</v>
      </c>
      <c r="B2785" t="s">
        <v>38</v>
      </c>
      <c r="C2785" s="2">
        <f>HYPERLINK("https://cao.dolgi.msk.ru/account/1089129664/", 1089129664)</f>
        <v>1089129664</v>
      </c>
      <c r="D2785" t="s">
        <v>15</v>
      </c>
      <c r="E2785">
        <v>-2116.77</v>
      </c>
      <c r="G2785" t="s">
        <v>12</v>
      </c>
      <c r="H2785" t="s">
        <v>7</v>
      </c>
      <c r="I2785" t="s">
        <v>230</v>
      </c>
    </row>
    <row r="2786" spans="1:9" hidden="1" x14ac:dyDescent="0.25">
      <c r="A2786" t="s">
        <v>2345</v>
      </c>
      <c r="B2786" t="s">
        <v>39</v>
      </c>
      <c r="C2786" s="2">
        <f>HYPERLINK("https://cao.dolgi.msk.ru/account/1080065916/", 1080065916)</f>
        <v>1080065916</v>
      </c>
      <c r="D2786" t="s">
        <v>15</v>
      </c>
      <c r="E2786">
        <v>-13784.97</v>
      </c>
      <c r="F2786">
        <v>-1.0900000000000001</v>
      </c>
      <c r="G2786" t="s">
        <v>12</v>
      </c>
      <c r="I2786" t="s">
        <v>230</v>
      </c>
    </row>
    <row r="2787" spans="1:9" hidden="1" x14ac:dyDescent="0.25">
      <c r="A2787" t="s">
        <v>2345</v>
      </c>
      <c r="B2787" t="s">
        <v>40</v>
      </c>
      <c r="C2787" s="2">
        <f>HYPERLINK("https://cao.dolgi.msk.ru/account/1080065924/", 1080065924)</f>
        <v>1080065924</v>
      </c>
      <c r="D2787" t="s">
        <v>2360</v>
      </c>
      <c r="E2787">
        <v>-9479.0499999999993</v>
      </c>
      <c r="F2787">
        <v>-1.1599999999999999</v>
      </c>
      <c r="G2787" t="s">
        <v>12</v>
      </c>
      <c r="I2787" t="s">
        <v>230</v>
      </c>
    </row>
    <row r="2788" spans="1:9" hidden="1" x14ac:dyDescent="0.25">
      <c r="A2788" t="s">
        <v>2345</v>
      </c>
      <c r="B2788" t="s">
        <v>41</v>
      </c>
      <c r="C2788" s="2">
        <f>HYPERLINK("https://cao.dolgi.msk.ru/account/1080065932/", 1080065932)</f>
        <v>1080065932</v>
      </c>
      <c r="D2788" t="s">
        <v>2361</v>
      </c>
      <c r="E2788">
        <v>-13040.43</v>
      </c>
      <c r="F2788">
        <v>-1.06</v>
      </c>
      <c r="G2788" t="s">
        <v>12</v>
      </c>
      <c r="I2788" t="s">
        <v>230</v>
      </c>
    </row>
    <row r="2789" spans="1:9" hidden="1" x14ac:dyDescent="0.25">
      <c r="A2789" t="s">
        <v>2345</v>
      </c>
      <c r="B2789" t="s">
        <v>42</v>
      </c>
      <c r="C2789" s="2">
        <f>HYPERLINK("https://cao.dolgi.msk.ru/account/1080065967/", 1080065967)</f>
        <v>1080065967</v>
      </c>
      <c r="D2789" t="s">
        <v>2362</v>
      </c>
      <c r="E2789">
        <v>-15891.98</v>
      </c>
      <c r="F2789">
        <v>-1.04</v>
      </c>
      <c r="G2789" t="s">
        <v>12</v>
      </c>
      <c r="I2789" t="s">
        <v>230</v>
      </c>
    </row>
    <row r="2790" spans="1:9" hidden="1" x14ac:dyDescent="0.25">
      <c r="A2790" t="s">
        <v>2345</v>
      </c>
      <c r="B2790" t="s">
        <v>44</v>
      </c>
      <c r="C2790" s="2">
        <f>HYPERLINK("https://cao.dolgi.msk.ru/account/1080065975/", 1080065975)</f>
        <v>1080065975</v>
      </c>
      <c r="D2790" t="s">
        <v>2363</v>
      </c>
      <c r="E2790">
        <v>-14683.86</v>
      </c>
      <c r="F2790">
        <v>-1.02</v>
      </c>
      <c r="G2790" t="s">
        <v>12</v>
      </c>
      <c r="I2790" t="s">
        <v>230</v>
      </c>
    </row>
    <row r="2791" spans="1:9" hidden="1" x14ac:dyDescent="0.25">
      <c r="A2791" t="s">
        <v>2345</v>
      </c>
      <c r="B2791" t="s">
        <v>66</v>
      </c>
      <c r="C2791" s="2">
        <f>HYPERLINK("https://cao.dolgi.msk.ru/account/1080065983/", 1080065983)</f>
        <v>1080065983</v>
      </c>
      <c r="D2791" t="s">
        <v>2364</v>
      </c>
      <c r="E2791">
        <v>-13758.14</v>
      </c>
      <c r="F2791">
        <v>-1.0900000000000001</v>
      </c>
      <c r="G2791" t="s">
        <v>12</v>
      </c>
      <c r="I2791" t="s">
        <v>230</v>
      </c>
    </row>
    <row r="2792" spans="1:9" hidden="1" x14ac:dyDescent="0.25">
      <c r="A2792" t="s">
        <v>2345</v>
      </c>
      <c r="B2792" t="s">
        <v>68</v>
      </c>
      <c r="C2792" s="2">
        <f>HYPERLINK("https://cao.dolgi.msk.ru/account/1080066003/", 1080066003)</f>
        <v>1080066003</v>
      </c>
      <c r="D2792" t="s">
        <v>15</v>
      </c>
      <c r="E2792">
        <v>-9512.75</v>
      </c>
      <c r="F2792">
        <v>-0.95</v>
      </c>
      <c r="G2792" t="s">
        <v>12</v>
      </c>
      <c r="I2792" t="s">
        <v>230</v>
      </c>
    </row>
    <row r="2793" spans="1:9" hidden="1" x14ac:dyDescent="0.25">
      <c r="A2793" t="s">
        <v>2345</v>
      </c>
      <c r="B2793" t="s">
        <v>70</v>
      </c>
      <c r="C2793" s="2">
        <f>HYPERLINK("https://cao.dolgi.msk.ru/account/1080066011/", 1080066011)</f>
        <v>1080066011</v>
      </c>
      <c r="D2793" t="s">
        <v>2365</v>
      </c>
      <c r="E2793">
        <v>-16407.810000000001</v>
      </c>
      <c r="F2793">
        <v>-1.1599999999999999</v>
      </c>
      <c r="G2793" t="s">
        <v>12</v>
      </c>
      <c r="I2793" t="s">
        <v>230</v>
      </c>
    </row>
    <row r="2794" spans="1:9" hidden="1" x14ac:dyDescent="0.25">
      <c r="A2794" t="s">
        <v>2345</v>
      </c>
      <c r="B2794" t="s">
        <v>72</v>
      </c>
      <c r="C2794" s="2">
        <f>HYPERLINK("https://cao.dolgi.msk.ru/account/1080066046/", 1080066046)</f>
        <v>1080066046</v>
      </c>
      <c r="D2794" t="s">
        <v>1151</v>
      </c>
      <c r="E2794">
        <v>-24025.4</v>
      </c>
      <c r="F2794">
        <v>-1.24</v>
      </c>
      <c r="G2794" t="s">
        <v>12</v>
      </c>
      <c r="I2794" t="s">
        <v>230</v>
      </c>
    </row>
    <row r="2795" spans="1:9" hidden="1" x14ac:dyDescent="0.25">
      <c r="A2795" t="s">
        <v>2366</v>
      </c>
      <c r="B2795" t="s">
        <v>10</v>
      </c>
      <c r="C2795" s="2">
        <f>HYPERLINK("https://cao.dolgi.msk.ru/account/1080066062/", 1080066062)</f>
        <v>1080066062</v>
      </c>
      <c r="D2795" t="s">
        <v>2367</v>
      </c>
      <c r="E2795">
        <v>-17.55</v>
      </c>
      <c r="F2795">
        <v>0</v>
      </c>
      <c r="G2795" t="s">
        <v>12</v>
      </c>
      <c r="I2795" t="s">
        <v>230</v>
      </c>
    </row>
    <row r="2796" spans="1:9" hidden="1" x14ac:dyDescent="0.25">
      <c r="A2796" t="s">
        <v>2366</v>
      </c>
      <c r="B2796" t="s">
        <v>16</v>
      </c>
      <c r="C2796" s="2">
        <f>HYPERLINK("https://cao.dolgi.msk.ru/account/1080066054/", 1080066054)</f>
        <v>1080066054</v>
      </c>
      <c r="D2796" t="s">
        <v>2368</v>
      </c>
      <c r="E2796">
        <v>-9780.0300000000007</v>
      </c>
      <c r="F2796">
        <v>-1.01</v>
      </c>
      <c r="G2796" t="s">
        <v>12</v>
      </c>
      <c r="I2796" t="s">
        <v>230</v>
      </c>
    </row>
    <row r="2797" spans="1:9" hidden="1" x14ac:dyDescent="0.25">
      <c r="A2797" t="s">
        <v>2366</v>
      </c>
      <c r="B2797" t="s">
        <v>18</v>
      </c>
      <c r="C2797" s="2">
        <f>HYPERLINK("https://cao.dolgi.msk.ru/account/1080066089/", 1080066089)</f>
        <v>1080066089</v>
      </c>
      <c r="D2797" t="s">
        <v>2369</v>
      </c>
      <c r="E2797">
        <v>-4677.3</v>
      </c>
      <c r="F2797">
        <v>-0.31</v>
      </c>
      <c r="G2797" t="s">
        <v>12</v>
      </c>
      <c r="I2797" t="s">
        <v>230</v>
      </c>
    </row>
    <row r="2798" spans="1:9" hidden="1" x14ac:dyDescent="0.25">
      <c r="A2798" t="s">
        <v>2366</v>
      </c>
      <c r="B2798" t="s">
        <v>20</v>
      </c>
      <c r="C2798" s="2">
        <f>HYPERLINK("https://cao.dolgi.msk.ru/account/1080066097/", 1080066097)</f>
        <v>1080066097</v>
      </c>
      <c r="D2798" t="s">
        <v>2370</v>
      </c>
      <c r="E2798">
        <v>-12985.78</v>
      </c>
      <c r="F2798">
        <v>-1.01</v>
      </c>
      <c r="G2798" t="s">
        <v>12</v>
      </c>
      <c r="I2798" t="s">
        <v>230</v>
      </c>
    </row>
    <row r="2799" spans="1:9" hidden="1" x14ac:dyDescent="0.25">
      <c r="A2799" t="s">
        <v>2371</v>
      </c>
      <c r="B2799" t="s">
        <v>10</v>
      </c>
      <c r="C2799" s="2">
        <f>HYPERLINK("https://cao.dolgi.msk.ru/account/1080077458/", 1080077458)</f>
        <v>1080077458</v>
      </c>
      <c r="D2799" t="s">
        <v>2372</v>
      </c>
      <c r="E2799">
        <v>-3070.6</v>
      </c>
      <c r="F2799">
        <v>-1.08</v>
      </c>
      <c r="G2799" t="s">
        <v>12</v>
      </c>
      <c r="I2799" t="s">
        <v>230</v>
      </c>
    </row>
    <row r="2800" spans="1:9" hidden="1" x14ac:dyDescent="0.25">
      <c r="A2800" t="s">
        <v>2371</v>
      </c>
      <c r="B2800" t="s">
        <v>16</v>
      </c>
      <c r="C2800" s="2">
        <f>HYPERLINK("https://cao.dolgi.msk.ru/account/1080077466/", 1080077466)</f>
        <v>1080077466</v>
      </c>
      <c r="D2800" t="s">
        <v>2373</v>
      </c>
      <c r="E2800">
        <v>-24.3</v>
      </c>
      <c r="F2800">
        <v>-0.01</v>
      </c>
      <c r="G2800" t="s">
        <v>12</v>
      </c>
      <c r="I2800" t="s">
        <v>230</v>
      </c>
    </row>
    <row r="2801" spans="1:9" hidden="1" x14ac:dyDescent="0.25">
      <c r="A2801" t="s">
        <v>2371</v>
      </c>
      <c r="B2801" t="s">
        <v>18</v>
      </c>
      <c r="C2801" s="2">
        <f>HYPERLINK("https://cao.dolgi.msk.ru/account/1080077933/", 1080077933)</f>
        <v>1080077933</v>
      </c>
      <c r="D2801" t="s">
        <v>2374</v>
      </c>
      <c r="E2801">
        <v>-7403.98</v>
      </c>
      <c r="F2801">
        <v>-2.0499999999999998</v>
      </c>
      <c r="G2801" t="s">
        <v>12</v>
      </c>
      <c r="I2801" t="s">
        <v>230</v>
      </c>
    </row>
    <row r="2802" spans="1:9" hidden="1" x14ac:dyDescent="0.25">
      <c r="A2802" t="s">
        <v>2371</v>
      </c>
      <c r="B2802" t="s">
        <v>20</v>
      </c>
      <c r="C2802" s="2">
        <f>HYPERLINK("https://cao.dolgi.msk.ru/account/1080077482/", 1080077482)</f>
        <v>1080077482</v>
      </c>
      <c r="D2802" t="s">
        <v>2375</v>
      </c>
      <c r="E2802">
        <v>64.319999999999993</v>
      </c>
      <c r="F2802">
        <v>0.01</v>
      </c>
      <c r="G2802" t="s">
        <v>12</v>
      </c>
      <c r="I2802" t="s">
        <v>230</v>
      </c>
    </row>
    <row r="2803" spans="1:9" hidden="1" x14ac:dyDescent="0.25">
      <c r="A2803" t="s">
        <v>2371</v>
      </c>
      <c r="B2803" t="s">
        <v>21</v>
      </c>
      <c r="C2803" s="2">
        <f>HYPERLINK("https://cao.dolgi.msk.ru/account/1080077503/", 1080077503)</f>
        <v>1080077503</v>
      </c>
      <c r="D2803" t="s">
        <v>62</v>
      </c>
      <c r="E2803">
        <v>-8775.92</v>
      </c>
      <c r="F2803">
        <v>-0.96</v>
      </c>
      <c r="G2803" t="s">
        <v>12</v>
      </c>
      <c r="I2803" t="s">
        <v>230</v>
      </c>
    </row>
    <row r="2804" spans="1:9" hidden="1" x14ac:dyDescent="0.25">
      <c r="A2804" t="s">
        <v>2371</v>
      </c>
      <c r="B2804" t="s">
        <v>22</v>
      </c>
      <c r="C2804" s="2">
        <f>HYPERLINK("https://cao.dolgi.msk.ru/account/1080077511/", 1080077511)</f>
        <v>1080077511</v>
      </c>
      <c r="D2804" t="s">
        <v>2376</v>
      </c>
      <c r="E2804">
        <v>-230</v>
      </c>
      <c r="F2804">
        <v>-0.04</v>
      </c>
      <c r="G2804" t="s">
        <v>12</v>
      </c>
      <c r="I2804" t="s">
        <v>230</v>
      </c>
    </row>
    <row r="2805" spans="1:9" hidden="1" x14ac:dyDescent="0.25">
      <c r="A2805" t="s">
        <v>2371</v>
      </c>
      <c r="B2805" t="s">
        <v>23</v>
      </c>
      <c r="C2805" s="2">
        <f>HYPERLINK("https://cao.dolgi.msk.ru/account/1080077538/", 1080077538)</f>
        <v>1080077538</v>
      </c>
      <c r="D2805" t="s">
        <v>2377</v>
      </c>
      <c r="E2805">
        <v>3030.3</v>
      </c>
      <c r="F2805">
        <v>0.95</v>
      </c>
      <c r="G2805" t="s">
        <v>12</v>
      </c>
      <c r="I2805" t="s">
        <v>230</v>
      </c>
    </row>
    <row r="2806" spans="1:9" hidden="1" x14ac:dyDescent="0.25">
      <c r="A2806" t="s">
        <v>2371</v>
      </c>
      <c r="B2806" t="s">
        <v>24</v>
      </c>
      <c r="C2806" s="2">
        <f>HYPERLINK("https://cao.dolgi.msk.ru/account/1080077546/", 1080077546)</f>
        <v>1080077546</v>
      </c>
      <c r="D2806" t="s">
        <v>2378</v>
      </c>
      <c r="E2806">
        <v>-6394.59</v>
      </c>
      <c r="F2806">
        <v>-1.1399999999999999</v>
      </c>
      <c r="G2806" t="s">
        <v>12</v>
      </c>
      <c r="I2806" t="s">
        <v>230</v>
      </c>
    </row>
    <row r="2807" spans="1:9" hidden="1" x14ac:dyDescent="0.25">
      <c r="A2807" t="s">
        <v>2371</v>
      </c>
      <c r="B2807" t="s">
        <v>27</v>
      </c>
      <c r="C2807" s="2">
        <f>HYPERLINK("https://cao.dolgi.msk.ru/account/1080077554/", 1080077554)</f>
        <v>1080077554</v>
      </c>
      <c r="D2807" t="s">
        <v>2379</v>
      </c>
      <c r="E2807">
        <v>-4645.34</v>
      </c>
      <c r="F2807">
        <v>-2.71</v>
      </c>
      <c r="G2807" t="s">
        <v>12</v>
      </c>
      <c r="I2807" t="s">
        <v>230</v>
      </c>
    </row>
    <row r="2808" spans="1:9" hidden="1" x14ac:dyDescent="0.25">
      <c r="A2808" t="s">
        <v>2371</v>
      </c>
      <c r="B2808" t="s">
        <v>29</v>
      </c>
      <c r="C2808" s="2">
        <f>HYPERLINK("https://cao.dolgi.msk.ru/account/1080077562/", 1080077562)</f>
        <v>1080077562</v>
      </c>
      <c r="D2808" t="s">
        <v>2380</v>
      </c>
      <c r="E2808">
        <v>-8217.2999999999993</v>
      </c>
      <c r="F2808">
        <v>-0.94</v>
      </c>
      <c r="G2808" t="s">
        <v>12</v>
      </c>
      <c r="I2808" t="s">
        <v>230</v>
      </c>
    </row>
    <row r="2809" spans="1:9" hidden="1" x14ac:dyDescent="0.25">
      <c r="A2809" t="s">
        <v>2371</v>
      </c>
      <c r="B2809" t="s">
        <v>31</v>
      </c>
      <c r="C2809" s="2">
        <f>HYPERLINK("https://cao.dolgi.msk.ru/account/1080077589/", 1080077589)</f>
        <v>1080077589</v>
      </c>
      <c r="D2809" t="s">
        <v>2381</v>
      </c>
      <c r="E2809">
        <v>-6530.2</v>
      </c>
      <c r="F2809">
        <v>-1.3</v>
      </c>
      <c r="G2809" t="s">
        <v>12</v>
      </c>
      <c r="I2809" t="s">
        <v>230</v>
      </c>
    </row>
    <row r="2810" spans="1:9" hidden="1" x14ac:dyDescent="0.25">
      <c r="A2810" t="s">
        <v>2371</v>
      </c>
      <c r="B2810" t="s">
        <v>33</v>
      </c>
      <c r="C2810" s="2">
        <f>HYPERLINK("https://cao.dolgi.msk.ru/account/1080077597/", 1080077597)</f>
        <v>1080077597</v>
      </c>
      <c r="D2810" t="s">
        <v>2382</v>
      </c>
      <c r="E2810">
        <v>-5727.54</v>
      </c>
      <c r="F2810">
        <v>-1.06</v>
      </c>
      <c r="G2810" t="s">
        <v>12</v>
      </c>
      <c r="I2810" t="s">
        <v>230</v>
      </c>
    </row>
    <row r="2811" spans="1:9" hidden="1" x14ac:dyDescent="0.25">
      <c r="A2811" t="s">
        <v>2371</v>
      </c>
      <c r="B2811" t="s">
        <v>34</v>
      </c>
      <c r="C2811" s="2">
        <f>HYPERLINK("https://cao.dolgi.msk.ru/account/1080077618/", 1080077618)</f>
        <v>1080077618</v>
      </c>
      <c r="D2811" t="s">
        <v>2383</v>
      </c>
      <c r="E2811">
        <v>-3211.84</v>
      </c>
      <c r="F2811">
        <v>-1.08</v>
      </c>
      <c r="G2811" t="s">
        <v>12</v>
      </c>
      <c r="I2811" t="s">
        <v>230</v>
      </c>
    </row>
    <row r="2812" spans="1:9" hidden="1" x14ac:dyDescent="0.25">
      <c r="A2812" t="s">
        <v>2371</v>
      </c>
      <c r="B2812" t="s">
        <v>36</v>
      </c>
      <c r="C2812" s="2">
        <f>HYPERLINK("https://cao.dolgi.msk.ru/account/1080077626/", 1080077626)</f>
        <v>1080077626</v>
      </c>
      <c r="D2812" t="s">
        <v>2384</v>
      </c>
      <c r="E2812">
        <v>-4322.68</v>
      </c>
      <c r="F2812">
        <v>-1.0900000000000001</v>
      </c>
      <c r="G2812" t="s">
        <v>12</v>
      </c>
      <c r="I2812" t="s">
        <v>230</v>
      </c>
    </row>
    <row r="2813" spans="1:9" hidden="1" x14ac:dyDescent="0.25">
      <c r="A2813" t="s">
        <v>2371</v>
      </c>
      <c r="B2813" t="s">
        <v>38</v>
      </c>
      <c r="C2813" s="2">
        <f>HYPERLINK("https://cao.dolgi.msk.ru/account/1080077634/", 1080077634)</f>
        <v>1080077634</v>
      </c>
      <c r="D2813" t="s">
        <v>2385</v>
      </c>
      <c r="E2813">
        <v>-226.55</v>
      </c>
      <c r="F2813">
        <v>-0.05</v>
      </c>
      <c r="G2813" t="s">
        <v>12</v>
      </c>
      <c r="I2813" t="s">
        <v>230</v>
      </c>
    </row>
    <row r="2814" spans="1:9" hidden="1" x14ac:dyDescent="0.25">
      <c r="A2814" t="s">
        <v>2371</v>
      </c>
      <c r="B2814" t="s">
        <v>39</v>
      </c>
      <c r="C2814" s="2">
        <f>HYPERLINK("https://cao.dolgi.msk.ru/account/1080077642/", 1080077642)</f>
        <v>1080077642</v>
      </c>
      <c r="D2814" t="s">
        <v>2386</v>
      </c>
      <c r="E2814">
        <v>-5333.51</v>
      </c>
      <c r="F2814">
        <v>-1.05</v>
      </c>
      <c r="G2814" t="s">
        <v>12</v>
      </c>
      <c r="I2814" t="s">
        <v>230</v>
      </c>
    </row>
    <row r="2815" spans="1:9" x14ac:dyDescent="0.25">
      <c r="A2815" t="s">
        <v>2371</v>
      </c>
      <c r="B2815" t="s">
        <v>40</v>
      </c>
      <c r="C2815" s="2">
        <f>HYPERLINK("https://cao.dolgi.msk.ru/account/1080077669/", 1080077669)</f>
        <v>1080077669</v>
      </c>
      <c r="D2815" t="s">
        <v>2387</v>
      </c>
      <c r="E2815">
        <v>9382.31</v>
      </c>
      <c r="F2815">
        <v>2.91</v>
      </c>
      <c r="G2815" t="s">
        <v>12</v>
      </c>
      <c r="I2815" t="s">
        <v>230</v>
      </c>
    </row>
    <row r="2816" spans="1:9" hidden="1" x14ac:dyDescent="0.25">
      <c r="A2816" t="s">
        <v>2371</v>
      </c>
      <c r="B2816" t="s">
        <v>41</v>
      </c>
      <c r="C2816" s="2">
        <f>HYPERLINK("https://cao.dolgi.msk.ru/account/1080077677/", 1080077677)</f>
        <v>1080077677</v>
      </c>
      <c r="D2816" t="s">
        <v>2388</v>
      </c>
      <c r="E2816">
        <v>-1738.61</v>
      </c>
      <c r="F2816">
        <v>-0.81</v>
      </c>
      <c r="G2816" t="s">
        <v>12</v>
      </c>
      <c r="I2816" t="s">
        <v>230</v>
      </c>
    </row>
    <row r="2817" spans="1:9" hidden="1" x14ac:dyDescent="0.25">
      <c r="A2817" t="s">
        <v>2371</v>
      </c>
      <c r="B2817" t="s">
        <v>42</v>
      </c>
      <c r="C2817" s="2">
        <f>HYPERLINK("https://cao.dolgi.msk.ru/account/1080077685/", 1080077685)</f>
        <v>1080077685</v>
      </c>
      <c r="D2817" t="s">
        <v>2389</v>
      </c>
      <c r="E2817">
        <v>-1389.76</v>
      </c>
      <c r="F2817">
        <v>-1.1399999999999999</v>
      </c>
      <c r="G2817" t="s">
        <v>12</v>
      </c>
      <c r="I2817" t="s">
        <v>230</v>
      </c>
    </row>
    <row r="2818" spans="1:9" hidden="1" x14ac:dyDescent="0.25">
      <c r="A2818" t="s">
        <v>2371</v>
      </c>
      <c r="B2818" t="s">
        <v>44</v>
      </c>
      <c r="C2818" s="2">
        <f>HYPERLINK("https://cao.dolgi.msk.ru/account/1080077693/", 1080077693)</f>
        <v>1080077693</v>
      </c>
      <c r="D2818" t="s">
        <v>2390</v>
      </c>
      <c r="E2818">
        <v>-4940.57</v>
      </c>
      <c r="F2818">
        <v>-1.3</v>
      </c>
      <c r="G2818" t="s">
        <v>12</v>
      </c>
      <c r="I2818" t="s">
        <v>230</v>
      </c>
    </row>
    <row r="2819" spans="1:9" hidden="1" x14ac:dyDescent="0.25">
      <c r="A2819" t="s">
        <v>2371</v>
      </c>
      <c r="B2819" t="s">
        <v>66</v>
      </c>
      <c r="C2819" s="2">
        <f>HYPERLINK("https://cao.dolgi.msk.ru/account/1080077706/", 1080077706)</f>
        <v>1080077706</v>
      </c>
      <c r="D2819" t="s">
        <v>2391</v>
      </c>
      <c r="E2819">
        <v>-8068.95</v>
      </c>
      <c r="F2819">
        <v>-1.02</v>
      </c>
      <c r="G2819" t="s">
        <v>12</v>
      </c>
      <c r="I2819" t="s">
        <v>230</v>
      </c>
    </row>
    <row r="2820" spans="1:9" hidden="1" x14ac:dyDescent="0.25">
      <c r="A2820" t="s">
        <v>2371</v>
      </c>
      <c r="B2820" t="s">
        <v>68</v>
      </c>
      <c r="C2820" s="2">
        <f>HYPERLINK("https://cao.dolgi.msk.ru/account/1089126391/", 1089126391)</f>
        <v>1089126391</v>
      </c>
      <c r="D2820" t="s">
        <v>2392</v>
      </c>
      <c r="E2820">
        <v>-4086.28</v>
      </c>
      <c r="F2820">
        <v>-1.01</v>
      </c>
      <c r="G2820" t="s">
        <v>12</v>
      </c>
      <c r="I2820" t="s">
        <v>230</v>
      </c>
    </row>
    <row r="2821" spans="1:9" hidden="1" x14ac:dyDescent="0.25">
      <c r="A2821" t="s">
        <v>2371</v>
      </c>
      <c r="B2821" t="s">
        <v>70</v>
      </c>
      <c r="C2821" s="2">
        <f>HYPERLINK("https://cao.dolgi.msk.ru/account/1080077714/", 1080077714)</f>
        <v>1080077714</v>
      </c>
      <c r="D2821" t="s">
        <v>62</v>
      </c>
      <c r="E2821">
        <v>0</v>
      </c>
      <c r="F2821">
        <v>0</v>
      </c>
      <c r="G2821" t="s">
        <v>12</v>
      </c>
      <c r="I2821" t="s">
        <v>230</v>
      </c>
    </row>
    <row r="2822" spans="1:9" hidden="1" x14ac:dyDescent="0.25">
      <c r="A2822" t="s">
        <v>2371</v>
      </c>
      <c r="B2822" t="s">
        <v>72</v>
      </c>
      <c r="C2822" s="2">
        <f>HYPERLINK("https://cao.dolgi.msk.ru/account/1080077722/", 1080077722)</f>
        <v>1080077722</v>
      </c>
      <c r="D2822" t="s">
        <v>15</v>
      </c>
      <c r="E2822">
        <v>-3234.51</v>
      </c>
      <c r="F2822">
        <v>-1.05</v>
      </c>
      <c r="G2822" t="s">
        <v>12</v>
      </c>
      <c r="I2822" t="s">
        <v>230</v>
      </c>
    </row>
    <row r="2823" spans="1:9" hidden="1" x14ac:dyDescent="0.25">
      <c r="A2823" t="s">
        <v>2371</v>
      </c>
      <c r="B2823" t="s">
        <v>74</v>
      </c>
      <c r="C2823" s="2">
        <f>HYPERLINK("https://cao.dolgi.msk.ru/account/1080077749/", 1080077749)</f>
        <v>1080077749</v>
      </c>
      <c r="D2823" t="s">
        <v>2393</v>
      </c>
      <c r="E2823">
        <v>-276.76</v>
      </c>
      <c r="F2823">
        <v>-0.06</v>
      </c>
      <c r="G2823" t="s">
        <v>12</v>
      </c>
      <c r="I2823" t="s">
        <v>230</v>
      </c>
    </row>
    <row r="2824" spans="1:9" hidden="1" x14ac:dyDescent="0.25">
      <c r="A2824" t="s">
        <v>2371</v>
      </c>
      <c r="B2824" t="s">
        <v>76</v>
      </c>
      <c r="C2824" s="2">
        <f>HYPERLINK("https://cao.dolgi.msk.ru/account/1080077757/", 1080077757)</f>
        <v>1080077757</v>
      </c>
      <c r="D2824" t="s">
        <v>2394</v>
      </c>
      <c r="E2824">
        <v>-259.06</v>
      </c>
      <c r="F2824">
        <v>-7.0000000000000007E-2</v>
      </c>
      <c r="G2824" t="s">
        <v>12</v>
      </c>
      <c r="I2824" t="s">
        <v>230</v>
      </c>
    </row>
    <row r="2825" spans="1:9" hidden="1" x14ac:dyDescent="0.25">
      <c r="A2825" t="s">
        <v>2371</v>
      </c>
      <c r="B2825" t="s">
        <v>78</v>
      </c>
      <c r="C2825" s="2">
        <f>HYPERLINK("https://cao.dolgi.msk.ru/account/1080077765/", 1080077765)</f>
        <v>1080077765</v>
      </c>
      <c r="D2825" t="s">
        <v>2395</v>
      </c>
      <c r="E2825">
        <v>-129.5</v>
      </c>
      <c r="F2825">
        <v>-0.04</v>
      </c>
      <c r="G2825" t="s">
        <v>12</v>
      </c>
      <c r="I2825" t="s">
        <v>230</v>
      </c>
    </row>
    <row r="2826" spans="1:9" hidden="1" x14ac:dyDescent="0.25">
      <c r="A2826" t="s">
        <v>2371</v>
      </c>
      <c r="B2826" t="s">
        <v>80</v>
      </c>
      <c r="C2826" s="2">
        <f>HYPERLINK("https://cao.dolgi.msk.ru/account/1080077773/", 1080077773)</f>
        <v>1080077773</v>
      </c>
      <c r="D2826" t="s">
        <v>2396</v>
      </c>
      <c r="E2826">
        <v>-1905.6</v>
      </c>
      <c r="F2826">
        <v>-1.27</v>
      </c>
      <c r="G2826" t="s">
        <v>12</v>
      </c>
      <c r="I2826" t="s">
        <v>230</v>
      </c>
    </row>
    <row r="2827" spans="1:9" hidden="1" x14ac:dyDescent="0.25">
      <c r="A2827" t="s">
        <v>2371</v>
      </c>
      <c r="B2827" t="s">
        <v>82</v>
      </c>
      <c r="C2827" s="2">
        <f>HYPERLINK("https://cao.dolgi.msk.ru/account/1080077781/", 1080077781)</f>
        <v>1080077781</v>
      </c>
      <c r="D2827" t="s">
        <v>2397</v>
      </c>
      <c r="E2827">
        <v>-4953.47</v>
      </c>
      <c r="F2827">
        <v>-1.1299999999999999</v>
      </c>
      <c r="G2827" t="s">
        <v>12</v>
      </c>
      <c r="I2827" t="s">
        <v>230</v>
      </c>
    </row>
    <row r="2828" spans="1:9" hidden="1" x14ac:dyDescent="0.25">
      <c r="A2828" t="s">
        <v>2371</v>
      </c>
      <c r="B2828" t="s">
        <v>84</v>
      </c>
      <c r="C2828" s="2">
        <f>HYPERLINK("https://cao.dolgi.msk.ru/account/1080077802/", 1080077802)</f>
        <v>1080077802</v>
      </c>
      <c r="D2828" t="s">
        <v>2398</v>
      </c>
      <c r="E2828">
        <v>0</v>
      </c>
      <c r="F2828">
        <v>0</v>
      </c>
      <c r="G2828" t="s">
        <v>12</v>
      </c>
      <c r="I2828" t="s">
        <v>230</v>
      </c>
    </row>
    <row r="2829" spans="1:9" hidden="1" x14ac:dyDescent="0.25">
      <c r="A2829" t="s">
        <v>2371</v>
      </c>
      <c r="B2829" t="s">
        <v>86</v>
      </c>
      <c r="C2829" s="2">
        <f>HYPERLINK("https://cao.dolgi.msk.ru/account/1080077829/", 1080077829)</f>
        <v>1080077829</v>
      </c>
      <c r="D2829" t="s">
        <v>2399</v>
      </c>
      <c r="E2829">
        <v>-3881.55</v>
      </c>
      <c r="F2829">
        <v>-1.32</v>
      </c>
      <c r="G2829" t="s">
        <v>12</v>
      </c>
      <c r="I2829" t="s">
        <v>230</v>
      </c>
    </row>
    <row r="2830" spans="1:9" hidden="1" x14ac:dyDescent="0.25">
      <c r="A2830" t="s">
        <v>2371</v>
      </c>
      <c r="B2830" t="s">
        <v>88</v>
      </c>
      <c r="C2830" s="2">
        <f>HYPERLINK("https://cao.dolgi.msk.ru/account/1080077837/", 1080077837)</f>
        <v>1080077837</v>
      </c>
      <c r="D2830" t="s">
        <v>2400</v>
      </c>
      <c r="E2830">
        <v>-3630.18</v>
      </c>
      <c r="F2830">
        <v>-1.02</v>
      </c>
      <c r="G2830" t="s">
        <v>12</v>
      </c>
      <c r="I2830" t="s">
        <v>230</v>
      </c>
    </row>
    <row r="2831" spans="1:9" hidden="1" x14ac:dyDescent="0.25">
      <c r="A2831" t="s">
        <v>2371</v>
      </c>
      <c r="B2831" t="s">
        <v>90</v>
      </c>
      <c r="C2831" s="2">
        <f>HYPERLINK("https://cao.dolgi.msk.ru/account/1080077845/", 1080077845)</f>
        <v>1080077845</v>
      </c>
      <c r="D2831" t="s">
        <v>15</v>
      </c>
      <c r="E2831">
        <v>-5165.6899999999996</v>
      </c>
      <c r="F2831">
        <v>-1.0900000000000001</v>
      </c>
      <c r="G2831" t="s">
        <v>12</v>
      </c>
      <c r="I2831" t="s">
        <v>230</v>
      </c>
    </row>
    <row r="2832" spans="1:9" hidden="1" x14ac:dyDescent="0.25">
      <c r="A2832" t="s">
        <v>2371</v>
      </c>
      <c r="B2832" t="s">
        <v>92</v>
      </c>
      <c r="C2832" s="2">
        <f>HYPERLINK("https://cao.dolgi.msk.ru/account/1080077853/", 1080077853)</f>
        <v>1080077853</v>
      </c>
      <c r="D2832" t="s">
        <v>2401</v>
      </c>
      <c r="E2832">
        <v>-5724.09</v>
      </c>
      <c r="F2832">
        <v>-2.3199999999999998</v>
      </c>
      <c r="G2832" t="s">
        <v>12</v>
      </c>
      <c r="I2832" t="s">
        <v>230</v>
      </c>
    </row>
    <row r="2833" spans="1:9" hidden="1" x14ac:dyDescent="0.25">
      <c r="A2833" t="s">
        <v>2371</v>
      </c>
      <c r="B2833" t="s">
        <v>94</v>
      </c>
      <c r="C2833" s="2">
        <f>HYPERLINK("https://cao.dolgi.msk.ru/account/1080077861/", 1080077861)</f>
        <v>1080077861</v>
      </c>
      <c r="D2833" t="s">
        <v>2402</v>
      </c>
      <c r="E2833">
        <v>17.579999999999998</v>
      </c>
      <c r="F2833">
        <v>0</v>
      </c>
      <c r="G2833" t="s">
        <v>12</v>
      </c>
      <c r="I2833" t="s">
        <v>230</v>
      </c>
    </row>
    <row r="2834" spans="1:9" hidden="1" x14ac:dyDescent="0.25">
      <c r="A2834" t="s">
        <v>2371</v>
      </c>
      <c r="B2834" t="s">
        <v>96</v>
      </c>
      <c r="C2834" s="2">
        <f>HYPERLINK("https://cao.dolgi.msk.ru/account/1080077888/", 1080077888)</f>
        <v>1080077888</v>
      </c>
      <c r="D2834" t="s">
        <v>2403</v>
      </c>
      <c r="E2834">
        <v>-2049.7800000000002</v>
      </c>
      <c r="F2834">
        <v>-1.07</v>
      </c>
      <c r="G2834" t="s">
        <v>12</v>
      </c>
      <c r="I2834" t="s">
        <v>230</v>
      </c>
    </row>
    <row r="2835" spans="1:9" hidden="1" x14ac:dyDescent="0.25">
      <c r="A2835" t="s">
        <v>2371</v>
      </c>
      <c r="B2835" t="s">
        <v>98</v>
      </c>
      <c r="C2835" s="2">
        <f>HYPERLINK("https://cao.dolgi.msk.ru/account/1080077896/", 1080077896)</f>
        <v>1080077896</v>
      </c>
      <c r="D2835" t="s">
        <v>2404</v>
      </c>
      <c r="E2835">
        <v>-9395.66</v>
      </c>
      <c r="F2835">
        <v>-1.59</v>
      </c>
      <c r="G2835" t="s">
        <v>12</v>
      </c>
      <c r="I2835" t="s">
        <v>230</v>
      </c>
    </row>
    <row r="2836" spans="1:9" hidden="1" x14ac:dyDescent="0.25">
      <c r="A2836" t="s">
        <v>2371</v>
      </c>
      <c r="B2836" t="s">
        <v>100</v>
      </c>
      <c r="C2836" s="2">
        <f>HYPERLINK("https://cao.dolgi.msk.ru/account/1080077909/", 1080077909)</f>
        <v>1080077909</v>
      </c>
      <c r="D2836" t="s">
        <v>2405</v>
      </c>
      <c r="E2836">
        <v>-4996.9399999999996</v>
      </c>
      <c r="F2836">
        <v>-1.03</v>
      </c>
      <c r="G2836" t="s">
        <v>12</v>
      </c>
      <c r="I2836" t="s">
        <v>230</v>
      </c>
    </row>
    <row r="2837" spans="1:9" hidden="1" x14ac:dyDescent="0.25">
      <c r="A2837" t="s">
        <v>2371</v>
      </c>
      <c r="B2837" t="s">
        <v>102</v>
      </c>
      <c r="C2837" s="2">
        <f>HYPERLINK("https://cao.dolgi.msk.ru/account/1080077917/", 1080077917)</f>
        <v>1080077917</v>
      </c>
      <c r="D2837" t="s">
        <v>2406</v>
      </c>
      <c r="E2837">
        <v>-3671.04</v>
      </c>
      <c r="F2837">
        <v>-0.99</v>
      </c>
      <c r="G2837" t="s">
        <v>12</v>
      </c>
      <c r="I2837" t="s">
        <v>230</v>
      </c>
    </row>
    <row r="2838" spans="1:9" x14ac:dyDescent="0.25">
      <c r="A2838" t="s">
        <v>2371</v>
      </c>
      <c r="B2838" t="s">
        <v>104</v>
      </c>
      <c r="C2838" s="2">
        <f>HYPERLINK("https://cao.dolgi.msk.ru/account/1080077925/", 1080077925)</f>
        <v>1080077925</v>
      </c>
      <c r="D2838" t="s">
        <v>15</v>
      </c>
      <c r="E2838">
        <v>139821.21</v>
      </c>
      <c r="F2838">
        <v>11.29</v>
      </c>
      <c r="G2838" t="s">
        <v>12</v>
      </c>
      <c r="I2838" t="s">
        <v>230</v>
      </c>
    </row>
    <row r="2839" spans="1:9" hidden="1" x14ac:dyDescent="0.25">
      <c r="A2839" t="s">
        <v>2407</v>
      </c>
      <c r="B2839" t="s">
        <v>16</v>
      </c>
      <c r="C2839" s="2">
        <f>HYPERLINK("https://cao.dolgi.msk.ru/account/1080123178/", 1080123178)</f>
        <v>1080123178</v>
      </c>
      <c r="D2839" t="s">
        <v>2408</v>
      </c>
      <c r="E2839">
        <v>0</v>
      </c>
      <c r="F2839">
        <v>0</v>
      </c>
      <c r="G2839" t="s">
        <v>12</v>
      </c>
      <c r="I2839" t="s">
        <v>2409</v>
      </c>
    </row>
    <row r="2840" spans="1:9" hidden="1" x14ac:dyDescent="0.25">
      <c r="A2840" t="s">
        <v>2407</v>
      </c>
      <c r="B2840" t="s">
        <v>18</v>
      </c>
      <c r="C2840" s="2">
        <f>HYPERLINK("https://cao.dolgi.msk.ru/account/1080123186/", 1080123186)</f>
        <v>1080123186</v>
      </c>
      <c r="D2840" t="s">
        <v>2410</v>
      </c>
      <c r="E2840">
        <v>-9556.02</v>
      </c>
      <c r="F2840">
        <v>-1.17</v>
      </c>
      <c r="G2840" t="s">
        <v>12</v>
      </c>
      <c r="I2840" t="s">
        <v>2409</v>
      </c>
    </row>
    <row r="2841" spans="1:9" hidden="1" x14ac:dyDescent="0.25">
      <c r="A2841" t="s">
        <v>2407</v>
      </c>
      <c r="B2841" t="s">
        <v>20</v>
      </c>
      <c r="C2841" s="2">
        <f>HYPERLINK("https://cao.dolgi.msk.ru/account/1080123194/", 1080123194)</f>
        <v>1080123194</v>
      </c>
      <c r="D2841" t="s">
        <v>2411</v>
      </c>
      <c r="E2841">
        <v>-8814.7999999999993</v>
      </c>
      <c r="F2841">
        <v>-1.31</v>
      </c>
      <c r="G2841" t="s">
        <v>12</v>
      </c>
      <c r="I2841" t="s">
        <v>2409</v>
      </c>
    </row>
    <row r="2842" spans="1:9" hidden="1" x14ac:dyDescent="0.25">
      <c r="A2842" t="s">
        <v>2407</v>
      </c>
      <c r="B2842" t="s">
        <v>21</v>
      </c>
      <c r="C2842" s="2">
        <f>HYPERLINK("https://cao.dolgi.msk.ru/account/1080123207/", 1080123207)</f>
        <v>1080123207</v>
      </c>
      <c r="D2842" t="s">
        <v>2412</v>
      </c>
      <c r="E2842">
        <v>-20093.25</v>
      </c>
      <c r="F2842">
        <v>-0.96</v>
      </c>
      <c r="G2842" t="s">
        <v>12</v>
      </c>
      <c r="I2842" t="s">
        <v>2409</v>
      </c>
    </row>
    <row r="2843" spans="1:9" hidden="1" x14ac:dyDescent="0.25">
      <c r="A2843" t="s">
        <v>2407</v>
      </c>
      <c r="B2843" t="s">
        <v>22</v>
      </c>
      <c r="C2843" s="2">
        <f>HYPERLINK("https://cao.dolgi.msk.ru/account/1080123215/", 1080123215)</f>
        <v>1080123215</v>
      </c>
      <c r="D2843" t="s">
        <v>2413</v>
      </c>
      <c r="E2843">
        <v>0</v>
      </c>
      <c r="F2843">
        <v>0</v>
      </c>
      <c r="G2843" t="s">
        <v>12</v>
      </c>
      <c r="I2843" t="s">
        <v>2409</v>
      </c>
    </row>
    <row r="2844" spans="1:9" hidden="1" x14ac:dyDescent="0.25">
      <c r="A2844" t="s">
        <v>2407</v>
      </c>
      <c r="B2844" t="s">
        <v>22</v>
      </c>
      <c r="C2844" s="2">
        <f>HYPERLINK("https://cao.dolgi.msk.ru/account/1080123223/", 1080123223)</f>
        <v>1080123223</v>
      </c>
      <c r="D2844" t="s">
        <v>2413</v>
      </c>
      <c r="E2844">
        <v>0</v>
      </c>
      <c r="G2844" t="s">
        <v>14</v>
      </c>
      <c r="I2844" t="s">
        <v>2409</v>
      </c>
    </row>
    <row r="2845" spans="1:9" hidden="1" x14ac:dyDescent="0.25">
      <c r="A2845" t="s">
        <v>2407</v>
      </c>
      <c r="B2845" t="s">
        <v>23</v>
      </c>
      <c r="C2845" s="2">
        <f>HYPERLINK("https://cao.dolgi.msk.ru/account/1080123231/", 1080123231)</f>
        <v>1080123231</v>
      </c>
      <c r="D2845" t="s">
        <v>2414</v>
      </c>
      <c r="E2845">
        <v>-8955.92</v>
      </c>
      <c r="F2845">
        <v>-1.1399999999999999</v>
      </c>
      <c r="G2845" t="s">
        <v>12</v>
      </c>
      <c r="I2845" t="s">
        <v>2409</v>
      </c>
    </row>
    <row r="2846" spans="1:9" x14ac:dyDescent="0.25">
      <c r="A2846" t="s">
        <v>2407</v>
      </c>
      <c r="B2846" t="s">
        <v>29</v>
      </c>
      <c r="C2846" s="2">
        <f>HYPERLINK("https://cao.dolgi.msk.ru/account/1080123258/", 1080123258)</f>
        <v>1080123258</v>
      </c>
      <c r="D2846" t="s">
        <v>2415</v>
      </c>
      <c r="E2846">
        <v>19648.32</v>
      </c>
      <c r="F2846">
        <v>1.98</v>
      </c>
      <c r="G2846" t="s">
        <v>12</v>
      </c>
      <c r="I2846" t="s">
        <v>2409</v>
      </c>
    </row>
    <row r="2847" spans="1:9" hidden="1" x14ac:dyDescent="0.25">
      <c r="A2847" t="s">
        <v>2407</v>
      </c>
      <c r="B2847" t="s">
        <v>31</v>
      </c>
      <c r="C2847" s="2">
        <f>HYPERLINK("https://cao.dolgi.msk.ru/account/1080123274/", 1080123274)</f>
        <v>1080123274</v>
      </c>
      <c r="D2847" t="s">
        <v>2416</v>
      </c>
      <c r="E2847">
        <v>-9939.6200000000008</v>
      </c>
      <c r="F2847">
        <v>-1.43</v>
      </c>
      <c r="G2847" t="s">
        <v>12</v>
      </c>
      <c r="I2847" t="s">
        <v>2409</v>
      </c>
    </row>
    <row r="2848" spans="1:9" hidden="1" x14ac:dyDescent="0.25">
      <c r="A2848" t="s">
        <v>2407</v>
      </c>
      <c r="B2848" t="s">
        <v>33</v>
      </c>
      <c r="C2848" s="2">
        <f>HYPERLINK("https://cao.dolgi.msk.ru/account/1080123338/", 1080123338)</f>
        <v>1080123338</v>
      </c>
      <c r="D2848" t="s">
        <v>2417</v>
      </c>
      <c r="E2848">
        <v>-7229.47</v>
      </c>
      <c r="F2848">
        <v>-1.1299999999999999</v>
      </c>
      <c r="G2848" t="s">
        <v>12</v>
      </c>
      <c r="I2848" t="s">
        <v>2409</v>
      </c>
    </row>
    <row r="2849" spans="1:9" hidden="1" x14ac:dyDescent="0.25">
      <c r="A2849" t="s">
        <v>2407</v>
      </c>
      <c r="B2849" t="s">
        <v>34</v>
      </c>
      <c r="C2849" s="2">
        <f>HYPERLINK("https://cao.dolgi.msk.ru/account/1080123346/", 1080123346)</f>
        <v>1080123346</v>
      </c>
      <c r="D2849" t="s">
        <v>2418</v>
      </c>
      <c r="E2849">
        <v>0</v>
      </c>
      <c r="F2849">
        <v>0</v>
      </c>
      <c r="G2849" t="s">
        <v>12</v>
      </c>
      <c r="H2849" t="s">
        <v>7</v>
      </c>
      <c r="I2849" t="s">
        <v>2409</v>
      </c>
    </row>
    <row r="2850" spans="1:9" hidden="1" x14ac:dyDescent="0.25">
      <c r="A2850" t="s">
        <v>2407</v>
      </c>
      <c r="B2850" t="s">
        <v>34</v>
      </c>
      <c r="C2850" s="2">
        <f>HYPERLINK("https://cao.dolgi.msk.ru/account/1080123354/", 1080123354)</f>
        <v>1080123354</v>
      </c>
      <c r="D2850" t="s">
        <v>2419</v>
      </c>
      <c r="E2850">
        <v>-2224.09</v>
      </c>
      <c r="F2850">
        <v>-1.88</v>
      </c>
      <c r="G2850" t="s">
        <v>12</v>
      </c>
      <c r="H2850" t="s">
        <v>7</v>
      </c>
      <c r="I2850" t="s">
        <v>2409</v>
      </c>
    </row>
    <row r="2851" spans="1:9" hidden="1" x14ac:dyDescent="0.25">
      <c r="A2851" t="s">
        <v>2407</v>
      </c>
      <c r="B2851" t="s">
        <v>36</v>
      </c>
      <c r="C2851" s="2">
        <f>HYPERLINK("https://cao.dolgi.msk.ru/account/1080123362/", 1080123362)</f>
        <v>1080123362</v>
      </c>
      <c r="D2851" t="s">
        <v>2420</v>
      </c>
      <c r="E2851">
        <v>9949.27</v>
      </c>
      <c r="F2851">
        <v>0.5</v>
      </c>
      <c r="G2851" t="s">
        <v>12</v>
      </c>
      <c r="I2851" t="s">
        <v>2409</v>
      </c>
    </row>
    <row r="2852" spans="1:9" hidden="1" x14ac:dyDescent="0.25">
      <c r="A2852" t="s">
        <v>2407</v>
      </c>
      <c r="B2852" t="s">
        <v>38</v>
      </c>
      <c r="C2852" s="2">
        <f>HYPERLINK("https://cao.dolgi.msk.ru/account/1080123389/", 1080123389)</f>
        <v>1080123389</v>
      </c>
      <c r="D2852" t="s">
        <v>2421</v>
      </c>
      <c r="E2852">
        <v>9257.98</v>
      </c>
      <c r="F2852">
        <v>0.98</v>
      </c>
      <c r="G2852" t="s">
        <v>12</v>
      </c>
      <c r="I2852" t="s">
        <v>2409</v>
      </c>
    </row>
    <row r="2853" spans="1:9" hidden="1" x14ac:dyDescent="0.25">
      <c r="A2853" t="s">
        <v>2422</v>
      </c>
      <c r="B2853" t="s">
        <v>39</v>
      </c>
      <c r="C2853" s="2">
        <f>HYPERLINK("https://cao.dolgi.msk.ru/account/1080131338/", 1080131338)</f>
        <v>1080131338</v>
      </c>
      <c r="D2853" t="s">
        <v>2423</v>
      </c>
      <c r="E2853">
        <v>0</v>
      </c>
      <c r="G2853" t="s">
        <v>14</v>
      </c>
      <c r="I2853" t="s">
        <v>2409</v>
      </c>
    </row>
    <row r="2854" spans="1:9" hidden="1" x14ac:dyDescent="0.25">
      <c r="A2854" t="s">
        <v>2422</v>
      </c>
      <c r="B2854" t="s">
        <v>39</v>
      </c>
      <c r="C2854" s="2">
        <f>HYPERLINK("https://cao.dolgi.msk.ru/account/1080131346/", 1080131346)</f>
        <v>1080131346</v>
      </c>
      <c r="D2854" t="s">
        <v>2424</v>
      </c>
      <c r="E2854">
        <v>-10393.34</v>
      </c>
      <c r="F2854">
        <v>-0.87</v>
      </c>
      <c r="G2854" t="s">
        <v>12</v>
      </c>
      <c r="I2854" t="s">
        <v>2409</v>
      </c>
    </row>
    <row r="2855" spans="1:9" hidden="1" x14ac:dyDescent="0.25">
      <c r="A2855" t="s">
        <v>2422</v>
      </c>
      <c r="B2855" t="s">
        <v>39</v>
      </c>
      <c r="C2855" s="2">
        <f>HYPERLINK("https://cao.dolgi.msk.ru/account/1080131354/", 1080131354)</f>
        <v>1080131354</v>
      </c>
      <c r="D2855" t="s">
        <v>2424</v>
      </c>
      <c r="E2855">
        <v>0</v>
      </c>
      <c r="G2855" t="s">
        <v>14</v>
      </c>
      <c r="I2855" t="s">
        <v>2409</v>
      </c>
    </row>
    <row r="2856" spans="1:9" hidden="1" x14ac:dyDescent="0.25">
      <c r="A2856" t="s">
        <v>2422</v>
      </c>
      <c r="B2856" t="s">
        <v>39</v>
      </c>
      <c r="C2856" s="2">
        <f>HYPERLINK("https://cao.dolgi.msk.ru/account/1089122825/", 1089122825)</f>
        <v>1089122825</v>
      </c>
      <c r="D2856" t="s">
        <v>2423</v>
      </c>
      <c r="E2856">
        <v>0</v>
      </c>
      <c r="G2856" t="s">
        <v>14</v>
      </c>
      <c r="I2856" t="s">
        <v>2409</v>
      </c>
    </row>
    <row r="2857" spans="1:9" hidden="1" x14ac:dyDescent="0.25">
      <c r="A2857" t="s">
        <v>2422</v>
      </c>
      <c r="B2857" t="s">
        <v>44</v>
      </c>
      <c r="C2857" s="2">
        <f>HYPERLINK("https://cao.dolgi.msk.ru/account/1080131469/", 1080131469)</f>
        <v>1080131469</v>
      </c>
      <c r="D2857" t="s">
        <v>2425</v>
      </c>
      <c r="E2857">
        <v>-10672.59</v>
      </c>
      <c r="F2857">
        <v>-0.87</v>
      </c>
      <c r="G2857" t="s">
        <v>12</v>
      </c>
      <c r="I2857" t="s">
        <v>2409</v>
      </c>
    </row>
    <row r="2858" spans="1:9" hidden="1" x14ac:dyDescent="0.25">
      <c r="A2858" t="s">
        <v>2422</v>
      </c>
      <c r="B2858" t="s">
        <v>66</v>
      </c>
      <c r="C2858" s="2">
        <f>HYPERLINK("https://cao.dolgi.msk.ru/account/1080131514/", 1080131514)</f>
        <v>1080131514</v>
      </c>
      <c r="D2858" t="s">
        <v>2426</v>
      </c>
      <c r="E2858">
        <v>-12393.33</v>
      </c>
      <c r="F2858">
        <v>-1.1499999999999999</v>
      </c>
      <c r="G2858" t="s">
        <v>12</v>
      </c>
      <c r="I2858" t="s">
        <v>2409</v>
      </c>
    </row>
    <row r="2859" spans="1:9" hidden="1" x14ac:dyDescent="0.25">
      <c r="A2859" t="s">
        <v>2422</v>
      </c>
      <c r="B2859" t="s">
        <v>68</v>
      </c>
      <c r="C2859" s="2">
        <f>HYPERLINK("https://cao.dolgi.msk.ru/account/1080131573/", 1080131573)</f>
        <v>1080131573</v>
      </c>
      <c r="D2859" t="s">
        <v>2427</v>
      </c>
      <c r="E2859">
        <v>-521.13</v>
      </c>
      <c r="F2859">
        <v>-0.05</v>
      </c>
      <c r="G2859" t="s">
        <v>12</v>
      </c>
      <c r="I2859" t="s">
        <v>2409</v>
      </c>
    </row>
    <row r="2860" spans="1:9" hidden="1" x14ac:dyDescent="0.25">
      <c r="A2860" t="s">
        <v>2422</v>
      </c>
      <c r="B2860" t="s">
        <v>72</v>
      </c>
      <c r="C2860" s="2">
        <f>HYPERLINK("https://cao.dolgi.msk.ru/account/1080131709/", 1080131709)</f>
        <v>1080131709</v>
      </c>
      <c r="D2860" t="s">
        <v>2428</v>
      </c>
      <c r="E2860">
        <v>-11808.71</v>
      </c>
      <c r="F2860">
        <v>-0.86</v>
      </c>
      <c r="G2860" t="s">
        <v>12</v>
      </c>
      <c r="I2860" t="s">
        <v>2409</v>
      </c>
    </row>
    <row r="2861" spans="1:9" hidden="1" x14ac:dyDescent="0.25">
      <c r="A2861" t="s">
        <v>2422</v>
      </c>
      <c r="B2861" t="s">
        <v>74</v>
      </c>
      <c r="C2861" s="2">
        <f>HYPERLINK("https://cao.dolgi.msk.ru/account/1080131768/", 1080131768)</f>
        <v>1080131768</v>
      </c>
      <c r="D2861" t="s">
        <v>2429</v>
      </c>
      <c r="E2861">
        <v>0</v>
      </c>
      <c r="F2861">
        <v>0</v>
      </c>
      <c r="G2861" t="s">
        <v>12</v>
      </c>
      <c r="I2861" t="s">
        <v>2409</v>
      </c>
    </row>
    <row r="2862" spans="1:9" hidden="1" x14ac:dyDescent="0.25">
      <c r="A2862" t="s">
        <v>2422</v>
      </c>
      <c r="B2862" t="s">
        <v>76</v>
      </c>
      <c r="C2862" s="2">
        <f>HYPERLINK("https://cao.dolgi.msk.ru/account/1080131776/", 1080131776)</f>
        <v>1080131776</v>
      </c>
      <c r="D2862" t="s">
        <v>15</v>
      </c>
      <c r="E2862">
        <v>-24.35</v>
      </c>
      <c r="F2862">
        <v>-0.01</v>
      </c>
      <c r="G2862" t="s">
        <v>12</v>
      </c>
      <c r="H2862" t="s">
        <v>7</v>
      </c>
      <c r="I2862" t="s">
        <v>2409</v>
      </c>
    </row>
    <row r="2863" spans="1:9" hidden="1" x14ac:dyDescent="0.25">
      <c r="A2863" t="s">
        <v>2422</v>
      </c>
      <c r="B2863" t="s">
        <v>76</v>
      </c>
      <c r="C2863" s="2">
        <f>HYPERLINK("https://cao.dolgi.msk.ru/account/1080131784/", 1080131784)</f>
        <v>1080131784</v>
      </c>
      <c r="D2863" t="s">
        <v>2430</v>
      </c>
      <c r="E2863">
        <v>0</v>
      </c>
      <c r="F2863">
        <v>0</v>
      </c>
      <c r="G2863" t="s">
        <v>12</v>
      </c>
      <c r="H2863" t="s">
        <v>7</v>
      </c>
      <c r="I2863" t="s">
        <v>2409</v>
      </c>
    </row>
    <row r="2864" spans="1:9" hidden="1" x14ac:dyDescent="0.25">
      <c r="A2864" t="s">
        <v>2422</v>
      </c>
      <c r="B2864" t="s">
        <v>76</v>
      </c>
      <c r="C2864" s="2">
        <f>HYPERLINK("https://cao.dolgi.msk.ru/account/1080131792/", 1080131792)</f>
        <v>1080131792</v>
      </c>
      <c r="D2864" t="s">
        <v>2431</v>
      </c>
      <c r="E2864">
        <v>70.8</v>
      </c>
      <c r="F2864">
        <v>0.01</v>
      </c>
      <c r="G2864" t="s">
        <v>12</v>
      </c>
      <c r="H2864" t="s">
        <v>7</v>
      </c>
      <c r="I2864" t="s">
        <v>2409</v>
      </c>
    </row>
    <row r="2865" spans="1:9" hidden="1" x14ac:dyDescent="0.25">
      <c r="A2865" t="s">
        <v>2422</v>
      </c>
      <c r="B2865" t="s">
        <v>2432</v>
      </c>
      <c r="C2865" s="2">
        <f>HYPERLINK("https://cao.dolgi.msk.ru/account/1080131813/", 1080131813)</f>
        <v>1080131813</v>
      </c>
      <c r="D2865" t="s">
        <v>2433</v>
      </c>
      <c r="E2865">
        <v>-21384.21</v>
      </c>
      <c r="F2865">
        <v>-0.89</v>
      </c>
      <c r="G2865" t="s">
        <v>12</v>
      </c>
      <c r="I2865" t="s">
        <v>2409</v>
      </c>
    </row>
    <row r="2866" spans="1:9" x14ac:dyDescent="0.25">
      <c r="A2866" t="s">
        <v>2422</v>
      </c>
      <c r="B2866" t="s">
        <v>82</v>
      </c>
      <c r="C2866" s="2">
        <f>HYPERLINK("https://cao.dolgi.msk.ru/account/1080131856/", 1080131856)</f>
        <v>1080131856</v>
      </c>
      <c r="D2866" t="s">
        <v>2434</v>
      </c>
      <c r="E2866">
        <v>34956.410000000003</v>
      </c>
      <c r="F2866">
        <v>42.46</v>
      </c>
      <c r="G2866" t="s">
        <v>12</v>
      </c>
      <c r="H2866" t="s">
        <v>7</v>
      </c>
      <c r="I2866" t="s">
        <v>2409</v>
      </c>
    </row>
    <row r="2867" spans="1:9" x14ac:dyDescent="0.25">
      <c r="A2867" t="s">
        <v>2422</v>
      </c>
      <c r="B2867" t="s">
        <v>82</v>
      </c>
      <c r="C2867" s="2">
        <f>HYPERLINK("https://cao.dolgi.msk.ru/account/1080131864/", 1080131864)</f>
        <v>1080131864</v>
      </c>
      <c r="D2867" t="s">
        <v>2434</v>
      </c>
      <c r="E2867">
        <v>3042.66</v>
      </c>
      <c r="F2867">
        <v>1.72</v>
      </c>
      <c r="G2867" t="s">
        <v>12</v>
      </c>
      <c r="H2867" t="s">
        <v>7</v>
      </c>
      <c r="I2867" t="s">
        <v>2409</v>
      </c>
    </row>
    <row r="2868" spans="1:9" hidden="1" x14ac:dyDescent="0.25">
      <c r="A2868" t="s">
        <v>2422</v>
      </c>
      <c r="B2868" t="s">
        <v>82</v>
      </c>
      <c r="C2868" s="2">
        <f>HYPERLINK("https://cao.dolgi.msk.ru/account/1080131952/", 1080131952)</f>
        <v>1080131952</v>
      </c>
      <c r="D2868" t="s">
        <v>2435</v>
      </c>
      <c r="E2868">
        <v>-16348.98</v>
      </c>
      <c r="F2868">
        <v>-4.3600000000000003</v>
      </c>
      <c r="G2868" t="s">
        <v>12</v>
      </c>
      <c r="H2868" t="s">
        <v>7</v>
      </c>
      <c r="I2868" t="s">
        <v>2409</v>
      </c>
    </row>
    <row r="2869" spans="1:9" hidden="1" x14ac:dyDescent="0.25">
      <c r="A2869" t="s">
        <v>2422</v>
      </c>
      <c r="B2869" t="s">
        <v>82</v>
      </c>
      <c r="C2869" s="2">
        <f>HYPERLINK("https://cao.dolgi.msk.ru/account/1080320761/", 1080320761)</f>
        <v>1080320761</v>
      </c>
      <c r="D2869" t="s">
        <v>2436</v>
      </c>
      <c r="E2869">
        <v>1305.4100000000001</v>
      </c>
      <c r="F2869">
        <v>0.51</v>
      </c>
      <c r="G2869" t="s">
        <v>12</v>
      </c>
      <c r="H2869" t="s">
        <v>7</v>
      </c>
      <c r="I2869" t="s">
        <v>2409</v>
      </c>
    </row>
    <row r="2870" spans="1:9" hidden="1" x14ac:dyDescent="0.25">
      <c r="A2870" t="s">
        <v>2422</v>
      </c>
      <c r="B2870" t="s">
        <v>82</v>
      </c>
      <c r="C2870" s="2">
        <f>HYPERLINK("https://cao.dolgi.msk.ru/account/1083278247/", 1083278247)</f>
        <v>1083278247</v>
      </c>
      <c r="D2870" t="s">
        <v>2437</v>
      </c>
      <c r="E2870">
        <v>-1374.65</v>
      </c>
      <c r="G2870" t="s">
        <v>14</v>
      </c>
      <c r="H2870" t="s">
        <v>7</v>
      </c>
      <c r="I2870" t="s">
        <v>2409</v>
      </c>
    </row>
    <row r="2871" spans="1:9" x14ac:dyDescent="0.25">
      <c r="A2871" t="s">
        <v>2422</v>
      </c>
      <c r="B2871" t="s">
        <v>82</v>
      </c>
      <c r="C2871" s="2">
        <f>HYPERLINK("https://cao.dolgi.msk.ru/account/1083391194/", 1083391194)</f>
        <v>1083391194</v>
      </c>
      <c r="D2871" t="s">
        <v>189</v>
      </c>
      <c r="E2871">
        <v>5686.47</v>
      </c>
      <c r="F2871">
        <v>3.92</v>
      </c>
      <c r="G2871" t="s">
        <v>12</v>
      </c>
      <c r="H2871" t="s">
        <v>7</v>
      </c>
      <c r="I2871" t="s">
        <v>2409</v>
      </c>
    </row>
    <row r="2872" spans="1:9" hidden="1" x14ac:dyDescent="0.25">
      <c r="A2872" t="s">
        <v>2422</v>
      </c>
      <c r="B2872" t="s">
        <v>82</v>
      </c>
      <c r="C2872" s="2">
        <f>HYPERLINK("https://cao.dolgi.msk.ru/account/1083394037/", 1083394037)</f>
        <v>1083394037</v>
      </c>
      <c r="D2872" t="s">
        <v>189</v>
      </c>
      <c r="E2872">
        <v>-969.62</v>
      </c>
      <c r="F2872">
        <v>-1</v>
      </c>
      <c r="G2872" t="s">
        <v>12</v>
      </c>
      <c r="H2872" t="s">
        <v>7</v>
      </c>
      <c r="I2872" t="s">
        <v>2409</v>
      </c>
    </row>
    <row r="2873" spans="1:9" hidden="1" x14ac:dyDescent="0.25">
      <c r="A2873" t="s">
        <v>2422</v>
      </c>
      <c r="B2873" t="s">
        <v>84</v>
      </c>
      <c r="C2873" s="2">
        <f>HYPERLINK("https://cao.dolgi.msk.ru/account/1080131899/", 1080131899)</f>
        <v>1080131899</v>
      </c>
      <c r="D2873" t="s">
        <v>2438</v>
      </c>
      <c r="E2873">
        <v>-2502.6799999999998</v>
      </c>
      <c r="F2873">
        <v>-0.88</v>
      </c>
      <c r="G2873" t="s">
        <v>12</v>
      </c>
      <c r="H2873" t="s">
        <v>7</v>
      </c>
      <c r="I2873" t="s">
        <v>2409</v>
      </c>
    </row>
    <row r="2874" spans="1:9" hidden="1" x14ac:dyDescent="0.25">
      <c r="A2874" t="s">
        <v>2422</v>
      </c>
      <c r="B2874" t="s">
        <v>84</v>
      </c>
      <c r="C2874" s="2">
        <f>HYPERLINK("https://cao.dolgi.msk.ru/account/1080131901/", 1080131901)</f>
        <v>1080131901</v>
      </c>
      <c r="D2874" t="s">
        <v>2439</v>
      </c>
      <c r="E2874">
        <v>-170.45</v>
      </c>
      <c r="F2874">
        <v>-0.03</v>
      </c>
      <c r="G2874" t="s">
        <v>12</v>
      </c>
      <c r="H2874" t="s">
        <v>7</v>
      </c>
      <c r="I2874" t="s">
        <v>2409</v>
      </c>
    </row>
    <row r="2875" spans="1:9" hidden="1" x14ac:dyDescent="0.25">
      <c r="A2875" t="s">
        <v>2422</v>
      </c>
      <c r="B2875" t="s">
        <v>84</v>
      </c>
      <c r="C2875" s="2">
        <f>HYPERLINK("https://cao.dolgi.msk.ru/account/1080131944/", 1080131944)</f>
        <v>1080131944</v>
      </c>
      <c r="D2875" t="s">
        <v>2440</v>
      </c>
      <c r="E2875">
        <v>-2474.59</v>
      </c>
      <c r="F2875">
        <v>-0.77</v>
      </c>
      <c r="G2875" t="s">
        <v>12</v>
      </c>
      <c r="H2875" t="s">
        <v>7</v>
      </c>
      <c r="I2875" t="s">
        <v>2409</v>
      </c>
    </row>
    <row r="2876" spans="1:9" hidden="1" x14ac:dyDescent="0.25">
      <c r="A2876" t="s">
        <v>2441</v>
      </c>
      <c r="B2876" t="s">
        <v>27</v>
      </c>
      <c r="C2876" s="2">
        <f>HYPERLINK("https://cao.dolgi.msk.ru/account/1080132752/", 1080132752)</f>
        <v>1080132752</v>
      </c>
      <c r="D2876" t="s">
        <v>2442</v>
      </c>
      <c r="E2876">
        <v>1225.57</v>
      </c>
      <c r="F2876">
        <v>0.1</v>
      </c>
      <c r="G2876" t="s">
        <v>12</v>
      </c>
      <c r="I2876" t="s">
        <v>2409</v>
      </c>
    </row>
    <row r="2877" spans="1:9" hidden="1" x14ac:dyDescent="0.25">
      <c r="A2877" t="s">
        <v>2441</v>
      </c>
      <c r="B2877" t="s">
        <v>31</v>
      </c>
      <c r="C2877" s="2">
        <f>HYPERLINK("https://cao.dolgi.msk.ru/account/1080132824/", 1080132824)</f>
        <v>1080132824</v>
      </c>
      <c r="D2877" t="s">
        <v>2443</v>
      </c>
      <c r="E2877">
        <v>1197.56</v>
      </c>
      <c r="F2877">
        <v>0.1</v>
      </c>
      <c r="G2877" t="s">
        <v>12</v>
      </c>
      <c r="I2877" t="s">
        <v>2409</v>
      </c>
    </row>
    <row r="2878" spans="1:9" hidden="1" x14ac:dyDescent="0.25">
      <c r="A2878" t="s">
        <v>2441</v>
      </c>
      <c r="B2878" t="s">
        <v>33</v>
      </c>
      <c r="C2878" s="2">
        <f>HYPERLINK("https://cao.dolgi.msk.ru/account/1080132867/", 1080132867)</f>
        <v>1080132867</v>
      </c>
      <c r="D2878" t="s">
        <v>15</v>
      </c>
      <c r="E2878">
        <v>0</v>
      </c>
      <c r="G2878" t="s">
        <v>14</v>
      </c>
      <c r="I2878" t="s">
        <v>2409</v>
      </c>
    </row>
    <row r="2879" spans="1:9" hidden="1" x14ac:dyDescent="0.25">
      <c r="A2879" t="s">
        <v>2441</v>
      </c>
      <c r="B2879" t="s">
        <v>33</v>
      </c>
      <c r="C2879" s="2">
        <f>HYPERLINK("https://cao.dolgi.msk.ru/account/1089125364/", 1089125364)</f>
        <v>1089125364</v>
      </c>
      <c r="D2879" t="s">
        <v>2444</v>
      </c>
      <c r="E2879">
        <v>1140.54</v>
      </c>
      <c r="F2879">
        <v>0.1</v>
      </c>
      <c r="G2879" t="s">
        <v>12</v>
      </c>
      <c r="I2879" t="s">
        <v>2409</v>
      </c>
    </row>
    <row r="2880" spans="1:9" hidden="1" x14ac:dyDescent="0.25">
      <c r="A2880" t="s">
        <v>2445</v>
      </c>
      <c r="B2880" t="s">
        <v>10</v>
      </c>
      <c r="C2880" s="2">
        <f>HYPERLINK("https://cao.dolgi.msk.ru/account/1080132883/", 1080132883)</f>
        <v>1080132883</v>
      </c>
      <c r="D2880" t="s">
        <v>2446</v>
      </c>
      <c r="G2880" t="s">
        <v>14</v>
      </c>
      <c r="I2880" t="s">
        <v>2409</v>
      </c>
    </row>
    <row r="2881" spans="1:9" hidden="1" x14ac:dyDescent="0.25">
      <c r="A2881" t="s">
        <v>2445</v>
      </c>
      <c r="B2881" t="s">
        <v>10</v>
      </c>
      <c r="C2881" s="2">
        <f>HYPERLINK("https://cao.dolgi.msk.ru/account/1083395005/", 1083395005)</f>
        <v>1083395005</v>
      </c>
      <c r="D2881" t="s">
        <v>2446</v>
      </c>
      <c r="E2881">
        <v>-3887.49</v>
      </c>
      <c r="F2881">
        <v>-1.2</v>
      </c>
      <c r="G2881" t="s">
        <v>12</v>
      </c>
      <c r="I2881" t="s">
        <v>2409</v>
      </c>
    </row>
    <row r="2882" spans="1:9" hidden="1" x14ac:dyDescent="0.25">
      <c r="A2882" t="s">
        <v>2445</v>
      </c>
      <c r="B2882" t="s">
        <v>16</v>
      </c>
      <c r="C2882" s="2">
        <f>HYPERLINK("https://cao.dolgi.msk.ru/account/1080132891/", 1080132891)</f>
        <v>1080132891</v>
      </c>
      <c r="D2882" t="s">
        <v>2447</v>
      </c>
      <c r="E2882">
        <v>26.13</v>
      </c>
      <c r="G2882" t="s">
        <v>14</v>
      </c>
      <c r="I2882" t="s">
        <v>2409</v>
      </c>
    </row>
    <row r="2883" spans="1:9" hidden="1" x14ac:dyDescent="0.25">
      <c r="A2883" t="s">
        <v>2445</v>
      </c>
      <c r="B2883" t="s">
        <v>16</v>
      </c>
      <c r="C2883" s="2">
        <f>HYPERLINK("https://cao.dolgi.msk.ru/account/1083395064/", 1083395064)</f>
        <v>1083395064</v>
      </c>
      <c r="D2883" t="s">
        <v>2447</v>
      </c>
      <c r="E2883">
        <v>-6617.05</v>
      </c>
      <c r="F2883">
        <v>-1.21</v>
      </c>
      <c r="G2883" t="s">
        <v>12</v>
      </c>
      <c r="I2883" t="s">
        <v>2409</v>
      </c>
    </row>
    <row r="2884" spans="1:9" hidden="1" x14ac:dyDescent="0.25">
      <c r="A2884" t="s">
        <v>2445</v>
      </c>
      <c r="B2884" t="s">
        <v>18</v>
      </c>
      <c r="C2884" s="2">
        <f>HYPERLINK("https://cao.dolgi.msk.ru/account/1080132904/", 1080132904)</f>
        <v>1080132904</v>
      </c>
      <c r="D2884" t="s">
        <v>2448</v>
      </c>
      <c r="G2884" t="s">
        <v>14</v>
      </c>
      <c r="I2884" t="s">
        <v>2409</v>
      </c>
    </row>
    <row r="2885" spans="1:9" hidden="1" x14ac:dyDescent="0.25">
      <c r="A2885" t="s">
        <v>2445</v>
      </c>
      <c r="B2885" t="s">
        <v>18</v>
      </c>
      <c r="C2885" s="2">
        <f>HYPERLINK("https://cao.dolgi.msk.ru/account/1083271096/", 1083271096)</f>
        <v>1083271096</v>
      </c>
      <c r="D2885" t="s">
        <v>15</v>
      </c>
      <c r="G2885" t="s">
        <v>14</v>
      </c>
      <c r="I2885" t="s">
        <v>2409</v>
      </c>
    </row>
    <row r="2886" spans="1:9" hidden="1" x14ac:dyDescent="0.25">
      <c r="A2886" t="s">
        <v>2445</v>
      </c>
      <c r="B2886" t="s">
        <v>18</v>
      </c>
      <c r="C2886" s="2">
        <f>HYPERLINK("https://cao.dolgi.msk.ru/account/1083395179/", 1083395179)</f>
        <v>1083395179</v>
      </c>
      <c r="D2886" t="s">
        <v>15</v>
      </c>
      <c r="E2886">
        <v>-5923.61</v>
      </c>
      <c r="F2886">
        <v>-1.1399999999999999</v>
      </c>
      <c r="G2886" t="s">
        <v>12</v>
      </c>
      <c r="I2886" t="s">
        <v>2409</v>
      </c>
    </row>
    <row r="2887" spans="1:9" hidden="1" x14ac:dyDescent="0.25">
      <c r="A2887" t="s">
        <v>2445</v>
      </c>
      <c r="B2887" t="s">
        <v>20</v>
      </c>
      <c r="C2887" s="2">
        <f>HYPERLINK("https://cao.dolgi.msk.ru/account/1080132912/", 1080132912)</f>
        <v>1080132912</v>
      </c>
      <c r="D2887" t="s">
        <v>2449</v>
      </c>
      <c r="E2887">
        <v>6735.36</v>
      </c>
      <c r="G2887" t="s">
        <v>14</v>
      </c>
      <c r="I2887" t="s">
        <v>2409</v>
      </c>
    </row>
    <row r="2888" spans="1:9" hidden="1" x14ac:dyDescent="0.25">
      <c r="A2888" t="s">
        <v>2445</v>
      </c>
      <c r="B2888" t="s">
        <v>20</v>
      </c>
      <c r="C2888" s="2">
        <f>HYPERLINK("https://cao.dolgi.msk.ru/account/1083395275/", 1083395275)</f>
        <v>1083395275</v>
      </c>
      <c r="D2888" t="s">
        <v>2449</v>
      </c>
      <c r="E2888">
        <v>0</v>
      </c>
      <c r="F2888">
        <v>0</v>
      </c>
      <c r="G2888" t="s">
        <v>12</v>
      </c>
      <c r="I2888" t="s">
        <v>2409</v>
      </c>
    </row>
    <row r="2889" spans="1:9" hidden="1" x14ac:dyDescent="0.25">
      <c r="A2889" t="s">
        <v>2445</v>
      </c>
      <c r="B2889" t="s">
        <v>21</v>
      </c>
      <c r="C2889" s="2">
        <f>HYPERLINK("https://cao.dolgi.msk.ru/account/1080132939/", 1080132939)</f>
        <v>1080132939</v>
      </c>
      <c r="D2889" t="s">
        <v>2450</v>
      </c>
      <c r="G2889" t="s">
        <v>14</v>
      </c>
      <c r="I2889" t="s">
        <v>2409</v>
      </c>
    </row>
    <row r="2890" spans="1:9" hidden="1" x14ac:dyDescent="0.25">
      <c r="A2890" t="s">
        <v>2445</v>
      </c>
      <c r="B2890" t="s">
        <v>21</v>
      </c>
      <c r="C2890" s="2">
        <f>HYPERLINK("https://cao.dolgi.msk.ru/account/1083395339/", 1083395339)</f>
        <v>1083395339</v>
      </c>
      <c r="D2890" t="s">
        <v>2450</v>
      </c>
      <c r="E2890">
        <v>-5270.59</v>
      </c>
      <c r="F2890">
        <v>-1.22</v>
      </c>
      <c r="G2890" t="s">
        <v>12</v>
      </c>
      <c r="I2890" t="s">
        <v>2409</v>
      </c>
    </row>
    <row r="2891" spans="1:9" hidden="1" x14ac:dyDescent="0.25">
      <c r="A2891" t="s">
        <v>2445</v>
      </c>
      <c r="B2891" t="s">
        <v>22</v>
      </c>
      <c r="C2891" s="2">
        <f>HYPERLINK("https://cao.dolgi.msk.ru/account/1080132947/", 1080132947)</f>
        <v>1080132947</v>
      </c>
      <c r="D2891" t="s">
        <v>2451</v>
      </c>
      <c r="E2891">
        <v>0</v>
      </c>
      <c r="G2891" t="s">
        <v>14</v>
      </c>
      <c r="I2891" t="s">
        <v>2409</v>
      </c>
    </row>
    <row r="2892" spans="1:9" hidden="1" x14ac:dyDescent="0.25">
      <c r="A2892" t="s">
        <v>2445</v>
      </c>
      <c r="B2892" t="s">
        <v>22</v>
      </c>
      <c r="C2892" s="2">
        <f>HYPERLINK("https://cao.dolgi.msk.ru/account/1083395347/", 1083395347)</f>
        <v>1083395347</v>
      </c>
      <c r="D2892" t="s">
        <v>2451</v>
      </c>
      <c r="E2892">
        <v>-6902.51</v>
      </c>
      <c r="F2892">
        <v>-1.21</v>
      </c>
      <c r="G2892" t="s">
        <v>12</v>
      </c>
      <c r="I2892" t="s">
        <v>2409</v>
      </c>
    </row>
    <row r="2893" spans="1:9" hidden="1" x14ac:dyDescent="0.25">
      <c r="A2893" t="s">
        <v>2445</v>
      </c>
      <c r="B2893" t="s">
        <v>23</v>
      </c>
      <c r="C2893" s="2">
        <f>HYPERLINK("https://cao.dolgi.msk.ru/account/1080132955/", 1080132955)</f>
        <v>1080132955</v>
      </c>
      <c r="D2893" t="s">
        <v>2452</v>
      </c>
      <c r="G2893" t="s">
        <v>14</v>
      </c>
      <c r="I2893" t="s">
        <v>2409</v>
      </c>
    </row>
    <row r="2894" spans="1:9" hidden="1" x14ac:dyDescent="0.25">
      <c r="A2894" t="s">
        <v>2445</v>
      </c>
      <c r="B2894" t="s">
        <v>23</v>
      </c>
      <c r="C2894" s="2">
        <f>HYPERLINK("https://cao.dolgi.msk.ru/account/1083395312/", 1083395312)</f>
        <v>1083395312</v>
      </c>
      <c r="D2894" t="s">
        <v>2452</v>
      </c>
      <c r="E2894">
        <v>-6558.27</v>
      </c>
      <c r="F2894">
        <v>-1.01</v>
      </c>
      <c r="G2894" t="s">
        <v>12</v>
      </c>
      <c r="I2894" t="s">
        <v>2409</v>
      </c>
    </row>
    <row r="2895" spans="1:9" hidden="1" x14ac:dyDescent="0.25">
      <c r="A2895" t="s">
        <v>2445</v>
      </c>
      <c r="B2895" t="s">
        <v>24</v>
      </c>
      <c r="C2895" s="2">
        <f>HYPERLINK("https://cao.dolgi.msk.ru/account/1080132963/", 1080132963)</f>
        <v>1080132963</v>
      </c>
      <c r="D2895" t="s">
        <v>2453</v>
      </c>
      <c r="G2895" t="s">
        <v>14</v>
      </c>
      <c r="I2895" t="s">
        <v>2409</v>
      </c>
    </row>
    <row r="2896" spans="1:9" hidden="1" x14ac:dyDescent="0.25">
      <c r="A2896" t="s">
        <v>2445</v>
      </c>
      <c r="B2896" t="s">
        <v>24</v>
      </c>
      <c r="C2896" s="2">
        <f>HYPERLINK("https://cao.dolgi.msk.ru/account/1083395013/", 1083395013)</f>
        <v>1083395013</v>
      </c>
      <c r="D2896" t="s">
        <v>2453</v>
      </c>
      <c r="E2896">
        <v>-7992.18</v>
      </c>
      <c r="F2896">
        <v>-1.22</v>
      </c>
      <c r="G2896" t="s">
        <v>12</v>
      </c>
      <c r="I2896" t="s">
        <v>2409</v>
      </c>
    </row>
    <row r="2897" spans="1:9" hidden="1" x14ac:dyDescent="0.25">
      <c r="A2897" t="s">
        <v>2445</v>
      </c>
      <c r="B2897" t="s">
        <v>27</v>
      </c>
      <c r="C2897" s="2">
        <f>HYPERLINK("https://cao.dolgi.msk.ru/account/1080132971/", 1080132971)</f>
        <v>1080132971</v>
      </c>
      <c r="D2897" t="s">
        <v>2454</v>
      </c>
      <c r="E2897">
        <v>2120.9699999999998</v>
      </c>
      <c r="G2897" t="s">
        <v>14</v>
      </c>
      <c r="I2897" t="s">
        <v>2409</v>
      </c>
    </row>
    <row r="2898" spans="1:9" hidden="1" x14ac:dyDescent="0.25">
      <c r="A2898" t="s">
        <v>2445</v>
      </c>
      <c r="B2898" t="s">
        <v>27</v>
      </c>
      <c r="C2898" s="2">
        <f>HYPERLINK("https://cao.dolgi.msk.ru/account/1083395355/", 1083395355)</f>
        <v>1083395355</v>
      </c>
      <c r="D2898" t="s">
        <v>2454</v>
      </c>
      <c r="E2898">
        <v>-7743.14</v>
      </c>
      <c r="F2898">
        <v>-1.1499999999999999</v>
      </c>
      <c r="G2898" t="s">
        <v>12</v>
      </c>
      <c r="I2898" t="s">
        <v>2409</v>
      </c>
    </row>
    <row r="2899" spans="1:9" hidden="1" x14ac:dyDescent="0.25">
      <c r="A2899" t="s">
        <v>2445</v>
      </c>
      <c r="B2899" t="s">
        <v>29</v>
      </c>
      <c r="C2899" s="2">
        <f>HYPERLINK("https://cao.dolgi.msk.ru/account/1080132998/", 1080132998)</f>
        <v>1080132998</v>
      </c>
      <c r="D2899" t="s">
        <v>2455</v>
      </c>
      <c r="G2899" t="s">
        <v>14</v>
      </c>
      <c r="I2899" t="s">
        <v>2409</v>
      </c>
    </row>
    <row r="2900" spans="1:9" hidden="1" x14ac:dyDescent="0.25">
      <c r="A2900" t="s">
        <v>2445</v>
      </c>
      <c r="B2900" t="s">
        <v>29</v>
      </c>
      <c r="C2900" s="2">
        <f>HYPERLINK("https://cao.dolgi.msk.ru/account/1083395072/", 1083395072)</f>
        <v>1083395072</v>
      </c>
      <c r="D2900" t="s">
        <v>2455</v>
      </c>
      <c r="E2900">
        <v>-8793.9</v>
      </c>
      <c r="F2900">
        <v>-1.05</v>
      </c>
      <c r="G2900" t="s">
        <v>12</v>
      </c>
      <c r="I2900" t="s">
        <v>2409</v>
      </c>
    </row>
    <row r="2901" spans="1:9" hidden="1" x14ac:dyDescent="0.25">
      <c r="A2901" t="s">
        <v>2445</v>
      </c>
      <c r="B2901" t="s">
        <v>31</v>
      </c>
      <c r="C2901" s="2">
        <f>HYPERLINK("https://cao.dolgi.msk.ru/account/1080133018/", 1080133018)</f>
        <v>1080133018</v>
      </c>
      <c r="D2901" t="s">
        <v>2456</v>
      </c>
      <c r="G2901" t="s">
        <v>14</v>
      </c>
      <c r="I2901" t="s">
        <v>2409</v>
      </c>
    </row>
    <row r="2902" spans="1:9" hidden="1" x14ac:dyDescent="0.25">
      <c r="A2902" t="s">
        <v>2445</v>
      </c>
      <c r="B2902" t="s">
        <v>31</v>
      </c>
      <c r="C2902" s="2">
        <f>HYPERLINK("https://cao.dolgi.msk.ru/account/1083395232/", 1083395232)</f>
        <v>1083395232</v>
      </c>
      <c r="D2902" t="s">
        <v>2456</v>
      </c>
      <c r="E2902">
        <v>-7991.95</v>
      </c>
      <c r="F2902">
        <v>-1.28</v>
      </c>
      <c r="G2902" t="s">
        <v>12</v>
      </c>
      <c r="I2902" t="s">
        <v>2409</v>
      </c>
    </row>
    <row r="2903" spans="1:9" hidden="1" x14ac:dyDescent="0.25">
      <c r="A2903" t="s">
        <v>2445</v>
      </c>
      <c r="B2903" t="s">
        <v>33</v>
      </c>
      <c r="C2903" s="2">
        <f>HYPERLINK("https://cao.dolgi.msk.ru/account/1080133026/", 1080133026)</f>
        <v>1080133026</v>
      </c>
      <c r="D2903" t="s">
        <v>2457</v>
      </c>
      <c r="E2903">
        <v>0</v>
      </c>
      <c r="G2903" t="s">
        <v>14</v>
      </c>
      <c r="I2903" t="s">
        <v>2409</v>
      </c>
    </row>
    <row r="2904" spans="1:9" hidden="1" x14ac:dyDescent="0.25">
      <c r="A2904" t="s">
        <v>2445</v>
      </c>
      <c r="B2904" t="s">
        <v>33</v>
      </c>
      <c r="C2904" s="2">
        <f>HYPERLINK("https://cao.dolgi.msk.ru/account/1083395021/", 1083395021)</f>
        <v>1083395021</v>
      </c>
      <c r="D2904" t="s">
        <v>2457</v>
      </c>
      <c r="E2904">
        <v>-7935.32</v>
      </c>
      <c r="F2904">
        <v>-1.33</v>
      </c>
      <c r="G2904" t="s">
        <v>12</v>
      </c>
      <c r="I2904" t="s">
        <v>2409</v>
      </c>
    </row>
    <row r="2905" spans="1:9" hidden="1" x14ac:dyDescent="0.25">
      <c r="A2905" t="s">
        <v>2445</v>
      </c>
      <c r="B2905" t="s">
        <v>34</v>
      </c>
      <c r="C2905" s="2">
        <f>HYPERLINK("https://cao.dolgi.msk.ru/account/1080133034/", 1080133034)</f>
        <v>1080133034</v>
      </c>
      <c r="D2905" t="s">
        <v>2458</v>
      </c>
      <c r="E2905">
        <v>-788.97</v>
      </c>
      <c r="G2905" t="s">
        <v>14</v>
      </c>
      <c r="I2905" t="s">
        <v>2409</v>
      </c>
    </row>
    <row r="2906" spans="1:9" hidden="1" x14ac:dyDescent="0.25">
      <c r="A2906" t="s">
        <v>2445</v>
      </c>
      <c r="B2906" t="s">
        <v>34</v>
      </c>
      <c r="C2906" s="2">
        <f>HYPERLINK("https://cao.dolgi.msk.ru/account/1083395283/", 1083395283)</f>
        <v>1083395283</v>
      </c>
      <c r="D2906" t="s">
        <v>2458</v>
      </c>
      <c r="E2906">
        <v>-2758.28</v>
      </c>
      <c r="F2906">
        <v>-1.38</v>
      </c>
      <c r="G2906" t="s">
        <v>12</v>
      </c>
      <c r="I2906" t="s">
        <v>2409</v>
      </c>
    </row>
    <row r="2907" spans="1:9" hidden="1" x14ac:dyDescent="0.25">
      <c r="A2907" t="s">
        <v>2445</v>
      </c>
      <c r="B2907" t="s">
        <v>36</v>
      </c>
      <c r="C2907" s="2">
        <f>HYPERLINK("https://cao.dolgi.msk.ru/account/1080133042/", 1080133042)</f>
        <v>1080133042</v>
      </c>
      <c r="D2907" t="s">
        <v>2459</v>
      </c>
      <c r="G2907" t="s">
        <v>14</v>
      </c>
      <c r="I2907" t="s">
        <v>2409</v>
      </c>
    </row>
    <row r="2908" spans="1:9" hidden="1" x14ac:dyDescent="0.25">
      <c r="A2908" t="s">
        <v>2445</v>
      </c>
      <c r="B2908" t="s">
        <v>36</v>
      </c>
      <c r="C2908" s="2">
        <f>HYPERLINK("https://cao.dolgi.msk.ru/account/1083395187/", 1083395187)</f>
        <v>1083395187</v>
      </c>
      <c r="D2908" t="s">
        <v>2459</v>
      </c>
      <c r="E2908">
        <v>-5492.87</v>
      </c>
      <c r="F2908">
        <v>-1.1299999999999999</v>
      </c>
      <c r="G2908" t="s">
        <v>12</v>
      </c>
      <c r="I2908" t="s">
        <v>2409</v>
      </c>
    </row>
    <row r="2909" spans="1:9" hidden="1" x14ac:dyDescent="0.25">
      <c r="A2909" t="s">
        <v>2445</v>
      </c>
      <c r="B2909" t="s">
        <v>38</v>
      </c>
      <c r="C2909" s="2">
        <f>HYPERLINK("https://cao.dolgi.msk.ru/account/1080133069/", 1080133069)</f>
        <v>1080133069</v>
      </c>
      <c r="D2909" t="s">
        <v>2460</v>
      </c>
      <c r="E2909">
        <v>29032.77</v>
      </c>
      <c r="G2909" t="s">
        <v>14</v>
      </c>
      <c r="I2909" t="s">
        <v>2409</v>
      </c>
    </row>
    <row r="2910" spans="1:9" hidden="1" x14ac:dyDescent="0.25">
      <c r="A2910" t="s">
        <v>2445</v>
      </c>
      <c r="B2910" t="s">
        <v>38</v>
      </c>
      <c r="C2910" s="2">
        <f>HYPERLINK("https://cao.dolgi.msk.ru/account/1083395291/", 1083395291)</f>
        <v>1083395291</v>
      </c>
      <c r="D2910" t="s">
        <v>2460</v>
      </c>
      <c r="E2910">
        <v>-10010.93</v>
      </c>
      <c r="F2910">
        <v>-1.96</v>
      </c>
      <c r="G2910" t="s">
        <v>12</v>
      </c>
      <c r="I2910" t="s">
        <v>2409</v>
      </c>
    </row>
    <row r="2911" spans="1:9" hidden="1" x14ac:dyDescent="0.25">
      <c r="A2911" t="s">
        <v>2445</v>
      </c>
      <c r="B2911" t="s">
        <v>39</v>
      </c>
      <c r="C2911" s="2">
        <f>HYPERLINK("https://cao.dolgi.msk.ru/account/1080133077/", 1080133077)</f>
        <v>1080133077</v>
      </c>
      <c r="D2911" t="s">
        <v>2461</v>
      </c>
      <c r="E2911">
        <v>-3292.16</v>
      </c>
      <c r="G2911" t="s">
        <v>14</v>
      </c>
      <c r="I2911" t="s">
        <v>2409</v>
      </c>
    </row>
    <row r="2912" spans="1:9" hidden="1" x14ac:dyDescent="0.25">
      <c r="A2912" t="s">
        <v>2445</v>
      </c>
      <c r="B2912" t="s">
        <v>39</v>
      </c>
      <c r="C2912" s="2">
        <f>HYPERLINK("https://cao.dolgi.msk.ru/account/1083395371/", 1083395371)</f>
        <v>1083395371</v>
      </c>
      <c r="D2912" t="s">
        <v>2461</v>
      </c>
      <c r="E2912">
        <v>-6306.75</v>
      </c>
      <c r="F2912">
        <v>-1.2</v>
      </c>
      <c r="G2912" t="s">
        <v>12</v>
      </c>
      <c r="I2912" t="s">
        <v>2409</v>
      </c>
    </row>
    <row r="2913" spans="1:9" hidden="1" x14ac:dyDescent="0.25">
      <c r="A2913" t="s">
        <v>2445</v>
      </c>
      <c r="B2913" t="s">
        <v>40</v>
      </c>
      <c r="C2913" s="2">
        <f>HYPERLINK("https://cao.dolgi.msk.ru/account/1080133085/", 1080133085)</f>
        <v>1080133085</v>
      </c>
      <c r="D2913" t="s">
        <v>2462</v>
      </c>
      <c r="E2913">
        <v>4914.62</v>
      </c>
      <c r="G2913" t="s">
        <v>14</v>
      </c>
      <c r="I2913" t="s">
        <v>2409</v>
      </c>
    </row>
    <row r="2914" spans="1:9" hidden="1" x14ac:dyDescent="0.25">
      <c r="A2914" t="s">
        <v>2445</v>
      </c>
      <c r="B2914" t="s">
        <v>40</v>
      </c>
      <c r="C2914" s="2">
        <f>HYPERLINK("https://cao.dolgi.msk.ru/account/1083395099/", 1083395099)</f>
        <v>1083395099</v>
      </c>
      <c r="D2914" t="s">
        <v>2462</v>
      </c>
      <c r="E2914">
        <v>-6978.22</v>
      </c>
      <c r="F2914">
        <v>-1.23</v>
      </c>
      <c r="G2914" t="s">
        <v>12</v>
      </c>
      <c r="I2914" t="s">
        <v>2409</v>
      </c>
    </row>
    <row r="2915" spans="1:9" hidden="1" x14ac:dyDescent="0.25">
      <c r="A2915" t="s">
        <v>2445</v>
      </c>
      <c r="B2915" t="s">
        <v>41</v>
      </c>
      <c r="C2915" s="2">
        <f>HYPERLINK("https://cao.dolgi.msk.ru/account/1080133093/", 1080133093)</f>
        <v>1080133093</v>
      </c>
      <c r="D2915" t="s">
        <v>2463</v>
      </c>
      <c r="E2915">
        <v>-1256.46</v>
      </c>
      <c r="G2915" t="s">
        <v>14</v>
      </c>
      <c r="I2915" t="s">
        <v>2409</v>
      </c>
    </row>
    <row r="2916" spans="1:9" hidden="1" x14ac:dyDescent="0.25">
      <c r="A2916" t="s">
        <v>2445</v>
      </c>
      <c r="B2916" t="s">
        <v>41</v>
      </c>
      <c r="C2916" s="2">
        <f>HYPERLINK("https://cao.dolgi.msk.ru/account/1083395195/", 1083395195)</f>
        <v>1083395195</v>
      </c>
      <c r="D2916" t="s">
        <v>2463</v>
      </c>
      <c r="E2916">
        <v>-3901.55</v>
      </c>
      <c r="F2916">
        <v>-1.2</v>
      </c>
      <c r="G2916" t="s">
        <v>12</v>
      </c>
      <c r="I2916" t="s">
        <v>2409</v>
      </c>
    </row>
    <row r="2917" spans="1:9" hidden="1" x14ac:dyDescent="0.25">
      <c r="A2917" t="s">
        <v>2445</v>
      </c>
      <c r="B2917" t="s">
        <v>42</v>
      </c>
      <c r="C2917" s="2">
        <f>HYPERLINK("https://cao.dolgi.msk.ru/account/1080133106/", 1080133106)</f>
        <v>1080133106</v>
      </c>
      <c r="D2917" t="s">
        <v>2464</v>
      </c>
      <c r="G2917" t="s">
        <v>14</v>
      </c>
      <c r="I2917" t="s">
        <v>2409</v>
      </c>
    </row>
    <row r="2918" spans="1:9" hidden="1" x14ac:dyDescent="0.25">
      <c r="A2918" t="s">
        <v>2445</v>
      </c>
      <c r="B2918" t="s">
        <v>42</v>
      </c>
      <c r="C2918" s="2">
        <f>HYPERLINK("https://cao.dolgi.msk.ru/account/1083395208/", 1083395208)</f>
        <v>1083395208</v>
      </c>
      <c r="D2918" t="s">
        <v>2464</v>
      </c>
      <c r="E2918">
        <v>-7940.29</v>
      </c>
      <c r="F2918">
        <v>-1.1299999999999999</v>
      </c>
      <c r="G2918" t="s">
        <v>12</v>
      </c>
      <c r="I2918" t="s">
        <v>2409</v>
      </c>
    </row>
    <row r="2919" spans="1:9" hidden="1" x14ac:dyDescent="0.25">
      <c r="A2919" t="s">
        <v>2445</v>
      </c>
      <c r="B2919" t="s">
        <v>44</v>
      </c>
      <c r="C2919" s="2">
        <f>HYPERLINK("https://cao.dolgi.msk.ru/account/1080133114/", 1080133114)</f>
        <v>1080133114</v>
      </c>
      <c r="D2919" t="s">
        <v>2465</v>
      </c>
      <c r="G2919" t="s">
        <v>14</v>
      </c>
      <c r="I2919" t="s">
        <v>2409</v>
      </c>
    </row>
    <row r="2920" spans="1:9" hidden="1" x14ac:dyDescent="0.25">
      <c r="A2920" t="s">
        <v>2445</v>
      </c>
      <c r="B2920" t="s">
        <v>44</v>
      </c>
      <c r="C2920" s="2">
        <f>HYPERLINK("https://cao.dolgi.msk.ru/account/1083271918/", 1083271918)</f>
        <v>1083271918</v>
      </c>
      <c r="D2920" t="s">
        <v>15</v>
      </c>
      <c r="G2920" t="s">
        <v>14</v>
      </c>
      <c r="I2920" t="s">
        <v>2409</v>
      </c>
    </row>
    <row r="2921" spans="1:9" hidden="1" x14ac:dyDescent="0.25">
      <c r="A2921" t="s">
        <v>2445</v>
      </c>
      <c r="B2921" t="s">
        <v>44</v>
      </c>
      <c r="C2921" s="2">
        <f>HYPERLINK("https://cao.dolgi.msk.ru/account/1083395056/", 1083395056)</f>
        <v>1083395056</v>
      </c>
      <c r="D2921" t="s">
        <v>15</v>
      </c>
      <c r="E2921">
        <v>-3392.07</v>
      </c>
      <c r="F2921">
        <v>-1.25</v>
      </c>
      <c r="G2921" t="s">
        <v>12</v>
      </c>
      <c r="I2921" t="s">
        <v>2409</v>
      </c>
    </row>
    <row r="2922" spans="1:9" hidden="1" x14ac:dyDescent="0.25">
      <c r="A2922" t="s">
        <v>2445</v>
      </c>
      <c r="B2922" t="s">
        <v>44</v>
      </c>
      <c r="C2922" s="2">
        <f>HYPERLINK("https://cao.dolgi.msk.ru/account/1083395216/", 1083395216)</f>
        <v>1083395216</v>
      </c>
      <c r="D2922" t="s">
        <v>2465</v>
      </c>
      <c r="E2922">
        <v>-3470.52</v>
      </c>
      <c r="F2922">
        <v>-1.28</v>
      </c>
      <c r="G2922" t="s">
        <v>12</v>
      </c>
      <c r="I2922" t="s">
        <v>2409</v>
      </c>
    </row>
    <row r="2923" spans="1:9" hidden="1" x14ac:dyDescent="0.25">
      <c r="A2923" t="s">
        <v>2445</v>
      </c>
      <c r="B2923" t="s">
        <v>66</v>
      </c>
      <c r="C2923" s="2">
        <f>HYPERLINK("https://cao.dolgi.msk.ru/account/1080133122/", 1080133122)</f>
        <v>1080133122</v>
      </c>
      <c r="D2923" t="s">
        <v>2466</v>
      </c>
      <c r="E2923">
        <v>-52.51</v>
      </c>
      <c r="G2923" t="s">
        <v>14</v>
      </c>
      <c r="I2923" t="s">
        <v>2409</v>
      </c>
    </row>
    <row r="2924" spans="1:9" hidden="1" x14ac:dyDescent="0.25">
      <c r="A2924" t="s">
        <v>2445</v>
      </c>
      <c r="B2924" t="s">
        <v>66</v>
      </c>
      <c r="C2924" s="2">
        <f>HYPERLINK("https://cao.dolgi.msk.ru/account/1083395259/", 1083395259)</f>
        <v>1083395259</v>
      </c>
      <c r="D2924" t="s">
        <v>2466</v>
      </c>
      <c r="E2924">
        <v>-4817.9799999999996</v>
      </c>
      <c r="F2924">
        <v>-1.31</v>
      </c>
      <c r="G2924" t="s">
        <v>12</v>
      </c>
      <c r="I2924" t="s">
        <v>2409</v>
      </c>
    </row>
    <row r="2925" spans="1:9" hidden="1" x14ac:dyDescent="0.25">
      <c r="A2925" t="s">
        <v>2445</v>
      </c>
      <c r="B2925" t="s">
        <v>66</v>
      </c>
      <c r="C2925" s="2">
        <f>HYPERLINK("https://cao.dolgi.msk.ru/account/1083395267/", 1083395267)</f>
        <v>1083395267</v>
      </c>
      <c r="D2925" t="s">
        <v>2467</v>
      </c>
      <c r="E2925">
        <v>-2458.27</v>
      </c>
      <c r="F2925">
        <v>-1.25</v>
      </c>
      <c r="G2925" t="s">
        <v>12</v>
      </c>
      <c r="I2925" t="s">
        <v>2409</v>
      </c>
    </row>
    <row r="2926" spans="1:9" hidden="1" x14ac:dyDescent="0.25">
      <c r="A2926" t="s">
        <v>2445</v>
      </c>
      <c r="B2926" t="s">
        <v>66</v>
      </c>
      <c r="C2926" s="2">
        <f>HYPERLINK("https://cao.dolgi.msk.ru/account/1089123836/", 1089123836)</f>
        <v>1089123836</v>
      </c>
      <c r="D2926" t="s">
        <v>2467</v>
      </c>
      <c r="E2926">
        <v>-52.78</v>
      </c>
      <c r="G2926" t="s">
        <v>14</v>
      </c>
      <c r="I2926" t="s">
        <v>2409</v>
      </c>
    </row>
    <row r="2927" spans="1:9" hidden="1" x14ac:dyDescent="0.25">
      <c r="A2927" t="s">
        <v>2445</v>
      </c>
      <c r="B2927" t="s">
        <v>68</v>
      </c>
      <c r="C2927" s="2">
        <f>HYPERLINK("https://cao.dolgi.msk.ru/account/1080133149/", 1080133149)</f>
        <v>1080133149</v>
      </c>
      <c r="D2927" t="s">
        <v>2468</v>
      </c>
      <c r="E2927">
        <v>12344.46</v>
      </c>
      <c r="G2927" t="s">
        <v>14</v>
      </c>
      <c r="I2927" t="s">
        <v>2409</v>
      </c>
    </row>
    <row r="2928" spans="1:9" hidden="1" x14ac:dyDescent="0.25">
      <c r="A2928" t="s">
        <v>2445</v>
      </c>
      <c r="B2928" t="s">
        <v>68</v>
      </c>
      <c r="C2928" s="2">
        <f>HYPERLINK("https://cao.dolgi.msk.ru/account/1083395101/", 1083395101)</f>
        <v>1083395101</v>
      </c>
      <c r="D2928" t="s">
        <v>2468</v>
      </c>
      <c r="E2928">
        <v>-1855.43</v>
      </c>
      <c r="F2928">
        <v>-0.34</v>
      </c>
      <c r="G2928" t="s">
        <v>12</v>
      </c>
      <c r="I2928" t="s">
        <v>2409</v>
      </c>
    </row>
    <row r="2929" spans="1:9" hidden="1" x14ac:dyDescent="0.25">
      <c r="A2929" t="s">
        <v>2445</v>
      </c>
      <c r="B2929" t="s">
        <v>70</v>
      </c>
      <c r="C2929" s="2">
        <f>HYPERLINK("https://cao.dolgi.msk.ru/account/1080133157/", 1080133157)</f>
        <v>1080133157</v>
      </c>
      <c r="D2929" t="s">
        <v>2469</v>
      </c>
      <c r="E2929">
        <v>-8759.6</v>
      </c>
      <c r="G2929" t="s">
        <v>14</v>
      </c>
      <c r="I2929" t="s">
        <v>2409</v>
      </c>
    </row>
    <row r="2930" spans="1:9" hidden="1" x14ac:dyDescent="0.25">
      <c r="A2930" t="s">
        <v>2445</v>
      </c>
      <c r="B2930" t="s">
        <v>70</v>
      </c>
      <c r="C2930" s="2">
        <f>HYPERLINK("https://cao.dolgi.msk.ru/account/1083395128/", 1083395128)</f>
        <v>1083395128</v>
      </c>
      <c r="D2930" t="s">
        <v>2469</v>
      </c>
      <c r="E2930">
        <v>-11676.88</v>
      </c>
      <c r="F2930">
        <v>-1.19</v>
      </c>
      <c r="G2930" t="s">
        <v>12</v>
      </c>
      <c r="I2930" t="s">
        <v>2409</v>
      </c>
    </row>
    <row r="2931" spans="1:9" hidden="1" x14ac:dyDescent="0.25">
      <c r="A2931" t="s">
        <v>2445</v>
      </c>
      <c r="B2931" t="s">
        <v>72</v>
      </c>
      <c r="C2931" s="2">
        <f>HYPERLINK("https://cao.dolgi.msk.ru/account/1080133165/", 1080133165)</f>
        <v>1080133165</v>
      </c>
      <c r="D2931" t="s">
        <v>2470</v>
      </c>
      <c r="G2931" t="s">
        <v>14</v>
      </c>
      <c r="I2931" t="s">
        <v>2409</v>
      </c>
    </row>
    <row r="2932" spans="1:9" hidden="1" x14ac:dyDescent="0.25">
      <c r="A2932" t="s">
        <v>2445</v>
      </c>
      <c r="B2932" t="s">
        <v>72</v>
      </c>
      <c r="C2932" s="2">
        <f>HYPERLINK("https://cao.dolgi.msk.ru/account/1083395136/", 1083395136)</f>
        <v>1083395136</v>
      </c>
      <c r="D2932" t="s">
        <v>2470</v>
      </c>
      <c r="E2932">
        <v>-8040.04</v>
      </c>
      <c r="F2932">
        <v>-1.1399999999999999</v>
      </c>
      <c r="G2932" t="s">
        <v>12</v>
      </c>
      <c r="I2932" t="s">
        <v>2409</v>
      </c>
    </row>
    <row r="2933" spans="1:9" hidden="1" x14ac:dyDescent="0.25">
      <c r="A2933" t="s">
        <v>2445</v>
      </c>
      <c r="B2933" t="s">
        <v>74</v>
      </c>
      <c r="C2933" s="2">
        <f>HYPERLINK("https://cao.dolgi.msk.ru/account/1080133173/", 1080133173)</f>
        <v>1080133173</v>
      </c>
      <c r="D2933" t="s">
        <v>2471</v>
      </c>
      <c r="E2933">
        <v>12219.53</v>
      </c>
      <c r="G2933" t="s">
        <v>14</v>
      </c>
      <c r="I2933" t="s">
        <v>2409</v>
      </c>
    </row>
    <row r="2934" spans="1:9" hidden="1" x14ac:dyDescent="0.25">
      <c r="A2934" t="s">
        <v>2445</v>
      </c>
      <c r="B2934" t="s">
        <v>74</v>
      </c>
      <c r="C2934" s="2">
        <f>HYPERLINK("https://cao.dolgi.msk.ru/account/1083395048/", 1083395048)</f>
        <v>1083395048</v>
      </c>
      <c r="D2934" t="s">
        <v>2471</v>
      </c>
      <c r="E2934">
        <v>5496.68</v>
      </c>
      <c r="F2934">
        <v>0.86</v>
      </c>
      <c r="G2934" t="s">
        <v>12</v>
      </c>
      <c r="I2934" t="s">
        <v>2409</v>
      </c>
    </row>
    <row r="2935" spans="1:9" hidden="1" x14ac:dyDescent="0.25">
      <c r="A2935" t="s">
        <v>2445</v>
      </c>
      <c r="B2935" t="s">
        <v>76</v>
      </c>
      <c r="C2935" s="2">
        <f>HYPERLINK("https://cao.dolgi.msk.ru/account/1080133202/", 1080133202)</f>
        <v>1080133202</v>
      </c>
      <c r="D2935" t="s">
        <v>2472</v>
      </c>
      <c r="E2935">
        <v>744.92</v>
      </c>
      <c r="G2935" t="s">
        <v>14</v>
      </c>
      <c r="I2935" t="s">
        <v>2409</v>
      </c>
    </row>
    <row r="2936" spans="1:9" hidden="1" x14ac:dyDescent="0.25">
      <c r="A2936" t="s">
        <v>2445</v>
      </c>
      <c r="B2936" t="s">
        <v>76</v>
      </c>
      <c r="C2936" s="2">
        <f>HYPERLINK("https://cao.dolgi.msk.ru/account/1083395144/", 1083395144)</f>
        <v>1083395144</v>
      </c>
      <c r="D2936" t="s">
        <v>2472</v>
      </c>
      <c r="E2936">
        <v>-7970.11</v>
      </c>
      <c r="F2936">
        <v>-0.97</v>
      </c>
      <c r="G2936" t="s">
        <v>12</v>
      </c>
      <c r="I2936" t="s">
        <v>2409</v>
      </c>
    </row>
    <row r="2937" spans="1:9" hidden="1" x14ac:dyDescent="0.25">
      <c r="A2937" t="s">
        <v>2445</v>
      </c>
      <c r="B2937" t="s">
        <v>78</v>
      </c>
      <c r="C2937" s="2">
        <f>HYPERLINK("https://cao.dolgi.msk.ru/account/1080133229/", 1080133229)</f>
        <v>1080133229</v>
      </c>
      <c r="D2937" t="s">
        <v>2473</v>
      </c>
      <c r="E2937">
        <v>-443.45</v>
      </c>
      <c r="G2937" t="s">
        <v>14</v>
      </c>
      <c r="I2937" t="s">
        <v>2409</v>
      </c>
    </row>
    <row r="2938" spans="1:9" hidden="1" x14ac:dyDescent="0.25">
      <c r="A2938" t="s">
        <v>2445</v>
      </c>
      <c r="B2938" t="s">
        <v>78</v>
      </c>
      <c r="C2938" s="2">
        <f>HYPERLINK("https://cao.dolgi.msk.ru/account/1083395224/", 1083395224)</f>
        <v>1083395224</v>
      </c>
      <c r="D2938" t="s">
        <v>2473</v>
      </c>
      <c r="E2938">
        <v>0</v>
      </c>
      <c r="F2938">
        <v>0</v>
      </c>
      <c r="G2938" t="s">
        <v>12</v>
      </c>
      <c r="I2938" t="s">
        <v>2409</v>
      </c>
    </row>
    <row r="2939" spans="1:9" hidden="1" x14ac:dyDescent="0.25">
      <c r="A2939" t="s">
        <v>2445</v>
      </c>
      <c r="B2939" t="s">
        <v>80</v>
      </c>
      <c r="C2939" s="2">
        <f>HYPERLINK("https://cao.dolgi.msk.ru/account/1080133237/", 1080133237)</f>
        <v>1080133237</v>
      </c>
      <c r="D2939" t="s">
        <v>2474</v>
      </c>
      <c r="G2939" t="s">
        <v>14</v>
      </c>
      <c r="I2939" t="s">
        <v>2409</v>
      </c>
    </row>
    <row r="2940" spans="1:9" hidden="1" x14ac:dyDescent="0.25">
      <c r="A2940" t="s">
        <v>2445</v>
      </c>
      <c r="B2940" t="s">
        <v>80</v>
      </c>
      <c r="C2940" s="2">
        <f>HYPERLINK("https://cao.dolgi.msk.ru/account/1083395363/", 1083395363)</f>
        <v>1083395363</v>
      </c>
      <c r="D2940" t="s">
        <v>2474</v>
      </c>
      <c r="E2940">
        <v>-6445.21</v>
      </c>
      <c r="F2940">
        <v>-1.47</v>
      </c>
      <c r="G2940" t="s">
        <v>12</v>
      </c>
      <c r="I2940" t="s">
        <v>2409</v>
      </c>
    </row>
    <row r="2941" spans="1:9" hidden="1" x14ac:dyDescent="0.25">
      <c r="A2941" t="s">
        <v>2445</v>
      </c>
      <c r="B2941" t="s">
        <v>82</v>
      </c>
      <c r="C2941" s="2">
        <f>HYPERLINK("https://cao.dolgi.msk.ru/account/1080133245/", 1080133245)</f>
        <v>1080133245</v>
      </c>
      <c r="D2941" t="s">
        <v>2475</v>
      </c>
      <c r="E2941">
        <v>6552.17</v>
      </c>
      <c r="G2941" t="s">
        <v>14</v>
      </c>
      <c r="I2941" t="s">
        <v>2409</v>
      </c>
    </row>
    <row r="2942" spans="1:9" hidden="1" x14ac:dyDescent="0.25">
      <c r="A2942" t="s">
        <v>2445</v>
      </c>
      <c r="B2942" t="s">
        <v>82</v>
      </c>
      <c r="C2942" s="2">
        <f>HYPERLINK("https://cao.dolgi.msk.ru/account/1083395304/", 1083395304)</f>
        <v>1083395304</v>
      </c>
      <c r="D2942" t="s">
        <v>2475</v>
      </c>
      <c r="E2942">
        <v>-11279.75</v>
      </c>
      <c r="F2942">
        <v>-1.07</v>
      </c>
      <c r="G2942" t="s">
        <v>12</v>
      </c>
      <c r="I2942" t="s">
        <v>2409</v>
      </c>
    </row>
    <row r="2943" spans="1:9" hidden="1" x14ac:dyDescent="0.25">
      <c r="A2943" t="s">
        <v>2445</v>
      </c>
      <c r="B2943" t="s">
        <v>84</v>
      </c>
      <c r="C2943" s="2">
        <f>HYPERLINK("https://cao.dolgi.msk.ru/account/1080133253/", 1080133253)</f>
        <v>1080133253</v>
      </c>
      <c r="D2943" t="s">
        <v>2476</v>
      </c>
      <c r="E2943">
        <v>2626.3</v>
      </c>
      <c r="G2943" t="s">
        <v>14</v>
      </c>
      <c r="I2943" t="s">
        <v>2409</v>
      </c>
    </row>
    <row r="2944" spans="1:9" x14ac:dyDescent="0.25">
      <c r="A2944" t="s">
        <v>2445</v>
      </c>
      <c r="B2944" t="s">
        <v>84</v>
      </c>
      <c r="C2944" s="2">
        <f>HYPERLINK("https://cao.dolgi.msk.ru/account/1083395152/", 1083395152)</f>
        <v>1083395152</v>
      </c>
      <c r="D2944" t="s">
        <v>2476</v>
      </c>
      <c r="E2944">
        <v>5915.02</v>
      </c>
      <c r="F2944">
        <v>1.03</v>
      </c>
      <c r="G2944" t="s">
        <v>12</v>
      </c>
      <c r="I2944" t="s">
        <v>2409</v>
      </c>
    </row>
    <row r="2945" spans="1:9" hidden="1" x14ac:dyDescent="0.25">
      <c r="A2945" t="s">
        <v>2477</v>
      </c>
      <c r="B2945" t="s">
        <v>10</v>
      </c>
      <c r="C2945" s="2">
        <f>HYPERLINK("https://cao.dolgi.msk.ru/account/1080136366/", 1080136366)</f>
        <v>1080136366</v>
      </c>
      <c r="D2945" t="s">
        <v>2478</v>
      </c>
      <c r="E2945">
        <v>-17128.189999999999</v>
      </c>
      <c r="F2945">
        <v>-1.1399999999999999</v>
      </c>
      <c r="G2945" t="s">
        <v>12</v>
      </c>
      <c r="I2945" t="s">
        <v>2409</v>
      </c>
    </row>
    <row r="2946" spans="1:9" hidden="1" x14ac:dyDescent="0.25">
      <c r="A2946" t="s">
        <v>2477</v>
      </c>
      <c r="B2946" t="s">
        <v>16</v>
      </c>
      <c r="C2946" s="2">
        <f>HYPERLINK("https://cao.dolgi.msk.ru/account/1080136374/", 1080136374)</f>
        <v>1080136374</v>
      </c>
      <c r="D2946" t="s">
        <v>2479</v>
      </c>
      <c r="E2946">
        <v>-614.95000000000005</v>
      </c>
      <c r="F2946">
        <v>-0.1</v>
      </c>
      <c r="G2946" t="s">
        <v>12</v>
      </c>
      <c r="I2946" t="s">
        <v>2409</v>
      </c>
    </row>
    <row r="2947" spans="1:9" hidden="1" x14ac:dyDescent="0.25">
      <c r="A2947" t="s">
        <v>2477</v>
      </c>
      <c r="B2947" t="s">
        <v>16</v>
      </c>
      <c r="C2947" s="2">
        <f>HYPERLINK("https://cao.dolgi.msk.ru/account/1080322927/", 1080322927)</f>
        <v>1080322927</v>
      </c>
      <c r="D2947" t="s">
        <v>15</v>
      </c>
      <c r="G2947" t="s">
        <v>14</v>
      </c>
      <c r="I2947" t="s">
        <v>2409</v>
      </c>
    </row>
    <row r="2948" spans="1:9" hidden="1" x14ac:dyDescent="0.25">
      <c r="A2948" t="s">
        <v>2477</v>
      </c>
      <c r="B2948" t="s">
        <v>18</v>
      </c>
      <c r="C2948" s="2">
        <f>HYPERLINK("https://cao.dolgi.msk.ru/account/1080136382/", 1080136382)</f>
        <v>1080136382</v>
      </c>
      <c r="D2948" t="s">
        <v>2480</v>
      </c>
      <c r="E2948">
        <v>0</v>
      </c>
      <c r="F2948">
        <v>0</v>
      </c>
      <c r="G2948" t="s">
        <v>12</v>
      </c>
      <c r="I2948" t="s">
        <v>2409</v>
      </c>
    </row>
    <row r="2949" spans="1:9" hidden="1" x14ac:dyDescent="0.25">
      <c r="A2949" t="s">
        <v>2477</v>
      </c>
      <c r="B2949" t="s">
        <v>20</v>
      </c>
      <c r="C2949" s="2">
        <f>HYPERLINK("https://cao.dolgi.msk.ru/account/1080321211/", 1080321211)</f>
        <v>1080321211</v>
      </c>
      <c r="D2949" t="s">
        <v>2481</v>
      </c>
      <c r="E2949">
        <v>-6752.26</v>
      </c>
      <c r="F2949">
        <v>-1.27</v>
      </c>
      <c r="G2949" t="s">
        <v>12</v>
      </c>
      <c r="I2949" t="s">
        <v>2409</v>
      </c>
    </row>
    <row r="2950" spans="1:9" hidden="1" x14ac:dyDescent="0.25">
      <c r="A2950" t="s">
        <v>2477</v>
      </c>
      <c r="B2950" t="s">
        <v>21</v>
      </c>
      <c r="C2950" s="2">
        <f>HYPERLINK("https://cao.dolgi.msk.ru/account/1080136411/", 1080136411)</f>
        <v>1080136411</v>
      </c>
      <c r="D2950" t="s">
        <v>2482</v>
      </c>
      <c r="E2950">
        <v>-16199.75</v>
      </c>
      <c r="F2950">
        <v>-1.32</v>
      </c>
      <c r="G2950" t="s">
        <v>12</v>
      </c>
      <c r="I2950" t="s">
        <v>2409</v>
      </c>
    </row>
    <row r="2951" spans="1:9" hidden="1" x14ac:dyDescent="0.25">
      <c r="A2951" t="s">
        <v>2477</v>
      </c>
      <c r="B2951" t="s">
        <v>22</v>
      </c>
      <c r="C2951" s="2">
        <f>HYPERLINK("https://cao.dolgi.msk.ru/account/1080322062/", 1080322062)</f>
        <v>1080322062</v>
      </c>
      <c r="D2951" t="s">
        <v>2479</v>
      </c>
      <c r="E2951">
        <v>-1406.11</v>
      </c>
      <c r="F2951">
        <v>-0.18</v>
      </c>
      <c r="G2951" t="s">
        <v>12</v>
      </c>
      <c r="I2951" t="s">
        <v>2409</v>
      </c>
    </row>
    <row r="2952" spans="1:9" hidden="1" x14ac:dyDescent="0.25">
      <c r="A2952" t="s">
        <v>2477</v>
      </c>
      <c r="B2952" t="s">
        <v>23</v>
      </c>
      <c r="C2952" s="2">
        <f>HYPERLINK("https://cao.dolgi.msk.ru/account/1080136446/", 1080136446)</f>
        <v>1080136446</v>
      </c>
      <c r="D2952" t="s">
        <v>2483</v>
      </c>
      <c r="E2952">
        <v>-14544.71</v>
      </c>
      <c r="F2952">
        <v>-1.07</v>
      </c>
      <c r="G2952" t="s">
        <v>12</v>
      </c>
      <c r="I2952" t="s">
        <v>2409</v>
      </c>
    </row>
    <row r="2953" spans="1:9" hidden="1" x14ac:dyDescent="0.25">
      <c r="A2953" t="s">
        <v>2477</v>
      </c>
      <c r="B2953" t="s">
        <v>24</v>
      </c>
      <c r="C2953" s="2">
        <f>HYPERLINK("https://cao.dolgi.msk.ru/account/1080136454/", 1080136454)</f>
        <v>1080136454</v>
      </c>
      <c r="D2953" t="s">
        <v>2484</v>
      </c>
      <c r="E2953">
        <v>-13887.05</v>
      </c>
      <c r="F2953">
        <v>-1.19</v>
      </c>
      <c r="G2953" t="s">
        <v>12</v>
      </c>
      <c r="I2953" t="s">
        <v>2409</v>
      </c>
    </row>
    <row r="2954" spans="1:9" x14ac:dyDescent="0.25">
      <c r="A2954" t="s">
        <v>2477</v>
      </c>
      <c r="B2954" t="s">
        <v>27</v>
      </c>
      <c r="C2954" s="2">
        <f>HYPERLINK("https://cao.dolgi.msk.ru/account/1080136462/", 1080136462)</f>
        <v>1080136462</v>
      </c>
      <c r="D2954" t="s">
        <v>2485</v>
      </c>
      <c r="E2954">
        <v>21381.5</v>
      </c>
      <c r="F2954">
        <v>2.1</v>
      </c>
      <c r="G2954" t="s">
        <v>12</v>
      </c>
      <c r="I2954" t="s">
        <v>2409</v>
      </c>
    </row>
    <row r="2955" spans="1:9" hidden="1" x14ac:dyDescent="0.25">
      <c r="A2955" t="s">
        <v>2477</v>
      </c>
      <c r="B2955" t="s">
        <v>29</v>
      </c>
      <c r="C2955" s="2">
        <f>HYPERLINK("https://cao.dolgi.msk.ru/account/1080136489/", 1080136489)</f>
        <v>1080136489</v>
      </c>
      <c r="D2955" t="s">
        <v>2486</v>
      </c>
      <c r="E2955">
        <v>-6562.07</v>
      </c>
      <c r="F2955">
        <v>-1.1399999999999999</v>
      </c>
      <c r="G2955" t="s">
        <v>12</v>
      </c>
      <c r="I2955" t="s">
        <v>2409</v>
      </c>
    </row>
    <row r="2956" spans="1:9" hidden="1" x14ac:dyDescent="0.25">
      <c r="A2956" t="s">
        <v>2477</v>
      </c>
      <c r="B2956" t="s">
        <v>31</v>
      </c>
      <c r="C2956" s="2">
        <f>HYPERLINK("https://cao.dolgi.msk.ru/account/1080136497/", 1080136497)</f>
        <v>1080136497</v>
      </c>
      <c r="D2956" t="s">
        <v>2487</v>
      </c>
      <c r="E2956">
        <v>-16726.22</v>
      </c>
      <c r="F2956">
        <v>-1.28</v>
      </c>
      <c r="G2956" t="s">
        <v>12</v>
      </c>
      <c r="I2956" t="s">
        <v>2409</v>
      </c>
    </row>
    <row r="2957" spans="1:9" hidden="1" x14ac:dyDescent="0.25">
      <c r="A2957" t="s">
        <v>2477</v>
      </c>
      <c r="B2957" t="s">
        <v>33</v>
      </c>
      <c r="C2957" s="2">
        <f>HYPERLINK("https://cao.dolgi.msk.ru/account/1080136518/", 1080136518)</f>
        <v>1080136518</v>
      </c>
      <c r="D2957" t="s">
        <v>2488</v>
      </c>
      <c r="E2957">
        <v>-11977.64</v>
      </c>
      <c r="F2957">
        <v>-1.1000000000000001</v>
      </c>
      <c r="G2957" t="s">
        <v>12</v>
      </c>
      <c r="I2957" t="s">
        <v>2409</v>
      </c>
    </row>
    <row r="2958" spans="1:9" hidden="1" x14ac:dyDescent="0.25">
      <c r="A2958" t="s">
        <v>2477</v>
      </c>
      <c r="B2958" t="s">
        <v>34</v>
      </c>
      <c r="C2958" s="2">
        <f>HYPERLINK("https://cao.dolgi.msk.ru/account/1080136526/", 1080136526)</f>
        <v>1080136526</v>
      </c>
      <c r="D2958" t="s">
        <v>2489</v>
      </c>
      <c r="E2958">
        <v>-13471.44</v>
      </c>
      <c r="F2958">
        <v>-1.54</v>
      </c>
      <c r="G2958" t="s">
        <v>12</v>
      </c>
      <c r="I2958" t="s">
        <v>2409</v>
      </c>
    </row>
    <row r="2959" spans="1:9" hidden="1" x14ac:dyDescent="0.25">
      <c r="A2959" t="s">
        <v>2477</v>
      </c>
      <c r="B2959" t="s">
        <v>36</v>
      </c>
      <c r="C2959" s="2">
        <f>HYPERLINK("https://cao.dolgi.msk.ru/account/1080136534/", 1080136534)</f>
        <v>1080136534</v>
      </c>
      <c r="D2959" t="s">
        <v>2490</v>
      </c>
      <c r="E2959">
        <v>0</v>
      </c>
      <c r="G2959" t="s">
        <v>14</v>
      </c>
      <c r="I2959" t="s">
        <v>2409</v>
      </c>
    </row>
    <row r="2960" spans="1:9" hidden="1" x14ac:dyDescent="0.25">
      <c r="A2960" t="s">
        <v>2477</v>
      </c>
      <c r="B2960" t="s">
        <v>36</v>
      </c>
      <c r="C2960" s="2">
        <f>HYPERLINK("https://cao.dolgi.msk.ru/account/1083273833/", 1083273833)</f>
        <v>1083273833</v>
      </c>
      <c r="D2960" t="s">
        <v>1082</v>
      </c>
      <c r="E2960">
        <v>0</v>
      </c>
      <c r="F2960">
        <v>0</v>
      </c>
      <c r="G2960" t="s">
        <v>12</v>
      </c>
      <c r="I2960" t="s">
        <v>2409</v>
      </c>
    </row>
    <row r="2961" spans="1:9" hidden="1" x14ac:dyDescent="0.25">
      <c r="A2961" t="s">
        <v>2477</v>
      </c>
      <c r="B2961" t="s">
        <v>38</v>
      </c>
      <c r="C2961" s="2">
        <f>HYPERLINK("https://cao.dolgi.msk.ru/account/1080136542/", 1080136542)</f>
        <v>1080136542</v>
      </c>
      <c r="D2961" t="s">
        <v>2491</v>
      </c>
      <c r="E2961">
        <v>-1253.4000000000001</v>
      </c>
      <c r="F2961">
        <v>-0.11</v>
      </c>
      <c r="G2961" t="s">
        <v>12</v>
      </c>
      <c r="I2961" t="s">
        <v>2409</v>
      </c>
    </row>
    <row r="2962" spans="1:9" hidden="1" x14ac:dyDescent="0.25">
      <c r="A2962" t="s">
        <v>2492</v>
      </c>
      <c r="B2962" t="s">
        <v>18</v>
      </c>
      <c r="C2962" s="2">
        <f>HYPERLINK("https://cao.dolgi.msk.ru/account/1080125333/", 1080125333)</f>
        <v>1080125333</v>
      </c>
      <c r="D2962" t="s">
        <v>15</v>
      </c>
      <c r="G2962" t="s">
        <v>14</v>
      </c>
      <c r="I2962" t="s">
        <v>2409</v>
      </c>
    </row>
    <row r="2963" spans="1:9" hidden="1" x14ac:dyDescent="0.25">
      <c r="A2963" t="s">
        <v>2492</v>
      </c>
      <c r="B2963" t="s">
        <v>18</v>
      </c>
      <c r="C2963" s="2">
        <f>HYPERLINK("https://cao.dolgi.msk.ru/account/1080125341/", 1080125341)</f>
        <v>1080125341</v>
      </c>
      <c r="D2963" t="s">
        <v>2493</v>
      </c>
      <c r="E2963">
        <v>-8327.59</v>
      </c>
      <c r="F2963">
        <v>-0.82</v>
      </c>
      <c r="G2963" t="s">
        <v>12</v>
      </c>
      <c r="I2963" t="s">
        <v>2409</v>
      </c>
    </row>
    <row r="2964" spans="1:9" hidden="1" x14ac:dyDescent="0.25">
      <c r="A2964" t="s">
        <v>2492</v>
      </c>
      <c r="B2964" t="s">
        <v>18</v>
      </c>
      <c r="C2964" s="2">
        <f>HYPERLINK("https://cao.dolgi.msk.ru/account/1080125368/", 1080125368)</f>
        <v>1080125368</v>
      </c>
      <c r="D2964" t="s">
        <v>15</v>
      </c>
      <c r="G2964" t="s">
        <v>14</v>
      </c>
      <c r="I2964" t="s">
        <v>2409</v>
      </c>
    </row>
    <row r="2965" spans="1:9" hidden="1" x14ac:dyDescent="0.25">
      <c r="A2965" t="s">
        <v>2492</v>
      </c>
      <c r="B2965" t="s">
        <v>18</v>
      </c>
      <c r="C2965" s="2">
        <f>HYPERLINK("https://cao.dolgi.msk.ru/account/1080125376/", 1080125376)</f>
        <v>1080125376</v>
      </c>
      <c r="D2965" t="s">
        <v>15</v>
      </c>
      <c r="G2965" t="s">
        <v>14</v>
      </c>
      <c r="I2965" t="s">
        <v>2409</v>
      </c>
    </row>
    <row r="2966" spans="1:9" hidden="1" x14ac:dyDescent="0.25">
      <c r="A2966" t="s">
        <v>2492</v>
      </c>
      <c r="B2966" t="s">
        <v>20</v>
      </c>
      <c r="C2966" s="2">
        <f>HYPERLINK("https://cao.dolgi.msk.ru/account/1080125392/", 1080125392)</f>
        <v>1080125392</v>
      </c>
      <c r="D2966" t="s">
        <v>2494</v>
      </c>
      <c r="E2966">
        <v>-2949.84</v>
      </c>
      <c r="F2966">
        <v>-1.1000000000000001</v>
      </c>
      <c r="G2966" t="s">
        <v>12</v>
      </c>
      <c r="H2966" t="s">
        <v>7</v>
      </c>
      <c r="I2966" t="s">
        <v>2409</v>
      </c>
    </row>
    <row r="2967" spans="1:9" hidden="1" x14ac:dyDescent="0.25">
      <c r="A2967" t="s">
        <v>2492</v>
      </c>
      <c r="B2967" t="s">
        <v>20</v>
      </c>
      <c r="C2967" s="2">
        <f>HYPERLINK("https://cao.dolgi.msk.ru/account/1080125405/", 1080125405)</f>
        <v>1080125405</v>
      </c>
      <c r="D2967" t="s">
        <v>2494</v>
      </c>
      <c r="E2967">
        <v>-2285.75</v>
      </c>
      <c r="F2967">
        <v>-1.28</v>
      </c>
      <c r="G2967" t="s">
        <v>12</v>
      </c>
      <c r="H2967" t="s">
        <v>7</v>
      </c>
      <c r="I2967" t="s">
        <v>2409</v>
      </c>
    </row>
    <row r="2968" spans="1:9" hidden="1" x14ac:dyDescent="0.25">
      <c r="A2968" t="s">
        <v>2492</v>
      </c>
      <c r="B2968" t="s">
        <v>20</v>
      </c>
      <c r="C2968" s="2">
        <f>HYPERLINK("https://cao.dolgi.msk.ru/account/1080126416/", 1080126416)</f>
        <v>1080126416</v>
      </c>
      <c r="D2968" t="s">
        <v>2494</v>
      </c>
      <c r="E2968">
        <v>-83.32</v>
      </c>
      <c r="F2968">
        <v>-0.01</v>
      </c>
      <c r="G2968" t="s">
        <v>12</v>
      </c>
      <c r="H2968" t="s">
        <v>7</v>
      </c>
      <c r="I2968" t="s">
        <v>2409</v>
      </c>
    </row>
    <row r="2969" spans="1:9" hidden="1" x14ac:dyDescent="0.25">
      <c r="A2969" t="s">
        <v>2492</v>
      </c>
      <c r="B2969" t="s">
        <v>21</v>
      </c>
      <c r="C2969" s="2">
        <f>HYPERLINK("https://cao.dolgi.msk.ru/account/1080125413/", 1080125413)</f>
        <v>1080125413</v>
      </c>
      <c r="D2969" t="s">
        <v>2495</v>
      </c>
      <c r="E2969">
        <v>-13062.8</v>
      </c>
      <c r="F2969">
        <v>-1.1299999999999999</v>
      </c>
      <c r="G2969" t="s">
        <v>12</v>
      </c>
      <c r="I2969" t="s">
        <v>2409</v>
      </c>
    </row>
    <row r="2970" spans="1:9" hidden="1" x14ac:dyDescent="0.25">
      <c r="A2970" t="s">
        <v>2492</v>
      </c>
      <c r="B2970" t="s">
        <v>22</v>
      </c>
      <c r="C2970" s="2">
        <f>HYPERLINK("https://cao.dolgi.msk.ru/account/1080125421/", 1080125421)</f>
        <v>1080125421</v>
      </c>
      <c r="D2970" t="s">
        <v>2496</v>
      </c>
      <c r="E2970">
        <v>-11038.01</v>
      </c>
      <c r="F2970">
        <v>-0.9</v>
      </c>
      <c r="G2970" t="s">
        <v>12</v>
      </c>
      <c r="I2970" t="s">
        <v>2409</v>
      </c>
    </row>
    <row r="2971" spans="1:9" hidden="1" x14ac:dyDescent="0.25">
      <c r="A2971" t="s">
        <v>2492</v>
      </c>
      <c r="B2971" t="s">
        <v>23</v>
      </c>
      <c r="C2971" s="2">
        <f>HYPERLINK("https://cao.dolgi.msk.ru/account/1080125464/", 1080125464)</f>
        <v>1080125464</v>
      </c>
      <c r="D2971" t="s">
        <v>2497</v>
      </c>
      <c r="E2971">
        <v>-3088.72</v>
      </c>
      <c r="F2971">
        <v>-1.39</v>
      </c>
      <c r="G2971" t="s">
        <v>12</v>
      </c>
      <c r="H2971" t="s">
        <v>7</v>
      </c>
      <c r="I2971" t="s">
        <v>2409</v>
      </c>
    </row>
    <row r="2972" spans="1:9" hidden="1" x14ac:dyDescent="0.25">
      <c r="A2972" t="s">
        <v>2492</v>
      </c>
      <c r="B2972" t="s">
        <v>23</v>
      </c>
      <c r="C2972" s="2">
        <f>HYPERLINK("https://cao.dolgi.msk.ru/account/1080125472/", 1080125472)</f>
        <v>1080125472</v>
      </c>
      <c r="D2972" t="s">
        <v>2498</v>
      </c>
      <c r="E2972">
        <v>-3110.21</v>
      </c>
      <c r="F2972">
        <v>-1.06</v>
      </c>
      <c r="G2972" t="s">
        <v>12</v>
      </c>
      <c r="H2972" t="s">
        <v>7</v>
      </c>
      <c r="I2972" t="s">
        <v>2409</v>
      </c>
    </row>
    <row r="2973" spans="1:9" hidden="1" x14ac:dyDescent="0.25">
      <c r="A2973" t="s">
        <v>2492</v>
      </c>
      <c r="B2973" t="s">
        <v>23</v>
      </c>
      <c r="C2973" s="2">
        <f>HYPERLINK("https://cao.dolgi.msk.ru/account/1080125499/", 1080125499)</f>
        <v>1080125499</v>
      </c>
      <c r="D2973" t="s">
        <v>2498</v>
      </c>
      <c r="E2973">
        <v>-2725.69</v>
      </c>
      <c r="F2973">
        <v>-1.01</v>
      </c>
      <c r="G2973" t="s">
        <v>12</v>
      </c>
      <c r="H2973" t="s">
        <v>7</v>
      </c>
      <c r="I2973" t="s">
        <v>2409</v>
      </c>
    </row>
    <row r="2974" spans="1:9" hidden="1" x14ac:dyDescent="0.25">
      <c r="A2974" t="s">
        <v>2492</v>
      </c>
      <c r="B2974" t="s">
        <v>23</v>
      </c>
      <c r="C2974" s="2">
        <f>HYPERLINK("https://cao.dolgi.msk.ru/account/1080125501/", 1080125501)</f>
        <v>1080125501</v>
      </c>
      <c r="D2974" t="s">
        <v>2498</v>
      </c>
      <c r="E2974">
        <v>-9.6999999999999993</v>
      </c>
      <c r="F2974">
        <v>0</v>
      </c>
      <c r="G2974" t="s">
        <v>12</v>
      </c>
      <c r="H2974" t="s">
        <v>7</v>
      </c>
      <c r="I2974" t="s">
        <v>2409</v>
      </c>
    </row>
    <row r="2975" spans="1:9" hidden="1" x14ac:dyDescent="0.25">
      <c r="A2975" t="s">
        <v>2492</v>
      </c>
      <c r="B2975" t="s">
        <v>23</v>
      </c>
      <c r="C2975" s="2">
        <f>HYPERLINK("https://cao.dolgi.msk.ru/account/1083399559/", 1083399559)</f>
        <v>1083399559</v>
      </c>
      <c r="D2975" t="s">
        <v>189</v>
      </c>
      <c r="E2975">
        <v>-4279.32</v>
      </c>
      <c r="F2975">
        <v>-1.1000000000000001</v>
      </c>
      <c r="G2975" t="s">
        <v>12</v>
      </c>
      <c r="H2975" t="s">
        <v>7</v>
      </c>
      <c r="I2975" t="s">
        <v>2409</v>
      </c>
    </row>
    <row r="2976" spans="1:9" hidden="1" x14ac:dyDescent="0.25">
      <c r="A2976" t="s">
        <v>2492</v>
      </c>
      <c r="B2976" t="s">
        <v>24</v>
      </c>
      <c r="C2976" s="2">
        <f>HYPERLINK("https://cao.dolgi.msk.ru/account/1080125536/", 1080125536)</f>
        <v>1080125536</v>
      </c>
      <c r="D2976" t="s">
        <v>2499</v>
      </c>
      <c r="E2976">
        <v>-11839.88</v>
      </c>
      <c r="F2976">
        <v>-0.94</v>
      </c>
      <c r="G2976" t="s">
        <v>12</v>
      </c>
      <c r="I2976" t="s">
        <v>2409</v>
      </c>
    </row>
    <row r="2977" spans="1:9" hidden="1" x14ac:dyDescent="0.25">
      <c r="A2977" t="s">
        <v>2492</v>
      </c>
      <c r="B2977" t="s">
        <v>31</v>
      </c>
      <c r="C2977" s="2">
        <f>HYPERLINK("https://cao.dolgi.msk.ru/account/1080125587/", 1080125587)</f>
        <v>1080125587</v>
      </c>
      <c r="D2977" t="s">
        <v>2500</v>
      </c>
      <c r="G2977" t="s">
        <v>14</v>
      </c>
      <c r="I2977" t="s">
        <v>2409</v>
      </c>
    </row>
    <row r="2978" spans="1:9" hidden="1" x14ac:dyDescent="0.25">
      <c r="A2978" t="s">
        <v>2492</v>
      </c>
      <c r="B2978" t="s">
        <v>31</v>
      </c>
      <c r="C2978" s="2">
        <f>HYPERLINK("https://cao.dolgi.msk.ru/account/1080125595/", 1080125595)</f>
        <v>1080125595</v>
      </c>
      <c r="D2978" t="s">
        <v>2500</v>
      </c>
      <c r="E2978">
        <v>0</v>
      </c>
      <c r="F2978">
        <v>0</v>
      </c>
      <c r="G2978" t="s">
        <v>12</v>
      </c>
      <c r="I2978" t="s">
        <v>2409</v>
      </c>
    </row>
    <row r="2979" spans="1:9" hidden="1" x14ac:dyDescent="0.25">
      <c r="A2979" t="s">
        <v>2492</v>
      </c>
      <c r="B2979" t="s">
        <v>33</v>
      </c>
      <c r="C2979" s="2">
        <f>HYPERLINK("https://cao.dolgi.msk.ru/account/1080125624/", 1080125624)</f>
        <v>1080125624</v>
      </c>
      <c r="D2979" t="s">
        <v>736</v>
      </c>
      <c r="E2979">
        <v>0</v>
      </c>
      <c r="F2979">
        <v>0</v>
      </c>
      <c r="G2979" t="s">
        <v>12</v>
      </c>
      <c r="H2979" t="s">
        <v>7</v>
      </c>
      <c r="I2979" t="s">
        <v>2409</v>
      </c>
    </row>
    <row r="2980" spans="1:9" hidden="1" x14ac:dyDescent="0.25">
      <c r="A2980" t="s">
        <v>2492</v>
      </c>
      <c r="B2980" t="s">
        <v>33</v>
      </c>
      <c r="C2980" s="2">
        <f>HYPERLINK("https://cao.dolgi.msk.ru/account/1080125632/", 1080125632)</f>
        <v>1080125632</v>
      </c>
      <c r="D2980" t="s">
        <v>736</v>
      </c>
      <c r="E2980">
        <v>-3228.54</v>
      </c>
      <c r="F2980">
        <v>-1.02</v>
      </c>
      <c r="G2980" t="s">
        <v>12</v>
      </c>
      <c r="H2980" t="s">
        <v>7</v>
      </c>
      <c r="I2980" t="s">
        <v>2409</v>
      </c>
    </row>
    <row r="2981" spans="1:9" hidden="1" x14ac:dyDescent="0.25">
      <c r="A2981" t="s">
        <v>2492</v>
      </c>
      <c r="B2981" t="s">
        <v>33</v>
      </c>
      <c r="C2981" s="2">
        <f>HYPERLINK("https://cao.dolgi.msk.ru/account/1080126432/", 1080126432)</f>
        <v>1080126432</v>
      </c>
      <c r="D2981" t="s">
        <v>736</v>
      </c>
      <c r="E2981">
        <v>-5931.45</v>
      </c>
      <c r="F2981">
        <v>-0.99</v>
      </c>
      <c r="G2981" t="s">
        <v>12</v>
      </c>
      <c r="H2981" t="s">
        <v>7</v>
      </c>
      <c r="I2981" t="s">
        <v>2409</v>
      </c>
    </row>
    <row r="2982" spans="1:9" hidden="1" x14ac:dyDescent="0.25">
      <c r="A2982" t="s">
        <v>2492</v>
      </c>
      <c r="B2982" t="s">
        <v>33</v>
      </c>
      <c r="C2982" s="2">
        <f>HYPERLINK("https://cao.dolgi.msk.ru/account/1083318456/", 1083318456)</f>
        <v>1083318456</v>
      </c>
      <c r="D2982" t="s">
        <v>736</v>
      </c>
      <c r="E2982">
        <v>-4086.1</v>
      </c>
      <c r="F2982">
        <v>-1.07</v>
      </c>
      <c r="G2982" t="s">
        <v>12</v>
      </c>
      <c r="H2982" t="s">
        <v>7</v>
      </c>
      <c r="I2982" t="s">
        <v>2409</v>
      </c>
    </row>
    <row r="2983" spans="1:9" hidden="1" x14ac:dyDescent="0.25">
      <c r="A2983" t="s">
        <v>2492</v>
      </c>
      <c r="B2983" t="s">
        <v>34</v>
      </c>
      <c r="C2983" s="2">
        <f>HYPERLINK("https://cao.dolgi.msk.ru/account/1080125659/", 1080125659)</f>
        <v>1080125659</v>
      </c>
      <c r="D2983" t="s">
        <v>2501</v>
      </c>
      <c r="E2983">
        <v>12175.68</v>
      </c>
      <c r="F2983">
        <v>0.97</v>
      </c>
      <c r="G2983" t="s">
        <v>12</v>
      </c>
      <c r="I2983" t="s">
        <v>2409</v>
      </c>
    </row>
    <row r="2984" spans="1:9" hidden="1" x14ac:dyDescent="0.25">
      <c r="A2984" t="s">
        <v>2492</v>
      </c>
      <c r="B2984" t="s">
        <v>36</v>
      </c>
      <c r="C2984" s="2">
        <f>HYPERLINK("https://cao.dolgi.msk.ru/account/1080125667/", 1080125667)</f>
        <v>1080125667</v>
      </c>
      <c r="D2984" t="s">
        <v>2502</v>
      </c>
      <c r="E2984">
        <v>866.66</v>
      </c>
      <c r="G2984" t="s">
        <v>14</v>
      </c>
      <c r="I2984" t="s">
        <v>2409</v>
      </c>
    </row>
    <row r="2985" spans="1:9" hidden="1" x14ac:dyDescent="0.25">
      <c r="A2985" t="s">
        <v>2492</v>
      </c>
      <c r="B2985" t="s">
        <v>36</v>
      </c>
      <c r="C2985" s="2">
        <f>HYPERLINK("https://cao.dolgi.msk.ru/account/1080125675/", 1080125675)</f>
        <v>1080125675</v>
      </c>
      <c r="D2985" t="s">
        <v>2502</v>
      </c>
      <c r="E2985">
        <v>169.72</v>
      </c>
      <c r="G2985" t="s">
        <v>14</v>
      </c>
      <c r="I2985" t="s">
        <v>2409</v>
      </c>
    </row>
    <row r="2986" spans="1:9" x14ac:dyDescent="0.25">
      <c r="A2986" t="s">
        <v>2492</v>
      </c>
      <c r="B2986" t="s">
        <v>36</v>
      </c>
      <c r="C2986" s="2">
        <f>HYPERLINK("https://cao.dolgi.msk.ru/account/1080125683/", 1080125683)</f>
        <v>1080125683</v>
      </c>
      <c r="D2986" t="s">
        <v>2502</v>
      </c>
      <c r="E2986">
        <v>20146.560000000001</v>
      </c>
      <c r="F2986">
        <v>1.1100000000000001</v>
      </c>
      <c r="G2986" t="s">
        <v>12</v>
      </c>
      <c r="I2986" t="s">
        <v>2409</v>
      </c>
    </row>
    <row r="2987" spans="1:9" hidden="1" x14ac:dyDescent="0.25">
      <c r="A2987" t="s">
        <v>2492</v>
      </c>
      <c r="B2987" t="s">
        <v>36</v>
      </c>
      <c r="C2987" s="2">
        <f>HYPERLINK("https://cao.dolgi.msk.ru/account/1080126424/", 1080126424)</f>
        <v>1080126424</v>
      </c>
      <c r="D2987" t="s">
        <v>2503</v>
      </c>
      <c r="E2987">
        <v>1588.59</v>
      </c>
      <c r="G2987" t="s">
        <v>14</v>
      </c>
      <c r="I2987" t="s">
        <v>2409</v>
      </c>
    </row>
    <row r="2988" spans="1:9" hidden="1" x14ac:dyDescent="0.25">
      <c r="A2988" t="s">
        <v>2492</v>
      </c>
      <c r="B2988" t="s">
        <v>36</v>
      </c>
      <c r="C2988" s="2">
        <f>HYPERLINK("https://cao.dolgi.msk.ru/account/1083272208/", 1083272208)</f>
        <v>1083272208</v>
      </c>
      <c r="D2988" t="s">
        <v>2502</v>
      </c>
      <c r="E2988">
        <v>1279.43</v>
      </c>
      <c r="G2988" t="s">
        <v>14</v>
      </c>
      <c r="I2988" t="s">
        <v>2409</v>
      </c>
    </row>
    <row r="2989" spans="1:9" hidden="1" x14ac:dyDescent="0.25">
      <c r="A2989" t="s">
        <v>2492</v>
      </c>
      <c r="B2989" t="s">
        <v>38</v>
      </c>
      <c r="C2989" s="2">
        <f>HYPERLINK("https://cao.dolgi.msk.ru/account/1080125691/", 1080125691)</f>
        <v>1080125691</v>
      </c>
      <c r="D2989" t="s">
        <v>15</v>
      </c>
      <c r="E2989">
        <v>-4598.59</v>
      </c>
      <c r="F2989">
        <v>-2.4</v>
      </c>
      <c r="G2989" t="s">
        <v>12</v>
      </c>
      <c r="H2989" t="s">
        <v>7</v>
      </c>
      <c r="I2989" t="s">
        <v>2409</v>
      </c>
    </row>
    <row r="2990" spans="1:9" hidden="1" x14ac:dyDescent="0.25">
      <c r="A2990" t="s">
        <v>2492</v>
      </c>
      <c r="B2990" t="s">
        <v>38</v>
      </c>
      <c r="C2990" s="2">
        <f>HYPERLINK("https://cao.dolgi.msk.ru/account/1080125704/", 1080125704)</f>
        <v>1080125704</v>
      </c>
      <c r="D2990" t="s">
        <v>15</v>
      </c>
      <c r="E2990">
        <v>2749</v>
      </c>
      <c r="F2990">
        <v>0.99</v>
      </c>
      <c r="G2990" t="s">
        <v>12</v>
      </c>
      <c r="H2990" t="s">
        <v>7</v>
      </c>
      <c r="I2990" t="s">
        <v>2409</v>
      </c>
    </row>
    <row r="2991" spans="1:9" hidden="1" x14ac:dyDescent="0.25">
      <c r="A2991" t="s">
        <v>2492</v>
      </c>
      <c r="B2991" t="s">
        <v>38</v>
      </c>
      <c r="C2991" s="2">
        <f>HYPERLINK("https://cao.dolgi.msk.ru/account/1080125712/", 1080125712)</f>
        <v>1080125712</v>
      </c>
      <c r="D2991" t="s">
        <v>15</v>
      </c>
      <c r="E2991">
        <v>-1137.95</v>
      </c>
      <c r="F2991">
        <v>-0.43</v>
      </c>
      <c r="G2991" t="s">
        <v>12</v>
      </c>
      <c r="H2991" t="s">
        <v>7</v>
      </c>
      <c r="I2991" t="s">
        <v>2409</v>
      </c>
    </row>
    <row r="2992" spans="1:9" hidden="1" x14ac:dyDescent="0.25">
      <c r="A2992" t="s">
        <v>2492</v>
      </c>
      <c r="B2992" t="s">
        <v>38</v>
      </c>
      <c r="C2992" s="2">
        <f>HYPERLINK("https://cao.dolgi.msk.ru/account/1080125739/", 1080125739)</f>
        <v>1080125739</v>
      </c>
      <c r="D2992" t="s">
        <v>15</v>
      </c>
      <c r="E2992">
        <v>-7164.03</v>
      </c>
      <c r="F2992">
        <v>-2.27</v>
      </c>
      <c r="G2992" t="s">
        <v>12</v>
      </c>
      <c r="H2992" t="s">
        <v>7</v>
      </c>
      <c r="I2992" t="s">
        <v>2409</v>
      </c>
    </row>
    <row r="2993" spans="1:9" hidden="1" x14ac:dyDescent="0.25">
      <c r="A2993" t="s">
        <v>2492</v>
      </c>
      <c r="B2993" t="s">
        <v>38</v>
      </c>
      <c r="C2993" s="2">
        <f>HYPERLINK("https://cao.dolgi.msk.ru/account/1080125747/", 1080125747)</f>
        <v>1080125747</v>
      </c>
      <c r="D2993" t="s">
        <v>15</v>
      </c>
      <c r="E2993">
        <v>-38.799999999999997</v>
      </c>
      <c r="F2993">
        <v>-0.02</v>
      </c>
      <c r="G2993" t="s">
        <v>12</v>
      </c>
      <c r="H2993" t="s">
        <v>7</v>
      </c>
      <c r="I2993" t="s">
        <v>2409</v>
      </c>
    </row>
    <row r="2994" spans="1:9" x14ac:dyDescent="0.25">
      <c r="A2994" t="s">
        <v>2492</v>
      </c>
      <c r="B2994" t="s">
        <v>39</v>
      </c>
      <c r="C2994" s="2">
        <f>HYPERLINK("https://cao.dolgi.msk.ru/account/1080125798/", 1080125798)</f>
        <v>1080125798</v>
      </c>
      <c r="D2994" t="s">
        <v>2504</v>
      </c>
      <c r="E2994">
        <v>25456.58</v>
      </c>
      <c r="F2994">
        <v>1.4</v>
      </c>
      <c r="G2994" t="s">
        <v>12</v>
      </c>
      <c r="I2994" t="s">
        <v>2409</v>
      </c>
    </row>
    <row r="2995" spans="1:9" hidden="1" x14ac:dyDescent="0.25">
      <c r="A2995" t="s">
        <v>2492</v>
      </c>
      <c r="B2995" t="s">
        <v>40</v>
      </c>
      <c r="C2995" s="2">
        <f>HYPERLINK("https://cao.dolgi.msk.ru/account/1080125835/", 1080125835)</f>
        <v>1080125835</v>
      </c>
      <c r="D2995" t="s">
        <v>15</v>
      </c>
      <c r="G2995" t="s">
        <v>14</v>
      </c>
      <c r="I2995" t="s">
        <v>2409</v>
      </c>
    </row>
    <row r="2996" spans="1:9" hidden="1" x14ac:dyDescent="0.25">
      <c r="A2996" t="s">
        <v>2492</v>
      </c>
      <c r="B2996" t="s">
        <v>92</v>
      </c>
      <c r="C2996" s="2">
        <f>HYPERLINK("https://cao.dolgi.msk.ru/account/1080126301/", 1080126301)</f>
        <v>1080126301</v>
      </c>
      <c r="D2996" t="s">
        <v>2505</v>
      </c>
      <c r="E2996">
        <v>-4196.42</v>
      </c>
      <c r="F2996">
        <v>-1.25</v>
      </c>
      <c r="G2996" t="s">
        <v>12</v>
      </c>
      <c r="I2996" t="s">
        <v>2409</v>
      </c>
    </row>
    <row r="2997" spans="1:9" hidden="1" x14ac:dyDescent="0.25">
      <c r="A2997" t="s">
        <v>2492</v>
      </c>
      <c r="B2997" t="s">
        <v>94</v>
      </c>
      <c r="C2997" s="2">
        <f>HYPERLINK("https://cao.dolgi.msk.ru/account/1080126328/", 1080126328)</f>
        <v>1080126328</v>
      </c>
      <c r="D2997" t="s">
        <v>2506</v>
      </c>
      <c r="E2997">
        <v>-11027.91</v>
      </c>
      <c r="F2997">
        <v>-1.03</v>
      </c>
      <c r="G2997" t="s">
        <v>12</v>
      </c>
      <c r="I2997" t="s">
        <v>2409</v>
      </c>
    </row>
    <row r="2998" spans="1:9" hidden="1" x14ac:dyDescent="0.25">
      <c r="A2998" t="s">
        <v>2492</v>
      </c>
      <c r="B2998" t="s">
        <v>96</v>
      </c>
      <c r="C2998" s="2">
        <f>HYPERLINK("https://cao.dolgi.msk.ru/account/1080126336/", 1080126336)</f>
        <v>1080126336</v>
      </c>
      <c r="D2998" t="s">
        <v>2507</v>
      </c>
      <c r="E2998">
        <v>-4502.04</v>
      </c>
      <c r="F2998">
        <v>-1.17</v>
      </c>
      <c r="G2998" t="s">
        <v>12</v>
      </c>
      <c r="I2998" t="s">
        <v>2409</v>
      </c>
    </row>
    <row r="2999" spans="1:9" hidden="1" x14ac:dyDescent="0.25">
      <c r="A2999" t="s">
        <v>2492</v>
      </c>
      <c r="B2999" t="s">
        <v>98</v>
      </c>
      <c r="C2999" s="2">
        <f>HYPERLINK("https://cao.dolgi.msk.ru/account/1080126344/", 1080126344)</f>
        <v>1080126344</v>
      </c>
      <c r="D2999" t="s">
        <v>2508</v>
      </c>
      <c r="E2999">
        <v>-5939.54</v>
      </c>
      <c r="F2999">
        <v>-0.77</v>
      </c>
      <c r="G2999" t="s">
        <v>12</v>
      </c>
      <c r="I2999" t="s">
        <v>2409</v>
      </c>
    </row>
    <row r="3000" spans="1:9" hidden="1" x14ac:dyDescent="0.25">
      <c r="A3000" t="s">
        <v>2492</v>
      </c>
      <c r="B3000" t="s">
        <v>100</v>
      </c>
      <c r="C3000" s="2">
        <f>HYPERLINK("https://cao.dolgi.msk.ru/account/1080126352/", 1080126352)</f>
        <v>1080126352</v>
      </c>
      <c r="D3000" t="s">
        <v>2509</v>
      </c>
      <c r="E3000">
        <v>-54.46</v>
      </c>
      <c r="F3000">
        <v>-0.01</v>
      </c>
      <c r="G3000" t="s">
        <v>12</v>
      </c>
      <c r="I3000" t="s">
        <v>2409</v>
      </c>
    </row>
    <row r="3001" spans="1:9" hidden="1" x14ac:dyDescent="0.25">
      <c r="A3001" t="s">
        <v>2492</v>
      </c>
      <c r="B3001" t="s">
        <v>102</v>
      </c>
      <c r="C3001" s="2">
        <f>HYPERLINK("https://cao.dolgi.msk.ru/account/1080126379/", 1080126379)</f>
        <v>1080126379</v>
      </c>
      <c r="D3001" t="s">
        <v>2510</v>
      </c>
      <c r="E3001">
        <v>-11642.25</v>
      </c>
      <c r="F3001">
        <v>-2.0299999999999998</v>
      </c>
      <c r="G3001" t="s">
        <v>12</v>
      </c>
      <c r="I3001" t="s">
        <v>2409</v>
      </c>
    </row>
    <row r="3002" spans="1:9" hidden="1" x14ac:dyDescent="0.25">
      <c r="A3002" t="s">
        <v>2492</v>
      </c>
      <c r="B3002" t="s">
        <v>104</v>
      </c>
      <c r="C3002" s="2">
        <f>HYPERLINK("https://cao.dolgi.msk.ru/account/1080126387/", 1080126387)</f>
        <v>1080126387</v>
      </c>
      <c r="D3002" t="s">
        <v>2511</v>
      </c>
      <c r="E3002">
        <v>-2399.27</v>
      </c>
      <c r="F3002">
        <v>-0.32</v>
      </c>
      <c r="G3002" t="s">
        <v>12</v>
      </c>
      <c r="I3002" t="s">
        <v>2409</v>
      </c>
    </row>
    <row r="3003" spans="1:9" x14ac:dyDescent="0.25">
      <c r="A3003" t="s">
        <v>2492</v>
      </c>
      <c r="B3003" t="s">
        <v>106</v>
      </c>
      <c r="C3003" s="2">
        <f>HYPERLINK("https://cao.dolgi.msk.ru/account/1080126395/", 1080126395)</f>
        <v>1080126395</v>
      </c>
      <c r="D3003" t="s">
        <v>2512</v>
      </c>
      <c r="E3003">
        <v>279906.56</v>
      </c>
      <c r="F3003">
        <v>37.1</v>
      </c>
      <c r="G3003" t="s">
        <v>12</v>
      </c>
      <c r="I3003" t="s">
        <v>2409</v>
      </c>
    </row>
    <row r="3004" spans="1:9" hidden="1" x14ac:dyDescent="0.25">
      <c r="A3004" t="s">
        <v>2513</v>
      </c>
      <c r="B3004" t="s">
        <v>42</v>
      </c>
      <c r="C3004" s="2">
        <f>HYPERLINK("https://cao.dolgi.msk.ru/account/1080125878/", 1080125878)</f>
        <v>1080125878</v>
      </c>
      <c r="D3004" t="s">
        <v>942</v>
      </c>
      <c r="E3004">
        <v>8155.63</v>
      </c>
      <c r="G3004" t="s">
        <v>14</v>
      </c>
      <c r="I3004" t="s">
        <v>2409</v>
      </c>
    </row>
    <row r="3005" spans="1:9" hidden="1" x14ac:dyDescent="0.25">
      <c r="A3005" t="s">
        <v>2513</v>
      </c>
      <c r="B3005" t="s">
        <v>42</v>
      </c>
      <c r="C3005" s="2">
        <f>HYPERLINK("https://cao.dolgi.msk.ru/account/1083395515/", 1083395515)</f>
        <v>1083395515</v>
      </c>
      <c r="D3005" t="s">
        <v>942</v>
      </c>
      <c r="E3005">
        <v>0</v>
      </c>
      <c r="F3005">
        <v>0</v>
      </c>
      <c r="G3005" t="s">
        <v>12</v>
      </c>
      <c r="I3005" t="s">
        <v>2409</v>
      </c>
    </row>
    <row r="3006" spans="1:9" hidden="1" x14ac:dyDescent="0.25">
      <c r="A3006" t="s">
        <v>2513</v>
      </c>
      <c r="B3006" t="s">
        <v>44</v>
      </c>
      <c r="C3006" s="2">
        <f>HYPERLINK("https://cao.dolgi.msk.ru/account/1080125886/", 1080125886)</f>
        <v>1080125886</v>
      </c>
      <c r="D3006" t="s">
        <v>2514</v>
      </c>
      <c r="E3006">
        <v>9490.41</v>
      </c>
      <c r="G3006" t="s">
        <v>14</v>
      </c>
      <c r="I3006" t="s">
        <v>2409</v>
      </c>
    </row>
    <row r="3007" spans="1:9" hidden="1" x14ac:dyDescent="0.25">
      <c r="A3007" t="s">
        <v>2513</v>
      </c>
      <c r="B3007" t="s">
        <v>44</v>
      </c>
      <c r="C3007" s="2">
        <f>HYPERLINK("https://cao.dolgi.msk.ru/account/1083395646/", 1083395646)</f>
        <v>1083395646</v>
      </c>
      <c r="D3007" t="s">
        <v>2514</v>
      </c>
      <c r="E3007">
        <v>0</v>
      </c>
      <c r="F3007">
        <v>0</v>
      </c>
      <c r="G3007" t="s">
        <v>12</v>
      </c>
      <c r="I3007" t="s">
        <v>2409</v>
      </c>
    </row>
    <row r="3008" spans="1:9" hidden="1" x14ac:dyDescent="0.25">
      <c r="A3008" t="s">
        <v>2513</v>
      </c>
      <c r="B3008" t="s">
        <v>66</v>
      </c>
      <c r="C3008" s="2">
        <f>HYPERLINK("https://cao.dolgi.msk.ru/account/1080125907/", 1080125907)</f>
        <v>1080125907</v>
      </c>
      <c r="D3008" t="s">
        <v>2515</v>
      </c>
      <c r="E3008">
        <v>92486.78</v>
      </c>
      <c r="G3008" t="s">
        <v>14</v>
      </c>
      <c r="H3008" t="s">
        <v>7</v>
      </c>
      <c r="I3008" t="s">
        <v>2409</v>
      </c>
    </row>
    <row r="3009" spans="1:9" hidden="1" x14ac:dyDescent="0.25">
      <c r="A3009" t="s">
        <v>2513</v>
      </c>
      <c r="B3009" t="s">
        <v>66</v>
      </c>
      <c r="C3009" s="2">
        <f>HYPERLINK("https://cao.dolgi.msk.ru/account/1080125931/", 1080125931)</f>
        <v>1080125931</v>
      </c>
      <c r="D3009" t="s">
        <v>2515</v>
      </c>
      <c r="E3009">
        <v>39525.65</v>
      </c>
      <c r="G3009" t="s">
        <v>14</v>
      </c>
      <c r="H3009" t="s">
        <v>7</v>
      </c>
      <c r="I3009" t="s">
        <v>2409</v>
      </c>
    </row>
    <row r="3010" spans="1:9" hidden="1" x14ac:dyDescent="0.25">
      <c r="A3010" t="s">
        <v>2513</v>
      </c>
      <c r="B3010" t="s">
        <v>66</v>
      </c>
      <c r="C3010" s="2">
        <f>HYPERLINK("https://cao.dolgi.msk.ru/account/1083395523/", 1083395523)</f>
        <v>1083395523</v>
      </c>
      <c r="D3010" t="s">
        <v>2515</v>
      </c>
      <c r="E3010">
        <v>-11203.28</v>
      </c>
      <c r="F3010">
        <v>-1.1000000000000001</v>
      </c>
      <c r="G3010" t="s">
        <v>12</v>
      </c>
      <c r="H3010" t="s">
        <v>7</v>
      </c>
      <c r="I3010" t="s">
        <v>2409</v>
      </c>
    </row>
    <row r="3011" spans="1:9" hidden="1" x14ac:dyDescent="0.25">
      <c r="A3011" t="s">
        <v>2513</v>
      </c>
      <c r="B3011" t="s">
        <v>66</v>
      </c>
      <c r="C3011" s="2">
        <f>HYPERLINK("https://cao.dolgi.msk.ru/account/1083395662/", 1083395662)</f>
        <v>1083395662</v>
      </c>
      <c r="D3011" t="s">
        <v>2515</v>
      </c>
      <c r="E3011">
        <v>-5379.06</v>
      </c>
      <c r="F3011">
        <v>-1.07</v>
      </c>
      <c r="G3011" t="s">
        <v>12</v>
      </c>
      <c r="H3011" t="s">
        <v>7</v>
      </c>
      <c r="I3011" t="s">
        <v>2409</v>
      </c>
    </row>
    <row r="3012" spans="1:9" hidden="1" x14ac:dyDescent="0.25">
      <c r="A3012" t="s">
        <v>2513</v>
      </c>
      <c r="B3012" t="s">
        <v>68</v>
      </c>
      <c r="C3012" s="2">
        <f>HYPERLINK("https://cao.dolgi.msk.ru/account/1080125966/", 1080125966)</f>
        <v>1080125966</v>
      </c>
      <c r="D3012" t="s">
        <v>2516</v>
      </c>
      <c r="E3012">
        <v>89640.37</v>
      </c>
      <c r="G3012" t="s">
        <v>14</v>
      </c>
      <c r="I3012" t="s">
        <v>2409</v>
      </c>
    </row>
    <row r="3013" spans="1:9" hidden="1" x14ac:dyDescent="0.25">
      <c r="A3013" t="s">
        <v>2513</v>
      </c>
      <c r="B3013" t="s">
        <v>68</v>
      </c>
      <c r="C3013" s="2">
        <f>HYPERLINK("https://cao.dolgi.msk.ru/account/1083395689/", 1083395689)</f>
        <v>1083395689</v>
      </c>
      <c r="D3013" t="s">
        <v>2516</v>
      </c>
      <c r="E3013">
        <v>-14605.74</v>
      </c>
      <c r="F3013">
        <v>-1.17</v>
      </c>
      <c r="G3013" t="s">
        <v>12</v>
      </c>
      <c r="I3013" t="s">
        <v>2409</v>
      </c>
    </row>
    <row r="3014" spans="1:9" hidden="1" x14ac:dyDescent="0.25">
      <c r="A3014" t="s">
        <v>2513</v>
      </c>
      <c r="B3014" t="s">
        <v>70</v>
      </c>
      <c r="C3014" s="2">
        <f>HYPERLINK("https://cao.dolgi.msk.ru/account/1080125982/", 1080125982)</f>
        <v>1080125982</v>
      </c>
      <c r="D3014" t="s">
        <v>2517</v>
      </c>
      <c r="E3014">
        <v>31252.71</v>
      </c>
      <c r="G3014" t="s">
        <v>14</v>
      </c>
      <c r="I3014" t="s">
        <v>2409</v>
      </c>
    </row>
    <row r="3015" spans="1:9" hidden="1" x14ac:dyDescent="0.25">
      <c r="A3015" t="s">
        <v>2513</v>
      </c>
      <c r="B3015" t="s">
        <v>70</v>
      </c>
      <c r="C3015" s="2">
        <f>HYPERLINK("https://cao.dolgi.msk.ru/account/1083395531/", 1083395531)</f>
        <v>1083395531</v>
      </c>
      <c r="D3015" t="s">
        <v>2517</v>
      </c>
      <c r="E3015">
        <v>-12523.09</v>
      </c>
      <c r="F3015">
        <v>-1.18</v>
      </c>
      <c r="G3015" t="s">
        <v>12</v>
      </c>
      <c r="I3015" t="s">
        <v>2409</v>
      </c>
    </row>
    <row r="3016" spans="1:9" hidden="1" x14ac:dyDescent="0.25">
      <c r="A3016" t="s">
        <v>2513</v>
      </c>
      <c r="B3016" t="s">
        <v>72</v>
      </c>
      <c r="C3016" s="2">
        <f>HYPERLINK("https://cao.dolgi.msk.ru/account/1080126037/", 1080126037)</f>
        <v>1080126037</v>
      </c>
      <c r="D3016" t="s">
        <v>2518</v>
      </c>
      <c r="E3016">
        <v>396113.18</v>
      </c>
      <c r="G3016" t="s">
        <v>14</v>
      </c>
      <c r="I3016" t="s">
        <v>2409</v>
      </c>
    </row>
    <row r="3017" spans="1:9" hidden="1" x14ac:dyDescent="0.25">
      <c r="A3017" t="s">
        <v>2513</v>
      </c>
      <c r="B3017" t="s">
        <v>72</v>
      </c>
      <c r="C3017" s="2">
        <f>HYPERLINK("https://cao.dolgi.msk.ru/account/1080126045/", 1080126045)</f>
        <v>1080126045</v>
      </c>
      <c r="D3017" t="s">
        <v>2518</v>
      </c>
      <c r="G3017" t="s">
        <v>14</v>
      </c>
      <c r="I3017" t="s">
        <v>2409</v>
      </c>
    </row>
    <row r="3018" spans="1:9" hidden="1" x14ac:dyDescent="0.25">
      <c r="A3018" t="s">
        <v>2513</v>
      </c>
      <c r="B3018" t="s">
        <v>72</v>
      </c>
      <c r="C3018" s="2">
        <f>HYPERLINK("https://cao.dolgi.msk.ru/account/1080126053/", 1080126053)</f>
        <v>1080126053</v>
      </c>
      <c r="D3018" t="s">
        <v>2519</v>
      </c>
      <c r="G3018" t="s">
        <v>14</v>
      </c>
      <c r="I3018" t="s">
        <v>2409</v>
      </c>
    </row>
    <row r="3019" spans="1:9" hidden="1" x14ac:dyDescent="0.25">
      <c r="A3019" t="s">
        <v>2513</v>
      </c>
      <c r="B3019" t="s">
        <v>72</v>
      </c>
      <c r="C3019" s="2">
        <f>HYPERLINK("https://cao.dolgi.msk.ru/account/1080320075/", 1080320075)</f>
        <v>1080320075</v>
      </c>
      <c r="D3019" t="s">
        <v>15</v>
      </c>
      <c r="G3019" t="s">
        <v>14</v>
      </c>
      <c r="I3019" t="s">
        <v>2409</v>
      </c>
    </row>
    <row r="3020" spans="1:9" hidden="1" x14ac:dyDescent="0.25">
      <c r="A3020" t="s">
        <v>2513</v>
      </c>
      <c r="B3020" t="s">
        <v>72</v>
      </c>
      <c r="C3020" s="2">
        <f>HYPERLINK("https://cao.dolgi.msk.ru/account/1080326143/", 1080326143)</f>
        <v>1080326143</v>
      </c>
      <c r="D3020" t="s">
        <v>2518</v>
      </c>
      <c r="G3020" t="s">
        <v>14</v>
      </c>
      <c r="I3020" t="s">
        <v>2409</v>
      </c>
    </row>
    <row r="3021" spans="1:9" hidden="1" x14ac:dyDescent="0.25">
      <c r="A3021" t="s">
        <v>2513</v>
      </c>
      <c r="B3021" t="s">
        <v>72</v>
      </c>
      <c r="C3021" s="2">
        <f>HYPERLINK("https://cao.dolgi.msk.ru/account/1083395558/", 1083395558)</f>
        <v>1083395558</v>
      </c>
      <c r="D3021" t="s">
        <v>2518</v>
      </c>
      <c r="E3021">
        <v>-13480.09</v>
      </c>
      <c r="F3021">
        <v>-1.03</v>
      </c>
      <c r="G3021" t="s">
        <v>12</v>
      </c>
      <c r="I3021" t="s">
        <v>2409</v>
      </c>
    </row>
    <row r="3022" spans="1:9" hidden="1" x14ac:dyDescent="0.25">
      <c r="A3022" t="s">
        <v>2513</v>
      </c>
      <c r="B3022" t="s">
        <v>76</v>
      </c>
      <c r="C3022" s="2">
        <f>HYPERLINK("https://cao.dolgi.msk.ru/account/1080126061/", 1080126061)</f>
        <v>1080126061</v>
      </c>
      <c r="D3022" t="s">
        <v>2520</v>
      </c>
      <c r="E3022">
        <v>6757.36</v>
      </c>
      <c r="G3022" t="s">
        <v>14</v>
      </c>
      <c r="I3022" t="s">
        <v>2409</v>
      </c>
    </row>
    <row r="3023" spans="1:9" hidden="1" x14ac:dyDescent="0.25">
      <c r="A3023" t="s">
        <v>2513</v>
      </c>
      <c r="B3023" t="s">
        <v>76</v>
      </c>
      <c r="C3023" s="2">
        <f>HYPERLINK("https://cao.dolgi.msk.ru/account/1080126459/", 1080126459)</f>
        <v>1080126459</v>
      </c>
      <c r="D3023" t="s">
        <v>2521</v>
      </c>
      <c r="G3023" t="s">
        <v>14</v>
      </c>
      <c r="I3023" t="s">
        <v>2409</v>
      </c>
    </row>
    <row r="3024" spans="1:9" hidden="1" x14ac:dyDescent="0.25">
      <c r="A3024" t="s">
        <v>2513</v>
      </c>
      <c r="B3024" t="s">
        <v>76</v>
      </c>
      <c r="C3024" s="2">
        <f>HYPERLINK("https://cao.dolgi.msk.ru/account/1083395654/", 1083395654)</f>
        <v>1083395654</v>
      </c>
      <c r="D3024" t="s">
        <v>2520</v>
      </c>
      <c r="E3024">
        <v>0</v>
      </c>
      <c r="F3024">
        <v>0</v>
      </c>
      <c r="G3024" t="s">
        <v>12</v>
      </c>
      <c r="I3024" t="s">
        <v>2409</v>
      </c>
    </row>
    <row r="3025" spans="1:9" hidden="1" x14ac:dyDescent="0.25">
      <c r="A3025" t="s">
        <v>2513</v>
      </c>
      <c r="B3025" t="s">
        <v>78</v>
      </c>
      <c r="C3025" s="2">
        <f>HYPERLINK("https://cao.dolgi.msk.ru/account/1080126096/", 1080126096)</f>
        <v>1080126096</v>
      </c>
      <c r="D3025" t="s">
        <v>2522</v>
      </c>
      <c r="E3025">
        <v>130973.46</v>
      </c>
      <c r="G3025" t="s">
        <v>14</v>
      </c>
      <c r="H3025" t="s">
        <v>7</v>
      </c>
      <c r="I3025" t="s">
        <v>2409</v>
      </c>
    </row>
    <row r="3026" spans="1:9" hidden="1" x14ac:dyDescent="0.25">
      <c r="A3026" t="s">
        <v>2513</v>
      </c>
      <c r="B3026" t="s">
        <v>78</v>
      </c>
      <c r="C3026" s="2">
        <f>HYPERLINK("https://cao.dolgi.msk.ru/account/1080126109/", 1080126109)</f>
        <v>1080126109</v>
      </c>
      <c r="D3026" t="s">
        <v>2522</v>
      </c>
      <c r="E3026">
        <v>1552.49</v>
      </c>
      <c r="G3026" t="s">
        <v>14</v>
      </c>
      <c r="H3026" t="s">
        <v>7</v>
      </c>
      <c r="I3026" t="s">
        <v>2409</v>
      </c>
    </row>
    <row r="3027" spans="1:9" hidden="1" x14ac:dyDescent="0.25">
      <c r="A3027" t="s">
        <v>2513</v>
      </c>
      <c r="B3027" t="s">
        <v>78</v>
      </c>
      <c r="C3027" s="2">
        <f>HYPERLINK("https://cao.dolgi.msk.ru/account/1080126125/", 1080126125)</f>
        <v>1080126125</v>
      </c>
      <c r="D3027" t="s">
        <v>2522</v>
      </c>
      <c r="E3027">
        <v>1843.18</v>
      </c>
      <c r="F3027">
        <v>0.37</v>
      </c>
      <c r="G3027" t="s">
        <v>14</v>
      </c>
      <c r="H3027" t="s">
        <v>7</v>
      </c>
      <c r="I3027" t="s">
        <v>2409</v>
      </c>
    </row>
    <row r="3028" spans="1:9" hidden="1" x14ac:dyDescent="0.25">
      <c r="A3028" t="s">
        <v>2513</v>
      </c>
      <c r="B3028" t="s">
        <v>78</v>
      </c>
      <c r="C3028" s="2">
        <f>HYPERLINK("https://cao.dolgi.msk.ru/account/1083271336/", 1083271336)</f>
        <v>1083271336</v>
      </c>
      <c r="D3028" t="s">
        <v>2522</v>
      </c>
      <c r="E3028">
        <v>41557.57</v>
      </c>
      <c r="G3028" t="s">
        <v>14</v>
      </c>
      <c r="H3028" t="s">
        <v>7</v>
      </c>
      <c r="I3028" t="s">
        <v>2409</v>
      </c>
    </row>
    <row r="3029" spans="1:9" hidden="1" x14ac:dyDescent="0.25">
      <c r="A3029" t="s">
        <v>2513</v>
      </c>
      <c r="B3029" t="s">
        <v>78</v>
      </c>
      <c r="C3029" s="2">
        <f>HYPERLINK("https://cao.dolgi.msk.ru/account/1083274019/", 1083274019)</f>
        <v>1083274019</v>
      </c>
      <c r="D3029" t="s">
        <v>2523</v>
      </c>
      <c r="E3029">
        <v>5431.52</v>
      </c>
      <c r="G3029" t="s">
        <v>14</v>
      </c>
      <c r="H3029" t="s">
        <v>7</v>
      </c>
      <c r="I3029" t="s">
        <v>2409</v>
      </c>
    </row>
    <row r="3030" spans="1:9" hidden="1" x14ac:dyDescent="0.25">
      <c r="A3030" t="s">
        <v>2513</v>
      </c>
      <c r="B3030" t="s">
        <v>78</v>
      </c>
      <c r="C3030" s="2">
        <f>HYPERLINK("https://cao.dolgi.msk.ru/account/1083395494/", 1083395494)</f>
        <v>1083395494</v>
      </c>
      <c r="D3030" t="s">
        <v>2523</v>
      </c>
      <c r="E3030">
        <v>-3069.92</v>
      </c>
      <c r="F3030">
        <v>-0.62</v>
      </c>
      <c r="G3030" t="s">
        <v>12</v>
      </c>
      <c r="H3030" t="s">
        <v>7</v>
      </c>
      <c r="I3030" t="s">
        <v>2409</v>
      </c>
    </row>
    <row r="3031" spans="1:9" x14ac:dyDescent="0.25">
      <c r="A3031" t="s">
        <v>2513</v>
      </c>
      <c r="B3031" t="s">
        <v>78</v>
      </c>
      <c r="C3031" s="2">
        <f>HYPERLINK("https://cao.dolgi.msk.ru/account/1083395566/", 1083395566)</f>
        <v>1083395566</v>
      </c>
      <c r="D3031" t="s">
        <v>15</v>
      </c>
      <c r="E3031">
        <v>2574.8000000000002</v>
      </c>
      <c r="F3031">
        <v>4</v>
      </c>
      <c r="G3031" t="s">
        <v>12</v>
      </c>
      <c r="H3031" t="s">
        <v>7</v>
      </c>
      <c r="I3031" t="s">
        <v>2409</v>
      </c>
    </row>
    <row r="3032" spans="1:9" x14ac:dyDescent="0.25">
      <c r="A3032" t="s">
        <v>2513</v>
      </c>
      <c r="B3032" t="s">
        <v>78</v>
      </c>
      <c r="C3032" s="2">
        <f>HYPERLINK("https://cao.dolgi.msk.ru/account/1083395611/", 1083395611)</f>
        <v>1083395611</v>
      </c>
      <c r="D3032" t="s">
        <v>2522</v>
      </c>
      <c r="E3032">
        <v>16769.599999999999</v>
      </c>
      <c r="F3032">
        <v>3.44</v>
      </c>
      <c r="G3032" t="s">
        <v>12</v>
      </c>
      <c r="H3032" t="s">
        <v>7</v>
      </c>
      <c r="I3032" t="s">
        <v>2409</v>
      </c>
    </row>
    <row r="3033" spans="1:9" hidden="1" x14ac:dyDescent="0.25">
      <c r="A3033" t="s">
        <v>2513</v>
      </c>
      <c r="B3033" t="s">
        <v>78</v>
      </c>
      <c r="C3033" s="2">
        <f>HYPERLINK("https://cao.dolgi.msk.ru/account/1083395697/", 1083395697)</f>
        <v>1083395697</v>
      </c>
      <c r="D3033" t="s">
        <v>2522</v>
      </c>
      <c r="E3033">
        <v>-5633.58</v>
      </c>
      <c r="F3033">
        <v>-0.83</v>
      </c>
      <c r="G3033" t="s">
        <v>12</v>
      </c>
      <c r="H3033" t="s">
        <v>7</v>
      </c>
      <c r="I3033" t="s">
        <v>2409</v>
      </c>
    </row>
    <row r="3034" spans="1:9" hidden="1" x14ac:dyDescent="0.25">
      <c r="A3034" t="s">
        <v>2513</v>
      </c>
      <c r="B3034" t="s">
        <v>78</v>
      </c>
      <c r="C3034" s="2">
        <f>HYPERLINK("https://cao.dolgi.msk.ru/account/1083395718/", 1083395718)</f>
        <v>1083395718</v>
      </c>
      <c r="D3034" t="s">
        <v>2522</v>
      </c>
      <c r="E3034">
        <v>0</v>
      </c>
      <c r="F3034">
        <v>0</v>
      </c>
      <c r="G3034" t="s">
        <v>12</v>
      </c>
      <c r="H3034" t="s">
        <v>7</v>
      </c>
      <c r="I3034" t="s">
        <v>2409</v>
      </c>
    </row>
    <row r="3035" spans="1:9" hidden="1" x14ac:dyDescent="0.25">
      <c r="A3035" t="s">
        <v>2513</v>
      </c>
      <c r="B3035" t="s">
        <v>78</v>
      </c>
      <c r="C3035" s="2">
        <f>HYPERLINK("https://cao.dolgi.msk.ru/account/1083395726/", 1083395726)</f>
        <v>1083395726</v>
      </c>
      <c r="D3035" t="s">
        <v>2522</v>
      </c>
      <c r="E3035">
        <v>0</v>
      </c>
      <c r="F3035">
        <v>0</v>
      </c>
      <c r="G3035" t="s">
        <v>12</v>
      </c>
      <c r="H3035" t="s">
        <v>7</v>
      </c>
      <c r="I3035" t="s">
        <v>2409</v>
      </c>
    </row>
    <row r="3036" spans="1:9" hidden="1" x14ac:dyDescent="0.25">
      <c r="A3036" t="s">
        <v>2513</v>
      </c>
      <c r="B3036" t="s">
        <v>80</v>
      </c>
      <c r="C3036" s="2">
        <f>HYPERLINK("https://cao.dolgi.msk.ru/account/1080126141/", 1080126141)</f>
        <v>1080126141</v>
      </c>
      <c r="D3036" t="s">
        <v>2524</v>
      </c>
      <c r="E3036">
        <v>1407981.65</v>
      </c>
      <c r="G3036" t="s">
        <v>14</v>
      </c>
      <c r="H3036" t="s">
        <v>7</v>
      </c>
      <c r="I3036" t="s">
        <v>2409</v>
      </c>
    </row>
    <row r="3037" spans="1:9" hidden="1" x14ac:dyDescent="0.25">
      <c r="A3037" t="s">
        <v>2513</v>
      </c>
      <c r="B3037" t="s">
        <v>80</v>
      </c>
      <c r="C3037" s="2">
        <f>HYPERLINK("https://cao.dolgi.msk.ru/account/1080126168/", 1080126168)</f>
        <v>1080126168</v>
      </c>
      <c r="D3037" t="s">
        <v>2524</v>
      </c>
      <c r="E3037">
        <v>25469.29</v>
      </c>
      <c r="G3037" t="s">
        <v>14</v>
      </c>
      <c r="H3037" t="s">
        <v>7</v>
      </c>
      <c r="I3037" t="s">
        <v>2409</v>
      </c>
    </row>
    <row r="3038" spans="1:9" hidden="1" x14ac:dyDescent="0.25">
      <c r="A3038" t="s">
        <v>2513</v>
      </c>
      <c r="B3038" t="s">
        <v>80</v>
      </c>
      <c r="C3038" s="2">
        <f>HYPERLINK("https://cao.dolgi.msk.ru/account/1080126176/", 1080126176)</f>
        <v>1080126176</v>
      </c>
      <c r="D3038" t="s">
        <v>2524</v>
      </c>
      <c r="E3038">
        <v>970460.17</v>
      </c>
      <c r="G3038" t="s">
        <v>14</v>
      </c>
      <c r="H3038" t="s">
        <v>7</v>
      </c>
      <c r="I3038" t="s">
        <v>2409</v>
      </c>
    </row>
    <row r="3039" spans="1:9" x14ac:dyDescent="0.25">
      <c r="A3039" t="s">
        <v>2513</v>
      </c>
      <c r="B3039" t="s">
        <v>80</v>
      </c>
      <c r="C3039" s="2">
        <f>HYPERLINK("https://cao.dolgi.msk.ru/account/1083395478/", 1083395478)</f>
        <v>1083395478</v>
      </c>
      <c r="D3039" t="s">
        <v>2524</v>
      </c>
      <c r="E3039">
        <v>26301.05</v>
      </c>
      <c r="F3039">
        <v>3.29</v>
      </c>
      <c r="G3039" t="s">
        <v>12</v>
      </c>
      <c r="H3039" t="s">
        <v>7</v>
      </c>
      <c r="I3039" t="s">
        <v>2409</v>
      </c>
    </row>
    <row r="3040" spans="1:9" hidden="1" x14ac:dyDescent="0.25">
      <c r="A3040" t="s">
        <v>2513</v>
      </c>
      <c r="B3040" t="s">
        <v>80</v>
      </c>
      <c r="C3040" s="2">
        <f>HYPERLINK("https://cao.dolgi.msk.ru/account/1083395574/", 1083395574)</f>
        <v>1083395574</v>
      </c>
      <c r="D3040" t="s">
        <v>2524</v>
      </c>
      <c r="E3040">
        <v>-5071.09</v>
      </c>
      <c r="F3040">
        <v>-1.1499999999999999</v>
      </c>
      <c r="G3040" t="s">
        <v>12</v>
      </c>
      <c r="H3040" t="s">
        <v>7</v>
      </c>
      <c r="I3040" t="s">
        <v>2409</v>
      </c>
    </row>
    <row r="3041" spans="1:9" x14ac:dyDescent="0.25">
      <c r="A3041" t="s">
        <v>2513</v>
      </c>
      <c r="B3041" t="s">
        <v>80</v>
      </c>
      <c r="C3041" s="2">
        <f>HYPERLINK("https://cao.dolgi.msk.ru/account/1083395638/", 1083395638)</f>
        <v>1083395638</v>
      </c>
      <c r="D3041" t="s">
        <v>2524</v>
      </c>
      <c r="E3041">
        <v>35784.410000000003</v>
      </c>
      <c r="F3041">
        <v>3.16</v>
      </c>
      <c r="G3041" t="s">
        <v>12</v>
      </c>
      <c r="H3041" t="s">
        <v>7</v>
      </c>
      <c r="I3041" t="s">
        <v>2409</v>
      </c>
    </row>
    <row r="3042" spans="1:9" hidden="1" x14ac:dyDescent="0.25">
      <c r="A3042" t="s">
        <v>2513</v>
      </c>
      <c r="B3042" t="s">
        <v>82</v>
      </c>
      <c r="C3042" s="2">
        <f>HYPERLINK("https://cao.dolgi.msk.ru/account/1080126184/", 1080126184)</f>
        <v>1080126184</v>
      </c>
      <c r="D3042" t="s">
        <v>2525</v>
      </c>
      <c r="E3042">
        <v>10648.79</v>
      </c>
      <c r="F3042">
        <v>1.08</v>
      </c>
      <c r="G3042" t="s">
        <v>14</v>
      </c>
      <c r="I3042" t="s">
        <v>2409</v>
      </c>
    </row>
    <row r="3043" spans="1:9" hidden="1" x14ac:dyDescent="0.25">
      <c r="A3043" t="s">
        <v>2513</v>
      </c>
      <c r="B3043" t="s">
        <v>82</v>
      </c>
      <c r="C3043" s="2">
        <f>HYPERLINK("https://cao.dolgi.msk.ru/account/1083395582/", 1083395582)</f>
        <v>1083395582</v>
      </c>
      <c r="D3043" t="s">
        <v>2525</v>
      </c>
      <c r="E3043">
        <v>-10030.77</v>
      </c>
      <c r="F3043">
        <v>-1.23</v>
      </c>
      <c r="G3043" t="s">
        <v>12</v>
      </c>
      <c r="I3043" t="s">
        <v>2409</v>
      </c>
    </row>
    <row r="3044" spans="1:9" hidden="1" x14ac:dyDescent="0.25">
      <c r="A3044" t="s">
        <v>2513</v>
      </c>
      <c r="B3044" t="s">
        <v>84</v>
      </c>
      <c r="C3044" s="2">
        <f>HYPERLINK("https://cao.dolgi.msk.ru/account/1080126192/", 1080126192)</f>
        <v>1080126192</v>
      </c>
      <c r="D3044" t="s">
        <v>2526</v>
      </c>
      <c r="E3044">
        <v>15978.94</v>
      </c>
      <c r="F3044">
        <v>1.25</v>
      </c>
      <c r="G3044" t="s">
        <v>14</v>
      </c>
      <c r="I3044" t="s">
        <v>2409</v>
      </c>
    </row>
    <row r="3045" spans="1:9" hidden="1" x14ac:dyDescent="0.25">
      <c r="A3045" t="s">
        <v>2513</v>
      </c>
      <c r="B3045" t="s">
        <v>84</v>
      </c>
      <c r="C3045" s="2">
        <f>HYPERLINK("https://cao.dolgi.msk.ru/account/1083395603/", 1083395603)</f>
        <v>1083395603</v>
      </c>
      <c r="D3045" t="s">
        <v>2526</v>
      </c>
      <c r="E3045">
        <v>0</v>
      </c>
      <c r="F3045">
        <v>0</v>
      </c>
      <c r="G3045" t="s">
        <v>12</v>
      </c>
      <c r="I3045" t="s">
        <v>2409</v>
      </c>
    </row>
    <row r="3046" spans="1:9" hidden="1" x14ac:dyDescent="0.25">
      <c r="A3046" t="s">
        <v>2513</v>
      </c>
      <c r="B3046" t="s">
        <v>86</v>
      </c>
      <c r="C3046" s="2">
        <f>HYPERLINK("https://cao.dolgi.msk.ru/account/1080126221/", 1080126221)</f>
        <v>1080126221</v>
      </c>
      <c r="D3046" t="s">
        <v>2527</v>
      </c>
      <c r="E3046">
        <v>22665.75</v>
      </c>
      <c r="G3046" t="s">
        <v>14</v>
      </c>
      <c r="I3046" t="s">
        <v>2409</v>
      </c>
    </row>
    <row r="3047" spans="1:9" hidden="1" x14ac:dyDescent="0.25">
      <c r="A3047" t="s">
        <v>2513</v>
      </c>
      <c r="B3047" t="s">
        <v>86</v>
      </c>
      <c r="C3047" s="2">
        <f>HYPERLINK("https://cao.dolgi.msk.ru/account/1083395507/", 1083395507)</f>
        <v>1083395507</v>
      </c>
      <c r="D3047" t="s">
        <v>2527</v>
      </c>
      <c r="E3047">
        <v>0</v>
      </c>
      <c r="F3047">
        <v>0</v>
      </c>
      <c r="G3047" t="s">
        <v>12</v>
      </c>
      <c r="I3047" t="s">
        <v>2409</v>
      </c>
    </row>
    <row r="3048" spans="1:9" hidden="1" x14ac:dyDescent="0.25">
      <c r="A3048" t="s">
        <v>2513</v>
      </c>
      <c r="B3048" t="s">
        <v>88</v>
      </c>
      <c r="C3048" s="2">
        <f>HYPERLINK("https://cao.dolgi.msk.ru/account/1080126256/", 1080126256)</f>
        <v>1080126256</v>
      </c>
      <c r="D3048" t="s">
        <v>2528</v>
      </c>
      <c r="E3048">
        <v>77522.44</v>
      </c>
      <c r="G3048" t="s">
        <v>14</v>
      </c>
      <c r="I3048" t="s">
        <v>2409</v>
      </c>
    </row>
    <row r="3049" spans="1:9" hidden="1" x14ac:dyDescent="0.25">
      <c r="A3049" t="s">
        <v>2513</v>
      </c>
      <c r="B3049" t="s">
        <v>88</v>
      </c>
      <c r="C3049" s="2">
        <f>HYPERLINK("https://cao.dolgi.msk.ru/account/1080126264/", 1080126264)</f>
        <v>1080126264</v>
      </c>
      <c r="D3049" t="s">
        <v>2528</v>
      </c>
      <c r="G3049" t="s">
        <v>14</v>
      </c>
      <c r="I3049" t="s">
        <v>2409</v>
      </c>
    </row>
    <row r="3050" spans="1:9" hidden="1" x14ac:dyDescent="0.25">
      <c r="A3050" t="s">
        <v>2513</v>
      </c>
      <c r="B3050" t="s">
        <v>88</v>
      </c>
      <c r="C3050" s="2">
        <f>HYPERLINK("https://cao.dolgi.msk.ru/account/1083395486/", 1083395486)</f>
        <v>1083395486</v>
      </c>
      <c r="D3050" t="s">
        <v>2528</v>
      </c>
      <c r="E3050">
        <v>-14262.42</v>
      </c>
      <c r="F3050">
        <v>-1.1299999999999999</v>
      </c>
      <c r="G3050" t="s">
        <v>12</v>
      </c>
      <c r="I3050" t="s">
        <v>2409</v>
      </c>
    </row>
    <row r="3051" spans="1:9" hidden="1" x14ac:dyDescent="0.25">
      <c r="A3051" t="s">
        <v>2529</v>
      </c>
      <c r="B3051" t="s">
        <v>16</v>
      </c>
      <c r="C3051" s="2">
        <f>HYPERLINK("https://cao.dolgi.msk.ru/account/1089102963/", 1089102963)</f>
        <v>1089102963</v>
      </c>
      <c r="E3051">
        <v>0</v>
      </c>
      <c r="G3051" t="s">
        <v>12</v>
      </c>
    </row>
    <row r="3052" spans="1:9" hidden="1" x14ac:dyDescent="0.25">
      <c r="A3052" t="s">
        <v>2529</v>
      </c>
      <c r="B3052" t="s">
        <v>22</v>
      </c>
      <c r="C3052" s="2">
        <f>HYPERLINK("https://cao.dolgi.msk.ru/account/1089103026/", 1089103026)</f>
        <v>1089103026</v>
      </c>
      <c r="E3052">
        <v>-63.6</v>
      </c>
      <c r="G3052" t="s">
        <v>12</v>
      </c>
    </row>
    <row r="3053" spans="1:9" hidden="1" x14ac:dyDescent="0.25">
      <c r="A3053" t="s">
        <v>2529</v>
      </c>
      <c r="B3053" t="s">
        <v>23</v>
      </c>
      <c r="C3053" s="2">
        <f>HYPERLINK("https://cao.dolgi.msk.ru/account/1089103034/", 1089103034)</f>
        <v>1089103034</v>
      </c>
      <c r="E3053">
        <v>-127.2</v>
      </c>
      <c r="G3053" t="s">
        <v>12</v>
      </c>
    </row>
    <row r="3054" spans="1:9" hidden="1" x14ac:dyDescent="0.25">
      <c r="A3054" t="s">
        <v>2529</v>
      </c>
      <c r="B3054" t="s">
        <v>31</v>
      </c>
      <c r="C3054" s="2">
        <f>HYPERLINK("https://cao.dolgi.msk.ru/account/1089103085/", 1089103085)</f>
        <v>1089103085</v>
      </c>
      <c r="E3054">
        <v>-31.8</v>
      </c>
      <c r="G3054" t="s">
        <v>12</v>
      </c>
    </row>
    <row r="3055" spans="1:9" hidden="1" x14ac:dyDescent="0.25">
      <c r="A3055" t="s">
        <v>2529</v>
      </c>
      <c r="B3055" t="s">
        <v>33</v>
      </c>
      <c r="C3055" s="2">
        <f>HYPERLINK("https://cao.dolgi.msk.ru/account/1089103093/", 1089103093)</f>
        <v>1089103093</v>
      </c>
      <c r="E3055">
        <v>-127.2</v>
      </c>
      <c r="G3055" t="s">
        <v>12</v>
      </c>
    </row>
    <row r="3056" spans="1:9" hidden="1" x14ac:dyDescent="0.25">
      <c r="A3056" t="s">
        <v>2529</v>
      </c>
      <c r="B3056" t="s">
        <v>34</v>
      </c>
      <c r="C3056" s="2">
        <f>HYPERLINK("https://cao.dolgi.msk.ru/account/1089103106/", 1089103106)</f>
        <v>1089103106</v>
      </c>
      <c r="E3056">
        <v>-63.6</v>
      </c>
      <c r="G3056" t="s">
        <v>12</v>
      </c>
    </row>
    <row r="3057" spans="1:7" hidden="1" x14ac:dyDescent="0.25">
      <c r="A3057" t="s">
        <v>2529</v>
      </c>
      <c r="B3057" t="s">
        <v>36</v>
      </c>
      <c r="C3057" s="2">
        <f>HYPERLINK("https://cao.dolgi.msk.ru/account/1089103114/", 1089103114)</f>
        <v>1089103114</v>
      </c>
      <c r="E3057">
        <v>-31.8</v>
      </c>
      <c r="G3057" t="s">
        <v>12</v>
      </c>
    </row>
    <row r="3058" spans="1:7" hidden="1" x14ac:dyDescent="0.25">
      <c r="A3058" t="s">
        <v>2529</v>
      </c>
      <c r="B3058" t="s">
        <v>42</v>
      </c>
      <c r="C3058" s="2">
        <f>HYPERLINK("https://cao.dolgi.msk.ru/account/1089103173/", 1089103173)</f>
        <v>1089103173</v>
      </c>
      <c r="E3058">
        <v>-63.6</v>
      </c>
      <c r="G3058" t="s">
        <v>12</v>
      </c>
    </row>
    <row r="3059" spans="1:7" hidden="1" x14ac:dyDescent="0.25">
      <c r="A3059" t="s">
        <v>2529</v>
      </c>
      <c r="B3059" t="s">
        <v>70</v>
      </c>
      <c r="C3059" s="2">
        <f>HYPERLINK("https://cao.dolgi.msk.ru/account/1089103237/", 1089103237)</f>
        <v>1089103237</v>
      </c>
      <c r="E3059">
        <v>-95.4</v>
      </c>
      <c r="G3059" t="s">
        <v>12</v>
      </c>
    </row>
    <row r="3060" spans="1:7" hidden="1" x14ac:dyDescent="0.25">
      <c r="A3060" t="s">
        <v>2529</v>
      </c>
      <c r="B3060" t="s">
        <v>72</v>
      </c>
      <c r="C3060" s="2">
        <f>HYPERLINK("https://cao.dolgi.msk.ru/account/1089103245/", 1089103245)</f>
        <v>1089103245</v>
      </c>
      <c r="E3060">
        <v>-141.19999999999999</v>
      </c>
      <c r="G3060" t="s">
        <v>12</v>
      </c>
    </row>
    <row r="3061" spans="1:7" hidden="1" x14ac:dyDescent="0.25">
      <c r="A3061" t="s">
        <v>2529</v>
      </c>
      <c r="B3061" t="s">
        <v>74</v>
      </c>
      <c r="C3061" s="2">
        <f>HYPERLINK("https://cao.dolgi.msk.ru/account/1089103253/", 1089103253)</f>
        <v>1089103253</v>
      </c>
      <c r="E3061">
        <v>-24.3</v>
      </c>
      <c r="G3061" t="s">
        <v>12</v>
      </c>
    </row>
    <row r="3062" spans="1:7" hidden="1" x14ac:dyDescent="0.25">
      <c r="A3062" t="s">
        <v>2529</v>
      </c>
      <c r="B3062" t="s">
        <v>76</v>
      </c>
      <c r="C3062" s="2">
        <f>HYPERLINK("https://cao.dolgi.msk.ru/account/1089103261/", 1089103261)</f>
        <v>1089103261</v>
      </c>
      <c r="E3062">
        <v>-31.8</v>
      </c>
      <c r="G3062" t="s">
        <v>12</v>
      </c>
    </row>
    <row r="3063" spans="1:7" hidden="1" x14ac:dyDescent="0.25">
      <c r="A3063" t="s">
        <v>2529</v>
      </c>
      <c r="B3063" t="s">
        <v>78</v>
      </c>
      <c r="C3063" s="2">
        <f>HYPERLINK("https://cao.dolgi.msk.ru/account/1089103288/", 1089103288)</f>
        <v>1089103288</v>
      </c>
      <c r="E3063">
        <v>-63.6</v>
      </c>
      <c r="G3063" t="s">
        <v>12</v>
      </c>
    </row>
    <row r="3064" spans="1:7" hidden="1" x14ac:dyDescent="0.25">
      <c r="A3064" t="s">
        <v>2529</v>
      </c>
      <c r="B3064" t="s">
        <v>80</v>
      </c>
      <c r="C3064" s="2">
        <f>HYPERLINK("https://cao.dolgi.msk.ru/account/1089103296/", 1089103296)</f>
        <v>1089103296</v>
      </c>
      <c r="E3064">
        <v>-24.8</v>
      </c>
      <c r="G3064" t="s">
        <v>12</v>
      </c>
    </row>
    <row r="3065" spans="1:7" hidden="1" x14ac:dyDescent="0.25">
      <c r="A3065" t="s">
        <v>2529</v>
      </c>
      <c r="B3065" t="s">
        <v>82</v>
      </c>
      <c r="C3065" s="2">
        <f>HYPERLINK("https://cao.dolgi.msk.ru/account/1089103309/", 1089103309)</f>
        <v>1089103309</v>
      </c>
      <c r="E3065">
        <v>-109.4</v>
      </c>
      <c r="G3065" t="s">
        <v>12</v>
      </c>
    </row>
    <row r="3066" spans="1:7" hidden="1" x14ac:dyDescent="0.25">
      <c r="A3066" t="s">
        <v>2529</v>
      </c>
      <c r="B3066" t="s">
        <v>86</v>
      </c>
      <c r="C3066" s="2">
        <f>HYPERLINK("https://cao.dolgi.msk.ru/account/1089103325/", 1089103325)</f>
        <v>1089103325</v>
      </c>
      <c r="E3066">
        <v>-63.6</v>
      </c>
      <c r="G3066" t="s">
        <v>12</v>
      </c>
    </row>
    <row r="3067" spans="1:7" hidden="1" x14ac:dyDescent="0.25">
      <c r="A3067" t="s">
        <v>2529</v>
      </c>
      <c r="B3067" t="s">
        <v>94</v>
      </c>
      <c r="C3067" s="2">
        <f>HYPERLINK("https://cao.dolgi.msk.ru/account/1089005397/", 1089005397)</f>
        <v>1089005397</v>
      </c>
      <c r="E3067">
        <v>-31.8</v>
      </c>
      <c r="G3067" t="s">
        <v>12</v>
      </c>
    </row>
    <row r="3068" spans="1:7" hidden="1" x14ac:dyDescent="0.25">
      <c r="A3068" t="s">
        <v>2529</v>
      </c>
      <c r="B3068" t="s">
        <v>104</v>
      </c>
      <c r="C3068" s="2">
        <f>HYPERLINK("https://cao.dolgi.msk.ru/account/1089103421/", 1089103421)</f>
        <v>1089103421</v>
      </c>
      <c r="E3068">
        <v>0</v>
      </c>
      <c r="G3068" t="s">
        <v>12</v>
      </c>
    </row>
    <row r="3069" spans="1:7" hidden="1" x14ac:dyDescent="0.25">
      <c r="A3069" t="s">
        <v>2529</v>
      </c>
      <c r="B3069" t="s">
        <v>108</v>
      </c>
      <c r="C3069" s="2">
        <f>HYPERLINK("https://cao.dolgi.msk.ru/account/1089103456/", 1089103456)</f>
        <v>1089103456</v>
      </c>
      <c r="E3069">
        <v>-95.4</v>
      </c>
      <c r="G3069" t="s">
        <v>12</v>
      </c>
    </row>
    <row r="3070" spans="1:7" hidden="1" x14ac:dyDescent="0.25">
      <c r="A3070" t="s">
        <v>2529</v>
      </c>
      <c r="B3070" t="s">
        <v>118</v>
      </c>
      <c r="C3070" s="2">
        <f>HYPERLINK("https://cao.dolgi.msk.ru/account/1089103501/", 1089103501)</f>
        <v>1089103501</v>
      </c>
      <c r="E3070">
        <v>-24.8</v>
      </c>
      <c r="G3070" t="s">
        <v>12</v>
      </c>
    </row>
    <row r="3071" spans="1:7" hidden="1" x14ac:dyDescent="0.25">
      <c r="A3071" t="s">
        <v>2529</v>
      </c>
      <c r="B3071" t="s">
        <v>120</v>
      </c>
      <c r="C3071" s="2">
        <f>HYPERLINK("https://cao.dolgi.msk.ru/account/1089103528/", 1089103528)</f>
        <v>1089103528</v>
      </c>
      <c r="E3071">
        <v>-31.8</v>
      </c>
      <c r="G3071" t="s">
        <v>12</v>
      </c>
    </row>
    <row r="3072" spans="1:7" hidden="1" x14ac:dyDescent="0.25">
      <c r="A3072" t="s">
        <v>2529</v>
      </c>
      <c r="B3072" t="s">
        <v>124</v>
      </c>
      <c r="C3072" s="2">
        <f>HYPERLINK("https://cao.dolgi.msk.ru/account/1089103544/", 1089103544)</f>
        <v>1089103544</v>
      </c>
      <c r="E3072">
        <v>-63.6</v>
      </c>
      <c r="G3072" t="s">
        <v>12</v>
      </c>
    </row>
    <row r="3073" spans="1:9" hidden="1" x14ac:dyDescent="0.25">
      <c r="A3073" t="s">
        <v>2529</v>
      </c>
      <c r="B3073" t="s">
        <v>126</v>
      </c>
      <c r="C3073" s="2">
        <f>HYPERLINK("https://cao.dolgi.msk.ru/account/1089103552/", 1089103552)</f>
        <v>1089103552</v>
      </c>
      <c r="E3073">
        <v>-31.8</v>
      </c>
      <c r="G3073" t="s">
        <v>12</v>
      </c>
    </row>
    <row r="3074" spans="1:9" hidden="1" x14ac:dyDescent="0.25">
      <c r="A3074" t="s">
        <v>2529</v>
      </c>
      <c r="B3074" t="s">
        <v>128</v>
      </c>
      <c r="C3074" s="2">
        <f>HYPERLINK("https://cao.dolgi.msk.ru/account/1089103579/", 1089103579)</f>
        <v>1089103579</v>
      </c>
      <c r="E3074">
        <v>-97.2</v>
      </c>
      <c r="G3074" t="s">
        <v>12</v>
      </c>
    </row>
    <row r="3075" spans="1:9" hidden="1" x14ac:dyDescent="0.25">
      <c r="A3075" t="s">
        <v>2529</v>
      </c>
      <c r="B3075" t="s">
        <v>130</v>
      </c>
      <c r="C3075" s="2">
        <f>HYPERLINK("https://cao.dolgi.msk.ru/account/1089103587/", 1089103587)</f>
        <v>1089103587</v>
      </c>
      <c r="E3075">
        <v>-114.8</v>
      </c>
      <c r="G3075" t="s">
        <v>12</v>
      </c>
    </row>
    <row r="3076" spans="1:9" hidden="1" x14ac:dyDescent="0.25">
      <c r="A3076" t="s">
        <v>2529</v>
      </c>
      <c r="B3076" t="s">
        <v>132</v>
      </c>
      <c r="C3076" s="2">
        <f>HYPERLINK("https://cao.dolgi.msk.ru/account/1089005354/", 1089005354)</f>
        <v>1089005354</v>
      </c>
      <c r="E3076">
        <v>0</v>
      </c>
      <c r="G3076" t="s">
        <v>12</v>
      </c>
    </row>
    <row r="3077" spans="1:9" hidden="1" x14ac:dyDescent="0.25">
      <c r="A3077" t="s">
        <v>2529</v>
      </c>
      <c r="B3077" t="s">
        <v>133</v>
      </c>
      <c r="C3077" s="2">
        <f>HYPERLINK("https://cao.dolgi.msk.ru/account/1089103608/", 1089103608)</f>
        <v>1089103608</v>
      </c>
      <c r="E3077">
        <v>-12.4</v>
      </c>
      <c r="G3077" t="s">
        <v>12</v>
      </c>
    </row>
    <row r="3078" spans="1:9" hidden="1" x14ac:dyDescent="0.25">
      <c r="A3078" t="s">
        <v>2529</v>
      </c>
      <c r="B3078" t="s">
        <v>135</v>
      </c>
      <c r="C3078" s="2">
        <f>HYPERLINK("https://cao.dolgi.msk.ru/account/1089103616/", 1089103616)</f>
        <v>1089103616</v>
      </c>
      <c r="E3078">
        <v>-58.34</v>
      </c>
      <c r="G3078" t="s">
        <v>12</v>
      </c>
    </row>
    <row r="3079" spans="1:9" hidden="1" x14ac:dyDescent="0.25">
      <c r="A3079" t="s">
        <v>2529</v>
      </c>
      <c r="B3079" t="s">
        <v>137</v>
      </c>
      <c r="C3079" s="2">
        <f>HYPERLINK("https://cao.dolgi.msk.ru/account/1089103624/", 1089103624)</f>
        <v>1089103624</v>
      </c>
      <c r="E3079">
        <v>-31.8</v>
      </c>
      <c r="G3079" t="s">
        <v>12</v>
      </c>
    </row>
    <row r="3080" spans="1:9" hidden="1" x14ac:dyDescent="0.25">
      <c r="A3080" t="s">
        <v>2529</v>
      </c>
      <c r="B3080" t="s">
        <v>139</v>
      </c>
      <c r="C3080" s="2">
        <f>HYPERLINK("https://cao.dolgi.msk.ru/account/1089103632/", 1089103632)</f>
        <v>1089103632</v>
      </c>
      <c r="E3080">
        <v>-31.8</v>
      </c>
      <c r="G3080" t="s">
        <v>12</v>
      </c>
    </row>
    <row r="3081" spans="1:9" hidden="1" x14ac:dyDescent="0.25">
      <c r="A3081" t="s">
        <v>2530</v>
      </c>
      <c r="B3081" t="s">
        <v>18</v>
      </c>
      <c r="C3081" s="2">
        <f>HYPERLINK("https://cao.dolgi.msk.ru/account/1080165706/", 1080165706)</f>
        <v>1080165706</v>
      </c>
      <c r="D3081" t="s">
        <v>2531</v>
      </c>
      <c r="E3081">
        <v>-9291.23</v>
      </c>
      <c r="F3081">
        <v>-1</v>
      </c>
      <c r="G3081" t="s">
        <v>12</v>
      </c>
      <c r="I3081" t="s">
        <v>2409</v>
      </c>
    </row>
    <row r="3082" spans="1:9" x14ac:dyDescent="0.25">
      <c r="A3082" t="s">
        <v>2530</v>
      </c>
      <c r="B3082" t="s">
        <v>20</v>
      </c>
      <c r="C3082" s="2">
        <f>HYPERLINK("https://cao.dolgi.msk.ru/account/1080165714/", 1080165714)</f>
        <v>1080165714</v>
      </c>
      <c r="D3082" t="s">
        <v>2532</v>
      </c>
      <c r="E3082">
        <v>4398.28</v>
      </c>
      <c r="F3082">
        <v>2</v>
      </c>
      <c r="G3082" t="s">
        <v>12</v>
      </c>
      <c r="H3082" t="s">
        <v>7</v>
      </c>
      <c r="I3082" t="s">
        <v>2409</v>
      </c>
    </row>
    <row r="3083" spans="1:9" hidden="1" x14ac:dyDescent="0.25">
      <c r="A3083" t="s">
        <v>2530</v>
      </c>
      <c r="B3083" t="s">
        <v>20</v>
      </c>
      <c r="C3083" s="2">
        <f>HYPERLINK("https://cao.dolgi.msk.ru/account/1080165722/", 1080165722)</f>
        <v>1080165722</v>
      </c>
      <c r="D3083" t="s">
        <v>2533</v>
      </c>
      <c r="E3083">
        <v>-1713.71</v>
      </c>
      <c r="F3083">
        <v>-0.73</v>
      </c>
      <c r="G3083" t="s">
        <v>12</v>
      </c>
      <c r="H3083" t="s">
        <v>7</v>
      </c>
      <c r="I3083" t="s">
        <v>2409</v>
      </c>
    </row>
    <row r="3084" spans="1:9" hidden="1" x14ac:dyDescent="0.25">
      <c r="A3084" t="s">
        <v>2530</v>
      </c>
      <c r="B3084" t="s">
        <v>20</v>
      </c>
      <c r="C3084" s="2">
        <f>HYPERLINK("https://cao.dolgi.msk.ru/account/1089124046/", 1089124046)</f>
        <v>1089124046</v>
      </c>
      <c r="D3084" t="s">
        <v>2533</v>
      </c>
      <c r="E3084">
        <v>0</v>
      </c>
      <c r="F3084">
        <v>0</v>
      </c>
      <c r="G3084" t="s">
        <v>12</v>
      </c>
      <c r="H3084" t="s">
        <v>7</v>
      </c>
      <c r="I3084" t="s">
        <v>2409</v>
      </c>
    </row>
    <row r="3085" spans="1:9" hidden="1" x14ac:dyDescent="0.25">
      <c r="A3085" t="s">
        <v>2530</v>
      </c>
      <c r="B3085" t="s">
        <v>21</v>
      </c>
      <c r="C3085" s="2">
        <f>HYPERLINK("https://cao.dolgi.msk.ru/account/1080165749/", 1080165749)</f>
        <v>1080165749</v>
      </c>
      <c r="D3085" t="s">
        <v>2534</v>
      </c>
      <c r="E3085">
        <v>-10061.74</v>
      </c>
      <c r="F3085">
        <v>-1.02</v>
      </c>
      <c r="G3085" t="s">
        <v>12</v>
      </c>
      <c r="I3085" t="s">
        <v>2409</v>
      </c>
    </row>
    <row r="3086" spans="1:9" hidden="1" x14ac:dyDescent="0.25">
      <c r="A3086" t="s">
        <v>2530</v>
      </c>
      <c r="B3086" t="s">
        <v>22</v>
      </c>
      <c r="C3086" s="2">
        <f>HYPERLINK("https://cao.dolgi.msk.ru/account/1080165052/", 1080165052)</f>
        <v>1080165052</v>
      </c>
      <c r="D3086" t="s">
        <v>2535</v>
      </c>
      <c r="E3086">
        <v>-10815.16</v>
      </c>
      <c r="F3086">
        <v>-1</v>
      </c>
      <c r="G3086" t="s">
        <v>12</v>
      </c>
      <c r="I3086" t="s">
        <v>2409</v>
      </c>
    </row>
    <row r="3087" spans="1:9" hidden="1" x14ac:dyDescent="0.25">
      <c r="A3087" t="s">
        <v>2530</v>
      </c>
      <c r="B3087" t="s">
        <v>23</v>
      </c>
      <c r="C3087" s="2">
        <f>HYPERLINK("https://cao.dolgi.msk.ru/account/1080138548/", 1080138548)</f>
        <v>1080138548</v>
      </c>
      <c r="D3087" t="s">
        <v>2536</v>
      </c>
      <c r="E3087">
        <v>-489.73</v>
      </c>
      <c r="G3087" t="s">
        <v>12</v>
      </c>
      <c r="H3087" t="s">
        <v>7</v>
      </c>
      <c r="I3087" t="s">
        <v>2409</v>
      </c>
    </row>
    <row r="3088" spans="1:9" hidden="1" x14ac:dyDescent="0.25">
      <c r="A3088" t="s">
        <v>2530</v>
      </c>
      <c r="B3088" t="s">
        <v>23</v>
      </c>
      <c r="C3088" s="2">
        <f>HYPERLINK("https://cao.dolgi.msk.ru/account/1080166186/", 1080166186)</f>
        <v>1080166186</v>
      </c>
      <c r="D3088" t="s">
        <v>2537</v>
      </c>
      <c r="E3088">
        <v>8155.64</v>
      </c>
      <c r="F3088">
        <v>0.79</v>
      </c>
      <c r="G3088" t="s">
        <v>12</v>
      </c>
      <c r="H3088" t="s">
        <v>7</v>
      </c>
      <c r="I3088" t="s">
        <v>2409</v>
      </c>
    </row>
    <row r="3089" spans="1:9" hidden="1" x14ac:dyDescent="0.25">
      <c r="A3089" t="s">
        <v>2530</v>
      </c>
      <c r="B3089" t="s">
        <v>24</v>
      </c>
      <c r="C3089" s="2">
        <f>HYPERLINK("https://cao.dolgi.msk.ru/account/1080322791/", 1080322791)</f>
        <v>1080322791</v>
      </c>
      <c r="D3089" t="s">
        <v>2538</v>
      </c>
      <c r="E3089">
        <v>-8428.94</v>
      </c>
      <c r="F3089">
        <v>-1.1000000000000001</v>
      </c>
      <c r="G3089" t="s">
        <v>12</v>
      </c>
      <c r="I3089" t="s">
        <v>2409</v>
      </c>
    </row>
    <row r="3090" spans="1:9" x14ac:dyDescent="0.25">
      <c r="A3090" t="s">
        <v>2530</v>
      </c>
      <c r="B3090" t="s">
        <v>27</v>
      </c>
      <c r="C3090" s="2">
        <f>HYPERLINK("https://cao.dolgi.msk.ru/account/1080168157/", 1080168157)</f>
        <v>1080168157</v>
      </c>
      <c r="D3090" t="s">
        <v>1082</v>
      </c>
      <c r="E3090">
        <v>139771.82999999999</v>
      </c>
      <c r="F3090">
        <v>12.15</v>
      </c>
      <c r="G3090" t="s">
        <v>12</v>
      </c>
      <c r="I3090" t="s">
        <v>2409</v>
      </c>
    </row>
    <row r="3091" spans="1:9" hidden="1" x14ac:dyDescent="0.25">
      <c r="A3091" t="s">
        <v>2530</v>
      </c>
      <c r="B3091" t="s">
        <v>29</v>
      </c>
      <c r="C3091" s="2">
        <f>HYPERLINK("https://cao.dolgi.msk.ru/account/1080165765/", 1080165765)</f>
        <v>1080165765</v>
      </c>
      <c r="D3091" t="s">
        <v>2539</v>
      </c>
      <c r="E3091">
        <v>-8400.19</v>
      </c>
      <c r="F3091">
        <v>-1.1100000000000001</v>
      </c>
      <c r="G3091" t="s">
        <v>12</v>
      </c>
      <c r="I3091" t="s">
        <v>2409</v>
      </c>
    </row>
    <row r="3092" spans="1:9" hidden="1" x14ac:dyDescent="0.25">
      <c r="A3092" t="s">
        <v>2530</v>
      </c>
      <c r="B3092" t="s">
        <v>31</v>
      </c>
      <c r="C3092" s="2">
        <f>HYPERLINK("https://cao.dolgi.msk.ru/account/1080166389/", 1080166389)</f>
        <v>1080166389</v>
      </c>
      <c r="D3092" t="s">
        <v>2540</v>
      </c>
      <c r="E3092">
        <v>-18322.03</v>
      </c>
      <c r="F3092">
        <v>-0.99</v>
      </c>
      <c r="G3092" t="s">
        <v>12</v>
      </c>
      <c r="I3092" t="s">
        <v>2409</v>
      </c>
    </row>
    <row r="3093" spans="1:9" hidden="1" x14ac:dyDescent="0.25">
      <c r="A3093" t="s">
        <v>2530</v>
      </c>
      <c r="B3093" t="s">
        <v>260</v>
      </c>
      <c r="C3093" s="2">
        <f>HYPERLINK("https://cao.dolgi.msk.ru/account/1080324375/", 1080324375)</f>
        <v>1080324375</v>
      </c>
      <c r="D3093" t="s">
        <v>2541</v>
      </c>
      <c r="E3093">
        <v>-12501.9</v>
      </c>
      <c r="F3093">
        <v>-1.02</v>
      </c>
      <c r="G3093" t="s">
        <v>12</v>
      </c>
      <c r="I3093" t="s">
        <v>2409</v>
      </c>
    </row>
    <row r="3094" spans="1:9" hidden="1" x14ac:dyDescent="0.25">
      <c r="A3094" t="s">
        <v>2530</v>
      </c>
      <c r="B3094" t="s">
        <v>33</v>
      </c>
      <c r="C3094" s="2">
        <f>HYPERLINK("https://cao.dolgi.msk.ru/account/1080165781/", 1080165781)</f>
        <v>1080165781</v>
      </c>
      <c r="D3094" t="s">
        <v>2542</v>
      </c>
      <c r="E3094">
        <v>11308.37</v>
      </c>
      <c r="F3094">
        <v>1</v>
      </c>
      <c r="G3094" t="s">
        <v>12</v>
      </c>
      <c r="I3094" t="s">
        <v>2409</v>
      </c>
    </row>
    <row r="3095" spans="1:9" hidden="1" x14ac:dyDescent="0.25">
      <c r="A3095" t="s">
        <v>2530</v>
      </c>
      <c r="B3095" t="s">
        <v>36</v>
      </c>
      <c r="C3095" s="2">
        <f>HYPERLINK("https://cao.dolgi.msk.ru/account/1080167461/", 1080167461)</f>
        <v>1080167461</v>
      </c>
      <c r="D3095" t="s">
        <v>15</v>
      </c>
      <c r="E3095">
        <v>-13887.49</v>
      </c>
      <c r="F3095">
        <v>-1.01</v>
      </c>
      <c r="G3095" t="s">
        <v>12</v>
      </c>
      <c r="I3095" t="s">
        <v>2409</v>
      </c>
    </row>
    <row r="3096" spans="1:9" hidden="1" x14ac:dyDescent="0.25">
      <c r="A3096" t="s">
        <v>2530</v>
      </c>
      <c r="B3096" t="s">
        <v>38</v>
      </c>
      <c r="C3096" s="2">
        <f>HYPERLINK("https://cao.dolgi.msk.ru/account/1080138847/", 1080138847)</f>
        <v>1080138847</v>
      </c>
      <c r="D3096" t="s">
        <v>2543</v>
      </c>
      <c r="E3096">
        <v>-14301.44</v>
      </c>
      <c r="F3096">
        <v>-0.91</v>
      </c>
      <c r="G3096" t="s">
        <v>12</v>
      </c>
      <c r="I3096" t="s">
        <v>2409</v>
      </c>
    </row>
    <row r="3097" spans="1:9" hidden="1" x14ac:dyDescent="0.25">
      <c r="A3097" t="s">
        <v>2530</v>
      </c>
      <c r="B3097" t="s">
        <v>39</v>
      </c>
      <c r="C3097" s="2">
        <f>HYPERLINK("https://cao.dolgi.msk.ru/account/1080138564/", 1080138564)</f>
        <v>1080138564</v>
      </c>
      <c r="D3097" t="s">
        <v>2544</v>
      </c>
      <c r="E3097">
        <v>-17839.88</v>
      </c>
      <c r="F3097">
        <v>-1.63</v>
      </c>
      <c r="G3097" t="s">
        <v>12</v>
      </c>
      <c r="I3097" t="s">
        <v>2409</v>
      </c>
    </row>
    <row r="3098" spans="1:9" hidden="1" x14ac:dyDescent="0.25">
      <c r="A3098" t="s">
        <v>2530</v>
      </c>
      <c r="B3098" t="s">
        <v>40</v>
      </c>
      <c r="C3098" s="2">
        <f>HYPERLINK("https://cao.dolgi.msk.ru/account/1080166231/", 1080166231)</f>
        <v>1080166231</v>
      </c>
      <c r="D3098" t="s">
        <v>2545</v>
      </c>
      <c r="E3098">
        <v>-13068.23</v>
      </c>
      <c r="F3098">
        <v>-1.01</v>
      </c>
      <c r="G3098" t="s">
        <v>12</v>
      </c>
      <c r="I3098" t="s">
        <v>2409</v>
      </c>
    </row>
    <row r="3099" spans="1:9" hidden="1" x14ac:dyDescent="0.25">
      <c r="A3099" t="s">
        <v>2530</v>
      </c>
      <c r="B3099" t="s">
        <v>41</v>
      </c>
      <c r="C3099" s="2">
        <f>HYPERLINK("https://cao.dolgi.msk.ru/account/1080165853/", 1080165853)</f>
        <v>1080165853</v>
      </c>
      <c r="D3099" t="s">
        <v>2546</v>
      </c>
      <c r="E3099">
        <v>-36864.47</v>
      </c>
      <c r="F3099">
        <v>-1.01</v>
      </c>
      <c r="G3099" t="s">
        <v>12</v>
      </c>
      <c r="I3099" t="s">
        <v>2409</v>
      </c>
    </row>
    <row r="3100" spans="1:9" hidden="1" x14ac:dyDescent="0.25">
      <c r="A3100" t="s">
        <v>2530</v>
      </c>
      <c r="B3100" t="s">
        <v>42</v>
      </c>
      <c r="C3100" s="2">
        <f>HYPERLINK("https://cao.dolgi.msk.ru/account/1080322847/", 1080322847)</f>
        <v>1080322847</v>
      </c>
      <c r="D3100" t="s">
        <v>2547</v>
      </c>
      <c r="E3100">
        <v>-48601.11</v>
      </c>
      <c r="F3100">
        <v>-2.0099999999999998</v>
      </c>
      <c r="G3100" t="s">
        <v>12</v>
      </c>
      <c r="I3100" t="s">
        <v>2409</v>
      </c>
    </row>
    <row r="3101" spans="1:9" hidden="1" x14ac:dyDescent="0.25">
      <c r="A3101" t="s">
        <v>2530</v>
      </c>
      <c r="B3101" t="s">
        <v>68</v>
      </c>
      <c r="C3101" s="2">
        <f>HYPERLINK("https://cao.dolgi.msk.ru/account/1080165888/", 1080165888)</f>
        <v>1080165888</v>
      </c>
      <c r="D3101" t="s">
        <v>2548</v>
      </c>
      <c r="E3101">
        <v>-28.86</v>
      </c>
      <c r="F3101">
        <v>0</v>
      </c>
      <c r="G3101" t="s">
        <v>12</v>
      </c>
      <c r="I3101" t="s">
        <v>2409</v>
      </c>
    </row>
    <row r="3102" spans="1:9" hidden="1" x14ac:dyDescent="0.25">
      <c r="A3102" t="s">
        <v>2530</v>
      </c>
      <c r="B3102" t="s">
        <v>70</v>
      </c>
      <c r="C3102" s="2">
        <f>HYPERLINK("https://cao.dolgi.msk.ru/account/1080165896/", 1080165896)</f>
        <v>1080165896</v>
      </c>
      <c r="D3102" t="s">
        <v>2549</v>
      </c>
      <c r="E3102">
        <v>-2446.63</v>
      </c>
      <c r="F3102">
        <v>-0.37</v>
      </c>
      <c r="G3102" t="s">
        <v>12</v>
      </c>
      <c r="I3102" t="s">
        <v>2409</v>
      </c>
    </row>
    <row r="3103" spans="1:9" hidden="1" x14ac:dyDescent="0.25">
      <c r="A3103" t="s">
        <v>2530</v>
      </c>
      <c r="B3103" t="s">
        <v>72</v>
      </c>
      <c r="C3103" s="2">
        <f>HYPERLINK("https://cao.dolgi.msk.ru/account/1080164965/", 1080164965)</f>
        <v>1080164965</v>
      </c>
      <c r="D3103" t="s">
        <v>2550</v>
      </c>
      <c r="E3103">
        <v>4392.18</v>
      </c>
      <c r="F3103">
        <v>0.86</v>
      </c>
      <c r="G3103" t="s">
        <v>12</v>
      </c>
      <c r="H3103" t="s">
        <v>7</v>
      </c>
      <c r="I3103" t="s">
        <v>2409</v>
      </c>
    </row>
    <row r="3104" spans="1:9" hidden="1" x14ac:dyDescent="0.25">
      <c r="A3104" t="s">
        <v>2530</v>
      </c>
      <c r="B3104" t="s">
        <v>72</v>
      </c>
      <c r="C3104" s="2">
        <f>HYPERLINK("https://cao.dolgi.msk.ru/account/1080165909/", 1080165909)</f>
        <v>1080165909</v>
      </c>
      <c r="D3104" t="s">
        <v>2550</v>
      </c>
      <c r="E3104">
        <v>7134.25</v>
      </c>
      <c r="F3104">
        <v>0.97</v>
      </c>
      <c r="G3104" t="s">
        <v>12</v>
      </c>
      <c r="H3104" t="s">
        <v>7</v>
      </c>
      <c r="I3104" t="s">
        <v>2409</v>
      </c>
    </row>
    <row r="3105" spans="1:9" hidden="1" x14ac:dyDescent="0.25">
      <c r="A3105" t="s">
        <v>2530</v>
      </c>
      <c r="B3105" t="s">
        <v>74</v>
      </c>
      <c r="C3105" s="2">
        <f>HYPERLINK("https://cao.dolgi.msk.ru/account/1080165917/", 1080165917)</f>
        <v>1080165917</v>
      </c>
      <c r="D3105" t="s">
        <v>2551</v>
      </c>
      <c r="E3105">
        <v>10703.66</v>
      </c>
      <c r="F3105">
        <v>0.91</v>
      </c>
      <c r="G3105" t="s">
        <v>12</v>
      </c>
      <c r="I3105" t="s">
        <v>2409</v>
      </c>
    </row>
    <row r="3106" spans="1:9" hidden="1" x14ac:dyDescent="0.25">
      <c r="A3106" t="s">
        <v>2530</v>
      </c>
      <c r="B3106" t="s">
        <v>76</v>
      </c>
      <c r="C3106" s="2">
        <f>HYPERLINK("https://cao.dolgi.msk.ru/account/1080138628/", 1080138628)</f>
        <v>1080138628</v>
      </c>
      <c r="D3106" t="s">
        <v>15</v>
      </c>
      <c r="E3106">
        <v>-10360.92</v>
      </c>
      <c r="F3106">
        <v>-1.03</v>
      </c>
      <c r="G3106" t="s">
        <v>12</v>
      </c>
      <c r="I3106" t="s">
        <v>2409</v>
      </c>
    </row>
    <row r="3107" spans="1:9" hidden="1" x14ac:dyDescent="0.25">
      <c r="A3107" t="s">
        <v>2530</v>
      </c>
      <c r="B3107" t="s">
        <v>78</v>
      </c>
      <c r="C3107" s="2">
        <f>HYPERLINK("https://cao.dolgi.msk.ru/account/1080159488/", 1080159488)</f>
        <v>1080159488</v>
      </c>
      <c r="D3107" t="s">
        <v>2552</v>
      </c>
      <c r="E3107">
        <v>-4781.6099999999997</v>
      </c>
      <c r="F3107">
        <v>-0.81</v>
      </c>
      <c r="G3107" t="s">
        <v>12</v>
      </c>
      <c r="I3107" t="s">
        <v>2409</v>
      </c>
    </row>
    <row r="3108" spans="1:9" hidden="1" x14ac:dyDescent="0.25">
      <c r="A3108" t="s">
        <v>2530</v>
      </c>
      <c r="B3108" t="s">
        <v>78</v>
      </c>
      <c r="C3108" s="2">
        <f>HYPERLINK("https://cao.dolgi.msk.ru/account/1083268778/", 1083268778)</f>
        <v>1083268778</v>
      </c>
      <c r="D3108" t="s">
        <v>1082</v>
      </c>
      <c r="E3108">
        <v>862.69</v>
      </c>
      <c r="F3108">
        <v>0.15</v>
      </c>
      <c r="G3108" t="s">
        <v>12</v>
      </c>
      <c r="I3108" t="s">
        <v>2409</v>
      </c>
    </row>
    <row r="3109" spans="1:9" hidden="1" x14ac:dyDescent="0.25">
      <c r="A3109" t="s">
        <v>2530</v>
      </c>
      <c r="B3109" t="s">
        <v>80</v>
      </c>
      <c r="C3109" s="2">
        <f>HYPERLINK("https://cao.dolgi.msk.ru/account/1080166362/", 1080166362)</f>
        <v>1080166362</v>
      </c>
      <c r="D3109" t="s">
        <v>2553</v>
      </c>
      <c r="E3109">
        <v>-10958.16</v>
      </c>
      <c r="F3109">
        <v>-1.0900000000000001</v>
      </c>
      <c r="G3109" t="s">
        <v>12</v>
      </c>
      <c r="I3109" t="s">
        <v>2409</v>
      </c>
    </row>
    <row r="3110" spans="1:9" hidden="1" x14ac:dyDescent="0.25">
      <c r="A3110" t="s">
        <v>2530</v>
      </c>
      <c r="B3110" t="s">
        <v>82</v>
      </c>
      <c r="C3110" s="2">
        <f>HYPERLINK("https://cao.dolgi.msk.ru/account/1080165343/", 1080165343)</f>
        <v>1080165343</v>
      </c>
      <c r="D3110" t="s">
        <v>2554</v>
      </c>
      <c r="E3110">
        <v>-8601.1200000000008</v>
      </c>
      <c r="F3110">
        <v>-0.92</v>
      </c>
      <c r="G3110" t="s">
        <v>12</v>
      </c>
      <c r="I3110" t="s">
        <v>2409</v>
      </c>
    </row>
    <row r="3111" spans="1:9" hidden="1" x14ac:dyDescent="0.25">
      <c r="A3111" t="s">
        <v>2530</v>
      </c>
      <c r="B3111" t="s">
        <v>82</v>
      </c>
      <c r="C3111" s="2">
        <f>HYPERLINK("https://cao.dolgi.msk.ru/account/1080165925/", 1080165925)</f>
        <v>1080165925</v>
      </c>
      <c r="D3111" t="s">
        <v>2555</v>
      </c>
      <c r="E3111">
        <v>149.05000000000001</v>
      </c>
      <c r="G3111" t="s">
        <v>14</v>
      </c>
      <c r="I3111" t="s">
        <v>2409</v>
      </c>
    </row>
    <row r="3112" spans="1:9" hidden="1" x14ac:dyDescent="0.25">
      <c r="A3112" t="s">
        <v>2530</v>
      </c>
      <c r="B3112" t="s">
        <v>84</v>
      </c>
      <c r="C3112" s="2">
        <f>HYPERLINK("https://cao.dolgi.msk.ru/account/1080165044/", 1080165044)</f>
        <v>1080165044</v>
      </c>
      <c r="D3112" t="s">
        <v>15</v>
      </c>
      <c r="G3112" t="s">
        <v>14</v>
      </c>
      <c r="I3112" t="s">
        <v>2409</v>
      </c>
    </row>
    <row r="3113" spans="1:9" hidden="1" x14ac:dyDescent="0.25">
      <c r="A3113" t="s">
        <v>2530</v>
      </c>
      <c r="B3113" t="s">
        <v>84</v>
      </c>
      <c r="C3113" s="2">
        <f>HYPERLINK("https://cao.dolgi.msk.ru/account/1080168093/", 1080168093)</f>
        <v>1080168093</v>
      </c>
      <c r="D3113" t="s">
        <v>15</v>
      </c>
      <c r="E3113">
        <v>164.67</v>
      </c>
      <c r="F3113">
        <v>0.01</v>
      </c>
      <c r="G3113" t="s">
        <v>12</v>
      </c>
      <c r="I3113" t="s">
        <v>2409</v>
      </c>
    </row>
    <row r="3114" spans="1:9" hidden="1" x14ac:dyDescent="0.25">
      <c r="A3114" t="s">
        <v>2530</v>
      </c>
      <c r="B3114" t="s">
        <v>86</v>
      </c>
      <c r="C3114" s="2">
        <f>HYPERLINK("https://cao.dolgi.msk.ru/account/1080165933/", 1080165933)</f>
        <v>1080165933</v>
      </c>
      <c r="D3114" t="s">
        <v>2556</v>
      </c>
      <c r="E3114">
        <v>-17379.849999999999</v>
      </c>
      <c r="F3114">
        <v>-1.05</v>
      </c>
      <c r="G3114" t="s">
        <v>12</v>
      </c>
      <c r="I3114" t="s">
        <v>2409</v>
      </c>
    </row>
    <row r="3115" spans="1:9" hidden="1" x14ac:dyDescent="0.25">
      <c r="A3115" t="s">
        <v>2530</v>
      </c>
      <c r="B3115" t="s">
        <v>96</v>
      </c>
      <c r="C3115" s="2">
        <f>HYPERLINK("https://cao.dolgi.msk.ru/account/1080322732/", 1080322732)</f>
        <v>1080322732</v>
      </c>
      <c r="D3115" t="s">
        <v>2557</v>
      </c>
      <c r="E3115">
        <v>-7588.17</v>
      </c>
      <c r="F3115">
        <v>-0.92</v>
      </c>
      <c r="G3115" t="s">
        <v>12</v>
      </c>
      <c r="I3115" t="s">
        <v>2409</v>
      </c>
    </row>
    <row r="3116" spans="1:9" hidden="1" x14ac:dyDescent="0.25">
      <c r="A3116" t="s">
        <v>2530</v>
      </c>
      <c r="B3116" t="s">
        <v>98</v>
      </c>
      <c r="C3116" s="2">
        <f>HYPERLINK("https://cao.dolgi.msk.ru/account/1080159381/", 1080159381)</f>
        <v>1080159381</v>
      </c>
      <c r="D3116" t="s">
        <v>2558</v>
      </c>
      <c r="E3116">
        <v>-8021.72</v>
      </c>
      <c r="F3116">
        <v>-1.02</v>
      </c>
      <c r="G3116" t="s">
        <v>12</v>
      </c>
      <c r="I3116" t="s">
        <v>2409</v>
      </c>
    </row>
    <row r="3117" spans="1:9" hidden="1" x14ac:dyDescent="0.25">
      <c r="A3117" t="s">
        <v>2530</v>
      </c>
      <c r="B3117" t="s">
        <v>100</v>
      </c>
      <c r="C3117" s="2">
        <f>HYPERLINK("https://cao.dolgi.msk.ru/account/1080165976/", 1080165976)</f>
        <v>1080165976</v>
      </c>
      <c r="D3117" t="s">
        <v>2559</v>
      </c>
      <c r="E3117">
        <v>-7147.59</v>
      </c>
      <c r="F3117">
        <v>-1.04</v>
      </c>
      <c r="G3117" t="s">
        <v>12</v>
      </c>
      <c r="I3117" t="s">
        <v>2409</v>
      </c>
    </row>
    <row r="3118" spans="1:9" hidden="1" x14ac:dyDescent="0.25">
      <c r="A3118" t="s">
        <v>2530</v>
      </c>
      <c r="B3118" t="s">
        <v>102</v>
      </c>
      <c r="C3118" s="2">
        <f>HYPERLINK("https://cao.dolgi.msk.ru/account/1080165167/", 1080165167)</f>
        <v>1080165167</v>
      </c>
      <c r="D3118" t="s">
        <v>2560</v>
      </c>
      <c r="E3118">
        <v>4045.87</v>
      </c>
      <c r="F3118">
        <v>0.44</v>
      </c>
      <c r="G3118" t="s">
        <v>12</v>
      </c>
      <c r="I3118" t="s">
        <v>2409</v>
      </c>
    </row>
    <row r="3119" spans="1:9" hidden="1" x14ac:dyDescent="0.25">
      <c r="A3119" t="s">
        <v>2530</v>
      </c>
      <c r="B3119" t="s">
        <v>104</v>
      </c>
      <c r="C3119" s="2">
        <f>HYPERLINK("https://cao.dolgi.msk.ru/account/1080325933/", 1080325933)</f>
        <v>1080325933</v>
      </c>
      <c r="D3119" t="s">
        <v>2561</v>
      </c>
      <c r="E3119">
        <v>-10118.49</v>
      </c>
      <c r="F3119">
        <v>-1.01</v>
      </c>
      <c r="G3119" t="s">
        <v>12</v>
      </c>
      <c r="I3119" t="s">
        <v>2409</v>
      </c>
    </row>
    <row r="3120" spans="1:9" hidden="1" x14ac:dyDescent="0.25">
      <c r="A3120" t="s">
        <v>2530</v>
      </c>
      <c r="B3120" t="s">
        <v>106</v>
      </c>
      <c r="C3120" s="2">
        <f>HYPERLINK("https://cao.dolgi.msk.ru/account/1080165992/", 1080165992)</f>
        <v>1080165992</v>
      </c>
      <c r="D3120" t="s">
        <v>2562</v>
      </c>
      <c r="E3120">
        <v>114.79</v>
      </c>
      <c r="F3120">
        <v>0.01</v>
      </c>
      <c r="G3120" t="s">
        <v>12</v>
      </c>
      <c r="I3120" t="s">
        <v>2409</v>
      </c>
    </row>
    <row r="3121" spans="1:9" hidden="1" x14ac:dyDescent="0.25">
      <c r="A3121" t="s">
        <v>2530</v>
      </c>
      <c r="B3121" t="s">
        <v>108</v>
      </c>
      <c r="C3121" s="2">
        <f>HYPERLINK("https://cao.dolgi.msk.ru/account/1080322898/", 1080322898)</f>
        <v>1080322898</v>
      </c>
      <c r="D3121" t="s">
        <v>2563</v>
      </c>
      <c r="E3121">
        <v>19.54</v>
      </c>
      <c r="F3121">
        <v>0</v>
      </c>
      <c r="G3121" t="s">
        <v>12</v>
      </c>
      <c r="I3121" t="s">
        <v>2409</v>
      </c>
    </row>
    <row r="3122" spans="1:9" hidden="1" x14ac:dyDescent="0.25">
      <c r="A3122" t="s">
        <v>2530</v>
      </c>
      <c r="B3122" t="s">
        <v>110</v>
      </c>
      <c r="C3122" s="2">
        <f>HYPERLINK("https://cao.dolgi.msk.ru/account/1080165255/", 1080165255)</f>
        <v>1080165255</v>
      </c>
      <c r="D3122" t="s">
        <v>2564</v>
      </c>
      <c r="E3122">
        <v>-115875.62</v>
      </c>
      <c r="F3122">
        <v>-11.17</v>
      </c>
      <c r="G3122" t="s">
        <v>12</v>
      </c>
      <c r="I3122" t="s">
        <v>2409</v>
      </c>
    </row>
    <row r="3123" spans="1:9" hidden="1" x14ac:dyDescent="0.25">
      <c r="A3123" t="s">
        <v>2530</v>
      </c>
      <c r="B3123" t="s">
        <v>116</v>
      </c>
      <c r="C3123" s="2">
        <f>HYPERLINK("https://cao.dolgi.msk.ru/account/1080138695/", 1080138695)</f>
        <v>1080138695</v>
      </c>
      <c r="D3123" t="s">
        <v>2565</v>
      </c>
      <c r="E3123">
        <v>-7744.42</v>
      </c>
      <c r="F3123">
        <v>-1.01</v>
      </c>
      <c r="G3123" t="s">
        <v>12</v>
      </c>
      <c r="I3123" t="s">
        <v>2409</v>
      </c>
    </row>
    <row r="3124" spans="1:9" hidden="1" x14ac:dyDescent="0.25">
      <c r="A3124" t="s">
        <v>2530</v>
      </c>
      <c r="B3124" t="s">
        <v>118</v>
      </c>
      <c r="C3124" s="2">
        <f>HYPERLINK("https://cao.dolgi.msk.ru/account/1080165757/", 1080165757)</f>
        <v>1080165757</v>
      </c>
      <c r="D3124" t="s">
        <v>2566</v>
      </c>
      <c r="E3124">
        <v>-103.37</v>
      </c>
      <c r="F3124">
        <v>-0.04</v>
      </c>
      <c r="G3124" t="s">
        <v>12</v>
      </c>
      <c r="I3124" t="s">
        <v>2409</v>
      </c>
    </row>
    <row r="3125" spans="1:9" hidden="1" x14ac:dyDescent="0.25">
      <c r="A3125" t="s">
        <v>2530</v>
      </c>
      <c r="B3125" t="s">
        <v>120</v>
      </c>
      <c r="C3125" s="2">
        <f>HYPERLINK("https://cao.dolgi.msk.ru/account/1080166266/", 1080166266)</f>
        <v>1080166266</v>
      </c>
      <c r="D3125" t="s">
        <v>2567</v>
      </c>
      <c r="E3125">
        <v>0</v>
      </c>
      <c r="F3125">
        <v>0</v>
      </c>
      <c r="G3125" t="s">
        <v>12</v>
      </c>
      <c r="I3125" t="s">
        <v>2409</v>
      </c>
    </row>
    <row r="3126" spans="1:9" hidden="1" x14ac:dyDescent="0.25">
      <c r="A3126" t="s">
        <v>2530</v>
      </c>
      <c r="B3126" t="s">
        <v>122</v>
      </c>
      <c r="C3126" s="2">
        <f>HYPERLINK("https://cao.dolgi.msk.ru/account/1080166207/", 1080166207)</f>
        <v>1080166207</v>
      </c>
      <c r="D3126" t="s">
        <v>2568</v>
      </c>
      <c r="E3126">
        <v>-6192.97</v>
      </c>
      <c r="F3126">
        <v>-1.1399999999999999</v>
      </c>
      <c r="G3126" t="s">
        <v>12</v>
      </c>
      <c r="I3126" t="s">
        <v>2409</v>
      </c>
    </row>
    <row r="3127" spans="1:9" hidden="1" x14ac:dyDescent="0.25">
      <c r="A3127" t="s">
        <v>2530</v>
      </c>
      <c r="B3127" t="s">
        <v>124</v>
      </c>
      <c r="C3127" s="2">
        <f>HYPERLINK("https://cao.dolgi.msk.ru/account/1080166012/", 1080166012)</f>
        <v>1080166012</v>
      </c>
      <c r="D3127" t="s">
        <v>15</v>
      </c>
      <c r="E3127">
        <v>-5830.34</v>
      </c>
      <c r="F3127">
        <v>-1.26</v>
      </c>
      <c r="G3127" t="s">
        <v>12</v>
      </c>
      <c r="I3127" t="s">
        <v>2409</v>
      </c>
    </row>
    <row r="3128" spans="1:9" hidden="1" x14ac:dyDescent="0.25">
      <c r="A3128" t="s">
        <v>2530</v>
      </c>
      <c r="B3128" t="s">
        <v>126</v>
      </c>
      <c r="C3128" s="2">
        <f>HYPERLINK("https://cao.dolgi.msk.ru/account/1080168106/", 1080168106)</f>
        <v>1080168106</v>
      </c>
      <c r="D3128" t="s">
        <v>2569</v>
      </c>
      <c r="E3128">
        <v>-5640.66</v>
      </c>
      <c r="F3128">
        <v>-1.03</v>
      </c>
      <c r="G3128" t="s">
        <v>12</v>
      </c>
      <c r="I3128" t="s">
        <v>2409</v>
      </c>
    </row>
    <row r="3129" spans="1:9" hidden="1" x14ac:dyDescent="0.25">
      <c r="A3129" t="s">
        <v>2530</v>
      </c>
      <c r="B3129" t="s">
        <v>128</v>
      </c>
      <c r="C3129" s="2">
        <f>HYPERLINK("https://cao.dolgi.msk.ru/account/1080166071/", 1080166071)</f>
        <v>1080166071</v>
      </c>
      <c r="D3129" t="s">
        <v>2570</v>
      </c>
      <c r="E3129">
        <v>-5049.2299999999996</v>
      </c>
      <c r="F3129">
        <v>-1.03</v>
      </c>
      <c r="G3129" t="s">
        <v>12</v>
      </c>
      <c r="I3129" t="s">
        <v>2409</v>
      </c>
    </row>
    <row r="3130" spans="1:9" hidden="1" x14ac:dyDescent="0.25">
      <c r="A3130" t="s">
        <v>2530</v>
      </c>
      <c r="B3130" t="s">
        <v>130</v>
      </c>
      <c r="C3130" s="2">
        <f>HYPERLINK("https://cao.dolgi.msk.ru/account/1080166055/", 1080166055)</f>
        <v>1080166055</v>
      </c>
      <c r="D3130" t="s">
        <v>2571</v>
      </c>
      <c r="E3130">
        <v>-8836.58</v>
      </c>
      <c r="F3130">
        <v>-1.1000000000000001</v>
      </c>
      <c r="G3130" t="s">
        <v>12</v>
      </c>
      <c r="I3130" t="s">
        <v>2409</v>
      </c>
    </row>
    <row r="3131" spans="1:9" hidden="1" x14ac:dyDescent="0.25">
      <c r="A3131" t="s">
        <v>2530</v>
      </c>
      <c r="B3131" t="s">
        <v>132</v>
      </c>
      <c r="C3131" s="2">
        <f>HYPERLINK("https://cao.dolgi.msk.ru/account/1089127757/", 1089127757)</f>
        <v>1089127757</v>
      </c>
      <c r="D3131" t="s">
        <v>15</v>
      </c>
      <c r="E3131">
        <v>-109989.47</v>
      </c>
      <c r="F3131">
        <v>-14.29</v>
      </c>
      <c r="G3131" t="s">
        <v>12</v>
      </c>
      <c r="I3131" t="s">
        <v>2409</v>
      </c>
    </row>
    <row r="3132" spans="1:9" hidden="1" x14ac:dyDescent="0.25">
      <c r="A3132" t="s">
        <v>2530</v>
      </c>
      <c r="B3132" t="s">
        <v>2572</v>
      </c>
      <c r="C3132" s="2">
        <f>HYPERLINK("https://cao.dolgi.msk.ru/account/1080324535/", 1080324535)</f>
        <v>1080324535</v>
      </c>
      <c r="D3132" t="s">
        <v>15</v>
      </c>
      <c r="E3132">
        <v>-15678.74</v>
      </c>
      <c r="F3132">
        <v>-1.04</v>
      </c>
      <c r="G3132" t="s">
        <v>12</v>
      </c>
      <c r="I3132" t="s">
        <v>2409</v>
      </c>
    </row>
    <row r="3133" spans="1:9" hidden="1" x14ac:dyDescent="0.25">
      <c r="A3133" t="s">
        <v>2530</v>
      </c>
      <c r="B3133" t="s">
        <v>133</v>
      </c>
      <c r="C3133" s="2">
        <f>HYPERLINK("https://cao.dolgi.msk.ru/account/1080322935/", 1080322935)</f>
        <v>1080322935</v>
      </c>
      <c r="D3133" t="s">
        <v>2573</v>
      </c>
      <c r="E3133">
        <v>-15989</v>
      </c>
      <c r="F3133">
        <v>-1.01</v>
      </c>
      <c r="G3133" t="s">
        <v>12</v>
      </c>
      <c r="I3133" t="s">
        <v>2409</v>
      </c>
    </row>
    <row r="3134" spans="1:9" hidden="1" x14ac:dyDescent="0.25">
      <c r="A3134" t="s">
        <v>2574</v>
      </c>
      <c r="B3134" t="s">
        <v>10</v>
      </c>
      <c r="C3134" s="2">
        <f>HYPERLINK("https://cao.dolgi.msk.ru/account/1080129035/", 1080129035)</f>
        <v>1080129035</v>
      </c>
      <c r="D3134" t="s">
        <v>15</v>
      </c>
      <c r="G3134" t="s">
        <v>14</v>
      </c>
      <c r="I3134" t="s">
        <v>2409</v>
      </c>
    </row>
    <row r="3135" spans="1:9" hidden="1" x14ac:dyDescent="0.25">
      <c r="A3135" t="s">
        <v>2574</v>
      </c>
      <c r="B3135" t="s">
        <v>16</v>
      </c>
      <c r="C3135" s="2">
        <f>HYPERLINK("https://cao.dolgi.msk.ru/account/1080129932/", 1080129932)</f>
        <v>1080129932</v>
      </c>
      <c r="D3135" t="s">
        <v>2575</v>
      </c>
      <c r="E3135">
        <v>-7058.52</v>
      </c>
      <c r="F3135">
        <v>-1.21</v>
      </c>
      <c r="G3135" t="s">
        <v>12</v>
      </c>
      <c r="I3135" t="s">
        <v>2409</v>
      </c>
    </row>
    <row r="3136" spans="1:9" hidden="1" x14ac:dyDescent="0.25">
      <c r="A3136" t="s">
        <v>2574</v>
      </c>
      <c r="B3136" t="s">
        <v>18</v>
      </c>
      <c r="C3136" s="2">
        <f>HYPERLINK("https://cao.dolgi.msk.ru/account/1080129051/", 1080129051)</f>
        <v>1080129051</v>
      </c>
      <c r="D3136" t="s">
        <v>2576</v>
      </c>
      <c r="E3136">
        <v>-915.27</v>
      </c>
      <c r="F3136">
        <v>-0.14000000000000001</v>
      </c>
      <c r="G3136" t="s">
        <v>12</v>
      </c>
      <c r="I3136" t="s">
        <v>2409</v>
      </c>
    </row>
    <row r="3137" spans="1:9" hidden="1" x14ac:dyDescent="0.25">
      <c r="A3137" t="s">
        <v>2574</v>
      </c>
      <c r="B3137" t="s">
        <v>20</v>
      </c>
      <c r="C3137" s="2">
        <f>HYPERLINK("https://cao.dolgi.msk.ru/account/1080129078/", 1080129078)</f>
        <v>1080129078</v>
      </c>
      <c r="D3137" t="s">
        <v>2577</v>
      </c>
      <c r="E3137">
        <v>-9237.2099999999991</v>
      </c>
      <c r="F3137">
        <v>-1.23</v>
      </c>
      <c r="G3137" t="s">
        <v>12</v>
      </c>
      <c r="I3137" t="s">
        <v>2409</v>
      </c>
    </row>
    <row r="3138" spans="1:9" hidden="1" x14ac:dyDescent="0.25">
      <c r="A3138" t="s">
        <v>2574</v>
      </c>
      <c r="B3138" t="s">
        <v>21</v>
      </c>
      <c r="C3138" s="2">
        <f>HYPERLINK("https://cao.dolgi.msk.ru/account/1080129086/", 1080129086)</f>
        <v>1080129086</v>
      </c>
      <c r="D3138" t="s">
        <v>2578</v>
      </c>
      <c r="E3138">
        <v>-4282.46</v>
      </c>
      <c r="F3138">
        <v>-1</v>
      </c>
      <c r="G3138" t="s">
        <v>12</v>
      </c>
      <c r="I3138" t="s">
        <v>2409</v>
      </c>
    </row>
    <row r="3139" spans="1:9" hidden="1" x14ac:dyDescent="0.25">
      <c r="A3139" t="s">
        <v>2574</v>
      </c>
      <c r="B3139" t="s">
        <v>22</v>
      </c>
      <c r="C3139" s="2">
        <f>HYPERLINK("https://cao.dolgi.msk.ru/account/1080129107/", 1080129107)</f>
        <v>1080129107</v>
      </c>
      <c r="D3139" t="s">
        <v>2579</v>
      </c>
      <c r="E3139">
        <v>-5261.94</v>
      </c>
      <c r="F3139">
        <v>-1.17</v>
      </c>
      <c r="G3139" t="s">
        <v>12</v>
      </c>
      <c r="H3139" t="s">
        <v>7</v>
      </c>
      <c r="I3139" t="s">
        <v>2409</v>
      </c>
    </row>
    <row r="3140" spans="1:9" hidden="1" x14ac:dyDescent="0.25">
      <c r="A3140" t="s">
        <v>2574</v>
      </c>
      <c r="B3140" t="s">
        <v>22</v>
      </c>
      <c r="C3140" s="2">
        <f>HYPERLINK("https://cao.dolgi.msk.ru/account/1080129115/", 1080129115)</f>
        <v>1080129115</v>
      </c>
      <c r="D3140" t="s">
        <v>2579</v>
      </c>
      <c r="E3140">
        <v>-3028.43</v>
      </c>
      <c r="F3140">
        <v>-1.29</v>
      </c>
      <c r="G3140" t="s">
        <v>12</v>
      </c>
      <c r="H3140" t="s">
        <v>7</v>
      </c>
      <c r="I3140" t="s">
        <v>2409</v>
      </c>
    </row>
    <row r="3141" spans="1:9" hidden="1" x14ac:dyDescent="0.25">
      <c r="A3141" t="s">
        <v>2574</v>
      </c>
      <c r="B3141" t="s">
        <v>23</v>
      </c>
      <c r="C3141" s="2">
        <f>HYPERLINK("https://cao.dolgi.msk.ru/account/1080129123/", 1080129123)</f>
        <v>1080129123</v>
      </c>
      <c r="D3141" t="s">
        <v>2580</v>
      </c>
      <c r="E3141">
        <v>0</v>
      </c>
      <c r="F3141">
        <v>0</v>
      </c>
      <c r="G3141" t="s">
        <v>12</v>
      </c>
      <c r="I3141" t="s">
        <v>2409</v>
      </c>
    </row>
    <row r="3142" spans="1:9" hidden="1" x14ac:dyDescent="0.25">
      <c r="A3142" t="s">
        <v>2574</v>
      </c>
      <c r="B3142" t="s">
        <v>24</v>
      </c>
      <c r="C3142" s="2">
        <f>HYPERLINK("https://cao.dolgi.msk.ru/account/1080129131/", 1080129131)</f>
        <v>1080129131</v>
      </c>
      <c r="D3142" t="s">
        <v>2581</v>
      </c>
      <c r="E3142">
        <v>-2115.2600000000002</v>
      </c>
      <c r="F3142">
        <v>-0.55000000000000004</v>
      </c>
      <c r="G3142" t="s">
        <v>12</v>
      </c>
      <c r="I3142" t="s">
        <v>2409</v>
      </c>
    </row>
    <row r="3143" spans="1:9" hidden="1" x14ac:dyDescent="0.25">
      <c r="A3143" t="s">
        <v>2574</v>
      </c>
      <c r="B3143" t="s">
        <v>27</v>
      </c>
      <c r="C3143" s="2">
        <f>HYPERLINK("https://cao.dolgi.msk.ru/account/1080129158/", 1080129158)</f>
        <v>1080129158</v>
      </c>
      <c r="D3143" t="s">
        <v>2582</v>
      </c>
      <c r="E3143">
        <v>-5863.65</v>
      </c>
      <c r="F3143">
        <v>-1.44</v>
      </c>
      <c r="G3143" t="s">
        <v>12</v>
      </c>
      <c r="I3143" t="s">
        <v>2409</v>
      </c>
    </row>
    <row r="3144" spans="1:9" hidden="1" x14ac:dyDescent="0.25">
      <c r="A3144" t="s">
        <v>2574</v>
      </c>
      <c r="B3144" t="s">
        <v>29</v>
      </c>
      <c r="C3144" s="2">
        <f>HYPERLINK("https://cao.dolgi.msk.ru/account/1080129166/", 1080129166)</f>
        <v>1080129166</v>
      </c>
      <c r="D3144" t="s">
        <v>2583</v>
      </c>
      <c r="E3144">
        <v>-5840.76</v>
      </c>
      <c r="F3144">
        <v>-1.29</v>
      </c>
      <c r="G3144" t="s">
        <v>12</v>
      </c>
      <c r="I3144" t="s">
        <v>2409</v>
      </c>
    </row>
    <row r="3145" spans="1:9" hidden="1" x14ac:dyDescent="0.25">
      <c r="A3145" t="s">
        <v>2574</v>
      </c>
      <c r="B3145" t="s">
        <v>31</v>
      </c>
      <c r="C3145" s="2">
        <f>HYPERLINK("https://cao.dolgi.msk.ru/account/1080129174/", 1080129174)</f>
        <v>1080129174</v>
      </c>
      <c r="D3145" t="s">
        <v>2584</v>
      </c>
      <c r="E3145">
        <v>-7202.54</v>
      </c>
      <c r="F3145">
        <v>-1.17</v>
      </c>
      <c r="G3145" t="s">
        <v>12</v>
      </c>
      <c r="I3145" t="s">
        <v>2409</v>
      </c>
    </row>
    <row r="3146" spans="1:9" hidden="1" x14ac:dyDescent="0.25">
      <c r="A3146" t="s">
        <v>2574</v>
      </c>
      <c r="B3146" t="s">
        <v>33</v>
      </c>
      <c r="C3146" s="2">
        <f>HYPERLINK("https://cao.dolgi.msk.ru/account/1080129182/", 1080129182)</f>
        <v>1080129182</v>
      </c>
      <c r="D3146" t="s">
        <v>2585</v>
      </c>
      <c r="E3146">
        <v>89.67</v>
      </c>
      <c r="F3146">
        <v>0.01</v>
      </c>
      <c r="G3146" t="s">
        <v>12</v>
      </c>
      <c r="I3146" t="s">
        <v>2409</v>
      </c>
    </row>
    <row r="3147" spans="1:9" hidden="1" x14ac:dyDescent="0.25">
      <c r="A3147" t="s">
        <v>2574</v>
      </c>
      <c r="B3147" t="s">
        <v>33</v>
      </c>
      <c r="C3147" s="2">
        <f>HYPERLINK("https://cao.dolgi.msk.ru/account/1083272363/", 1083272363)</f>
        <v>1083272363</v>
      </c>
      <c r="D3147" t="s">
        <v>15</v>
      </c>
      <c r="G3147" t="s">
        <v>14</v>
      </c>
      <c r="I3147" t="s">
        <v>2409</v>
      </c>
    </row>
    <row r="3148" spans="1:9" hidden="1" x14ac:dyDescent="0.25">
      <c r="A3148" t="s">
        <v>2574</v>
      </c>
      <c r="B3148" t="s">
        <v>34</v>
      </c>
      <c r="C3148" s="2">
        <f>HYPERLINK("https://cao.dolgi.msk.ru/account/1080129203/", 1080129203)</f>
        <v>1080129203</v>
      </c>
      <c r="D3148" t="s">
        <v>2586</v>
      </c>
      <c r="E3148">
        <v>-6070.1</v>
      </c>
      <c r="F3148">
        <v>-1.06</v>
      </c>
      <c r="G3148" t="s">
        <v>12</v>
      </c>
      <c r="I3148" t="s">
        <v>2409</v>
      </c>
    </row>
    <row r="3149" spans="1:9" hidden="1" x14ac:dyDescent="0.25">
      <c r="A3149" t="s">
        <v>2574</v>
      </c>
      <c r="B3149" t="s">
        <v>36</v>
      </c>
      <c r="C3149" s="2">
        <f>HYPERLINK("https://cao.dolgi.msk.ru/account/1080129211/", 1080129211)</f>
        <v>1080129211</v>
      </c>
      <c r="D3149" t="s">
        <v>2587</v>
      </c>
      <c r="E3149">
        <v>-7136.62</v>
      </c>
      <c r="F3149">
        <v>-1.36</v>
      </c>
      <c r="G3149" t="s">
        <v>12</v>
      </c>
      <c r="I3149" t="s">
        <v>2409</v>
      </c>
    </row>
    <row r="3150" spans="1:9" hidden="1" x14ac:dyDescent="0.25">
      <c r="A3150" t="s">
        <v>2574</v>
      </c>
      <c r="B3150" t="s">
        <v>38</v>
      </c>
      <c r="C3150" s="2">
        <f>HYPERLINK("https://cao.dolgi.msk.ru/account/1080129238/", 1080129238)</f>
        <v>1080129238</v>
      </c>
      <c r="D3150" t="s">
        <v>2588</v>
      </c>
      <c r="E3150">
        <v>-10025.44</v>
      </c>
      <c r="F3150">
        <v>-1.4</v>
      </c>
      <c r="G3150" t="s">
        <v>12</v>
      </c>
      <c r="I3150" t="s">
        <v>2409</v>
      </c>
    </row>
    <row r="3151" spans="1:9" hidden="1" x14ac:dyDescent="0.25">
      <c r="A3151" t="s">
        <v>2574</v>
      </c>
      <c r="B3151" t="s">
        <v>39</v>
      </c>
      <c r="C3151" s="2">
        <f>HYPERLINK("https://cao.dolgi.msk.ru/account/1080129246/", 1080129246)</f>
        <v>1080129246</v>
      </c>
      <c r="D3151" t="s">
        <v>2589</v>
      </c>
      <c r="E3151">
        <v>-1379.66</v>
      </c>
      <c r="F3151">
        <v>-0.16</v>
      </c>
      <c r="G3151" t="s">
        <v>12</v>
      </c>
      <c r="I3151" t="s">
        <v>2409</v>
      </c>
    </row>
    <row r="3152" spans="1:9" hidden="1" x14ac:dyDescent="0.25">
      <c r="A3152" t="s">
        <v>2574</v>
      </c>
      <c r="B3152" t="s">
        <v>41</v>
      </c>
      <c r="C3152" s="2">
        <f>HYPERLINK("https://cao.dolgi.msk.ru/account/1080129254/", 1080129254)</f>
        <v>1080129254</v>
      </c>
      <c r="D3152" t="s">
        <v>2590</v>
      </c>
      <c r="E3152">
        <v>-828.81</v>
      </c>
      <c r="F3152">
        <v>-0.12</v>
      </c>
      <c r="G3152" t="s">
        <v>12</v>
      </c>
      <c r="I3152" t="s">
        <v>2409</v>
      </c>
    </row>
    <row r="3153" spans="1:9" hidden="1" x14ac:dyDescent="0.25">
      <c r="A3153" t="s">
        <v>2574</v>
      </c>
      <c r="B3153" t="s">
        <v>42</v>
      </c>
      <c r="C3153" s="2">
        <f>HYPERLINK("https://cao.dolgi.msk.ru/account/1080129262/", 1080129262)</f>
        <v>1080129262</v>
      </c>
      <c r="D3153" t="s">
        <v>2591</v>
      </c>
      <c r="E3153">
        <v>-8604.2999999999993</v>
      </c>
      <c r="F3153">
        <v>-1.1599999999999999</v>
      </c>
      <c r="G3153" t="s">
        <v>12</v>
      </c>
      <c r="I3153" t="s">
        <v>2409</v>
      </c>
    </row>
    <row r="3154" spans="1:9" hidden="1" x14ac:dyDescent="0.25">
      <c r="A3154" t="s">
        <v>2574</v>
      </c>
      <c r="B3154" t="s">
        <v>44</v>
      </c>
      <c r="C3154" s="2">
        <f>HYPERLINK("https://cao.dolgi.msk.ru/account/1080129297/", 1080129297)</f>
        <v>1080129297</v>
      </c>
      <c r="D3154" t="s">
        <v>2592</v>
      </c>
      <c r="E3154">
        <v>-11572.47</v>
      </c>
      <c r="F3154">
        <v>-1.21</v>
      </c>
      <c r="G3154" t="s">
        <v>12</v>
      </c>
      <c r="I3154" t="s">
        <v>2409</v>
      </c>
    </row>
    <row r="3155" spans="1:9" hidden="1" x14ac:dyDescent="0.25">
      <c r="A3155" t="s">
        <v>2574</v>
      </c>
      <c r="B3155" t="s">
        <v>66</v>
      </c>
      <c r="C3155" s="2">
        <f>HYPERLINK("https://cao.dolgi.msk.ru/account/1080129318/", 1080129318)</f>
        <v>1080129318</v>
      </c>
      <c r="D3155" t="s">
        <v>2593</v>
      </c>
      <c r="E3155">
        <v>-1021.27</v>
      </c>
      <c r="F3155">
        <v>-0.16</v>
      </c>
      <c r="G3155" t="s">
        <v>12</v>
      </c>
      <c r="I3155" t="s">
        <v>2409</v>
      </c>
    </row>
    <row r="3156" spans="1:9" hidden="1" x14ac:dyDescent="0.25">
      <c r="A3156" t="s">
        <v>2574</v>
      </c>
      <c r="B3156" t="s">
        <v>68</v>
      </c>
      <c r="C3156" s="2">
        <f>HYPERLINK("https://cao.dolgi.msk.ru/account/1080129326/", 1080129326)</f>
        <v>1080129326</v>
      </c>
      <c r="D3156" t="s">
        <v>2594</v>
      </c>
      <c r="E3156">
        <v>-3488.56</v>
      </c>
      <c r="F3156">
        <v>-1.18</v>
      </c>
      <c r="G3156" t="s">
        <v>12</v>
      </c>
      <c r="I3156" t="s">
        <v>2409</v>
      </c>
    </row>
    <row r="3157" spans="1:9" hidden="1" x14ac:dyDescent="0.25">
      <c r="A3157" t="s">
        <v>2574</v>
      </c>
      <c r="B3157" t="s">
        <v>70</v>
      </c>
      <c r="C3157" s="2">
        <f>HYPERLINK("https://cao.dolgi.msk.ru/account/1080129334/", 1080129334)</f>
        <v>1080129334</v>
      </c>
      <c r="D3157" t="s">
        <v>2595</v>
      </c>
      <c r="E3157">
        <v>-5189.3900000000003</v>
      </c>
      <c r="F3157">
        <v>-1.23</v>
      </c>
      <c r="G3157" t="s">
        <v>12</v>
      </c>
      <c r="I3157" t="s">
        <v>2409</v>
      </c>
    </row>
    <row r="3158" spans="1:9" hidden="1" x14ac:dyDescent="0.25">
      <c r="A3158" t="s">
        <v>2574</v>
      </c>
      <c r="B3158" t="s">
        <v>70</v>
      </c>
      <c r="C3158" s="2">
        <f>HYPERLINK("https://cao.dolgi.msk.ru/account/1083271678/", 1083271678)</f>
        <v>1083271678</v>
      </c>
      <c r="D3158" t="s">
        <v>15</v>
      </c>
      <c r="E3158">
        <v>-3530.77</v>
      </c>
      <c r="F3158">
        <v>-1.22</v>
      </c>
      <c r="G3158" t="s">
        <v>12</v>
      </c>
      <c r="I3158" t="s">
        <v>2409</v>
      </c>
    </row>
    <row r="3159" spans="1:9" hidden="1" x14ac:dyDescent="0.25">
      <c r="A3159" t="s">
        <v>2574</v>
      </c>
      <c r="B3159" t="s">
        <v>74</v>
      </c>
      <c r="C3159" s="2">
        <f>HYPERLINK("https://cao.dolgi.msk.ru/account/1080129342/", 1080129342)</f>
        <v>1080129342</v>
      </c>
      <c r="D3159" t="s">
        <v>2596</v>
      </c>
      <c r="E3159">
        <v>-7660.79</v>
      </c>
      <c r="F3159">
        <v>-1.1200000000000001</v>
      </c>
      <c r="G3159" t="s">
        <v>12</v>
      </c>
      <c r="I3159" t="s">
        <v>2409</v>
      </c>
    </row>
    <row r="3160" spans="1:9" hidden="1" x14ac:dyDescent="0.25">
      <c r="A3160" t="s">
        <v>2574</v>
      </c>
      <c r="B3160" t="s">
        <v>80</v>
      </c>
      <c r="C3160" s="2">
        <f>HYPERLINK("https://cao.dolgi.msk.ru/account/1080129393/", 1080129393)</f>
        <v>1080129393</v>
      </c>
      <c r="D3160" t="s">
        <v>2597</v>
      </c>
      <c r="E3160">
        <v>0</v>
      </c>
      <c r="F3160">
        <v>0</v>
      </c>
      <c r="G3160" t="s">
        <v>12</v>
      </c>
      <c r="I3160" t="s">
        <v>2409</v>
      </c>
    </row>
    <row r="3161" spans="1:9" hidden="1" x14ac:dyDescent="0.25">
      <c r="A3161" t="s">
        <v>2574</v>
      </c>
      <c r="B3161" t="s">
        <v>80</v>
      </c>
      <c r="C3161" s="2">
        <f>HYPERLINK("https://cao.dolgi.msk.ru/account/1083273083/", 1083273083)</f>
        <v>1083273083</v>
      </c>
      <c r="D3161" t="s">
        <v>1082</v>
      </c>
      <c r="E3161">
        <v>-5486.72</v>
      </c>
      <c r="G3161" t="s">
        <v>14</v>
      </c>
      <c r="I3161" t="s">
        <v>2409</v>
      </c>
    </row>
    <row r="3162" spans="1:9" hidden="1" x14ac:dyDescent="0.25">
      <c r="A3162" t="s">
        <v>2574</v>
      </c>
      <c r="B3162" t="s">
        <v>82</v>
      </c>
      <c r="C3162" s="2">
        <f>HYPERLINK("https://cao.dolgi.msk.ru/account/1080129406/", 1080129406)</f>
        <v>1080129406</v>
      </c>
      <c r="D3162" t="s">
        <v>2598</v>
      </c>
      <c r="E3162">
        <v>-7065.61</v>
      </c>
      <c r="F3162">
        <v>-1.1299999999999999</v>
      </c>
      <c r="G3162" t="s">
        <v>12</v>
      </c>
      <c r="I3162" t="s">
        <v>2409</v>
      </c>
    </row>
    <row r="3163" spans="1:9" x14ac:dyDescent="0.25">
      <c r="A3163" t="s">
        <v>2574</v>
      </c>
      <c r="B3163" t="s">
        <v>84</v>
      </c>
      <c r="C3163" s="2">
        <f>HYPERLINK("https://cao.dolgi.msk.ru/account/1080129414/", 1080129414)</f>
        <v>1080129414</v>
      </c>
      <c r="D3163" t="s">
        <v>2599</v>
      </c>
      <c r="E3163">
        <v>16655.45</v>
      </c>
      <c r="F3163">
        <v>1.94</v>
      </c>
      <c r="G3163" t="s">
        <v>12</v>
      </c>
      <c r="I3163" t="s">
        <v>2409</v>
      </c>
    </row>
    <row r="3164" spans="1:9" hidden="1" x14ac:dyDescent="0.25">
      <c r="A3164" t="s">
        <v>2574</v>
      </c>
      <c r="B3164" t="s">
        <v>86</v>
      </c>
      <c r="C3164" s="2">
        <f>HYPERLINK("https://cao.dolgi.msk.ru/account/1080129422/", 1080129422)</f>
        <v>1080129422</v>
      </c>
      <c r="D3164" t="s">
        <v>2600</v>
      </c>
      <c r="E3164">
        <v>-8786.17</v>
      </c>
      <c r="F3164">
        <v>-1.1200000000000001</v>
      </c>
      <c r="G3164" t="s">
        <v>12</v>
      </c>
      <c r="I3164" t="s">
        <v>2409</v>
      </c>
    </row>
    <row r="3165" spans="1:9" hidden="1" x14ac:dyDescent="0.25">
      <c r="A3165" t="s">
        <v>2574</v>
      </c>
      <c r="B3165" t="s">
        <v>88</v>
      </c>
      <c r="C3165" s="2">
        <f>HYPERLINK("https://cao.dolgi.msk.ru/account/1080129457/", 1080129457)</f>
        <v>1080129457</v>
      </c>
      <c r="D3165" t="s">
        <v>2601</v>
      </c>
      <c r="E3165">
        <v>-14478.38</v>
      </c>
      <c r="F3165">
        <v>-1.07</v>
      </c>
      <c r="G3165" t="s">
        <v>12</v>
      </c>
      <c r="I3165" t="s">
        <v>2409</v>
      </c>
    </row>
    <row r="3166" spans="1:9" hidden="1" x14ac:dyDescent="0.25">
      <c r="A3166" t="s">
        <v>2574</v>
      </c>
      <c r="B3166" t="s">
        <v>90</v>
      </c>
      <c r="C3166" s="2">
        <f>HYPERLINK("https://cao.dolgi.msk.ru/account/1080129465/", 1080129465)</f>
        <v>1080129465</v>
      </c>
      <c r="D3166" t="s">
        <v>2602</v>
      </c>
      <c r="E3166">
        <v>-9959.11</v>
      </c>
      <c r="F3166">
        <v>-2.14</v>
      </c>
      <c r="G3166" t="s">
        <v>12</v>
      </c>
      <c r="I3166" t="s">
        <v>2409</v>
      </c>
    </row>
    <row r="3167" spans="1:9" hidden="1" x14ac:dyDescent="0.25">
      <c r="A3167" t="s">
        <v>2574</v>
      </c>
      <c r="B3167" t="s">
        <v>92</v>
      </c>
      <c r="C3167" s="2">
        <f>HYPERLINK("https://cao.dolgi.msk.ru/account/1080129473/", 1080129473)</f>
        <v>1080129473</v>
      </c>
      <c r="D3167" t="s">
        <v>2603</v>
      </c>
      <c r="E3167">
        <v>-12832.66</v>
      </c>
      <c r="F3167">
        <v>-1.0900000000000001</v>
      </c>
      <c r="G3167" t="s">
        <v>12</v>
      </c>
      <c r="I3167" t="s">
        <v>2409</v>
      </c>
    </row>
    <row r="3168" spans="1:9" hidden="1" x14ac:dyDescent="0.25">
      <c r="A3168" t="s">
        <v>2574</v>
      </c>
      <c r="B3168" t="s">
        <v>94</v>
      </c>
      <c r="C3168" s="2">
        <f>HYPERLINK("https://cao.dolgi.msk.ru/account/1080129481/", 1080129481)</f>
        <v>1080129481</v>
      </c>
      <c r="D3168" t="s">
        <v>2604</v>
      </c>
      <c r="E3168">
        <v>0</v>
      </c>
      <c r="F3168">
        <v>0</v>
      </c>
      <c r="G3168" t="s">
        <v>12</v>
      </c>
      <c r="I3168" t="s">
        <v>2409</v>
      </c>
    </row>
    <row r="3169" spans="1:9" hidden="1" x14ac:dyDescent="0.25">
      <c r="A3169" t="s">
        <v>2574</v>
      </c>
      <c r="B3169" t="s">
        <v>96</v>
      </c>
      <c r="C3169" s="2">
        <f>HYPERLINK("https://cao.dolgi.msk.ru/account/1080129502/", 1080129502)</f>
        <v>1080129502</v>
      </c>
      <c r="D3169" t="s">
        <v>2605</v>
      </c>
      <c r="E3169">
        <v>-37728.199999999997</v>
      </c>
      <c r="F3169">
        <v>-6.34</v>
      </c>
      <c r="G3169" t="s">
        <v>12</v>
      </c>
      <c r="I3169" t="s">
        <v>2409</v>
      </c>
    </row>
    <row r="3170" spans="1:9" hidden="1" x14ac:dyDescent="0.25">
      <c r="A3170" t="s">
        <v>2574</v>
      </c>
      <c r="B3170" t="s">
        <v>98</v>
      </c>
      <c r="C3170" s="2">
        <f>HYPERLINK("https://cao.dolgi.msk.ru/account/1080129529/", 1080129529)</f>
        <v>1080129529</v>
      </c>
      <c r="D3170" t="s">
        <v>2606</v>
      </c>
      <c r="E3170">
        <v>979.73</v>
      </c>
      <c r="F3170">
        <v>0.16</v>
      </c>
      <c r="G3170" t="s">
        <v>12</v>
      </c>
      <c r="I3170" t="s">
        <v>2409</v>
      </c>
    </row>
    <row r="3171" spans="1:9" hidden="1" x14ac:dyDescent="0.25">
      <c r="A3171" t="s">
        <v>2574</v>
      </c>
      <c r="B3171" t="s">
        <v>100</v>
      </c>
      <c r="C3171" s="2">
        <f>HYPERLINK("https://cao.dolgi.msk.ru/account/1080129537/", 1080129537)</f>
        <v>1080129537</v>
      </c>
      <c r="D3171" t="s">
        <v>15</v>
      </c>
      <c r="E3171">
        <v>-18765.490000000002</v>
      </c>
      <c r="F3171">
        <v>-3.46</v>
      </c>
      <c r="G3171" t="s">
        <v>12</v>
      </c>
      <c r="I3171" t="s">
        <v>2409</v>
      </c>
    </row>
    <row r="3172" spans="1:9" hidden="1" x14ac:dyDescent="0.25">
      <c r="A3172" t="s">
        <v>2574</v>
      </c>
      <c r="B3172" t="s">
        <v>102</v>
      </c>
      <c r="C3172" s="2">
        <f>HYPERLINK("https://cao.dolgi.msk.ru/account/1080129545/", 1080129545)</f>
        <v>1080129545</v>
      </c>
      <c r="D3172" t="s">
        <v>2607</v>
      </c>
      <c r="E3172">
        <v>-8936.5300000000007</v>
      </c>
      <c r="F3172">
        <v>-1.1399999999999999</v>
      </c>
      <c r="G3172" t="s">
        <v>12</v>
      </c>
      <c r="I3172" t="s">
        <v>2409</v>
      </c>
    </row>
    <row r="3173" spans="1:9" hidden="1" x14ac:dyDescent="0.25">
      <c r="A3173" t="s">
        <v>2574</v>
      </c>
      <c r="B3173" t="s">
        <v>104</v>
      </c>
      <c r="C3173" s="2">
        <f>HYPERLINK("https://cao.dolgi.msk.ru/account/1080129553/", 1080129553)</f>
        <v>1080129553</v>
      </c>
      <c r="D3173" t="s">
        <v>2608</v>
      </c>
      <c r="E3173">
        <v>-5201.28</v>
      </c>
      <c r="F3173">
        <v>-1.22</v>
      </c>
      <c r="G3173" t="s">
        <v>12</v>
      </c>
      <c r="I3173" t="s">
        <v>2409</v>
      </c>
    </row>
    <row r="3174" spans="1:9" hidden="1" x14ac:dyDescent="0.25">
      <c r="A3174" t="s">
        <v>2574</v>
      </c>
      <c r="B3174" t="s">
        <v>106</v>
      </c>
      <c r="C3174" s="2">
        <f>HYPERLINK("https://cao.dolgi.msk.ru/account/1080129561/", 1080129561)</f>
        <v>1080129561</v>
      </c>
      <c r="D3174" t="s">
        <v>2609</v>
      </c>
      <c r="E3174">
        <v>-5553.1</v>
      </c>
      <c r="F3174">
        <v>-1.1599999999999999</v>
      </c>
      <c r="G3174" t="s">
        <v>12</v>
      </c>
      <c r="I3174" t="s">
        <v>2409</v>
      </c>
    </row>
    <row r="3175" spans="1:9" hidden="1" x14ac:dyDescent="0.25">
      <c r="A3175" t="s">
        <v>2574</v>
      </c>
      <c r="B3175" t="s">
        <v>108</v>
      </c>
      <c r="C3175" s="2">
        <f>HYPERLINK("https://cao.dolgi.msk.ru/account/1080129596/", 1080129596)</f>
        <v>1080129596</v>
      </c>
      <c r="D3175" t="s">
        <v>62</v>
      </c>
      <c r="E3175">
        <v>-7777.92</v>
      </c>
      <c r="F3175">
        <v>-1.21</v>
      </c>
      <c r="G3175" t="s">
        <v>12</v>
      </c>
      <c r="I3175" t="s">
        <v>2409</v>
      </c>
    </row>
    <row r="3176" spans="1:9" hidden="1" x14ac:dyDescent="0.25">
      <c r="A3176" t="s">
        <v>2574</v>
      </c>
      <c r="B3176" t="s">
        <v>112</v>
      </c>
      <c r="C3176" s="2">
        <f>HYPERLINK("https://cao.dolgi.msk.ru/account/1080129609/", 1080129609)</f>
        <v>1080129609</v>
      </c>
      <c r="D3176" t="s">
        <v>2610</v>
      </c>
      <c r="E3176">
        <v>-8304.61</v>
      </c>
      <c r="F3176">
        <v>-1.18</v>
      </c>
      <c r="G3176" t="s">
        <v>12</v>
      </c>
      <c r="I3176" t="s">
        <v>2409</v>
      </c>
    </row>
    <row r="3177" spans="1:9" hidden="1" x14ac:dyDescent="0.25">
      <c r="A3177" t="s">
        <v>2574</v>
      </c>
      <c r="B3177" t="s">
        <v>114</v>
      </c>
      <c r="C3177" s="2">
        <f>HYPERLINK("https://cao.dolgi.msk.ru/account/1080129617/", 1080129617)</f>
        <v>1080129617</v>
      </c>
      <c r="D3177" t="s">
        <v>2611</v>
      </c>
      <c r="E3177">
        <v>440.78</v>
      </c>
      <c r="F3177">
        <v>0.05</v>
      </c>
      <c r="G3177" t="s">
        <v>12</v>
      </c>
      <c r="I3177" t="s">
        <v>2409</v>
      </c>
    </row>
    <row r="3178" spans="1:9" hidden="1" x14ac:dyDescent="0.25">
      <c r="A3178" t="s">
        <v>2574</v>
      </c>
      <c r="B3178" t="s">
        <v>118</v>
      </c>
      <c r="C3178" s="2">
        <f>HYPERLINK("https://cao.dolgi.msk.ru/account/1080129924/", 1080129924)</f>
        <v>1080129924</v>
      </c>
      <c r="D3178" t="s">
        <v>2612</v>
      </c>
      <c r="E3178">
        <v>-6130.62</v>
      </c>
      <c r="F3178">
        <v>-1.03</v>
      </c>
      <c r="G3178" t="s">
        <v>12</v>
      </c>
      <c r="I3178" t="s">
        <v>2409</v>
      </c>
    </row>
    <row r="3179" spans="1:9" hidden="1" x14ac:dyDescent="0.25">
      <c r="A3179" t="s">
        <v>2574</v>
      </c>
      <c r="B3179" t="s">
        <v>120</v>
      </c>
      <c r="C3179" s="2">
        <f>HYPERLINK("https://cao.dolgi.msk.ru/account/1080129625/", 1080129625)</f>
        <v>1080129625</v>
      </c>
      <c r="D3179" t="s">
        <v>62</v>
      </c>
      <c r="E3179">
        <v>0</v>
      </c>
      <c r="F3179">
        <v>0</v>
      </c>
      <c r="G3179" t="s">
        <v>12</v>
      </c>
      <c r="I3179" t="s">
        <v>2409</v>
      </c>
    </row>
    <row r="3180" spans="1:9" hidden="1" x14ac:dyDescent="0.25">
      <c r="A3180" t="s">
        <v>2574</v>
      </c>
      <c r="B3180" t="s">
        <v>124</v>
      </c>
      <c r="C3180" s="2">
        <f>HYPERLINK("https://cao.dolgi.msk.ru/account/1080129641/", 1080129641)</f>
        <v>1080129641</v>
      </c>
      <c r="D3180" t="s">
        <v>2613</v>
      </c>
      <c r="E3180">
        <v>-184.84</v>
      </c>
      <c r="G3180" t="s">
        <v>14</v>
      </c>
      <c r="I3180" t="s">
        <v>2409</v>
      </c>
    </row>
    <row r="3181" spans="1:9" hidden="1" x14ac:dyDescent="0.25">
      <c r="A3181" t="s">
        <v>2574</v>
      </c>
      <c r="B3181" t="s">
        <v>124</v>
      </c>
      <c r="C3181" s="2">
        <f>HYPERLINK("https://cao.dolgi.msk.ru/account/1080129668/", 1080129668)</f>
        <v>1080129668</v>
      </c>
      <c r="D3181" t="s">
        <v>2614</v>
      </c>
      <c r="E3181">
        <v>-3819.6</v>
      </c>
      <c r="F3181">
        <v>-1.1200000000000001</v>
      </c>
      <c r="G3181" t="s">
        <v>12</v>
      </c>
      <c r="I3181" t="s">
        <v>2409</v>
      </c>
    </row>
    <row r="3182" spans="1:9" hidden="1" x14ac:dyDescent="0.25">
      <c r="A3182" t="s">
        <v>2574</v>
      </c>
      <c r="B3182" t="s">
        <v>126</v>
      </c>
      <c r="C3182" s="2">
        <f>HYPERLINK("https://cao.dolgi.msk.ru/account/1080129676/", 1080129676)</f>
        <v>1080129676</v>
      </c>
      <c r="D3182" t="s">
        <v>2615</v>
      </c>
      <c r="E3182">
        <v>-8090.71</v>
      </c>
      <c r="F3182">
        <v>-0.71</v>
      </c>
      <c r="G3182" t="s">
        <v>12</v>
      </c>
      <c r="I3182" t="s">
        <v>2409</v>
      </c>
    </row>
    <row r="3183" spans="1:9" hidden="1" x14ac:dyDescent="0.25">
      <c r="A3183" t="s">
        <v>2574</v>
      </c>
      <c r="B3183" t="s">
        <v>128</v>
      </c>
      <c r="C3183" s="2">
        <f>HYPERLINK("https://cao.dolgi.msk.ru/account/1080129684/", 1080129684)</f>
        <v>1080129684</v>
      </c>
      <c r="D3183" t="s">
        <v>2616</v>
      </c>
      <c r="E3183">
        <v>-824.87</v>
      </c>
      <c r="F3183">
        <v>-0.09</v>
      </c>
      <c r="G3183" t="s">
        <v>12</v>
      </c>
      <c r="I3183" t="s">
        <v>2409</v>
      </c>
    </row>
    <row r="3184" spans="1:9" hidden="1" x14ac:dyDescent="0.25">
      <c r="A3184" t="s">
        <v>2574</v>
      </c>
      <c r="B3184" t="s">
        <v>130</v>
      </c>
      <c r="C3184" s="2">
        <f>HYPERLINK("https://cao.dolgi.msk.ru/account/1080129692/", 1080129692)</f>
        <v>1080129692</v>
      </c>
      <c r="D3184" t="s">
        <v>2617</v>
      </c>
      <c r="E3184">
        <v>-6314.6</v>
      </c>
      <c r="F3184">
        <v>-1.22</v>
      </c>
      <c r="G3184" t="s">
        <v>12</v>
      </c>
      <c r="I3184" t="s">
        <v>2409</v>
      </c>
    </row>
    <row r="3185" spans="1:9" hidden="1" x14ac:dyDescent="0.25">
      <c r="A3185" t="s">
        <v>2574</v>
      </c>
      <c r="B3185" t="s">
        <v>132</v>
      </c>
      <c r="C3185" s="2">
        <f>HYPERLINK("https://cao.dolgi.msk.ru/account/1080129705/", 1080129705)</f>
        <v>1080129705</v>
      </c>
      <c r="D3185" t="s">
        <v>15</v>
      </c>
      <c r="E3185">
        <v>-6770.71</v>
      </c>
      <c r="F3185">
        <v>-1.1399999999999999</v>
      </c>
      <c r="G3185" t="s">
        <v>12</v>
      </c>
      <c r="I3185" t="s">
        <v>2409</v>
      </c>
    </row>
    <row r="3186" spans="1:9" hidden="1" x14ac:dyDescent="0.25">
      <c r="A3186" t="s">
        <v>2574</v>
      </c>
      <c r="B3186" t="s">
        <v>133</v>
      </c>
      <c r="C3186" s="2">
        <f>HYPERLINK("https://cao.dolgi.msk.ru/account/1080129713/", 1080129713)</f>
        <v>1080129713</v>
      </c>
      <c r="D3186" t="s">
        <v>2618</v>
      </c>
      <c r="E3186">
        <v>-6259.54</v>
      </c>
      <c r="F3186">
        <v>-1.2</v>
      </c>
      <c r="G3186" t="s">
        <v>12</v>
      </c>
      <c r="I3186" t="s">
        <v>2409</v>
      </c>
    </row>
    <row r="3187" spans="1:9" hidden="1" x14ac:dyDescent="0.25">
      <c r="A3187" t="s">
        <v>2574</v>
      </c>
      <c r="B3187" t="s">
        <v>135</v>
      </c>
      <c r="C3187" s="2">
        <f>HYPERLINK("https://cao.dolgi.msk.ru/account/1080129721/", 1080129721)</f>
        <v>1080129721</v>
      </c>
      <c r="D3187" t="s">
        <v>2619</v>
      </c>
      <c r="E3187">
        <v>-1274.42</v>
      </c>
      <c r="F3187">
        <v>-0.27</v>
      </c>
      <c r="G3187" t="s">
        <v>12</v>
      </c>
      <c r="I3187" t="s">
        <v>2409</v>
      </c>
    </row>
    <row r="3188" spans="1:9" hidden="1" x14ac:dyDescent="0.25">
      <c r="A3188" t="s">
        <v>2574</v>
      </c>
      <c r="B3188" t="s">
        <v>137</v>
      </c>
      <c r="C3188" s="2">
        <f>HYPERLINK("https://cao.dolgi.msk.ru/account/1080129748/", 1080129748)</f>
        <v>1080129748</v>
      </c>
      <c r="D3188" t="s">
        <v>2620</v>
      </c>
      <c r="E3188">
        <v>-7485.34</v>
      </c>
      <c r="F3188">
        <v>-1.17</v>
      </c>
      <c r="G3188" t="s">
        <v>12</v>
      </c>
      <c r="I3188" t="s">
        <v>2409</v>
      </c>
    </row>
    <row r="3189" spans="1:9" hidden="1" x14ac:dyDescent="0.25">
      <c r="A3189" t="s">
        <v>2574</v>
      </c>
      <c r="B3189" t="s">
        <v>139</v>
      </c>
      <c r="C3189" s="2">
        <f>HYPERLINK("https://cao.dolgi.msk.ru/account/1080129764/", 1080129764)</f>
        <v>1080129764</v>
      </c>
      <c r="D3189" t="s">
        <v>2621</v>
      </c>
      <c r="E3189">
        <v>-3114.63</v>
      </c>
      <c r="F3189">
        <v>-1.24</v>
      </c>
      <c r="G3189" t="s">
        <v>12</v>
      </c>
      <c r="I3189" t="s">
        <v>2409</v>
      </c>
    </row>
    <row r="3190" spans="1:9" hidden="1" x14ac:dyDescent="0.25">
      <c r="A3190" t="s">
        <v>2574</v>
      </c>
      <c r="B3190" t="s">
        <v>141</v>
      </c>
      <c r="C3190" s="2">
        <f>HYPERLINK("https://cao.dolgi.msk.ru/account/1080129772/", 1080129772)</f>
        <v>1080129772</v>
      </c>
      <c r="D3190" t="s">
        <v>2622</v>
      </c>
      <c r="E3190">
        <v>-6256.47</v>
      </c>
      <c r="F3190">
        <v>-1.1399999999999999</v>
      </c>
      <c r="G3190" t="s">
        <v>12</v>
      </c>
      <c r="I3190" t="s">
        <v>2409</v>
      </c>
    </row>
    <row r="3191" spans="1:9" hidden="1" x14ac:dyDescent="0.25">
      <c r="A3191" t="s">
        <v>2574</v>
      </c>
      <c r="B3191" t="s">
        <v>143</v>
      </c>
      <c r="C3191" s="2">
        <f>HYPERLINK("https://cao.dolgi.msk.ru/account/1080129799/", 1080129799)</f>
        <v>1080129799</v>
      </c>
      <c r="D3191" t="s">
        <v>2623</v>
      </c>
      <c r="E3191">
        <v>-8383.01</v>
      </c>
      <c r="F3191">
        <v>-1.23</v>
      </c>
      <c r="G3191" t="s">
        <v>12</v>
      </c>
      <c r="I3191" t="s">
        <v>2409</v>
      </c>
    </row>
    <row r="3192" spans="1:9" hidden="1" x14ac:dyDescent="0.25">
      <c r="A3192" t="s">
        <v>2574</v>
      </c>
      <c r="B3192" t="s">
        <v>145</v>
      </c>
      <c r="C3192" s="2">
        <f>HYPERLINK("https://cao.dolgi.msk.ru/account/1080129801/", 1080129801)</f>
        <v>1080129801</v>
      </c>
      <c r="D3192" t="s">
        <v>2624</v>
      </c>
      <c r="E3192">
        <v>-4754.83</v>
      </c>
      <c r="F3192">
        <v>-1.23</v>
      </c>
      <c r="G3192" t="s">
        <v>12</v>
      </c>
      <c r="I3192" t="s">
        <v>2409</v>
      </c>
    </row>
    <row r="3193" spans="1:9" hidden="1" x14ac:dyDescent="0.25">
      <c r="A3193" t="s">
        <v>2574</v>
      </c>
      <c r="B3193" t="s">
        <v>147</v>
      </c>
      <c r="C3193" s="2">
        <f>HYPERLINK("https://cao.dolgi.msk.ru/account/1080129836/", 1080129836)</f>
        <v>1080129836</v>
      </c>
      <c r="D3193" t="s">
        <v>2625</v>
      </c>
      <c r="E3193">
        <v>-11000.13</v>
      </c>
      <c r="F3193">
        <v>-1.0900000000000001</v>
      </c>
      <c r="G3193" t="s">
        <v>12</v>
      </c>
      <c r="I3193" t="s">
        <v>2409</v>
      </c>
    </row>
    <row r="3194" spans="1:9" hidden="1" x14ac:dyDescent="0.25">
      <c r="A3194" t="s">
        <v>2574</v>
      </c>
      <c r="B3194" t="s">
        <v>149</v>
      </c>
      <c r="C3194" s="2">
        <f>HYPERLINK("https://cao.dolgi.msk.ru/account/1080129852/", 1080129852)</f>
        <v>1080129852</v>
      </c>
      <c r="D3194" t="s">
        <v>2626</v>
      </c>
      <c r="E3194">
        <v>-5180.9799999999996</v>
      </c>
      <c r="F3194">
        <v>-1.18</v>
      </c>
      <c r="G3194" t="s">
        <v>12</v>
      </c>
      <c r="I3194" t="s">
        <v>2409</v>
      </c>
    </row>
    <row r="3195" spans="1:9" hidden="1" x14ac:dyDescent="0.25">
      <c r="A3195" t="s">
        <v>2574</v>
      </c>
      <c r="B3195" t="s">
        <v>151</v>
      </c>
      <c r="C3195" s="2">
        <f>HYPERLINK("https://cao.dolgi.msk.ru/account/1080129879/", 1080129879)</f>
        <v>1080129879</v>
      </c>
      <c r="D3195" t="s">
        <v>2627</v>
      </c>
      <c r="E3195">
        <v>-7965.88</v>
      </c>
      <c r="F3195">
        <v>-1.1499999999999999</v>
      </c>
      <c r="G3195" t="s">
        <v>12</v>
      </c>
      <c r="I3195" t="s">
        <v>2409</v>
      </c>
    </row>
    <row r="3196" spans="1:9" hidden="1" x14ac:dyDescent="0.25">
      <c r="A3196" t="s">
        <v>2574</v>
      </c>
      <c r="B3196" t="s">
        <v>151</v>
      </c>
      <c r="C3196" s="2">
        <f>HYPERLINK("https://cao.dolgi.msk.ru/account/1080129887/", 1080129887)</f>
        <v>1080129887</v>
      </c>
      <c r="D3196" t="s">
        <v>15</v>
      </c>
      <c r="E3196">
        <v>0</v>
      </c>
      <c r="G3196" t="s">
        <v>14</v>
      </c>
      <c r="I3196" t="s">
        <v>2409</v>
      </c>
    </row>
    <row r="3197" spans="1:9" hidden="1" x14ac:dyDescent="0.25">
      <c r="A3197" t="s">
        <v>2574</v>
      </c>
      <c r="B3197" t="s">
        <v>155</v>
      </c>
      <c r="C3197" s="2">
        <f>HYPERLINK("https://cao.dolgi.msk.ru/account/1080129895/", 1080129895)</f>
        <v>1080129895</v>
      </c>
      <c r="D3197" t="s">
        <v>2628</v>
      </c>
      <c r="E3197">
        <v>-4367.43</v>
      </c>
      <c r="F3197">
        <v>-1.18</v>
      </c>
      <c r="G3197" t="s">
        <v>12</v>
      </c>
      <c r="I3197" t="s">
        <v>2409</v>
      </c>
    </row>
    <row r="3198" spans="1:9" hidden="1" x14ac:dyDescent="0.25">
      <c r="A3198" t="s">
        <v>2574</v>
      </c>
      <c r="B3198" t="s">
        <v>155</v>
      </c>
      <c r="C3198" s="2">
        <f>HYPERLINK("https://cao.dolgi.msk.ru/account/1080129908/", 1080129908)</f>
        <v>1080129908</v>
      </c>
      <c r="D3198" t="s">
        <v>15</v>
      </c>
      <c r="G3198" t="s">
        <v>14</v>
      </c>
      <c r="I3198" t="s">
        <v>2409</v>
      </c>
    </row>
    <row r="3199" spans="1:9" x14ac:dyDescent="0.25">
      <c r="A3199" t="s">
        <v>2574</v>
      </c>
      <c r="B3199" t="s">
        <v>157</v>
      </c>
      <c r="C3199" s="2">
        <f>HYPERLINK("https://cao.dolgi.msk.ru/account/1080129916/", 1080129916)</f>
        <v>1080129916</v>
      </c>
      <c r="D3199" t="s">
        <v>2629</v>
      </c>
      <c r="E3199">
        <v>11472.26</v>
      </c>
      <c r="F3199">
        <v>1.41</v>
      </c>
      <c r="G3199" t="s">
        <v>12</v>
      </c>
      <c r="I3199" t="s">
        <v>2409</v>
      </c>
    </row>
    <row r="3200" spans="1:9" hidden="1" x14ac:dyDescent="0.25">
      <c r="A3200" t="s">
        <v>2630</v>
      </c>
      <c r="B3200" t="s">
        <v>159</v>
      </c>
      <c r="C3200" s="2">
        <f>HYPERLINK("https://cao.dolgi.msk.ru/account/1080129959/", 1080129959)</f>
        <v>1080129959</v>
      </c>
      <c r="D3200" t="s">
        <v>15</v>
      </c>
      <c r="G3200" t="s">
        <v>14</v>
      </c>
      <c r="I3200" t="s">
        <v>2409</v>
      </c>
    </row>
    <row r="3201" spans="1:9" hidden="1" x14ac:dyDescent="0.25">
      <c r="A3201" t="s">
        <v>2630</v>
      </c>
      <c r="B3201" t="s">
        <v>161</v>
      </c>
      <c r="C3201" s="2">
        <f>HYPERLINK("https://cao.dolgi.msk.ru/account/1080129967/", 1080129967)</f>
        <v>1080129967</v>
      </c>
      <c r="D3201" t="s">
        <v>2631</v>
      </c>
      <c r="E3201">
        <v>4149.9799999999996</v>
      </c>
      <c r="F3201">
        <v>0.75</v>
      </c>
      <c r="G3201" t="s">
        <v>12</v>
      </c>
      <c r="I3201" t="s">
        <v>2409</v>
      </c>
    </row>
    <row r="3202" spans="1:9" hidden="1" x14ac:dyDescent="0.25">
      <c r="A3202" t="s">
        <v>2630</v>
      </c>
      <c r="B3202" t="s">
        <v>163</v>
      </c>
      <c r="C3202" s="2">
        <f>HYPERLINK("https://cao.dolgi.msk.ru/account/1080129975/", 1080129975)</f>
        <v>1080129975</v>
      </c>
      <c r="D3202" t="s">
        <v>2632</v>
      </c>
      <c r="E3202">
        <v>0</v>
      </c>
      <c r="F3202">
        <v>0</v>
      </c>
      <c r="G3202" t="s">
        <v>12</v>
      </c>
      <c r="I3202" t="s">
        <v>2409</v>
      </c>
    </row>
    <row r="3203" spans="1:9" hidden="1" x14ac:dyDescent="0.25">
      <c r="A3203" t="s">
        <v>2630</v>
      </c>
      <c r="B3203" t="s">
        <v>571</v>
      </c>
      <c r="C3203" s="2">
        <f>HYPERLINK("https://cao.dolgi.msk.ru/account/1080129983/", 1080129983)</f>
        <v>1080129983</v>
      </c>
      <c r="D3203" t="s">
        <v>2633</v>
      </c>
      <c r="E3203">
        <v>0</v>
      </c>
      <c r="G3203" t="s">
        <v>14</v>
      </c>
      <c r="I3203" t="s">
        <v>2409</v>
      </c>
    </row>
    <row r="3204" spans="1:9" hidden="1" x14ac:dyDescent="0.25">
      <c r="A3204" t="s">
        <v>2630</v>
      </c>
      <c r="B3204" t="s">
        <v>682</v>
      </c>
      <c r="C3204" s="2">
        <f>HYPERLINK("https://cao.dolgi.msk.ru/account/1080129991/", 1080129991)</f>
        <v>1080129991</v>
      </c>
      <c r="D3204" t="s">
        <v>2634</v>
      </c>
      <c r="E3204">
        <v>-3657.48</v>
      </c>
      <c r="F3204">
        <v>-1.1000000000000001</v>
      </c>
      <c r="G3204" t="s">
        <v>12</v>
      </c>
      <c r="I3204" t="s">
        <v>2409</v>
      </c>
    </row>
    <row r="3205" spans="1:9" hidden="1" x14ac:dyDescent="0.25">
      <c r="A3205" t="s">
        <v>2630</v>
      </c>
      <c r="B3205" t="s">
        <v>578</v>
      </c>
      <c r="C3205" s="2">
        <f>HYPERLINK("https://cao.dolgi.msk.ru/account/1080130001/", 1080130001)</f>
        <v>1080130001</v>
      </c>
      <c r="D3205" t="s">
        <v>2635</v>
      </c>
      <c r="E3205">
        <v>-7117.43</v>
      </c>
      <c r="F3205">
        <v>-1.1499999999999999</v>
      </c>
      <c r="G3205" t="s">
        <v>12</v>
      </c>
      <c r="I3205" t="s">
        <v>2409</v>
      </c>
    </row>
    <row r="3206" spans="1:9" hidden="1" x14ac:dyDescent="0.25">
      <c r="A3206" t="s">
        <v>2630</v>
      </c>
      <c r="B3206" t="s">
        <v>580</v>
      </c>
      <c r="C3206" s="2">
        <f>HYPERLINK("https://cao.dolgi.msk.ru/account/1080130028/", 1080130028)</f>
        <v>1080130028</v>
      </c>
      <c r="D3206" t="s">
        <v>2636</v>
      </c>
      <c r="E3206">
        <v>-11844.1</v>
      </c>
      <c r="F3206">
        <v>-1.36</v>
      </c>
      <c r="G3206" t="s">
        <v>12</v>
      </c>
      <c r="I3206" t="s">
        <v>2409</v>
      </c>
    </row>
    <row r="3207" spans="1:9" hidden="1" x14ac:dyDescent="0.25">
      <c r="A3207" t="s">
        <v>2630</v>
      </c>
      <c r="B3207" t="s">
        <v>686</v>
      </c>
      <c r="C3207" s="2">
        <f>HYPERLINK("https://cao.dolgi.msk.ru/account/1080130036/", 1080130036)</f>
        <v>1080130036</v>
      </c>
      <c r="D3207" t="s">
        <v>2637</v>
      </c>
      <c r="E3207">
        <v>-6474</v>
      </c>
      <c r="F3207">
        <v>-1.1499999999999999</v>
      </c>
      <c r="G3207" t="s">
        <v>12</v>
      </c>
      <c r="I3207" t="s">
        <v>2409</v>
      </c>
    </row>
    <row r="3208" spans="1:9" hidden="1" x14ac:dyDescent="0.25">
      <c r="A3208" t="s">
        <v>2630</v>
      </c>
      <c r="B3208" t="s">
        <v>582</v>
      </c>
      <c r="C3208" s="2">
        <f>HYPERLINK("https://cao.dolgi.msk.ru/account/1080130044/", 1080130044)</f>
        <v>1080130044</v>
      </c>
      <c r="D3208" t="s">
        <v>2638</v>
      </c>
      <c r="E3208">
        <v>0</v>
      </c>
      <c r="F3208">
        <v>0</v>
      </c>
      <c r="G3208" t="s">
        <v>12</v>
      </c>
      <c r="H3208" t="s">
        <v>7</v>
      </c>
      <c r="I3208" t="s">
        <v>2409</v>
      </c>
    </row>
    <row r="3209" spans="1:9" hidden="1" x14ac:dyDescent="0.25">
      <c r="A3209" t="s">
        <v>2630</v>
      </c>
      <c r="B3209" t="s">
        <v>582</v>
      </c>
      <c r="C3209" s="2">
        <f>HYPERLINK("https://cao.dolgi.msk.ru/account/1080130052/", 1080130052)</f>
        <v>1080130052</v>
      </c>
      <c r="D3209" t="s">
        <v>2638</v>
      </c>
      <c r="E3209">
        <v>-26370.35</v>
      </c>
      <c r="F3209">
        <v>-5.99</v>
      </c>
      <c r="G3209" t="s">
        <v>12</v>
      </c>
      <c r="H3209" t="s">
        <v>7</v>
      </c>
      <c r="I3209" t="s">
        <v>2409</v>
      </c>
    </row>
    <row r="3210" spans="1:9" hidden="1" x14ac:dyDescent="0.25">
      <c r="A3210" t="s">
        <v>2630</v>
      </c>
      <c r="B3210" t="s">
        <v>584</v>
      </c>
      <c r="C3210" s="2">
        <f>HYPERLINK("https://cao.dolgi.msk.ru/account/1080130079/", 1080130079)</f>
        <v>1080130079</v>
      </c>
      <c r="D3210" t="s">
        <v>2639</v>
      </c>
      <c r="E3210">
        <v>-7591.48</v>
      </c>
      <c r="F3210">
        <v>-1.1299999999999999</v>
      </c>
      <c r="G3210" t="s">
        <v>12</v>
      </c>
      <c r="I3210" t="s">
        <v>2409</v>
      </c>
    </row>
    <row r="3211" spans="1:9" hidden="1" x14ac:dyDescent="0.25">
      <c r="A3211" t="s">
        <v>2630</v>
      </c>
      <c r="B3211" t="s">
        <v>586</v>
      </c>
      <c r="C3211" s="2">
        <f>HYPERLINK("https://cao.dolgi.msk.ru/account/1080130087/", 1080130087)</f>
        <v>1080130087</v>
      </c>
      <c r="D3211" t="s">
        <v>2640</v>
      </c>
      <c r="E3211">
        <v>-3331.74</v>
      </c>
      <c r="F3211">
        <v>-1.56</v>
      </c>
      <c r="G3211" t="s">
        <v>12</v>
      </c>
      <c r="H3211" t="s">
        <v>7</v>
      </c>
      <c r="I3211" t="s">
        <v>2409</v>
      </c>
    </row>
    <row r="3212" spans="1:9" hidden="1" x14ac:dyDescent="0.25">
      <c r="A3212" t="s">
        <v>2630</v>
      </c>
      <c r="B3212" t="s">
        <v>586</v>
      </c>
      <c r="C3212" s="2">
        <f>HYPERLINK("https://cao.dolgi.msk.ru/account/1080130095/", 1080130095)</f>
        <v>1080130095</v>
      </c>
      <c r="D3212" t="s">
        <v>2641</v>
      </c>
      <c r="E3212">
        <v>-4048.71</v>
      </c>
      <c r="F3212">
        <v>-1.27</v>
      </c>
      <c r="G3212" t="s">
        <v>12</v>
      </c>
      <c r="H3212" t="s">
        <v>7</v>
      </c>
      <c r="I3212" t="s">
        <v>2409</v>
      </c>
    </row>
    <row r="3213" spans="1:9" x14ac:dyDescent="0.25">
      <c r="A3213" t="s">
        <v>2630</v>
      </c>
      <c r="B3213" t="s">
        <v>588</v>
      </c>
      <c r="C3213" s="2">
        <f>HYPERLINK("https://cao.dolgi.msk.ru/account/1080130108/", 1080130108)</f>
        <v>1080130108</v>
      </c>
      <c r="D3213" t="s">
        <v>2642</v>
      </c>
      <c r="E3213">
        <v>374403.43</v>
      </c>
      <c r="F3213">
        <v>47.03</v>
      </c>
      <c r="G3213" t="s">
        <v>12</v>
      </c>
      <c r="I3213" t="s">
        <v>2409</v>
      </c>
    </row>
    <row r="3214" spans="1:9" hidden="1" x14ac:dyDescent="0.25">
      <c r="A3214" t="s">
        <v>2630</v>
      </c>
      <c r="B3214" t="s">
        <v>590</v>
      </c>
      <c r="C3214" s="2">
        <f>HYPERLINK("https://cao.dolgi.msk.ru/account/1080130116/", 1080130116)</f>
        <v>1080130116</v>
      </c>
      <c r="D3214" t="s">
        <v>2643</v>
      </c>
      <c r="E3214">
        <v>-5292.22</v>
      </c>
      <c r="F3214">
        <v>-1.1499999999999999</v>
      </c>
      <c r="G3214" t="s">
        <v>12</v>
      </c>
      <c r="I3214" t="s">
        <v>2409</v>
      </c>
    </row>
    <row r="3215" spans="1:9" hidden="1" x14ac:dyDescent="0.25">
      <c r="A3215" t="s">
        <v>2630</v>
      </c>
      <c r="B3215" t="s">
        <v>693</v>
      </c>
      <c r="C3215" s="2">
        <f>HYPERLINK("https://cao.dolgi.msk.ru/account/1080130124/", 1080130124)</f>
        <v>1080130124</v>
      </c>
      <c r="D3215" t="s">
        <v>2644</v>
      </c>
      <c r="E3215">
        <v>-8727.73</v>
      </c>
      <c r="F3215">
        <v>-1.53</v>
      </c>
      <c r="G3215" t="s">
        <v>12</v>
      </c>
      <c r="I3215" t="s">
        <v>2409</v>
      </c>
    </row>
    <row r="3216" spans="1:9" hidden="1" x14ac:dyDescent="0.25">
      <c r="A3216" t="s">
        <v>2630</v>
      </c>
      <c r="B3216" t="s">
        <v>694</v>
      </c>
      <c r="C3216" s="2">
        <f>HYPERLINK("https://cao.dolgi.msk.ru/account/1080322054/", 1080322054)</f>
        <v>1080322054</v>
      </c>
      <c r="D3216" t="s">
        <v>736</v>
      </c>
      <c r="E3216">
        <v>-12288.2</v>
      </c>
      <c r="F3216">
        <v>-1.0900000000000001</v>
      </c>
      <c r="G3216" t="s">
        <v>12</v>
      </c>
      <c r="I3216" t="s">
        <v>2409</v>
      </c>
    </row>
    <row r="3217" spans="1:9" hidden="1" x14ac:dyDescent="0.25">
      <c r="A3217" t="s">
        <v>2630</v>
      </c>
      <c r="B3217" t="s">
        <v>696</v>
      </c>
      <c r="C3217" s="2">
        <f>HYPERLINK("https://cao.dolgi.msk.ru/account/1080130132/", 1080130132)</f>
        <v>1080130132</v>
      </c>
      <c r="D3217" t="s">
        <v>2645</v>
      </c>
      <c r="E3217">
        <v>-6139.29</v>
      </c>
      <c r="F3217">
        <v>-1.1599999999999999</v>
      </c>
      <c r="G3217" t="s">
        <v>12</v>
      </c>
      <c r="I3217" t="s">
        <v>2409</v>
      </c>
    </row>
    <row r="3218" spans="1:9" hidden="1" x14ac:dyDescent="0.25">
      <c r="A3218" t="s">
        <v>2630</v>
      </c>
      <c r="B3218" t="s">
        <v>696</v>
      </c>
      <c r="C3218" s="2">
        <f>HYPERLINK("https://cao.dolgi.msk.ru/account/1080325941/", 1080325941)</f>
        <v>1080325941</v>
      </c>
      <c r="D3218" t="s">
        <v>2645</v>
      </c>
      <c r="E3218">
        <v>0</v>
      </c>
      <c r="G3218" t="s">
        <v>14</v>
      </c>
      <c r="I3218" t="s">
        <v>2409</v>
      </c>
    </row>
    <row r="3219" spans="1:9" hidden="1" x14ac:dyDescent="0.25">
      <c r="A3219" t="s">
        <v>2630</v>
      </c>
      <c r="B3219" t="s">
        <v>696</v>
      </c>
      <c r="C3219" s="2">
        <f>HYPERLINK("https://cao.dolgi.msk.ru/account/1080325968/", 1080325968)</f>
        <v>1080325968</v>
      </c>
      <c r="D3219" t="s">
        <v>15</v>
      </c>
      <c r="G3219" t="s">
        <v>14</v>
      </c>
      <c r="I3219" t="s">
        <v>2409</v>
      </c>
    </row>
    <row r="3220" spans="1:9" x14ac:dyDescent="0.25">
      <c r="A3220" t="s">
        <v>2630</v>
      </c>
      <c r="B3220" t="s">
        <v>698</v>
      </c>
      <c r="C3220" s="2">
        <f>HYPERLINK("https://cao.dolgi.msk.ru/account/1080130159/", 1080130159)</f>
        <v>1080130159</v>
      </c>
      <c r="D3220" t="s">
        <v>2646</v>
      </c>
      <c r="E3220">
        <v>10833.4</v>
      </c>
      <c r="F3220">
        <v>1.1299999999999999</v>
      </c>
      <c r="G3220" t="s">
        <v>12</v>
      </c>
      <c r="I3220" t="s">
        <v>2409</v>
      </c>
    </row>
    <row r="3221" spans="1:9" hidden="1" x14ac:dyDescent="0.25">
      <c r="A3221" t="s">
        <v>2630</v>
      </c>
      <c r="B3221" t="s">
        <v>705</v>
      </c>
      <c r="C3221" s="2">
        <f>HYPERLINK("https://cao.dolgi.msk.ru/account/1080130175/", 1080130175)</f>
        <v>1080130175</v>
      </c>
      <c r="D3221" t="s">
        <v>2647</v>
      </c>
      <c r="E3221">
        <v>0</v>
      </c>
      <c r="F3221">
        <v>0</v>
      </c>
      <c r="G3221" t="s">
        <v>14</v>
      </c>
      <c r="I3221" t="s">
        <v>2409</v>
      </c>
    </row>
    <row r="3222" spans="1:9" hidden="1" x14ac:dyDescent="0.25">
      <c r="A3222" t="s">
        <v>2630</v>
      </c>
      <c r="B3222" t="s">
        <v>707</v>
      </c>
      <c r="C3222" s="2">
        <f>HYPERLINK("https://cao.dolgi.msk.ru/account/1080130183/", 1080130183)</f>
        <v>1080130183</v>
      </c>
      <c r="D3222" t="s">
        <v>15</v>
      </c>
      <c r="G3222" t="s">
        <v>14</v>
      </c>
      <c r="I3222" t="s">
        <v>2409</v>
      </c>
    </row>
    <row r="3223" spans="1:9" hidden="1" x14ac:dyDescent="0.25">
      <c r="A3223" t="s">
        <v>2630</v>
      </c>
      <c r="B3223" t="s">
        <v>711</v>
      </c>
      <c r="C3223" s="2">
        <f>HYPERLINK("https://cao.dolgi.msk.ru/account/1080130204/", 1080130204)</f>
        <v>1080130204</v>
      </c>
      <c r="D3223" t="s">
        <v>2648</v>
      </c>
      <c r="E3223">
        <v>-2875.05</v>
      </c>
      <c r="F3223">
        <v>-0.59</v>
      </c>
      <c r="G3223" t="s">
        <v>12</v>
      </c>
      <c r="I3223" t="s">
        <v>2409</v>
      </c>
    </row>
    <row r="3224" spans="1:9" hidden="1" x14ac:dyDescent="0.25">
      <c r="A3224" t="s">
        <v>2630</v>
      </c>
      <c r="B3224" t="s">
        <v>713</v>
      </c>
      <c r="C3224" s="2">
        <f>HYPERLINK("https://cao.dolgi.msk.ru/account/1080130212/", 1080130212)</f>
        <v>1080130212</v>
      </c>
      <c r="D3224" t="s">
        <v>2649</v>
      </c>
      <c r="E3224">
        <v>0</v>
      </c>
      <c r="F3224">
        <v>0</v>
      </c>
      <c r="G3224" t="s">
        <v>12</v>
      </c>
      <c r="I3224" t="s">
        <v>2409</v>
      </c>
    </row>
    <row r="3225" spans="1:9" hidden="1" x14ac:dyDescent="0.25">
      <c r="A3225" t="s">
        <v>2630</v>
      </c>
      <c r="B3225" t="s">
        <v>528</v>
      </c>
      <c r="C3225" s="2">
        <f>HYPERLINK("https://cao.dolgi.msk.ru/account/1080130239/", 1080130239)</f>
        <v>1080130239</v>
      </c>
      <c r="D3225" t="s">
        <v>2650</v>
      </c>
      <c r="E3225">
        <v>-5742.61</v>
      </c>
      <c r="F3225">
        <v>-1.1000000000000001</v>
      </c>
      <c r="G3225" t="s">
        <v>12</v>
      </c>
      <c r="I3225" t="s">
        <v>2409</v>
      </c>
    </row>
    <row r="3226" spans="1:9" hidden="1" x14ac:dyDescent="0.25">
      <c r="A3226" t="s">
        <v>2630</v>
      </c>
      <c r="B3226" t="s">
        <v>530</v>
      </c>
      <c r="C3226" s="2">
        <f>HYPERLINK("https://cao.dolgi.msk.ru/account/1080130247/", 1080130247)</f>
        <v>1080130247</v>
      </c>
      <c r="D3226" t="s">
        <v>2651</v>
      </c>
      <c r="E3226">
        <v>166.36</v>
      </c>
      <c r="F3226">
        <v>0.03</v>
      </c>
      <c r="G3226" t="s">
        <v>12</v>
      </c>
      <c r="I3226" t="s">
        <v>2409</v>
      </c>
    </row>
    <row r="3227" spans="1:9" hidden="1" x14ac:dyDescent="0.25">
      <c r="A3227" t="s">
        <v>2630</v>
      </c>
      <c r="B3227" t="s">
        <v>532</v>
      </c>
      <c r="C3227" s="2">
        <f>HYPERLINK("https://cao.dolgi.msk.ru/account/1080130255/", 1080130255)</f>
        <v>1080130255</v>
      </c>
      <c r="D3227" t="s">
        <v>2652</v>
      </c>
      <c r="E3227">
        <v>-6365.37</v>
      </c>
      <c r="F3227">
        <v>-1.1000000000000001</v>
      </c>
      <c r="G3227" t="s">
        <v>12</v>
      </c>
      <c r="I3227" t="s">
        <v>2409</v>
      </c>
    </row>
    <row r="3228" spans="1:9" hidden="1" x14ac:dyDescent="0.25">
      <c r="A3228" t="s">
        <v>2630</v>
      </c>
      <c r="B3228" t="s">
        <v>534</v>
      </c>
      <c r="C3228" s="2">
        <f>HYPERLINK("https://cao.dolgi.msk.ru/account/1080130263/", 1080130263)</f>
        <v>1080130263</v>
      </c>
      <c r="D3228" t="s">
        <v>2653</v>
      </c>
      <c r="E3228">
        <v>-6395.31</v>
      </c>
      <c r="F3228">
        <v>-1.1100000000000001</v>
      </c>
      <c r="G3228" t="s">
        <v>12</v>
      </c>
      <c r="I3228" t="s">
        <v>2409</v>
      </c>
    </row>
    <row r="3229" spans="1:9" hidden="1" x14ac:dyDescent="0.25">
      <c r="A3229" t="s">
        <v>2630</v>
      </c>
      <c r="B3229" t="s">
        <v>536</v>
      </c>
      <c r="C3229" s="2">
        <f>HYPERLINK("https://cao.dolgi.msk.ru/account/1080130271/", 1080130271)</f>
        <v>1080130271</v>
      </c>
      <c r="D3229" t="s">
        <v>2654</v>
      </c>
      <c r="E3229">
        <v>-2060.4</v>
      </c>
      <c r="F3229">
        <v>-0.28000000000000003</v>
      </c>
      <c r="G3229" t="s">
        <v>12</v>
      </c>
      <c r="I3229" t="s">
        <v>2409</v>
      </c>
    </row>
    <row r="3230" spans="1:9" hidden="1" x14ac:dyDescent="0.25">
      <c r="A3230" t="s">
        <v>2630</v>
      </c>
      <c r="B3230" t="s">
        <v>538</v>
      </c>
      <c r="C3230" s="2">
        <f>HYPERLINK("https://cao.dolgi.msk.ru/account/1080130298/", 1080130298)</f>
        <v>1080130298</v>
      </c>
      <c r="D3230" t="s">
        <v>2655</v>
      </c>
      <c r="E3230">
        <v>-8121.74</v>
      </c>
      <c r="F3230">
        <v>-1.0900000000000001</v>
      </c>
      <c r="G3230" t="s">
        <v>12</v>
      </c>
      <c r="I3230" t="s">
        <v>2409</v>
      </c>
    </row>
    <row r="3231" spans="1:9" hidden="1" x14ac:dyDescent="0.25">
      <c r="A3231" t="s">
        <v>2630</v>
      </c>
      <c r="B3231" t="s">
        <v>539</v>
      </c>
      <c r="C3231" s="2">
        <f>HYPERLINK("https://cao.dolgi.msk.ru/account/1080130319/", 1080130319)</f>
        <v>1080130319</v>
      </c>
      <c r="D3231" t="s">
        <v>2656</v>
      </c>
      <c r="E3231">
        <v>-5638.88</v>
      </c>
      <c r="F3231">
        <v>-1.1000000000000001</v>
      </c>
      <c r="G3231" t="s">
        <v>12</v>
      </c>
      <c r="I3231" t="s">
        <v>2409</v>
      </c>
    </row>
    <row r="3232" spans="1:9" hidden="1" x14ac:dyDescent="0.25">
      <c r="A3232" t="s">
        <v>2630</v>
      </c>
      <c r="B3232" t="s">
        <v>541</v>
      </c>
      <c r="C3232" s="2">
        <f>HYPERLINK("https://cao.dolgi.msk.ru/account/1080130327/", 1080130327)</f>
        <v>1080130327</v>
      </c>
      <c r="D3232" t="s">
        <v>2657</v>
      </c>
      <c r="E3232">
        <v>-6319.64</v>
      </c>
      <c r="F3232">
        <v>-1.08</v>
      </c>
      <c r="G3232" t="s">
        <v>12</v>
      </c>
      <c r="I3232" t="s">
        <v>2409</v>
      </c>
    </row>
    <row r="3233" spans="1:9" hidden="1" x14ac:dyDescent="0.25">
      <c r="A3233" t="s">
        <v>2630</v>
      </c>
      <c r="B3233" t="s">
        <v>541</v>
      </c>
      <c r="C3233" s="2">
        <f>HYPERLINK("https://cao.dolgi.msk.ru/account/1083273489/", 1083273489)</f>
        <v>1083273489</v>
      </c>
      <c r="D3233" t="s">
        <v>2658</v>
      </c>
      <c r="E3233">
        <v>0</v>
      </c>
      <c r="G3233" t="s">
        <v>14</v>
      </c>
      <c r="I3233" t="s">
        <v>2409</v>
      </c>
    </row>
    <row r="3234" spans="1:9" hidden="1" x14ac:dyDescent="0.25">
      <c r="A3234" t="s">
        <v>2630</v>
      </c>
      <c r="B3234" t="s">
        <v>543</v>
      </c>
      <c r="C3234" s="2">
        <f>HYPERLINK("https://cao.dolgi.msk.ru/account/1080130335/", 1080130335)</f>
        <v>1080130335</v>
      </c>
      <c r="D3234" t="s">
        <v>2659</v>
      </c>
      <c r="E3234">
        <v>-9423.43</v>
      </c>
      <c r="F3234">
        <v>-1.1200000000000001</v>
      </c>
      <c r="G3234" t="s">
        <v>12</v>
      </c>
      <c r="I3234" t="s">
        <v>2409</v>
      </c>
    </row>
    <row r="3235" spans="1:9" hidden="1" x14ac:dyDescent="0.25">
      <c r="A3235" t="s">
        <v>2630</v>
      </c>
      <c r="B3235" t="s">
        <v>545</v>
      </c>
      <c r="C3235" s="2">
        <f>HYPERLINK("https://cao.dolgi.msk.ru/account/1080130343/", 1080130343)</f>
        <v>1080130343</v>
      </c>
      <c r="D3235" t="s">
        <v>2660</v>
      </c>
      <c r="E3235">
        <v>-11134.95</v>
      </c>
      <c r="F3235">
        <v>-0.91</v>
      </c>
      <c r="G3235" t="s">
        <v>12</v>
      </c>
      <c r="I3235" t="s">
        <v>2409</v>
      </c>
    </row>
    <row r="3236" spans="1:9" hidden="1" x14ac:dyDescent="0.25">
      <c r="A3236" t="s">
        <v>2630</v>
      </c>
      <c r="B3236" t="s">
        <v>546</v>
      </c>
      <c r="C3236" s="2">
        <f>HYPERLINK("https://cao.dolgi.msk.ru/account/1080130351/", 1080130351)</f>
        <v>1080130351</v>
      </c>
      <c r="D3236" t="s">
        <v>2661</v>
      </c>
      <c r="E3236">
        <v>-3837.36</v>
      </c>
      <c r="F3236">
        <v>-1.1100000000000001</v>
      </c>
      <c r="G3236" t="s">
        <v>12</v>
      </c>
      <c r="I3236" t="s">
        <v>2409</v>
      </c>
    </row>
    <row r="3237" spans="1:9" hidden="1" x14ac:dyDescent="0.25">
      <c r="A3237" t="s">
        <v>2630</v>
      </c>
      <c r="B3237" t="s">
        <v>548</v>
      </c>
      <c r="C3237" s="2">
        <f>HYPERLINK("https://cao.dolgi.msk.ru/account/1080130378/", 1080130378)</f>
        <v>1080130378</v>
      </c>
      <c r="D3237" t="s">
        <v>2662</v>
      </c>
      <c r="E3237">
        <v>-2798.34</v>
      </c>
      <c r="F3237">
        <v>-1.17</v>
      </c>
      <c r="G3237" t="s">
        <v>12</v>
      </c>
      <c r="I3237" t="s">
        <v>2409</v>
      </c>
    </row>
    <row r="3238" spans="1:9" hidden="1" x14ac:dyDescent="0.25">
      <c r="A3238" t="s">
        <v>2663</v>
      </c>
      <c r="B3238" t="s">
        <v>551</v>
      </c>
      <c r="C3238" s="2">
        <f>HYPERLINK("https://cao.dolgi.msk.ru/account/1080130386/", 1080130386)</f>
        <v>1080130386</v>
      </c>
      <c r="D3238" t="s">
        <v>2664</v>
      </c>
      <c r="E3238">
        <v>-370.43</v>
      </c>
      <c r="F3238">
        <v>-0.08</v>
      </c>
      <c r="G3238" t="s">
        <v>12</v>
      </c>
      <c r="I3238" t="s">
        <v>2409</v>
      </c>
    </row>
    <row r="3239" spans="1:9" x14ac:dyDescent="0.25">
      <c r="A3239" t="s">
        <v>2663</v>
      </c>
      <c r="B3239" t="s">
        <v>555</v>
      </c>
      <c r="C3239" s="2">
        <f>HYPERLINK("https://cao.dolgi.msk.ru/account/1080130431/", 1080130431)</f>
        <v>1080130431</v>
      </c>
      <c r="D3239" t="s">
        <v>2665</v>
      </c>
      <c r="E3239">
        <v>46023.16</v>
      </c>
      <c r="F3239">
        <v>7.69</v>
      </c>
      <c r="G3239" t="s">
        <v>12</v>
      </c>
      <c r="I3239" t="s">
        <v>2409</v>
      </c>
    </row>
    <row r="3240" spans="1:9" hidden="1" x14ac:dyDescent="0.25">
      <c r="A3240" t="s">
        <v>2663</v>
      </c>
      <c r="B3240" t="s">
        <v>736</v>
      </c>
      <c r="C3240" s="2">
        <f>HYPERLINK("https://cao.dolgi.msk.ru/account/1080130458/", 1080130458)</f>
        <v>1080130458</v>
      </c>
      <c r="D3240" t="s">
        <v>2666</v>
      </c>
      <c r="E3240">
        <v>0</v>
      </c>
      <c r="F3240">
        <v>0</v>
      </c>
      <c r="G3240" t="s">
        <v>14</v>
      </c>
      <c r="I3240" t="s">
        <v>2409</v>
      </c>
    </row>
    <row r="3241" spans="1:9" hidden="1" x14ac:dyDescent="0.25">
      <c r="A3241" t="s">
        <v>2663</v>
      </c>
      <c r="B3241" t="s">
        <v>736</v>
      </c>
      <c r="C3241" s="2">
        <f>HYPERLINK("https://cao.dolgi.msk.ru/account/1080130466/", 1080130466)</f>
        <v>1080130466</v>
      </c>
      <c r="D3241" t="s">
        <v>2666</v>
      </c>
      <c r="E3241">
        <v>-9367.7800000000007</v>
      </c>
      <c r="F3241">
        <v>-1.1000000000000001</v>
      </c>
      <c r="G3241" t="s">
        <v>12</v>
      </c>
      <c r="I3241" t="s">
        <v>2409</v>
      </c>
    </row>
    <row r="3242" spans="1:9" hidden="1" x14ac:dyDescent="0.25">
      <c r="A3242" t="s">
        <v>2663</v>
      </c>
      <c r="B3242" t="s">
        <v>738</v>
      </c>
      <c r="C3242" s="2">
        <f>HYPERLINK("https://cao.dolgi.msk.ru/account/1080130474/", 1080130474)</f>
        <v>1080130474</v>
      </c>
      <c r="D3242" t="s">
        <v>2667</v>
      </c>
      <c r="E3242">
        <v>-8686.5300000000007</v>
      </c>
      <c r="F3242">
        <v>-1.1499999999999999</v>
      </c>
      <c r="G3242" t="s">
        <v>12</v>
      </c>
      <c r="I3242" t="s">
        <v>2409</v>
      </c>
    </row>
    <row r="3243" spans="1:9" hidden="1" x14ac:dyDescent="0.25">
      <c r="A3243" t="s">
        <v>2663</v>
      </c>
      <c r="B3243" t="s">
        <v>740</v>
      </c>
      <c r="C3243" s="2">
        <f>HYPERLINK("https://cao.dolgi.msk.ru/account/1080130503/", 1080130503)</f>
        <v>1080130503</v>
      </c>
      <c r="D3243" t="s">
        <v>2668</v>
      </c>
      <c r="E3243">
        <v>-8260.2199999999993</v>
      </c>
      <c r="F3243">
        <v>-1.27</v>
      </c>
      <c r="G3243" t="s">
        <v>12</v>
      </c>
      <c r="I3243" t="s">
        <v>2409</v>
      </c>
    </row>
    <row r="3244" spans="1:9" hidden="1" x14ac:dyDescent="0.25">
      <c r="A3244" t="s">
        <v>2663</v>
      </c>
      <c r="B3244" t="s">
        <v>742</v>
      </c>
      <c r="C3244" s="2">
        <f>HYPERLINK("https://cao.dolgi.msk.ru/account/1080130511/", 1080130511)</f>
        <v>1080130511</v>
      </c>
      <c r="D3244" t="s">
        <v>2669</v>
      </c>
      <c r="E3244">
        <v>0</v>
      </c>
      <c r="F3244">
        <v>0</v>
      </c>
      <c r="G3244" t="s">
        <v>12</v>
      </c>
      <c r="I3244" t="s">
        <v>2409</v>
      </c>
    </row>
    <row r="3245" spans="1:9" hidden="1" x14ac:dyDescent="0.25">
      <c r="A3245" t="s">
        <v>2663</v>
      </c>
      <c r="B3245" t="s">
        <v>557</v>
      </c>
      <c r="C3245" s="2">
        <f>HYPERLINK("https://cao.dolgi.msk.ru/account/1080130538/", 1080130538)</f>
        <v>1080130538</v>
      </c>
      <c r="D3245" t="s">
        <v>2670</v>
      </c>
      <c r="E3245">
        <v>6513.28</v>
      </c>
      <c r="F3245">
        <v>0.77</v>
      </c>
      <c r="G3245" t="s">
        <v>12</v>
      </c>
      <c r="I3245" t="s">
        <v>2409</v>
      </c>
    </row>
    <row r="3246" spans="1:9" hidden="1" x14ac:dyDescent="0.25">
      <c r="A3246" t="s">
        <v>2663</v>
      </c>
      <c r="B3246" t="s">
        <v>558</v>
      </c>
      <c r="C3246" s="2">
        <f>HYPERLINK("https://cao.dolgi.msk.ru/account/1080130546/", 1080130546)</f>
        <v>1080130546</v>
      </c>
      <c r="D3246" t="s">
        <v>2671</v>
      </c>
      <c r="E3246">
        <v>-7585.15</v>
      </c>
      <c r="F3246">
        <v>-1.2</v>
      </c>
      <c r="G3246" t="s">
        <v>12</v>
      </c>
      <c r="I3246" t="s">
        <v>2409</v>
      </c>
    </row>
    <row r="3247" spans="1:9" hidden="1" x14ac:dyDescent="0.25">
      <c r="A3247" t="s">
        <v>2663</v>
      </c>
      <c r="B3247" t="s">
        <v>746</v>
      </c>
      <c r="C3247" s="2">
        <f>HYPERLINK("https://cao.dolgi.msk.ru/account/1080130554/", 1080130554)</f>
        <v>1080130554</v>
      </c>
      <c r="D3247" t="s">
        <v>2672</v>
      </c>
      <c r="E3247">
        <v>-8633.48</v>
      </c>
      <c r="F3247">
        <v>-1.1399999999999999</v>
      </c>
      <c r="G3247" t="s">
        <v>12</v>
      </c>
      <c r="I3247" t="s">
        <v>2409</v>
      </c>
    </row>
    <row r="3248" spans="1:9" hidden="1" x14ac:dyDescent="0.25">
      <c r="A3248" t="s">
        <v>2663</v>
      </c>
      <c r="B3248" t="s">
        <v>748</v>
      </c>
      <c r="C3248" s="2">
        <f>HYPERLINK("https://cao.dolgi.msk.ru/account/1080130562/", 1080130562)</f>
        <v>1080130562</v>
      </c>
      <c r="D3248" t="s">
        <v>2673</v>
      </c>
      <c r="E3248">
        <v>-11970.34</v>
      </c>
      <c r="F3248">
        <v>-2.12</v>
      </c>
      <c r="G3248" t="s">
        <v>12</v>
      </c>
      <c r="I3248" t="s">
        <v>2409</v>
      </c>
    </row>
    <row r="3249" spans="1:9" hidden="1" x14ac:dyDescent="0.25">
      <c r="A3249" t="s">
        <v>2663</v>
      </c>
      <c r="B3249" t="s">
        <v>750</v>
      </c>
      <c r="C3249" s="2">
        <f>HYPERLINK("https://cao.dolgi.msk.ru/account/1080130589/", 1080130589)</f>
        <v>1080130589</v>
      </c>
      <c r="D3249" t="s">
        <v>2674</v>
      </c>
      <c r="E3249">
        <v>-8277.14</v>
      </c>
      <c r="F3249">
        <v>-1.1499999999999999</v>
      </c>
      <c r="G3249" t="s">
        <v>12</v>
      </c>
      <c r="I3249" t="s">
        <v>2409</v>
      </c>
    </row>
    <row r="3250" spans="1:9" hidden="1" x14ac:dyDescent="0.25">
      <c r="A3250" t="s">
        <v>2663</v>
      </c>
      <c r="B3250" t="s">
        <v>752</v>
      </c>
      <c r="C3250" s="2">
        <f>HYPERLINK("https://cao.dolgi.msk.ru/account/1080130597/", 1080130597)</f>
        <v>1080130597</v>
      </c>
      <c r="D3250" t="s">
        <v>2675</v>
      </c>
      <c r="E3250">
        <v>8989.82</v>
      </c>
      <c r="F3250">
        <v>1</v>
      </c>
      <c r="G3250" t="s">
        <v>12</v>
      </c>
      <c r="I3250" t="s">
        <v>2409</v>
      </c>
    </row>
    <row r="3251" spans="1:9" hidden="1" x14ac:dyDescent="0.25">
      <c r="A3251" t="s">
        <v>2663</v>
      </c>
      <c r="B3251" t="s">
        <v>754</v>
      </c>
      <c r="C3251" s="2">
        <f>HYPERLINK("https://cao.dolgi.msk.ru/account/1080130618/", 1080130618)</f>
        <v>1080130618</v>
      </c>
      <c r="D3251" t="s">
        <v>2676</v>
      </c>
      <c r="E3251">
        <v>-5133.66</v>
      </c>
      <c r="F3251">
        <v>-1.1000000000000001</v>
      </c>
      <c r="G3251" t="s">
        <v>12</v>
      </c>
      <c r="I3251" t="s">
        <v>2409</v>
      </c>
    </row>
    <row r="3252" spans="1:9" hidden="1" x14ac:dyDescent="0.25">
      <c r="A3252" t="s">
        <v>2663</v>
      </c>
      <c r="B3252" t="s">
        <v>756</v>
      </c>
      <c r="C3252" s="2">
        <f>HYPERLINK("https://cao.dolgi.msk.ru/account/1080130626/", 1080130626)</f>
        <v>1080130626</v>
      </c>
      <c r="D3252" t="s">
        <v>2677</v>
      </c>
      <c r="E3252">
        <v>-9956.15</v>
      </c>
      <c r="F3252">
        <v>-1.0900000000000001</v>
      </c>
      <c r="G3252" t="s">
        <v>12</v>
      </c>
      <c r="I3252" t="s">
        <v>2409</v>
      </c>
    </row>
    <row r="3253" spans="1:9" hidden="1" x14ac:dyDescent="0.25">
      <c r="A3253" t="s">
        <v>2663</v>
      </c>
      <c r="B3253" t="s">
        <v>758</v>
      </c>
      <c r="C3253" s="2">
        <f>HYPERLINK("https://cao.dolgi.msk.ru/account/1080130634/", 1080130634)</f>
        <v>1080130634</v>
      </c>
      <c r="D3253" t="s">
        <v>2678</v>
      </c>
      <c r="E3253">
        <v>-83.71</v>
      </c>
      <c r="F3253">
        <v>-0.01</v>
      </c>
      <c r="G3253" t="s">
        <v>12</v>
      </c>
      <c r="I3253" t="s">
        <v>2409</v>
      </c>
    </row>
    <row r="3254" spans="1:9" hidden="1" x14ac:dyDescent="0.25">
      <c r="A3254" t="s">
        <v>2663</v>
      </c>
      <c r="B3254" t="s">
        <v>760</v>
      </c>
      <c r="C3254" s="2">
        <f>HYPERLINK("https://cao.dolgi.msk.ru/account/1080130642/", 1080130642)</f>
        <v>1080130642</v>
      </c>
      <c r="D3254" t="s">
        <v>2679</v>
      </c>
      <c r="E3254">
        <v>0</v>
      </c>
      <c r="F3254">
        <v>0</v>
      </c>
      <c r="G3254" t="s">
        <v>12</v>
      </c>
      <c r="I3254" t="s">
        <v>2409</v>
      </c>
    </row>
    <row r="3255" spans="1:9" hidden="1" x14ac:dyDescent="0.25">
      <c r="A3255" t="s">
        <v>2663</v>
      </c>
      <c r="B3255" t="s">
        <v>762</v>
      </c>
      <c r="C3255" s="2">
        <f>HYPERLINK("https://cao.dolgi.msk.ru/account/1080130677/", 1080130677)</f>
        <v>1080130677</v>
      </c>
      <c r="D3255" t="s">
        <v>2680</v>
      </c>
      <c r="E3255">
        <v>0</v>
      </c>
      <c r="F3255">
        <v>0</v>
      </c>
      <c r="G3255" t="s">
        <v>12</v>
      </c>
      <c r="I3255" t="s">
        <v>2409</v>
      </c>
    </row>
    <row r="3256" spans="1:9" hidden="1" x14ac:dyDescent="0.25">
      <c r="A3256" t="s">
        <v>2663</v>
      </c>
      <c r="B3256" t="s">
        <v>768</v>
      </c>
      <c r="C3256" s="2">
        <f>HYPERLINK("https://cao.dolgi.msk.ru/account/1080130685/", 1080130685)</f>
        <v>1080130685</v>
      </c>
      <c r="D3256" t="s">
        <v>2681</v>
      </c>
      <c r="E3256">
        <v>-7106.86</v>
      </c>
      <c r="F3256">
        <v>-1.1000000000000001</v>
      </c>
      <c r="G3256" t="s">
        <v>12</v>
      </c>
      <c r="I3256" t="s">
        <v>2409</v>
      </c>
    </row>
    <row r="3257" spans="1:9" hidden="1" x14ac:dyDescent="0.25">
      <c r="A3257" t="s">
        <v>2663</v>
      </c>
      <c r="B3257" t="s">
        <v>770</v>
      </c>
      <c r="C3257" s="2">
        <f>HYPERLINK("https://cao.dolgi.msk.ru/account/1080130693/", 1080130693)</f>
        <v>1080130693</v>
      </c>
      <c r="D3257" t="s">
        <v>2682</v>
      </c>
      <c r="E3257">
        <v>-89.64</v>
      </c>
      <c r="G3257" t="s">
        <v>14</v>
      </c>
      <c r="I3257" t="s">
        <v>2409</v>
      </c>
    </row>
    <row r="3258" spans="1:9" hidden="1" x14ac:dyDescent="0.25">
      <c r="A3258" t="s">
        <v>2663</v>
      </c>
      <c r="B3258" t="s">
        <v>772</v>
      </c>
      <c r="C3258" s="2">
        <f>HYPERLINK("https://cao.dolgi.msk.ru/account/1080130706/", 1080130706)</f>
        <v>1080130706</v>
      </c>
      <c r="D3258" t="s">
        <v>2683</v>
      </c>
      <c r="E3258">
        <v>-7632.68</v>
      </c>
      <c r="F3258">
        <v>-1.1000000000000001</v>
      </c>
      <c r="G3258" t="s">
        <v>12</v>
      </c>
      <c r="I3258" t="s">
        <v>2409</v>
      </c>
    </row>
    <row r="3259" spans="1:9" hidden="1" x14ac:dyDescent="0.25">
      <c r="A3259" t="s">
        <v>2663</v>
      </c>
      <c r="B3259" t="s">
        <v>774</v>
      </c>
      <c r="C3259" s="2">
        <f>HYPERLINK("https://cao.dolgi.msk.ru/account/1080130714/", 1080130714)</f>
        <v>1080130714</v>
      </c>
      <c r="D3259" t="s">
        <v>2684</v>
      </c>
      <c r="E3259">
        <v>0</v>
      </c>
      <c r="F3259">
        <v>0</v>
      </c>
      <c r="G3259" t="s">
        <v>12</v>
      </c>
      <c r="I3259" t="s">
        <v>2409</v>
      </c>
    </row>
    <row r="3260" spans="1:9" hidden="1" x14ac:dyDescent="0.25">
      <c r="A3260" t="s">
        <v>2663</v>
      </c>
      <c r="B3260" t="s">
        <v>776</v>
      </c>
      <c r="C3260" s="2">
        <f>HYPERLINK("https://cao.dolgi.msk.ru/account/1080130722/", 1080130722)</f>
        <v>1080130722</v>
      </c>
      <c r="D3260" t="s">
        <v>15</v>
      </c>
      <c r="E3260">
        <v>-5949.04</v>
      </c>
      <c r="F3260">
        <v>-1.1499999999999999</v>
      </c>
      <c r="G3260" t="s">
        <v>12</v>
      </c>
      <c r="I3260" t="s">
        <v>2409</v>
      </c>
    </row>
    <row r="3261" spans="1:9" x14ac:dyDescent="0.25">
      <c r="A3261" t="s">
        <v>2663</v>
      </c>
      <c r="B3261" t="s">
        <v>778</v>
      </c>
      <c r="C3261" s="2">
        <f>HYPERLINK("https://cao.dolgi.msk.ru/account/1080130749/", 1080130749)</f>
        <v>1080130749</v>
      </c>
      <c r="D3261" t="s">
        <v>2685</v>
      </c>
      <c r="E3261">
        <v>496139.72</v>
      </c>
      <c r="F3261">
        <v>62.13</v>
      </c>
      <c r="G3261" t="s">
        <v>12</v>
      </c>
      <c r="I3261" t="s">
        <v>2409</v>
      </c>
    </row>
    <row r="3262" spans="1:9" hidden="1" x14ac:dyDescent="0.25">
      <c r="A3262" t="s">
        <v>2663</v>
      </c>
      <c r="B3262" t="s">
        <v>780</v>
      </c>
      <c r="C3262" s="2">
        <f>HYPERLINK("https://cao.dolgi.msk.ru/account/1080130757/", 1080130757)</f>
        <v>1080130757</v>
      </c>
      <c r="D3262" t="s">
        <v>2686</v>
      </c>
      <c r="E3262">
        <v>-6727.53</v>
      </c>
      <c r="F3262">
        <v>-1.1000000000000001</v>
      </c>
      <c r="G3262" t="s">
        <v>12</v>
      </c>
      <c r="I3262" t="s">
        <v>2409</v>
      </c>
    </row>
    <row r="3263" spans="1:9" hidden="1" x14ac:dyDescent="0.25">
      <c r="A3263" t="s">
        <v>2663</v>
      </c>
      <c r="B3263" t="s">
        <v>781</v>
      </c>
      <c r="C3263" s="2">
        <f>HYPERLINK("https://cao.dolgi.msk.ru/account/1080130765/", 1080130765)</f>
        <v>1080130765</v>
      </c>
      <c r="D3263" t="s">
        <v>2687</v>
      </c>
      <c r="E3263">
        <v>6053.34</v>
      </c>
      <c r="F3263">
        <v>0.93</v>
      </c>
      <c r="G3263" t="s">
        <v>12</v>
      </c>
      <c r="I3263" t="s">
        <v>2409</v>
      </c>
    </row>
    <row r="3264" spans="1:9" hidden="1" x14ac:dyDescent="0.25">
      <c r="A3264" t="s">
        <v>2663</v>
      </c>
      <c r="B3264" t="s">
        <v>782</v>
      </c>
      <c r="C3264" s="2">
        <f>HYPERLINK("https://cao.dolgi.msk.ru/account/1080130773/", 1080130773)</f>
        <v>1080130773</v>
      </c>
      <c r="D3264" t="s">
        <v>2688</v>
      </c>
      <c r="E3264">
        <v>-6867.5</v>
      </c>
      <c r="F3264">
        <v>-0.87</v>
      </c>
      <c r="G3264" t="s">
        <v>12</v>
      </c>
      <c r="I3264" t="s">
        <v>2409</v>
      </c>
    </row>
    <row r="3265" spans="1:9" hidden="1" x14ac:dyDescent="0.25">
      <c r="A3265" t="s">
        <v>2663</v>
      </c>
      <c r="B3265" t="s">
        <v>784</v>
      </c>
      <c r="C3265" s="2">
        <f>HYPERLINK("https://cao.dolgi.msk.ru/account/1080130781/", 1080130781)</f>
        <v>1080130781</v>
      </c>
      <c r="D3265" t="s">
        <v>2689</v>
      </c>
      <c r="E3265">
        <v>305.7</v>
      </c>
      <c r="F3265">
        <v>7.0000000000000007E-2</v>
      </c>
      <c r="G3265" t="s">
        <v>12</v>
      </c>
      <c r="I3265" t="s">
        <v>2409</v>
      </c>
    </row>
    <row r="3266" spans="1:9" hidden="1" x14ac:dyDescent="0.25">
      <c r="A3266" t="s">
        <v>2663</v>
      </c>
      <c r="B3266" t="s">
        <v>786</v>
      </c>
      <c r="C3266" s="2">
        <f>HYPERLINK("https://cao.dolgi.msk.ru/account/1080130802/", 1080130802)</f>
        <v>1080130802</v>
      </c>
      <c r="D3266" t="s">
        <v>2690</v>
      </c>
      <c r="E3266">
        <v>-7452.67</v>
      </c>
      <c r="F3266">
        <v>-1.1200000000000001</v>
      </c>
      <c r="G3266" t="s">
        <v>12</v>
      </c>
      <c r="I3266" t="s">
        <v>2409</v>
      </c>
    </row>
    <row r="3267" spans="1:9" hidden="1" x14ac:dyDescent="0.25">
      <c r="A3267" t="s">
        <v>2663</v>
      </c>
      <c r="B3267" t="s">
        <v>788</v>
      </c>
      <c r="C3267" s="2">
        <f>HYPERLINK("https://cao.dolgi.msk.ru/account/1080130829/", 1080130829)</f>
        <v>1080130829</v>
      </c>
      <c r="D3267" t="s">
        <v>2691</v>
      </c>
      <c r="E3267">
        <v>-4400.47</v>
      </c>
      <c r="F3267">
        <v>-1.1000000000000001</v>
      </c>
      <c r="G3267" t="s">
        <v>12</v>
      </c>
      <c r="I3267" t="s">
        <v>2409</v>
      </c>
    </row>
    <row r="3268" spans="1:9" hidden="1" x14ac:dyDescent="0.25">
      <c r="A3268" t="s">
        <v>2663</v>
      </c>
      <c r="B3268" t="s">
        <v>789</v>
      </c>
      <c r="C3268" s="2">
        <f>HYPERLINK("https://cao.dolgi.msk.ru/account/1080130837/", 1080130837)</f>
        <v>1080130837</v>
      </c>
      <c r="D3268" t="s">
        <v>2692</v>
      </c>
      <c r="E3268">
        <v>4962.74</v>
      </c>
      <c r="F3268">
        <v>0.98</v>
      </c>
      <c r="G3268" t="s">
        <v>12</v>
      </c>
      <c r="I3268" t="s">
        <v>2409</v>
      </c>
    </row>
    <row r="3269" spans="1:9" hidden="1" x14ac:dyDescent="0.25">
      <c r="A3269" t="s">
        <v>2663</v>
      </c>
      <c r="B3269" t="s">
        <v>790</v>
      </c>
      <c r="C3269" s="2">
        <f>HYPERLINK("https://cao.dolgi.msk.ru/account/1080130853/", 1080130853)</f>
        <v>1080130853</v>
      </c>
      <c r="D3269" t="s">
        <v>2693</v>
      </c>
      <c r="E3269">
        <v>-4930.3999999999996</v>
      </c>
      <c r="F3269">
        <v>-1.1499999999999999</v>
      </c>
      <c r="G3269" t="s">
        <v>12</v>
      </c>
      <c r="I3269" t="s">
        <v>2409</v>
      </c>
    </row>
    <row r="3270" spans="1:9" x14ac:dyDescent="0.25">
      <c r="A3270" t="s">
        <v>2663</v>
      </c>
      <c r="B3270" t="s">
        <v>792</v>
      </c>
      <c r="C3270" s="2">
        <f>HYPERLINK("https://cao.dolgi.msk.ru/account/1080130861/", 1080130861)</f>
        <v>1080130861</v>
      </c>
      <c r="D3270" t="s">
        <v>2694</v>
      </c>
      <c r="E3270">
        <v>66564.850000000006</v>
      </c>
      <c r="F3270">
        <v>9.6300000000000008</v>
      </c>
      <c r="G3270" t="s">
        <v>12</v>
      </c>
      <c r="I3270" t="s">
        <v>2409</v>
      </c>
    </row>
    <row r="3271" spans="1:9" hidden="1" x14ac:dyDescent="0.25">
      <c r="A3271" t="s">
        <v>2663</v>
      </c>
      <c r="B3271" t="s">
        <v>794</v>
      </c>
      <c r="C3271" s="2">
        <f>HYPERLINK("https://cao.dolgi.msk.ru/account/1080130888/", 1080130888)</f>
        <v>1080130888</v>
      </c>
      <c r="D3271" t="s">
        <v>2695</v>
      </c>
      <c r="E3271">
        <v>-4538.67</v>
      </c>
      <c r="F3271">
        <v>-1.07</v>
      </c>
      <c r="G3271" t="s">
        <v>12</v>
      </c>
      <c r="I3271" t="s">
        <v>2409</v>
      </c>
    </row>
    <row r="3272" spans="1:9" hidden="1" x14ac:dyDescent="0.25">
      <c r="A3272" t="s">
        <v>2663</v>
      </c>
      <c r="B3272" t="s">
        <v>796</v>
      </c>
      <c r="C3272" s="2">
        <f>HYPERLINK("https://cao.dolgi.msk.ru/account/1080130896/", 1080130896)</f>
        <v>1080130896</v>
      </c>
      <c r="D3272" t="s">
        <v>2696</v>
      </c>
      <c r="E3272">
        <v>-6246.51</v>
      </c>
      <c r="F3272">
        <v>-1.26</v>
      </c>
      <c r="G3272" t="s">
        <v>12</v>
      </c>
      <c r="I3272" t="s">
        <v>2409</v>
      </c>
    </row>
    <row r="3273" spans="1:9" hidden="1" x14ac:dyDescent="0.25">
      <c r="A3273" t="s">
        <v>2663</v>
      </c>
      <c r="B3273" t="s">
        <v>798</v>
      </c>
      <c r="C3273" s="2">
        <f>HYPERLINK("https://cao.dolgi.msk.ru/account/1080130909/", 1080130909)</f>
        <v>1080130909</v>
      </c>
      <c r="D3273" t="s">
        <v>2697</v>
      </c>
      <c r="E3273">
        <v>-8089.91</v>
      </c>
      <c r="F3273">
        <v>-1.05</v>
      </c>
      <c r="G3273" t="s">
        <v>12</v>
      </c>
      <c r="I3273" t="s">
        <v>2409</v>
      </c>
    </row>
    <row r="3274" spans="1:9" hidden="1" x14ac:dyDescent="0.25">
      <c r="A3274" t="s">
        <v>2663</v>
      </c>
      <c r="B3274" t="s">
        <v>800</v>
      </c>
      <c r="C3274" s="2">
        <f>HYPERLINK("https://cao.dolgi.msk.ru/account/1080130917/", 1080130917)</f>
        <v>1080130917</v>
      </c>
      <c r="D3274" t="s">
        <v>2698</v>
      </c>
      <c r="G3274" t="s">
        <v>14</v>
      </c>
      <c r="I3274" t="s">
        <v>2409</v>
      </c>
    </row>
    <row r="3275" spans="1:9" hidden="1" x14ac:dyDescent="0.25">
      <c r="A3275" t="s">
        <v>2663</v>
      </c>
      <c r="B3275" t="s">
        <v>800</v>
      </c>
      <c r="C3275" s="2">
        <f>HYPERLINK("https://cao.dolgi.msk.ru/account/1080325423/", 1080325423)</f>
        <v>1080325423</v>
      </c>
      <c r="D3275" t="s">
        <v>2699</v>
      </c>
      <c r="E3275">
        <v>-6545.28</v>
      </c>
      <c r="F3275">
        <v>-1.07</v>
      </c>
      <c r="G3275" t="s">
        <v>12</v>
      </c>
      <c r="I3275" t="s">
        <v>2409</v>
      </c>
    </row>
    <row r="3276" spans="1:9" hidden="1" x14ac:dyDescent="0.25">
      <c r="A3276" t="s">
        <v>2663</v>
      </c>
      <c r="B3276" t="s">
        <v>802</v>
      </c>
      <c r="C3276" s="2">
        <f>HYPERLINK("https://cao.dolgi.msk.ru/account/1080130925/", 1080130925)</f>
        <v>1080130925</v>
      </c>
      <c r="D3276" t="s">
        <v>2700</v>
      </c>
      <c r="E3276">
        <v>-8184.6</v>
      </c>
      <c r="F3276">
        <v>-1.17</v>
      </c>
      <c r="G3276" t="s">
        <v>12</v>
      </c>
      <c r="I3276" t="s">
        <v>2409</v>
      </c>
    </row>
    <row r="3277" spans="1:9" hidden="1" x14ac:dyDescent="0.25">
      <c r="A3277" t="s">
        <v>2663</v>
      </c>
      <c r="B3277" t="s">
        <v>804</v>
      </c>
      <c r="C3277" s="2">
        <f>HYPERLINK("https://cao.dolgi.msk.ru/account/1080130941/", 1080130941)</f>
        <v>1080130941</v>
      </c>
      <c r="D3277" t="s">
        <v>2701</v>
      </c>
      <c r="E3277">
        <v>-8344.0300000000007</v>
      </c>
      <c r="F3277">
        <v>-1.17</v>
      </c>
      <c r="G3277" t="s">
        <v>12</v>
      </c>
      <c r="I3277" t="s">
        <v>2409</v>
      </c>
    </row>
    <row r="3278" spans="1:9" hidden="1" x14ac:dyDescent="0.25">
      <c r="A3278" t="s">
        <v>2663</v>
      </c>
      <c r="B3278" t="s">
        <v>810</v>
      </c>
      <c r="C3278" s="2">
        <f>HYPERLINK("https://cao.dolgi.msk.ru/account/1080131004/", 1080131004)</f>
        <v>1080131004</v>
      </c>
      <c r="D3278" t="s">
        <v>2702</v>
      </c>
      <c r="E3278">
        <v>-833.58</v>
      </c>
      <c r="F3278">
        <v>-0.22</v>
      </c>
      <c r="G3278" t="s">
        <v>12</v>
      </c>
      <c r="H3278" t="s">
        <v>7</v>
      </c>
      <c r="I3278" t="s">
        <v>2409</v>
      </c>
    </row>
    <row r="3279" spans="1:9" hidden="1" x14ac:dyDescent="0.25">
      <c r="A3279" t="s">
        <v>2663</v>
      </c>
      <c r="B3279" t="s">
        <v>810</v>
      </c>
      <c r="C3279" s="2">
        <f>HYPERLINK("https://cao.dolgi.msk.ru/account/1080131012/", 1080131012)</f>
        <v>1080131012</v>
      </c>
      <c r="D3279" t="s">
        <v>2702</v>
      </c>
      <c r="E3279">
        <v>-2633.4</v>
      </c>
      <c r="F3279">
        <v>-1.03</v>
      </c>
      <c r="G3279" t="s">
        <v>12</v>
      </c>
      <c r="H3279" t="s">
        <v>7</v>
      </c>
      <c r="I3279" t="s">
        <v>2409</v>
      </c>
    </row>
    <row r="3280" spans="1:9" hidden="1" x14ac:dyDescent="0.25">
      <c r="A3280" t="s">
        <v>2663</v>
      </c>
      <c r="B3280" t="s">
        <v>812</v>
      </c>
      <c r="C3280" s="2">
        <f>HYPERLINK("https://cao.dolgi.msk.ru/account/1080131039/", 1080131039)</f>
        <v>1080131039</v>
      </c>
      <c r="D3280" t="s">
        <v>2703</v>
      </c>
      <c r="E3280">
        <v>-4779.34</v>
      </c>
      <c r="F3280">
        <v>-1.25</v>
      </c>
      <c r="G3280" t="s">
        <v>12</v>
      </c>
      <c r="I3280" t="s">
        <v>2409</v>
      </c>
    </row>
    <row r="3281" spans="1:9" hidden="1" x14ac:dyDescent="0.25">
      <c r="A3281" t="s">
        <v>2663</v>
      </c>
      <c r="B3281" t="s">
        <v>814</v>
      </c>
      <c r="C3281" s="2">
        <f>HYPERLINK("https://cao.dolgi.msk.ru/account/1080131047/", 1080131047)</f>
        <v>1080131047</v>
      </c>
      <c r="D3281" t="s">
        <v>2704</v>
      </c>
      <c r="E3281">
        <v>-10081.35</v>
      </c>
      <c r="F3281">
        <v>-1.0900000000000001</v>
      </c>
      <c r="G3281" t="s">
        <v>12</v>
      </c>
      <c r="I3281" t="s">
        <v>2409</v>
      </c>
    </row>
    <row r="3282" spans="1:9" hidden="1" x14ac:dyDescent="0.25">
      <c r="A3282" t="s">
        <v>2663</v>
      </c>
      <c r="B3282" t="s">
        <v>816</v>
      </c>
      <c r="C3282" s="2">
        <f>HYPERLINK("https://cao.dolgi.msk.ru/account/1080131055/", 1080131055)</f>
        <v>1080131055</v>
      </c>
      <c r="D3282" t="s">
        <v>2705</v>
      </c>
      <c r="E3282">
        <v>-5641.15</v>
      </c>
      <c r="F3282">
        <v>-0.9</v>
      </c>
      <c r="G3282" t="s">
        <v>12</v>
      </c>
      <c r="I3282" t="s">
        <v>2409</v>
      </c>
    </row>
    <row r="3283" spans="1:9" hidden="1" x14ac:dyDescent="0.25">
      <c r="A3283" t="s">
        <v>2663</v>
      </c>
      <c r="B3283" t="s">
        <v>818</v>
      </c>
      <c r="C3283" s="2">
        <f>HYPERLINK("https://cao.dolgi.msk.ru/account/1080131063/", 1080131063)</f>
        <v>1080131063</v>
      </c>
      <c r="D3283" t="s">
        <v>2706</v>
      </c>
      <c r="E3283">
        <v>-1763.04</v>
      </c>
      <c r="F3283">
        <v>-0.34</v>
      </c>
      <c r="G3283" t="s">
        <v>12</v>
      </c>
      <c r="I3283" t="s">
        <v>2409</v>
      </c>
    </row>
    <row r="3284" spans="1:9" hidden="1" x14ac:dyDescent="0.25">
      <c r="A3284" t="s">
        <v>2663</v>
      </c>
      <c r="B3284" t="s">
        <v>820</v>
      </c>
      <c r="C3284" s="2">
        <f>HYPERLINK("https://cao.dolgi.msk.ru/account/1080131071/", 1080131071)</f>
        <v>1080131071</v>
      </c>
      <c r="D3284" t="s">
        <v>2707</v>
      </c>
      <c r="E3284">
        <v>-5724.42</v>
      </c>
      <c r="F3284">
        <v>-1.01</v>
      </c>
      <c r="G3284" t="s">
        <v>12</v>
      </c>
      <c r="I3284" t="s">
        <v>2409</v>
      </c>
    </row>
    <row r="3285" spans="1:9" hidden="1" x14ac:dyDescent="0.25">
      <c r="A3285" t="s">
        <v>2663</v>
      </c>
      <c r="B3285" t="s">
        <v>822</v>
      </c>
      <c r="C3285" s="2">
        <f>HYPERLINK("https://cao.dolgi.msk.ru/account/1080131098/", 1080131098)</f>
        <v>1080131098</v>
      </c>
      <c r="D3285" t="s">
        <v>2708</v>
      </c>
      <c r="E3285">
        <v>-5463.49</v>
      </c>
      <c r="F3285">
        <v>-1.1299999999999999</v>
      </c>
      <c r="G3285" t="s">
        <v>12</v>
      </c>
      <c r="I3285" t="s">
        <v>2409</v>
      </c>
    </row>
    <row r="3286" spans="1:9" hidden="1" x14ac:dyDescent="0.25">
      <c r="A3286" t="s">
        <v>2663</v>
      </c>
      <c r="B3286" t="s">
        <v>824</v>
      </c>
      <c r="C3286" s="2">
        <f>HYPERLINK("https://cao.dolgi.msk.ru/account/1080131119/", 1080131119)</f>
        <v>1080131119</v>
      </c>
      <c r="D3286" t="s">
        <v>2709</v>
      </c>
      <c r="E3286">
        <v>-4231.8</v>
      </c>
      <c r="F3286">
        <v>-1.17</v>
      </c>
      <c r="G3286" t="s">
        <v>12</v>
      </c>
      <c r="I3286" t="s">
        <v>2409</v>
      </c>
    </row>
    <row r="3287" spans="1:9" hidden="1" x14ac:dyDescent="0.25">
      <c r="A3287" t="s">
        <v>2663</v>
      </c>
      <c r="B3287" t="s">
        <v>826</v>
      </c>
      <c r="C3287" s="2">
        <f>HYPERLINK("https://cao.dolgi.msk.ru/account/1080131127/", 1080131127)</f>
        <v>1080131127</v>
      </c>
      <c r="D3287" t="s">
        <v>2710</v>
      </c>
      <c r="E3287">
        <v>-3218.13</v>
      </c>
      <c r="F3287">
        <v>-1.1599999999999999</v>
      </c>
      <c r="G3287" t="s">
        <v>12</v>
      </c>
      <c r="I3287" t="s">
        <v>2409</v>
      </c>
    </row>
    <row r="3288" spans="1:9" hidden="1" x14ac:dyDescent="0.25">
      <c r="A3288" t="s">
        <v>2663</v>
      </c>
      <c r="B3288" t="s">
        <v>828</v>
      </c>
      <c r="C3288" s="2">
        <f>HYPERLINK("https://cao.dolgi.msk.ru/account/1080131135/", 1080131135)</f>
        <v>1080131135</v>
      </c>
      <c r="D3288" t="s">
        <v>2711</v>
      </c>
      <c r="E3288">
        <v>-9509.48</v>
      </c>
      <c r="F3288">
        <v>-1.31</v>
      </c>
      <c r="G3288" t="s">
        <v>12</v>
      </c>
      <c r="I3288" t="s">
        <v>2409</v>
      </c>
    </row>
    <row r="3289" spans="1:9" hidden="1" x14ac:dyDescent="0.25">
      <c r="A3289" t="s">
        <v>2663</v>
      </c>
      <c r="B3289" t="s">
        <v>830</v>
      </c>
      <c r="C3289" s="2">
        <f>HYPERLINK("https://cao.dolgi.msk.ru/account/1080131143/", 1080131143)</f>
        <v>1080131143</v>
      </c>
      <c r="D3289" t="s">
        <v>2712</v>
      </c>
      <c r="E3289">
        <v>-6313.49</v>
      </c>
      <c r="F3289">
        <v>-1.1100000000000001</v>
      </c>
      <c r="G3289" t="s">
        <v>12</v>
      </c>
      <c r="I3289" t="s">
        <v>2409</v>
      </c>
    </row>
    <row r="3290" spans="1:9" hidden="1" x14ac:dyDescent="0.25">
      <c r="A3290" t="s">
        <v>2663</v>
      </c>
      <c r="B3290" t="s">
        <v>831</v>
      </c>
      <c r="C3290" s="2">
        <f>HYPERLINK("https://cao.dolgi.msk.ru/account/1080131151/", 1080131151)</f>
        <v>1080131151</v>
      </c>
      <c r="D3290" t="s">
        <v>2713</v>
      </c>
      <c r="E3290">
        <v>-3674.81</v>
      </c>
      <c r="F3290">
        <v>-1.29</v>
      </c>
      <c r="G3290" t="s">
        <v>12</v>
      </c>
      <c r="I3290" t="s">
        <v>2409</v>
      </c>
    </row>
    <row r="3291" spans="1:9" hidden="1" x14ac:dyDescent="0.25">
      <c r="A3291" t="s">
        <v>2663</v>
      </c>
      <c r="B3291" t="s">
        <v>833</v>
      </c>
      <c r="C3291" s="2">
        <f>HYPERLINK("https://cao.dolgi.msk.ru/account/1080131178/", 1080131178)</f>
        <v>1080131178</v>
      </c>
      <c r="D3291" t="s">
        <v>2714</v>
      </c>
      <c r="E3291">
        <v>-1978.09</v>
      </c>
      <c r="F3291">
        <v>-0.38</v>
      </c>
      <c r="G3291" t="s">
        <v>12</v>
      </c>
      <c r="I3291" t="s">
        <v>2409</v>
      </c>
    </row>
    <row r="3292" spans="1:9" hidden="1" x14ac:dyDescent="0.25">
      <c r="A3292" t="s">
        <v>2663</v>
      </c>
      <c r="B3292" t="s">
        <v>835</v>
      </c>
      <c r="C3292" s="2">
        <f>HYPERLINK("https://cao.dolgi.msk.ru/account/1080131186/", 1080131186)</f>
        <v>1080131186</v>
      </c>
      <c r="D3292" t="s">
        <v>2715</v>
      </c>
      <c r="E3292">
        <v>-15799.29</v>
      </c>
      <c r="F3292">
        <v>-1.46</v>
      </c>
      <c r="G3292" t="s">
        <v>12</v>
      </c>
      <c r="I3292" t="s">
        <v>2409</v>
      </c>
    </row>
    <row r="3293" spans="1:9" hidden="1" x14ac:dyDescent="0.25">
      <c r="A3293" t="s">
        <v>2663</v>
      </c>
      <c r="B3293" t="s">
        <v>837</v>
      </c>
      <c r="C3293" s="2">
        <f>HYPERLINK("https://cao.dolgi.msk.ru/account/1080131194/", 1080131194)</f>
        <v>1080131194</v>
      </c>
      <c r="D3293" t="s">
        <v>2716</v>
      </c>
      <c r="E3293">
        <v>277.60000000000002</v>
      </c>
      <c r="F3293">
        <v>0.03</v>
      </c>
      <c r="G3293" t="s">
        <v>12</v>
      </c>
      <c r="I3293" t="s">
        <v>2409</v>
      </c>
    </row>
    <row r="3294" spans="1:9" hidden="1" x14ac:dyDescent="0.25">
      <c r="A3294" t="s">
        <v>2663</v>
      </c>
      <c r="B3294" t="s">
        <v>838</v>
      </c>
      <c r="C3294" s="2">
        <f>HYPERLINK("https://cao.dolgi.msk.ru/account/1080131207/", 1080131207)</f>
        <v>1080131207</v>
      </c>
      <c r="D3294" t="s">
        <v>2717</v>
      </c>
      <c r="E3294">
        <v>-7265.17</v>
      </c>
      <c r="F3294">
        <v>-1.1200000000000001</v>
      </c>
      <c r="G3294" t="s">
        <v>12</v>
      </c>
      <c r="I3294" t="s">
        <v>2409</v>
      </c>
    </row>
    <row r="3295" spans="1:9" hidden="1" x14ac:dyDescent="0.25">
      <c r="A3295" t="s">
        <v>2663</v>
      </c>
      <c r="B3295" t="s">
        <v>840</v>
      </c>
      <c r="C3295" s="2">
        <f>HYPERLINK("https://cao.dolgi.msk.ru/account/1080131215/", 1080131215)</f>
        <v>1080131215</v>
      </c>
      <c r="D3295" t="s">
        <v>2718</v>
      </c>
      <c r="E3295">
        <v>-6906.37</v>
      </c>
      <c r="F3295">
        <v>-1.1599999999999999</v>
      </c>
      <c r="G3295" t="s">
        <v>12</v>
      </c>
      <c r="I3295" t="s">
        <v>2409</v>
      </c>
    </row>
    <row r="3296" spans="1:9" hidden="1" x14ac:dyDescent="0.25">
      <c r="A3296" t="s">
        <v>2719</v>
      </c>
      <c r="B3296" t="s">
        <v>10</v>
      </c>
      <c r="C3296" s="2">
        <f>HYPERLINK("https://cao.dolgi.msk.ru/account/1080166151/", 1080166151)</f>
        <v>1080166151</v>
      </c>
      <c r="D3296" t="s">
        <v>2720</v>
      </c>
      <c r="E3296">
        <v>12.37</v>
      </c>
      <c r="F3296">
        <v>0.01</v>
      </c>
      <c r="G3296" t="s">
        <v>14</v>
      </c>
      <c r="I3296" t="s">
        <v>2409</v>
      </c>
    </row>
    <row r="3297" spans="1:9" hidden="1" x14ac:dyDescent="0.25">
      <c r="A3297" t="s">
        <v>2719</v>
      </c>
      <c r="B3297" t="s">
        <v>10</v>
      </c>
      <c r="C3297" s="2">
        <f>HYPERLINK("https://cao.dolgi.msk.ru/account/1083390263/", 1083390263)</f>
        <v>1083390263</v>
      </c>
      <c r="D3297" t="s">
        <v>2720</v>
      </c>
      <c r="E3297">
        <v>-3389.91</v>
      </c>
      <c r="F3297">
        <v>-1.22</v>
      </c>
      <c r="G3297" t="s">
        <v>12</v>
      </c>
      <c r="I3297" t="s">
        <v>2409</v>
      </c>
    </row>
    <row r="3298" spans="1:9" hidden="1" x14ac:dyDescent="0.25">
      <c r="A3298" t="s">
        <v>2719</v>
      </c>
      <c r="B3298" t="s">
        <v>16</v>
      </c>
      <c r="C3298" s="2">
        <f>HYPERLINK("https://cao.dolgi.msk.ru/account/1080158645/", 1080158645)</f>
        <v>1080158645</v>
      </c>
      <c r="D3298" t="s">
        <v>2721</v>
      </c>
      <c r="E3298">
        <v>16.190000000000001</v>
      </c>
      <c r="G3298" t="s">
        <v>14</v>
      </c>
      <c r="I3298" t="s">
        <v>2409</v>
      </c>
    </row>
    <row r="3299" spans="1:9" x14ac:dyDescent="0.25">
      <c r="A3299" t="s">
        <v>2719</v>
      </c>
      <c r="B3299" t="s">
        <v>16</v>
      </c>
      <c r="C3299" s="2">
        <f>HYPERLINK("https://cao.dolgi.msk.ru/account/1083389414/", 1083389414)</f>
        <v>1083389414</v>
      </c>
      <c r="D3299" t="s">
        <v>2721</v>
      </c>
      <c r="E3299">
        <v>83130.41</v>
      </c>
      <c r="F3299">
        <v>22.17</v>
      </c>
      <c r="G3299" t="s">
        <v>12</v>
      </c>
      <c r="I3299" t="s">
        <v>2409</v>
      </c>
    </row>
    <row r="3300" spans="1:9" hidden="1" x14ac:dyDescent="0.25">
      <c r="A3300" t="s">
        <v>2719</v>
      </c>
      <c r="B3300" t="s">
        <v>18</v>
      </c>
      <c r="C3300" s="2">
        <f>HYPERLINK("https://cao.dolgi.msk.ru/account/1080158653/", 1080158653)</f>
        <v>1080158653</v>
      </c>
      <c r="D3300" t="s">
        <v>2722</v>
      </c>
      <c r="E3300">
        <v>2870.08</v>
      </c>
      <c r="G3300" t="s">
        <v>14</v>
      </c>
      <c r="I3300" t="s">
        <v>2409</v>
      </c>
    </row>
    <row r="3301" spans="1:9" hidden="1" x14ac:dyDescent="0.25">
      <c r="A3301" t="s">
        <v>2719</v>
      </c>
      <c r="B3301" t="s">
        <v>18</v>
      </c>
      <c r="C3301" s="2">
        <f>HYPERLINK("https://cao.dolgi.msk.ru/account/1083389772/", 1083389772)</f>
        <v>1083389772</v>
      </c>
      <c r="D3301" t="s">
        <v>2722</v>
      </c>
      <c r="E3301">
        <v>-10.6</v>
      </c>
      <c r="F3301">
        <v>0</v>
      </c>
      <c r="G3301" t="s">
        <v>12</v>
      </c>
      <c r="I3301" t="s">
        <v>2409</v>
      </c>
    </row>
    <row r="3302" spans="1:9" hidden="1" x14ac:dyDescent="0.25">
      <c r="A3302" t="s">
        <v>2719</v>
      </c>
      <c r="B3302" t="s">
        <v>20</v>
      </c>
      <c r="C3302" s="2">
        <f>HYPERLINK("https://cao.dolgi.msk.ru/account/1080158661/", 1080158661)</f>
        <v>1080158661</v>
      </c>
      <c r="D3302" t="s">
        <v>2723</v>
      </c>
      <c r="E3302">
        <v>64332.639999999999</v>
      </c>
      <c r="G3302" t="s">
        <v>14</v>
      </c>
      <c r="I3302" t="s">
        <v>2409</v>
      </c>
    </row>
    <row r="3303" spans="1:9" x14ac:dyDescent="0.25">
      <c r="A3303" t="s">
        <v>2719</v>
      </c>
      <c r="B3303" t="s">
        <v>20</v>
      </c>
      <c r="C3303" s="2">
        <f>HYPERLINK("https://cao.dolgi.msk.ru/account/1083389983/", 1083389983)</f>
        <v>1083389983</v>
      </c>
      <c r="D3303" t="s">
        <v>2723</v>
      </c>
      <c r="E3303">
        <v>27791.88</v>
      </c>
      <c r="F3303">
        <v>3.69</v>
      </c>
      <c r="G3303" t="s">
        <v>12</v>
      </c>
      <c r="I3303" t="s">
        <v>2409</v>
      </c>
    </row>
    <row r="3304" spans="1:9" hidden="1" x14ac:dyDescent="0.25">
      <c r="A3304" t="s">
        <v>2719</v>
      </c>
      <c r="B3304" t="s">
        <v>21</v>
      </c>
      <c r="C3304" s="2">
        <f>HYPERLINK("https://cao.dolgi.msk.ru/account/1080166565/", 1080166565)</f>
        <v>1080166565</v>
      </c>
      <c r="D3304" t="s">
        <v>2724</v>
      </c>
      <c r="E3304">
        <v>-0.66</v>
      </c>
      <c r="F3304">
        <v>0</v>
      </c>
      <c r="G3304" t="s">
        <v>14</v>
      </c>
      <c r="I3304" t="s">
        <v>2409</v>
      </c>
    </row>
    <row r="3305" spans="1:9" hidden="1" x14ac:dyDescent="0.25">
      <c r="A3305" t="s">
        <v>2719</v>
      </c>
      <c r="B3305" t="s">
        <v>21</v>
      </c>
      <c r="C3305" s="2">
        <f>HYPERLINK("https://cao.dolgi.msk.ru/account/1083390175/", 1083390175)</f>
        <v>1083390175</v>
      </c>
      <c r="D3305" t="s">
        <v>2724</v>
      </c>
      <c r="E3305">
        <v>-5607.38</v>
      </c>
      <c r="F3305">
        <v>-1.1299999999999999</v>
      </c>
      <c r="G3305" t="s">
        <v>12</v>
      </c>
      <c r="I3305" t="s">
        <v>2409</v>
      </c>
    </row>
    <row r="3306" spans="1:9" hidden="1" x14ac:dyDescent="0.25">
      <c r="A3306" t="s">
        <v>2719</v>
      </c>
      <c r="B3306" t="s">
        <v>22</v>
      </c>
      <c r="C3306" s="2">
        <f>HYPERLINK("https://cao.dolgi.msk.ru/account/1080165087/", 1080165087)</f>
        <v>1080165087</v>
      </c>
      <c r="D3306" t="s">
        <v>2725</v>
      </c>
      <c r="E3306">
        <v>0</v>
      </c>
      <c r="G3306" t="s">
        <v>14</v>
      </c>
      <c r="I3306" t="s">
        <v>2409</v>
      </c>
    </row>
    <row r="3307" spans="1:9" hidden="1" x14ac:dyDescent="0.25">
      <c r="A3307" t="s">
        <v>2719</v>
      </c>
      <c r="B3307" t="s">
        <v>22</v>
      </c>
      <c r="C3307" s="2">
        <f>HYPERLINK("https://cao.dolgi.msk.ru/account/1083390255/", 1083390255)</f>
        <v>1083390255</v>
      </c>
      <c r="D3307" t="s">
        <v>2725</v>
      </c>
      <c r="E3307">
        <v>0</v>
      </c>
      <c r="F3307">
        <v>0</v>
      </c>
      <c r="G3307" t="s">
        <v>12</v>
      </c>
      <c r="I3307" t="s">
        <v>2409</v>
      </c>
    </row>
    <row r="3308" spans="1:9" hidden="1" x14ac:dyDescent="0.25">
      <c r="A3308" t="s">
        <v>2719</v>
      </c>
      <c r="B3308" t="s">
        <v>23</v>
      </c>
      <c r="C3308" s="2">
        <f>HYPERLINK("https://cao.dolgi.msk.ru/account/1080158688/", 1080158688)</f>
        <v>1080158688</v>
      </c>
      <c r="D3308" t="s">
        <v>2726</v>
      </c>
      <c r="E3308">
        <v>-53.61</v>
      </c>
      <c r="F3308">
        <v>-0.06</v>
      </c>
      <c r="G3308" t="s">
        <v>14</v>
      </c>
      <c r="I3308" t="s">
        <v>2409</v>
      </c>
    </row>
    <row r="3309" spans="1:9" hidden="1" x14ac:dyDescent="0.25">
      <c r="A3309" t="s">
        <v>2719</v>
      </c>
      <c r="B3309" t="s">
        <v>23</v>
      </c>
      <c r="C3309" s="2">
        <f>HYPERLINK("https://cao.dolgi.msk.ru/account/1083389799/", 1083389799)</f>
        <v>1083389799</v>
      </c>
      <c r="D3309" t="s">
        <v>2726</v>
      </c>
      <c r="E3309">
        <v>-3063.3</v>
      </c>
      <c r="F3309">
        <v>-1.0900000000000001</v>
      </c>
      <c r="G3309" t="s">
        <v>12</v>
      </c>
      <c r="I3309" t="s">
        <v>2409</v>
      </c>
    </row>
    <row r="3310" spans="1:9" hidden="1" x14ac:dyDescent="0.25">
      <c r="A3310" t="s">
        <v>2719</v>
      </c>
      <c r="B3310" t="s">
        <v>24</v>
      </c>
      <c r="C3310" s="2">
        <f>HYPERLINK("https://cao.dolgi.msk.ru/account/1080158696/", 1080158696)</f>
        <v>1080158696</v>
      </c>
      <c r="D3310" t="s">
        <v>15</v>
      </c>
      <c r="E3310">
        <v>-293.58999999999997</v>
      </c>
      <c r="G3310" t="s">
        <v>14</v>
      </c>
      <c r="I3310" t="s">
        <v>2409</v>
      </c>
    </row>
    <row r="3311" spans="1:9" hidden="1" x14ac:dyDescent="0.25">
      <c r="A3311" t="s">
        <v>2719</v>
      </c>
      <c r="B3311" t="s">
        <v>24</v>
      </c>
      <c r="C3311" s="2">
        <f>HYPERLINK("https://cao.dolgi.msk.ru/account/1083389561/", 1083389561)</f>
        <v>1083389561</v>
      </c>
      <c r="D3311" t="s">
        <v>15</v>
      </c>
      <c r="E3311">
        <v>3669.04</v>
      </c>
      <c r="F3311">
        <v>1</v>
      </c>
      <c r="G3311" t="s">
        <v>12</v>
      </c>
      <c r="I3311" t="s">
        <v>2409</v>
      </c>
    </row>
    <row r="3312" spans="1:9" hidden="1" x14ac:dyDescent="0.25">
      <c r="A3312" t="s">
        <v>2719</v>
      </c>
      <c r="B3312" t="s">
        <v>27</v>
      </c>
      <c r="C3312" s="2">
        <f>HYPERLINK("https://cao.dolgi.msk.ru/account/1080158709/", 1080158709)</f>
        <v>1080158709</v>
      </c>
      <c r="D3312" t="s">
        <v>2727</v>
      </c>
      <c r="E3312">
        <v>-2385.71</v>
      </c>
      <c r="G3312" t="s">
        <v>14</v>
      </c>
      <c r="I3312" t="s">
        <v>2409</v>
      </c>
    </row>
    <row r="3313" spans="1:9" hidden="1" x14ac:dyDescent="0.25">
      <c r="A3313" t="s">
        <v>2719</v>
      </c>
      <c r="B3313" t="s">
        <v>27</v>
      </c>
      <c r="C3313" s="2">
        <f>HYPERLINK("https://cao.dolgi.msk.ru/account/1083389801/", 1083389801)</f>
        <v>1083389801</v>
      </c>
      <c r="D3313" t="s">
        <v>2727</v>
      </c>
      <c r="E3313">
        <v>-4259.33</v>
      </c>
      <c r="F3313">
        <v>-1.49</v>
      </c>
      <c r="G3313" t="s">
        <v>12</v>
      </c>
      <c r="I3313" t="s">
        <v>2409</v>
      </c>
    </row>
    <row r="3314" spans="1:9" hidden="1" x14ac:dyDescent="0.25">
      <c r="A3314" t="s">
        <v>2719</v>
      </c>
      <c r="B3314" t="s">
        <v>29</v>
      </c>
      <c r="C3314" s="2">
        <f>HYPERLINK("https://cao.dolgi.msk.ru/account/1080158717/", 1080158717)</f>
        <v>1080158717</v>
      </c>
      <c r="D3314" t="s">
        <v>2728</v>
      </c>
      <c r="E3314">
        <v>16388.45</v>
      </c>
      <c r="G3314" t="s">
        <v>14</v>
      </c>
      <c r="I3314" t="s">
        <v>2409</v>
      </c>
    </row>
    <row r="3315" spans="1:9" hidden="1" x14ac:dyDescent="0.25">
      <c r="A3315" t="s">
        <v>2719</v>
      </c>
      <c r="B3315" t="s">
        <v>29</v>
      </c>
      <c r="C3315" s="2">
        <f>HYPERLINK("https://cao.dolgi.msk.ru/account/1083389588/", 1083389588)</f>
        <v>1083389588</v>
      </c>
      <c r="D3315" t="s">
        <v>2728</v>
      </c>
      <c r="E3315">
        <v>-3422.59</v>
      </c>
      <c r="F3315">
        <v>-1.1299999999999999</v>
      </c>
      <c r="G3315" t="s">
        <v>12</v>
      </c>
      <c r="I3315" t="s">
        <v>2409</v>
      </c>
    </row>
    <row r="3316" spans="1:9" hidden="1" x14ac:dyDescent="0.25">
      <c r="A3316" t="s">
        <v>2719</v>
      </c>
      <c r="B3316" t="s">
        <v>31</v>
      </c>
      <c r="C3316" s="2">
        <f>HYPERLINK("https://cao.dolgi.msk.ru/account/1080158725/", 1080158725)</f>
        <v>1080158725</v>
      </c>
      <c r="D3316" t="s">
        <v>2729</v>
      </c>
      <c r="E3316">
        <v>86.88</v>
      </c>
      <c r="F3316">
        <v>0.05</v>
      </c>
      <c r="G3316" t="s">
        <v>14</v>
      </c>
      <c r="I3316" t="s">
        <v>2409</v>
      </c>
    </row>
    <row r="3317" spans="1:9" hidden="1" x14ac:dyDescent="0.25">
      <c r="A3317" t="s">
        <v>2719</v>
      </c>
      <c r="B3317" t="s">
        <v>31</v>
      </c>
      <c r="C3317" s="2">
        <f>HYPERLINK("https://cao.dolgi.msk.ru/account/1083389422/", 1083389422)</f>
        <v>1083389422</v>
      </c>
      <c r="D3317" t="s">
        <v>2729</v>
      </c>
      <c r="E3317">
        <v>-9177.09</v>
      </c>
      <c r="F3317">
        <v>-0.93</v>
      </c>
      <c r="G3317" t="s">
        <v>12</v>
      </c>
      <c r="I3317" t="s">
        <v>2409</v>
      </c>
    </row>
    <row r="3318" spans="1:9" hidden="1" x14ac:dyDescent="0.25">
      <c r="A3318" t="s">
        <v>2719</v>
      </c>
      <c r="B3318" t="s">
        <v>33</v>
      </c>
      <c r="C3318" s="2">
        <f>HYPERLINK("https://cao.dolgi.msk.ru/account/1080158733/", 1080158733)</f>
        <v>1080158733</v>
      </c>
      <c r="D3318" t="s">
        <v>2730</v>
      </c>
      <c r="E3318">
        <v>-1176.49</v>
      </c>
      <c r="F3318">
        <v>-0.72</v>
      </c>
      <c r="G3318" t="s">
        <v>14</v>
      </c>
      <c r="I3318" t="s">
        <v>2409</v>
      </c>
    </row>
    <row r="3319" spans="1:9" hidden="1" x14ac:dyDescent="0.25">
      <c r="A3319" t="s">
        <v>2719</v>
      </c>
      <c r="B3319" t="s">
        <v>33</v>
      </c>
      <c r="C3319" s="2">
        <f>HYPERLINK("https://cao.dolgi.msk.ru/account/1083389713/", 1083389713)</f>
        <v>1083389713</v>
      </c>
      <c r="D3319" t="s">
        <v>2730</v>
      </c>
      <c r="E3319">
        <v>-7075.54</v>
      </c>
      <c r="F3319">
        <v>-1.27</v>
      </c>
      <c r="G3319" t="s">
        <v>12</v>
      </c>
      <c r="I3319" t="s">
        <v>2409</v>
      </c>
    </row>
    <row r="3320" spans="1:9" hidden="1" x14ac:dyDescent="0.25">
      <c r="A3320" t="s">
        <v>2719</v>
      </c>
      <c r="B3320" t="s">
        <v>34</v>
      </c>
      <c r="C3320" s="2">
        <f>HYPERLINK("https://cao.dolgi.msk.ru/account/1080153318/", 1080153318)</f>
        <v>1080153318</v>
      </c>
      <c r="D3320" t="s">
        <v>2731</v>
      </c>
      <c r="E3320">
        <v>-2534.33</v>
      </c>
      <c r="G3320" t="s">
        <v>14</v>
      </c>
      <c r="I3320" t="s">
        <v>2409</v>
      </c>
    </row>
    <row r="3321" spans="1:9" hidden="1" x14ac:dyDescent="0.25">
      <c r="A3321" t="s">
        <v>2719</v>
      </c>
      <c r="B3321" t="s">
        <v>34</v>
      </c>
      <c r="C3321" s="2">
        <f>HYPERLINK("https://cao.dolgi.msk.ru/account/1083389975/", 1083389975)</f>
        <v>1083389975</v>
      </c>
      <c r="D3321" t="s">
        <v>2731</v>
      </c>
      <c r="E3321">
        <v>-3366.74</v>
      </c>
      <c r="F3321">
        <v>-1.1399999999999999</v>
      </c>
      <c r="G3321" t="s">
        <v>12</v>
      </c>
      <c r="I3321" t="s">
        <v>2409</v>
      </c>
    </row>
    <row r="3322" spans="1:9" hidden="1" x14ac:dyDescent="0.25">
      <c r="A3322" t="s">
        <v>2719</v>
      </c>
      <c r="B3322" t="s">
        <v>36</v>
      </c>
      <c r="C3322" s="2">
        <f>HYPERLINK("https://cao.dolgi.msk.ru/account/1080153086/", 1080153086)</f>
        <v>1080153086</v>
      </c>
      <c r="D3322" t="s">
        <v>2732</v>
      </c>
      <c r="E3322">
        <v>-1232.5</v>
      </c>
      <c r="F3322">
        <v>-4.7699999999999996</v>
      </c>
      <c r="G3322" t="s">
        <v>14</v>
      </c>
      <c r="I3322" t="s">
        <v>2409</v>
      </c>
    </row>
    <row r="3323" spans="1:9" hidden="1" x14ac:dyDescent="0.25">
      <c r="A3323" t="s">
        <v>2719</v>
      </c>
      <c r="B3323" t="s">
        <v>36</v>
      </c>
      <c r="C3323" s="2">
        <f>HYPERLINK("https://cao.dolgi.msk.ru/account/1083389553/", 1083389553)</f>
        <v>1083389553</v>
      </c>
      <c r="D3323" t="s">
        <v>2732</v>
      </c>
      <c r="E3323">
        <v>-5001.29</v>
      </c>
      <c r="F3323">
        <v>-1.17</v>
      </c>
      <c r="G3323" t="s">
        <v>12</v>
      </c>
      <c r="I3323" t="s">
        <v>2409</v>
      </c>
    </row>
    <row r="3324" spans="1:9" hidden="1" x14ac:dyDescent="0.25">
      <c r="A3324" t="s">
        <v>2719</v>
      </c>
      <c r="B3324" t="s">
        <v>38</v>
      </c>
      <c r="C3324" s="2">
        <f>HYPERLINK("https://cao.dolgi.msk.ru/account/1080158741/", 1080158741)</f>
        <v>1080158741</v>
      </c>
      <c r="D3324" t="s">
        <v>2733</v>
      </c>
      <c r="E3324">
        <v>-264.99</v>
      </c>
      <c r="G3324" t="s">
        <v>14</v>
      </c>
      <c r="I3324" t="s">
        <v>2409</v>
      </c>
    </row>
    <row r="3325" spans="1:9" x14ac:dyDescent="0.25">
      <c r="A3325" t="s">
        <v>2719</v>
      </c>
      <c r="B3325" t="s">
        <v>38</v>
      </c>
      <c r="C3325" s="2">
        <f>HYPERLINK("https://cao.dolgi.msk.ru/account/1083389449/", 1083389449)</f>
        <v>1083389449</v>
      </c>
      <c r="D3325" t="s">
        <v>2733</v>
      </c>
      <c r="E3325">
        <v>5348.42</v>
      </c>
      <c r="F3325">
        <v>1.48</v>
      </c>
      <c r="G3325" t="s">
        <v>12</v>
      </c>
      <c r="I3325" t="s">
        <v>2409</v>
      </c>
    </row>
    <row r="3326" spans="1:9" hidden="1" x14ac:dyDescent="0.25">
      <c r="A3326" t="s">
        <v>2719</v>
      </c>
      <c r="B3326" t="s">
        <v>39</v>
      </c>
      <c r="C3326" s="2">
        <f>HYPERLINK("https://cao.dolgi.msk.ru/account/1080158768/", 1080158768)</f>
        <v>1080158768</v>
      </c>
      <c r="D3326" t="s">
        <v>2734</v>
      </c>
      <c r="E3326">
        <v>-36.25</v>
      </c>
      <c r="F3326">
        <v>-0.02</v>
      </c>
      <c r="G3326" t="s">
        <v>14</v>
      </c>
      <c r="I3326" t="s">
        <v>2409</v>
      </c>
    </row>
    <row r="3327" spans="1:9" hidden="1" x14ac:dyDescent="0.25">
      <c r="A3327" t="s">
        <v>2719</v>
      </c>
      <c r="B3327" t="s">
        <v>39</v>
      </c>
      <c r="C3327" s="2">
        <f>HYPERLINK("https://cao.dolgi.msk.ru/account/1083389457/", 1083389457)</f>
        <v>1083389457</v>
      </c>
      <c r="D3327" t="s">
        <v>2734</v>
      </c>
      <c r="E3327">
        <v>-5245.54</v>
      </c>
      <c r="F3327">
        <v>-1.2</v>
      </c>
      <c r="G3327" t="s">
        <v>12</v>
      </c>
      <c r="I3327" t="s">
        <v>2409</v>
      </c>
    </row>
    <row r="3328" spans="1:9" hidden="1" x14ac:dyDescent="0.25">
      <c r="A3328" t="s">
        <v>2719</v>
      </c>
      <c r="B3328" t="s">
        <v>40</v>
      </c>
      <c r="C3328" s="2">
        <f>HYPERLINK("https://cao.dolgi.msk.ru/account/1080158776/", 1080158776)</f>
        <v>1080158776</v>
      </c>
      <c r="D3328" t="s">
        <v>2735</v>
      </c>
      <c r="E3328">
        <v>3394.24</v>
      </c>
      <c r="G3328" t="s">
        <v>14</v>
      </c>
      <c r="I3328" t="s">
        <v>2409</v>
      </c>
    </row>
    <row r="3329" spans="1:9" x14ac:dyDescent="0.25">
      <c r="A3329" t="s">
        <v>2719</v>
      </c>
      <c r="B3329" t="s">
        <v>40</v>
      </c>
      <c r="C3329" s="2">
        <f>HYPERLINK("https://cao.dolgi.msk.ru/account/1083389465/", 1083389465)</f>
        <v>1083389465</v>
      </c>
      <c r="D3329" t="s">
        <v>2735</v>
      </c>
      <c r="E3329">
        <v>8151.78</v>
      </c>
      <c r="F3329">
        <v>1.82</v>
      </c>
      <c r="G3329" t="s">
        <v>12</v>
      </c>
      <c r="I3329" t="s">
        <v>2409</v>
      </c>
    </row>
    <row r="3330" spans="1:9" hidden="1" x14ac:dyDescent="0.25">
      <c r="A3330" t="s">
        <v>2719</v>
      </c>
      <c r="B3330" t="s">
        <v>41</v>
      </c>
      <c r="C3330" s="2">
        <f>HYPERLINK("https://cao.dolgi.msk.ru/account/1080158784/", 1080158784)</f>
        <v>1080158784</v>
      </c>
      <c r="D3330" t="s">
        <v>2736</v>
      </c>
      <c r="E3330">
        <v>45.8</v>
      </c>
      <c r="F3330">
        <v>0.08</v>
      </c>
      <c r="G3330" t="s">
        <v>14</v>
      </c>
      <c r="I3330" t="s">
        <v>2409</v>
      </c>
    </row>
    <row r="3331" spans="1:9" hidden="1" x14ac:dyDescent="0.25">
      <c r="A3331" t="s">
        <v>2719</v>
      </c>
      <c r="B3331" t="s">
        <v>41</v>
      </c>
      <c r="C3331" s="2">
        <f>HYPERLINK("https://cao.dolgi.msk.ru/account/1083389473/", 1083389473)</f>
        <v>1083389473</v>
      </c>
      <c r="D3331" t="s">
        <v>2736</v>
      </c>
      <c r="E3331">
        <v>-4141.47</v>
      </c>
      <c r="F3331">
        <v>-0.84</v>
      </c>
      <c r="G3331" t="s">
        <v>12</v>
      </c>
      <c r="I3331" t="s">
        <v>2409</v>
      </c>
    </row>
    <row r="3332" spans="1:9" hidden="1" x14ac:dyDescent="0.25">
      <c r="A3332" t="s">
        <v>2719</v>
      </c>
      <c r="B3332" t="s">
        <v>42</v>
      </c>
      <c r="C3332" s="2">
        <f>HYPERLINK("https://cao.dolgi.msk.ru/account/1080158792/", 1080158792)</f>
        <v>1080158792</v>
      </c>
      <c r="D3332" t="s">
        <v>2737</v>
      </c>
      <c r="E3332">
        <v>11621.79</v>
      </c>
      <c r="G3332" t="s">
        <v>14</v>
      </c>
      <c r="I3332" t="s">
        <v>2409</v>
      </c>
    </row>
    <row r="3333" spans="1:9" hidden="1" x14ac:dyDescent="0.25">
      <c r="A3333" t="s">
        <v>2719</v>
      </c>
      <c r="B3333" t="s">
        <v>42</v>
      </c>
      <c r="C3333" s="2">
        <f>HYPERLINK("https://cao.dolgi.msk.ru/account/1083389895/", 1083389895)</f>
        <v>1083389895</v>
      </c>
      <c r="D3333" t="s">
        <v>2737</v>
      </c>
      <c r="E3333">
        <v>-7249.96</v>
      </c>
      <c r="F3333">
        <v>-1.5</v>
      </c>
      <c r="G3333" t="s">
        <v>12</v>
      </c>
      <c r="I3333" t="s">
        <v>2409</v>
      </c>
    </row>
    <row r="3334" spans="1:9" hidden="1" x14ac:dyDescent="0.25">
      <c r="A3334" t="s">
        <v>2719</v>
      </c>
      <c r="B3334" t="s">
        <v>44</v>
      </c>
      <c r="C3334" s="2">
        <f>HYPERLINK("https://cao.dolgi.msk.ru/account/1080158805/", 1080158805)</f>
        <v>1080158805</v>
      </c>
      <c r="D3334" t="s">
        <v>2738</v>
      </c>
      <c r="E3334">
        <v>2975.99</v>
      </c>
      <c r="G3334" t="s">
        <v>14</v>
      </c>
      <c r="I3334" t="s">
        <v>2409</v>
      </c>
    </row>
    <row r="3335" spans="1:9" hidden="1" x14ac:dyDescent="0.25">
      <c r="A3335" t="s">
        <v>2719</v>
      </c>
      <c r="B3335" t="s">
        <v>44</v>
      </c>
      <c r="C3335" s="2">
        <f>HYPERLINK("https://cao.dolgi.msk.ru/account/1083389596/", 1083389596)</f>
        <v>1083389596</v>
      </c>
      <c r="D3335" t="s">
        <v>2738</v>
      </c>
      <c r="E3335">
        <v>-4208.49</v>
      </c>
      <c r="F3335">
        <v>-1.26</v>
      </c>
      <c r="G3335" t="s">
        <v>12</v>
      </c>
      <c r="I3335" t="s">
        <v>2409</v>
      </c>
    </row>
    <row r="3336" spans="1:9" hidden="1" x14ac:dyDescent="0.25">
      <c r="A3336" t="s">
        <v>2719</v>
      </c>
      <c r="B3336" t="s">
        <v>66</v>
      </c>
      <c r="C3336" s="2">
        <f>HYPERLINK("https://cao.dolgi.msk.ru/account/1080158813/", 1080158813)</f>
        <v>1080158813</v>
      </c>
      <c r="D3336" t="s">
        <v>2739</v>
      </c>
      <c r="E3336">
        <v>109504.16</v>
      </c>
      <c r="G3336" t="s">
        <v>14</v>
      </c>
      <c r="I3336" t="s">
        <v>2409</v>
      </c>
    </row>
    <row r="3337" spans="1:9" x14ac:dyDescent="0.25">
      <c r="A3337" t="s">
        <v>2719</v>
      </c>
      <c r="B3337" t="s">
        <v>66</v>
      </c>
      <c r="C3337" s="2">
        <f>HYPERLINK("https://cao.dolgi.msk.ru/account/1083389609/", 1083389609)</f>
        <v>1083389609</v>
      </c>
      <c r="D3337" t="s">
        <v>2739</v>
      </c>
      <c r="E3337">
        <v>22290.04</v>
      </c>
      <c r="F3337">
        <v>3.82</v>
      </c>
      <c r="G3337" t="s">
        <v>12</v>
      </c>
      <c r="I3337" t="s">
        <v>2409</v>
      </c>
    </row>
    <row r="3338" spans="1:9" hidden="1" x14ac:dyDescent="0.25">
      <c r="A3338" t="s">
        <v>2719</v>
      </c>
      <c r="B3338" t="s">
        <v>68</v>
      </c>
      <c r="C3338" s="2">
        <f>HYPERLINK("https://cao.dolgi.msk.ru/account/1080158821/", 1080158821)</f>
        <v>1080158821</v>
      </c>
      <c r="D3338" t="s">
        <v>2740</v>
      </c>
      <c r="E3338">
        <v>1432.45</v>
      </c>
      <c r="G3338" t="s">
        <v>14</v>
      </c>
      <c r="I3338" t="s">
        <v>2409</v>
      </c>
    </row>
    <row r="3339" spans="1:9" hidden="1" x14ac:dyDescent="0.25">
      <c r="A3339" t="s">
        <v>2719</v>
      </c>
      <c r="B3339" t="s">
        <v>68</v>
      </c>
      <c r="C3339" s="2">
        <f>HYPERLINK("https://cao.dolgi.msk.ru/account/1083389721/", 1083389721)</f>
        <v>1083389721</v>
      </c>
      <c r="D3339" t="s">
        <v>2740</v>
      </c>
      <c r="E3339">
        <v>-4697.29</v>
      </c>
      <c r="F3339">
        <v>-1.22</v>
      </c>
      <c r="G3339" t="s">
        <v>12</v>
      </c>
      <c r="I3339" t="s">
        <v>2409</v>
      </c>
    </row>
    <row r="3340" spans="1:9" hidden="1" x14ac:dyDescent="0.25">
      <c r="A3340" t="s">
        <v>2719</v>
      </c>
      <c r="B3340" t="s">
        <v>70</v>
      </c>
      <c r="C3340" s="2">
        <f>HYPERLINK("https://cao.dolgi.msk.ru/account/1080158848/", 1080158848)</f>
        <v>1080158848</v>
      </c>
      <c r="D3340" t="s">
        <v>2741</v>
      </c>
      <c r="E3340">
        <v>45543.73</v>
      </c>
      <c r="G3340" t="s">
        <v>14</v>
      </c>
      <c r="I3340" t="s">
        <v>2409</v>
      </c>
    </row>
    <row r="3341" spans="1:9" hidden="1" x14ac:dyDescent="0.25">
      <c r="A3341" t="s">
        <v>2719</v>
      </c>
      <c r="B3341" t="s">
        <v>70</v>
      </c>
      <c r="C3341" s="2">
        <f>HYPERLINK("https://cao.dolgi.msk.ru/account/1083389908/", 1083389908)</f>
        <v>1083389908</v>
      </c>
      <c r="D3341" t="s">
        <v>2741</v>
      </c>
      <c r="E3341">
        <v>-4570.0600000000004</v>
      </c>
      <c r="F3341">
        <v>-1.1200000000000001</v>
      </c>
      <c r="G3341" t="s">
        <v>12</v>
      </c>
      <c r="I3341" t="s">
        <v>2409</v>
      </c>
    </row>
    <row r="3342" spans="1:9" hidden="1" x14ac:dyDescent="0.25">
      <c r="A3342" t="s">
        <v>2719</v>
      </c>
      <c r="B3342" t="s">
        <v>72</v>
      </c>
      <c r="C3342" s="2">
        <f>HYPERLINK("https://cao.dolgi.msk.ru/account/1080158856/", 1080158856)</f>
        <v>1080158856</v>
      </c>
      <c r="D3342" t="s">
        <v>2742</v>
      </c>
      <c r="E3342">
        <v>28471.23</v>
      </c>
      <c r="G3342" t="s">
        <v>14</v>
      </c>
      <c r="I3342" t="s">
        <v>2409</v>
      </c>
    </row>
    <row r="3343" spans="1:9" hidden="1" x14ac:dyDescent="0.25">
      <c r="A3343" t="s">
        <v>2719</v>
      </c>
      <c r="B3343" t="s">
        <v>72</v>
      </c>
      <c r="C3343" s="2">
        <f>HYPERLINK("https://cao.dolgi.msk.ru/account/1083389828/", 1083389828)</f>
        <v>1083389828</v>
      </c>
      <c r="D3343" t="s">
        <v>2742</v>
      </c>
      <c r="E3343">
        <v>-1765.56</v>
      </c>
      <c r="F3343">
        <v>-0.45</v>
      </c>
      <c r="G3343" t="s">
        <v>12</v>
      </c>
      <c r="I3343" t="s">
        <v>2409</v>
      </c>
    </row>
    <row r="3344" spans="1:9" hidden="1" x14ac:dyDescent="0.25">
      <c r="A3344" t="s">
        <v>2719</v>
      </c>
      <c r="B3344" t="s">
        <v>74</v>
      </c>
      <c r="C3344" s="2">
        <f>HYPERLINK("https://cao.dolgi.msk.ru/account/1080158864/", 1080158864)</f>
        <v>1080158864</v>
      </c>
      <c r="D3344" t="s">
        <v>2743</v>
      </c>
      <c r="E3344">
        <v>9.0299999999999994</v>
      </c>
      <c r="F3344">
        <v>7.0000000000000007E-2</v>
      </c>
      <c r="G3344" t="s">
        <v>14</v>
      </c>
      <c r="I3344" t="s">
        <v>2409</v>
      </c>
    </row>
    <row r="3345" spans="1:9" hidden="1" x14ac:dyDescent="0.25">
      <c r="A3345" t="s">
        <v>2719</v>
      </c>
      <c r="B3345" t="s">
        <v>74</v>
      </c>
      <c r="C3345" s="2">
        <f>HYPERLINK("https://cao.dolgi.msk.ru/account/1083389481/", 1083389481)</f>
        <v>1083389481</v>
      </c>
      <c r="D3345" t="s">
        <v>2743</v>
      </c>
      <c r="E3345">
        <v>-5176</v>
      </c>
      <c r="F3345">
        <v>-1.1399999999999999</v>
      </c>
      <c r="G3345" t="s">
        <v>12</v>
      </c>
      <c r="I3345" t="s">
        <v>2409</v>
      </c>
    </row>
    <row r="3346" spans="1:9" hidden="1" x14ac:dyDescent="0.25">
      <c r="A3346" t="s">
        <v>2719</v>
      </c>
      <c r="B3346" t="s">
        <v>76</v>
      </c>
      <c r="C3346" s="2">
        <f>HYPERLINK("https://cao.dolgi.msk.ru/account/1080158872/", 1080158872)</f>
        <v>1080158872</v>
      </c>
      <c r="D3346" t="s">
        <v>2744</v>
      </c>
      <c r="E3346">
        <v>2303.35</v>
      </c>
      <c r="F3346">
        <v>10.11</v>
      </c>
      <c r="G3346" t="s">
        <v>14</v>
      </c>
      <c r="I3346" t="s">
        <v>2409</v>
      </c>
    </row>
    <row r="3347" spans="1:9" hidden="1" x14ac:dyDescent="0.25">
      <c r="A3347" t="s">
        <v>2719</v>
      </c>
      <c r="B3347" t="s">
        <v>76</v>
      </c>
      <c r="C3347" s="2">
        <f>HYPERLINK("https://cao.dolgi.msk.ru/account/1083389916/", 1083389916)</f>
        <v>1083389916</v>
      </c>
      <c r="D3347" t="s">
        <v>2744</v>
      </c>
      <c r="E3347">
        <v>-6527.61</v>
      </c>
      <c r="F3347">
        <v>-1.85</v>
      </c>
      <c r="G3347" t="s">
        <v>12</v>
      </c>
      <c r="I3347" t="s">
        <v>2409</v>
      </c>
    </row>
    <row r="3348" spans="1:9" hidden="1" x14ac:dyDescent="0.25">
      <c r="A3348" t="s">
        <v>2719</v>
      </c>
      <c r="B3348" t="s">
        <v>78</v>
      </c>
      <c r="C3348" s="2">
        <f>HYPERLINK("https://cao.dolgi.msk.ru/account/1080158899/", 1080158899)</f>
        <v>1080158899</v>
      </c>
      <c r="D3348" t="s">
        <v>2745</v>
      </c>
      <c r="E3348">
        <v>-6394.66</v>
      </c>
      <c r="G3348" t="s">
        <v>14</v>
      </c>
      <c r="I3348" t="s">
        <v>2409</v>
      </c>
    </row>
    <row r="3349" spans="1:9" hidden="1" x14ac:dyDescent="0.25">
      <c r="A3349" t="s">
        <v>2719</v>
      </c>
      <c r="B3349" t="s">
        <v>78</v>
      </c>
      <c r="C3349" s="2">
        <f>HYPERLINK("https://cao.dolgi.msk.ru/account/1083389991/", 1083389991)</f>
        <v>1083389991</v>
      </c>
      <c r="D3349" t="s">
        <v>2745</v>
      </c>
      <c r="E3349">
        <v>-338.93</v>
      </c>
      <c r="F3349">
        <v>-0.08</v>
      </c>
      <c r="G3349" t="s">
        <v>12</v>
      </c>
      <c r="I3349" t="s">
        <v>2409</v>
      </c>
    </row>
    <row r="3350" spans="1:9" hidden="1" x14ac:dyDescent="0.25">
      <c r="A3350" t="s">
        <v>2719</v>
      </c>
      <c r="B3350" t="s">
        <v>80</v>
      </c>
      <c r="C3350" s="2">
        <f>HYPERLINK("https://cao.dolgi.msk.ru/account/1080158901/", 1080158901)</f>
        <v>1080158901</v>
      </c>
      <c r="D3350" t="s">
        <v>2746</v>
      </c>
      <c r="E3350">
        <v>2353.31</v>
      </c>
      <c r="G3350" t="s">
        <v>14</v>
      </c>
      <c r="I3350" t="s">
        <v>2409</v>
      </c>
    </row>
    <row r="3351" spans="1:9" hidden="1" x14ac:dyDescent="0.25">
      <c r="A3351" t="s">
        <v>2719</v>
      </c>
      <c r="B3351" t="s">
        <v>80</v>
      </c>
      <c r="C3351" s="2">
        <f>HYPERLINK("https://cao.dolgi.msk.ru/account/1083389502/", 1083389502)</f>
        <v>1083389502</v>
      </c>
      <c r="D3351" t="s">
        <v>2746</v>
      </c>
      <c r="E3351">
        <v>-4138.97</v>
      </c>
      <c r="F3351">
        <v>-1.61</v>
      </c>
      <c r="G3351" t="s">
        <v>12</v>
      </c>
      <c r="I3351" t="s">
        <v>2409</v>
      </c>
    </row>
    <row r="3352" spans="1:9" hidden="1" x14ac:dyDescent="0.25">
      <c r="A3352" t="s">
        <v>2719</v>
      </c>
      <c r="B3352" t="s">
        <v>82</v>
      </c>
      <c r="C3352" s="2">
        <f>HYPERLINK("https://cao.dolgi.msk.ru/account/1080158928/", 1080158928)</f>
        <v>1080158928</v>
      </c>
      <c r="D3352" t="s">
        <v>2747</v>
      </c>
      <c r="E3352">
        <v>6403.39</v>
      </c>
      <c r="F3352">
        <v>2.29</v>
      </c>
      <c r="G3352" t="s">
        <v>14</v>
      </c>
      <c r="I3352" t="s">
        <v>2409</v>
      </c>
    </row>
    <row r="3353" spans="1:9" hidden="1" x14ac:dyDescent="0.25">
      <c r="A3353" t="s">
        <v>2719</v>
      </c>
      <c r="B3353" t="s">
        <v>82</v>
      </c>
      <c r="C3353" s="2">
        <f>HYPERLINK("https://cao.dolgi.msk.ru/account/1083390183/", 1083390183)</f>
        <v>1083390183</v>
      </c>
      <c r="D3353" t="s">
        <v>2747</v>
      </c>
      <c r="E3353">
        <v>-318.13</v>
      </c>
      <c r="F3353">
        <v>-0.05</v>
      </c>
      <c r="G3353" t="s">
        <v>12</v>
      </c>
      <c r="I3353" t="s">
        <v>2409</v>
      </c>
    </row>
    <row r="3354" spans="1:9" hidden="1" x14ac:dyDescent="0.25">
      <c r="A3354" t="s">
        <v>2719</v>
      </c>
      <c r="B3354" t="s">
        <v>84</v>
      </c>
      <c r="C3354" s="2">
        <f>HYPERLINK("https://cao.dolgi.msk.ru/account/1080158936/", 1080158936)</f>
        <v>1080158936</v>
      </c>
      <c r="D3354" t="s">
        <v>2748</v>
      </c>
      <c r="E3354">
        <v>3973.69</v>
      </c>
      <c r="F3354">
        <v>5.2</v>
      </c>
      <c r="G3354" t="s">
        <v>14</v>
      </c>
      <c r="I3354" t="s">
        <v>2409</v>
      </c>
    </row>
    <row r="3355" spans="1:9" hidden="1" x14ac:dyDescent="0.25">
      <c r="A3355" t="s">
        <v>2719</v>
      </c>
      <c r="B3355" t="s">
        <v>84</v>
      </c>
      <c r="C3355" s="2">
        <f>HYPERLINK("https://cao.dolgi.msk.ru/account/1083389529/", 1083389529)</f>
        <v>1083389529</v>
      </c>
      <c r="D3355" t="s">
        <v>2748</v>
      </c>
      <c r="E3355">
        <v>-3005.28</v>
      </c>
      <c r="F3355">
        <v>-1.1499999999999999</v>
      </c>
      <c r="G3355" t="s">
        <v>12</v>
      </c>
      <c r="I3355" t="s">
        <v>2409</v>
      </c>
    </row>
    <row r="3356" spans="1:9" hidden="1" x14ac:dyDescent="0.25">
      <c r="A3356" t="s">
        <v>2719</v>
      </c>
      <c r="B3356" t="s">
        <v>86</v>
      </c>
      <c r="C3356" s="2">
        <f>HYPERLINK("https://cao.dolgi.msk.ru/account/1080158944/", 1080158944)</f>
        <v>1080158944</v>
      </c>
      <c r="D3356" t="s">
        <v>2749</v>
      </c>
      <c r="E3356">
        <v>3364.53</v>
      </c>
      <c r="G3356" t="s">
        <v>14</v>
      </c>
      <c r="I3356" t="s">
        <v>2409</v>
      </c>
    </row>
    <row r="3357" spans="1:9" hidden="1" x14ac:dyDescent="0.25">
      <c r="A3357" t="s">
        <v>2719</v>
      </c>
      <c r="B3357" t="s">
        <v>86</v>
      </c>
      <c r="C3357" s="2">
        <f>HYPERLINK("https://cao.dolgi.msk.ru/account/1083389537/", 1083389537)</f>
        <v>1083389537</v>
      </c>
      <c r="D3357" t="s">
        <v>2749</v>
      </c>
      <c r="E3357">
        <v>0</v>
      </c>
      <c r="F3357">
        <v>0</v>
      </c>
      <c r="G3357" t="s">
        <v>12</v>
      </c>
      <c r="I3357" t="s">
        <v>2409</v>
      </c>
    </row>
    <row r="3358" spans="1:9" hidden="1" x14ac:dyDescent="0.25">
      <c r="A3358" t="s">
        <v>2719</v>
      </c>
      <c r="B3358" t="s">
        <v>88</v>
      </c>
      <c r="C3358" s="2">
        <f>HYPERLINK("https://cao.dolgi.msk.ru/account/1080158952/", 1080158952)</f>
        <v>1080158952</v>
      </c>
      <c r="D3358" t="s">
        <v>2750</v>
      </c>
      <c r="E3358">
        <v>6.45</v>
      </c>
      <c r="F3358">
        <v>0</v>
      </c>
      <c r="G3358" t="s">
        <v>14</v>
      </c>
      <c r="I3358" t="s">
        <v>2409</v>
      </c>
    </row>
    <row r="3359" spans="1:9" hidden="1" x14ac:dyDescent="0.25">
      <c r="A3359" t="s">
        <v>2719</v>
      </c>
      <c r="B3359" t="s">
        <v>88</v>
      </c>
      <c r="C3359" s="2">
        <f>HYPERLINK("https://cao.dolgi.msk.ru/account/1083389748/", 1083389748)</f>
        <v>1083389748</v>
      </c>
      <c r="D3359" t="s">
        <v>2750</v>
      </c>
      <c r="E3359">
        <v>-6504.81</v>
      </c>
      <c r="F3359">
        <v>-1.07</v>
      </c>
      <c r="G3359" t="s">
        <v>12</v>
      </c>
      <c r="I3359" t="s">
        <v>2409</v>
      </c>
    </row>
    <row r="3360" spans="1:9" hidden="1" x14ac:dyDescent="0.25">
      <c r="A3360" t="s">
        <v>2719</v>
      </c>
      <c r="B3360" t="s">
        <v>90</v>
      </c>
      <c r="C3360" s="2">
        <f>HYPERLINK("https://cao.dolgi.msk.ru/account/1080158979/", 1080158979)</f>
        <v>1080158979</v>
      </c>
      <c r="D3360" t="s">
        <v>15</v>
      </c>
      <c r="E3360">
        <v>-139.77000000000001</v>
      </c>
      <c r="F3360">
        <v>-0.21</v>
      </c>
      <c r="G3360" t="s">
        <v>14</v>
      </c>
      <c r="I3360" t="s">
        <v>2409</v>
      </c>
    </row>
    <row r="3361" spans="1:9" hidden="1" x14ac:dyDescent="0.25">
      <c r="A3361" t="s">
        <v>2719</v>
      </c>
      <c r="B3361" t="s">
        <v>90</v>
      </c>
      <c r="C3361" s="2">
        <f>HYPERLINK("https://cao.dolgi.msk.ru/account/1083390001/", 1083390001)</f>
        <v>1083390001</v>
      </c>
      <c r="D3361" t="s">
        <v>15</v>
      </c>
      <c r="E3361">
        <v>-4825.0200000000004</v>
      </c>
      <c r="F3361">
        <v>-1.1499999999999999</v>
      </c>
      <c r="G3361" t="s">
        <v>12</v>
      </c>
      <c r="I3361" t="s">
        <v>2409</v>
      </c>
    </row>
    <row r="3362" spans="1:9" hidden="1" x14ac:dyDescent="0.25">
      <c r="A3362" t="s">
        <v>2719</v>
      </c>
      <c r="B3362" t="s">
        <v>92</v>
      </c>
      <c r="C3362" s="2">
        <f>HYPERLINK("https://cao.dolgi.msk.ru/account/1080158987/", 1080158987)</f>
        <v>1080158987</v>
      </c>
      <c r="D3362" t="s">
        <v>2751</v>
      </c>
      <c r="E3362">
        <v>15.96</v>
      </c>
      <c r="F3362">
        <v>0.03</v>
      </c>
      <c r="G3362" t="s">
        <v>14</v>
      </c>
      <c r="I3362" t="s">
        <v>2409</v>
      </c>
    </row>
    <row r="3363" spans="1:9" hidden="1" x14ac:dyDescent="0.25">
      <c r="A3363" t="s">
        <v>2719</v>
      </c>
      <c r="B3363" t="s">
        <v>92</v>
      </c>
      <c r="C3363" s="2">
        <f>HYPERLINK("https://cao.dolgi.msk.ru/account/1083389836/", 1083389836)</f>
        <v>1083389836</v>
      </c>
      <c r="D3363" t="s">
        <v>2751</v>
      </c>
      <c r="E3363">
        <v>-185.59</v>
      </c>
      <c r="F3363">
        <v>-0.08</v>
      </c>
      <c r="G3363" t="s">
        <v>12</v>
      </c>
      <c r="I3363" t="s">
        <v>2409</v>
      </c>
    </row>
    <row r="3364" spans="1:9" hidden="1" x14ac:dyDescent="0.25">
      <c r="A3364" t="s">
        <v>2719</v>
      </c>
      <c r="B3364" t="s">
        <v>94</v>
      </c>
      <c r="C3364" s="2">
        <f>HYPERLINK("https://cao.dolgi.msk.ru/account/1080158995/", 1080158995)</f>
        <v>1080158995</v>
      </c>
      <c r="D3364" t="s">
        <v>2752</v>
      </c>
      <c r="E3364">
        <v>1575.37</v>
      </c>
      <c r="F3364">
        <v>3.91</v>
      </c>
      <c r="G3364" t="s">
        <v>14</v>
      </c>
      <c r="I3364" t="s">
        <v>2409</v>
      </c>
    </row>
    <row r="3365" spans="1:9" hidden="1" x14ac:dyDescent="0.25">
      <c r="A3365" t="s">
        <v>2719</v>
      </c>
      <c r="B3365" t="s">
        <v>94</v>
      </c>
      <c r="C3365" s="2">
        <f>HYPERLINK("https://cao.dolgi.msk.ru/account/1083389756/", 1083389756)</f>
        <v>1083389756</v>
      </c>
      <c r="D3365" t="s">
        <v>2752</v>
      </c>
      <c r="E3365">
        <v>-2746.8</v>
      </c>
      <c r="F3365">
        <v>-1.17</v>
      </c>
      <c r="G3365" t="s">
        <v>12</v>
      </c>
      <c r="I3365" t="s">
        <v>2409</v>
      </c>
    </row>
    <row r="3366" spans="1:9" hidden="1" x14ac:dyDescent="0.25">
      <c r="A3366" t="s">
        <v>2719</v>
      </c>
      <c r="B3366" t="s">
        <v>96</v>
      </c>
      <c r="C3366" s="2">
        <f>HYPERLINK("https://cao.dolgi.msk.ru/account/1080159007/", 1080159007)</f>
        <v>1080159007</v>
      </c>
      <c r="D3366" t="s">
        <v>2753</v>
      </c>
      <c r="E3366">
        <v>-88.5</v>
      </c>
      <c r="F3366">
        <v>-0.3</v>
      </c>
      <c r="G3366" t="s">
        <v>14</v>
      </c>
      <c r="I3366" t="s">
        <v>2409</v>
      </c>
    </row>
    <row r="3367" spans="1:9" hidden="1" x14ac:dyDescent="0.25">
      <c r="A3367" t="s">
        <v>2719</v>
      </c>
      <c r="B3367" t="s">
        <v>96</v>
      </c>
      <c r="C3367" s="2">
        <f>HYPERLINK("https://cao.dolgi.msk.ru/account/1083389844/", 1083389844)</f>
        <v>1083389844</v>
      </c>
      <c r="D3367" t="s">
        <v>2753</v>
      </c>
      <c r="E3367">
        <v>-2902.38</v>
      </c>
      <c r="F3367">
        <v>-1.25</v>
      </c>
      <c r="G3367" t="s">
        <v>12</v>
      </c>
      <c r="I3367" t="s">
        <v>2409</v>
      </c>
    </row>
    <row r="3368" spans="1:9" hidden="1" x14ac:dyDescent="0.25">
      <c r="A3368" t="s">
        <v>2719</v>
      </c>
      <c r="B3368" t="s">
        <v>98</v>
      </c>
      <c r="C3368" s="2">
        <f>HYPERLINK("https://cao.dolgi.msk.ru/account/1080159015/", 1080159015)</f>
        <v>1080159015</v>
      </c>
      <c r="D3368" t="s">
        <v>2754</v>
      </c>
      <c r="E3368">
        <v>54.6</v>
      </c>
      <c r="G3368" t="s">
        <v>14</v>
      </c>
      <c r="I3368" t="s">
        <v>2409</v>
      </c>
    </row>
    <row r="3369" spans="1:9" hidden="1" x14ac:dyDescent="0.25">
      <c r="A3369" t="s">
        <v>2719</v>
      </c>
      <c r="B3369" t="s">
        <v>98</v>
      </c>
      <c r="C3369" s="2">
        <f>HYPERLINK("https://cao.dolgi.msk.ru/account/1083389852/", 1083389852)</f>
        <v>1083389852</v>
      </c>
      <c r="D3369" t="s">
        <v>2754</v>
      </c>
      <c r="E3369">
        <v>-2963.13</v>
      </c>
      <c r="F3369">
        <v>-0.86</v>
      </c>
      <c r="G3369" t="s">
        <v>12</v>
      </c>
      <c r="I3369" t="s">
        <v>2409</v>
      </c>
    </row>
    <row r="3370" spans="1:9" hidden="1" x14ac:dyDescent="0.25">
      <c r="A3370" t="s">
        <v>2719</v>
      </c>
      <c r="B3370" t="s">
        <v>100</v>
      </c>
      <c r="C3370" s="2">
        <f>HYPERLINK("https://cao.dolgi.msk.ru/account/1080159023/", 1080159023)</f>
        <v>1080159023</v>
      </c>
      <c r="D3370" t="s">
        <v>2755</v>
      </c>
      <c r="E3370">
        <v>1327.17</v>
      </c>
      <c r="F3370">
        <v>0.95</v>
      </c>
      <c r="G3370" t="s">
        <v>14</v>
      </c>
      <c r="I3370" t="s">
        <v>2409</v>
      </c>
    </row>
    <row r="3371" spans="1:9" hidden="1" x14ac:dyDescent="0.25">
      <c r="A3371" t="s">
        <v>2719</v>
      </c>
      <c r="B3371" t="s">
        <v>100</v>
      </c>
      <c r="C3371" s="2">
        <f>HYPERLINK("https://cao.dolgi.msk.ru/account/1083390079/", 1083390079)</f>
        <v>1083390079</v>
      </c>
      <c r="D3371" t="s">
        <v>2755</v>
      </c>
      <c r="E3371">
        <v>-6096.98</v>
      </c>
      <c r="F3371">
        <v>-1</v>
      </c>
      <c r="G3371" t="s">
        <v>12</v>
      </c>
      <c r="I3371" t="s">
        <v>2409</v>
      </c>
    </row>
    <row r="3372" spans="1:9" hidden="1" x14ac:dyDescent="0.25">
      <c r="A3372" t="s">
        <v>2719</v>
      </c>
      <c r="B3372" t="s">
        <v>102</v>
      </c>
      <c r="C3372" s="2">
        <f>HYPERLINK("https://cao.dolgi.msk.ru/account/1080159031/", 1080159031)</f>
        <v>1080159031</v>
      </c>
      <c r="D3372" t="s">
        <v>2756</v>
      </c>
      <c r="E3372">
        <v>2157.5700000000002</v>
      </c>
      <c r="F3372">
        <v>5.28</v>
      </c>
      <c r="G3372" t="s">
        <v>14</v>
      </c>
      <c r="I3372" t="s">
        <v>2409</v>
      </c>
    </row>
    <row r="3373" spans="1:9" hidden="1" x14ac:dyDescent="0.25">
      <c r="A3373" t="s">
        <v>2719</v>
      </c>
      <c r="B3373" t="s">
        <v>102</v>
      </c>
      <c r="C3373" s="2">
        <f>HYPERLINK("https://cao.dolgi.msk.ru/account/1083389617/", 1083389617)</f>
        <v>1083389617</v>
      </c>
      <c r="D3373" t="s">
        <v>2756</v>
      </c>
      <c r="E3373">
        <v>-4888.71</v>
      </c>
      <c r="F3373">
        <v>-1.7</v>
      </c>
      <c r="G3373" t="s">
        <v>12</v>
      </c>
      <c r="I3373" t="s">
        <v>2409</v>
      </c>
    </row>
    <row r="3374" spans="1:9" hidden="1" x14ac:dyDescent="0.25">
      <c r="A3374" t="s">
        <v>2719</v>
      </c>
      <c r="B3374" t="s">
        <v>104</v>
      </c>
      <c r="C3374" s="2">
        <f>HYPERLINK("https://cao.dolgi.msk.ru/account/1080159058/", 1080159058)</f>
        <v>1080159058</v>
      </c>
      <c r="D3374" t="s">
        <v>2757</v>
      </c>
      <c r="E3374">
        <v>344.67</v>
      </c>
      <c r="F3374">
        <v>0.36</v>
      </c>
      <c r="G3374" t="s">
        <v>14</v>
      </c>
      <c r="I3374" t="s">
        <v>2409</v>
      </c>
    </row>
    <row r="3375" spans="1:9" hidden="1" x14ac:dyDescent="0.25">
      <c r="A3375" t="s">
        <v>2719</v>
      </c>
      <c r="B3375" t="s">
        <v>104</v>
      </c>
      <c r="C3375" s="2">
        <f>HYPERLINK("https://cao.dolgi.msk.ru/account/1083390191/", 1083390191)</f>
        <v>1083390191</v>
      </c>
      <c r="D3375" t="s">
        <v>2757</v>
      </c>
      <c r="E3375">
        <v>-45.64</v>
      </c>
      <c r="F3375">
        <v>-0.01</v>
      </c>
      <c r="G3375" t="s">
        <v>12</v>
      </c>
      <c r="I3375" t="s">
        <v>2409</v>
      </c>
    </row>
    <row r="3376" spans="1:9" hidden="1" x14ac:dyDescent="0.25">
      <c r="A3376" t="s">
        <v>2719</v>
      </c>
      <c r="B3376" t="s">
        <v>106</v>
      </c>
      <c r="C3376" s="2">
        <f>HYPERLINK("https://cao.dolgi.msk.ru/account/1080159066/", 1080159066)</f>
        <v>1080159066</v>
      </c>
      <c r="D3376" t="s">
        <v>2758</v>
      </c>
      <c r="E3376">
        <v>-45.64</v>
      </c>
      <c r="G3376" t="s">
        <v>14</v>
      </c>
      <c r="I3376" t="s">
        <v>2409</v>
      </c>
    </row>
    <row r="3377" spans="1:9" hidden="1" x14ac:dyDescent="0.25">
      <c r="A3377" t="s">
        <v>2719</v>
      </c>
      <c r="B3377" t="s">
        <v>106</v>
      </c>
      <c r="C3377" s="2">
        <f>HYPERLINK("https://cao.dolgi.msk.ru/account/1083390028/", 1083390028)</f>
        <v>1083390028</v>
      </c>
      <c r="D3377" t="s">
        <v>2758</v>
      </c>
      <c r="E3377">
        <v>-5103.68</v>
      </c>
      <c r="F3377">
        <v>-1.65</v>
      </c>
      <c r="G3377" t="s">
        <v>12</v>
      </c>
      <c r="I3377" t="s">
        <v>2409</v>
      </c>
    </row>
    <row r="3378" spans="1:9" hidden="1" x14ac:dyDescent="0.25">
      <c r="A3378" t="s">
        <v>2719</v>
      </c>
      <c r="B3378" t="s">
        <v>108</v>
      </c>
      <c r="C3378" s="2">
        <f>HYPERLINK("https://cao.dolgi.msk.ru/account/1080159074/", 1080159074)</f>
        <v>1080159074</v>
      </c>
      <c r="D3378" t="s">
        <v>2759</v>
      </c>
      <c r="E3378">
        <v>2.79</v>
      </c>
      <c r="F3378">
        <v>0</v>
      </c>
      <c r="G3378" t="s">
        <v>14</v>
      </c>
      <c r="I3378" t="s">
        <v>2409</v>
      </c>
    </row>
    <row r="3379" spans="1:9" hidden="1" x14ac:dyDescent="0.25">
      <c r="A3379" t="s">
        <v>2719</v>
      </c>
      <c r="B3379" t="s">
        <v>108</v>
      </c>
      <c r="C3379" s="2">
        <f>HYPERLINK("https://cao.dolgi.msk.ru/account/1083390087/", 1083390087)</f>
        <v>1083390087</v>
      </c>
      <c r="D3379" t="s">
        <v>2759</v>
      </c>
      <c r="E3379">
        <v>-5686.1</v>
      </c>
      <c r="F3379">
        <v>-1.74</v>
      </c>
      <c r="G3379" t="s">
        <v>12</v>
      </c>
      <c r="I3379" t="s">
        <v>2409</v>
      </c>
    </row>
    <row r="3380" spans="1:9" hidden="1" x14ac:dyDescent="0.25">
      <c r="A3380" t="s">
        <v>2719</v>
      </c>
      <c r="B3380" t="s">
        <v>110</v>
      </c>
      <c r="C3380" s="2">
        <f>HYPERLINK("https://cao.dolgi.msk.ru/account/1080159082/", 1080159082)</f>
        <v>1080159082</v>
      </c>
      <c r="D3380" t="s">
        <v>15</v>
      </c>
      <c r="E3380">
        <v>0</v>
      </c>
      <c r="F3380">
        <v>0</v>
      </c>
      <c r="G3380" t="s">
        <v>14</v>
      </c>
      <c r="I3380" t="s">
        <v>2409</v>
      </c>
    </row>
    <row r="3381" spans="1:9" hidden="1" x14ac:dyDescent="0.25">
      <c r="A3381" t="s">
        <v>2719</v>
      </c>
      <c r="B3381" t="s">
        <v>110</v>
      </c>
      <c r="C3381" s="2">
        <f>HYPERLINK("https://cao.dolgi.msk.ru/account/1083389625/", 1083389625)</f>
        <v>1083389625</v>
      </c>
      <c r="D3381" t="s">
        <v>15</v>
      </c>
      <c r="E3381">
        <v>-1191.82</v>
      </c>
      <c r="F3381">
        <v>-0.99</v>
      </c>
      <c r="G3381" t="s">
        <v>12</v>
      </c>
      <c r="I3381" t="s">
        <v>2409</v>
      </c>
    </row>
    <row r="3382" spans="1:9" hidden="1" x14ac:dyDescent="0.25">
      <c r="A3382" t="s">
        <v>2719</v>
      </c>
      <c r="B3382" t="s">
        <v>112</v>
      </c>
      <c r="C3382" s="2">
        <f>HYPERLINK("https://cao.dolgi.msk.ru/account/1080159103/", 1080159103)</f>
        <v>1080159103</v>
      </c>
      <c r="D3382" t="s">
        <v>2760</v>
      </c>
      <c r="E3382">
        <v>4812.87</v>
      </c>
      <c r="F3382">
        <v>2.35</v>
      </c>
      <c r="G3382" t="s">
        <v>14</v>
      </c>
      <c r="I3382" t="s">
        <v>2409</v>
      </c>
    </row>
    <row r="3383" spans="1:9" hidden="1" x14ac:dyDescent="0.25">
      <c r="A3383" t="s">
        <v>2719</v>
      </c>
      <c r="B3383" t="s">
        <v>112</v>
      </c>
      <c r="C3383" s="2">
        <f>HYPERLINK("https://cao.dolgi.msk.ru/account/1083389633/", 1083389633)</f>
        <v>1083389633</v>
      </c>
      <c r="D3383" t="s">
        <v>2760</v>
      </c>
      <c r="E3383">
        <v>-6457.29</v>
      </c>
      <c r="F3383">
        <v>-1.1599999999999999</v>
      </c>
      <c r="G3383" t="s">
        <v>12</v>
      </c>
      <c r="I3383" t="s">
        <v>2409</v>
      </c>
    </row>
    <row r="3384" spans="1:9" hidden="1" x14ac:dyDescent="0.25">
      <c r="A3384" t="s">
        <v>2719</v>
      </c>
      <c r="B3384" t="s">
        <v>114</v>
      </c>
      <c r="C3384" s="2">
        <f>HYPERLINK("https://cao.dolgi.msk.ru/account/1080159111/", 1080159111)</f>
        <v>1080159111</v>
      </c>
      <c r="D3384" t="s">
        <v>2761</v>
      </c>
      <c r="E3384">
        <v>-106.95</v>
      </c>
      <c r="G3384" t="s">
        <v>14</v>
      </c>
      <c r="I3384" t="s">
        <v>2409</v>
      </c>
    </row>
    <row r="3385" spans="1:9" hidden="1" x14ac:dyDescent="0.25">
      <c r="A3385" t="s">
        <v>2719</v>
      </c>
      <c r="B3385" t="s">
        <v>114</v>
      </c>
      <c r="C3385" s="2">
        <f>HYPERLINK("https://cao.dolgi.msk.ru/account/1083390095/", 1083390095)</f>
        <v>1083390095</v>
      </c>
      <c r="D3385" t="s">
        <v>2761</v>
      </c>
      <c r="E3385">
        <v>-2241.1999999999998</v>
      </c>
      <c r="F3385">
        <v>-1.32</v>
      </c>
      <c r="G3385" t="s">
        <v>12</v>
      </c>
      <c r="I3385" t="s">
        <v>2409</v>
      </c>
    </row>
    <row r="3386" spans="1:9" hidden="1" x14ac:dyDescent="0.25">
      <c r="A3386" t="s">
        <v>2719</v>
      </c>
      <c r="B3386" t="s">
        <v>116</v>
      </c>
      <c r="C3386" s="2">
        <f>HYPERLINK("https://cao.dolgi.msk.ru/account/1080159138/", 1080159138)</f>
        <v>1080159138</v>
      </c>
      <c r="D3386" t="s">
        <v>2762</v>
      </c>
      <c r="E3386">
        <v>0</v>
      </c>
      <c r="G3386" t="s">
        <v>14</v>
      </c>
      <c r="I3386" t="s">
        <v>2409</v>
      </c>
    </row>
    <row r="3387" spans="1:9" hidden="1" x14ac:dyDescent="0.25">
      <c r="A3387" t="s">
        <v>2719</v>
      </c>
      <c r="B3387" t="s">
        <v>116</v>
      </c>
      <c r="C3387" s="2">
        <f>HYPERLINK("https://cao.dolgi.msk.ru/account/1083389924/", 1083389924)</f>
        <v>1083389924</v>
      </c>
      <c r="D3387" t="s">
        <v>2762</v>
      </c>
      <c r="E3387">
        <v>-6373.9</v>
      </c>
      <c r="F3387">
        <v>-1.21</v>
      </c>
      <c r="G3387" t="s">
        <v>12</v>
      </c>
      <c r="I3387" t="s">
        <v>2409</v>
      </c>
    </row>
    <row r="3388" spans="1:9" hidden="1" x14ac:dyDescent="0.25">
      <c r="A3388" t="s">
        <v>2719</v>
      </c>
      <c r="B3388" t="s">
        <v>116</v>
      </c>
      <c r="C3388" s="2">
        <f>HYPERLINK("https://cao.dolgi.msk.ru/account/1089124644/", 1089124644)</f>
        <v>1089124644</v>
      </c>
      <c r="D3388" t="s">
        <v>15</v>
      </c>
      <c r="G3388" t="s">
        <v>14</v>
      </c>
      <c r="I3388" t="s">
        <v>2409</v>
      </c>
    </row>
    <row r="3389" spans="1:9" hidden="1" x14ac:dyDescent="0.25">
      <c r="A3389" t="s">
        <v>2719</v>
      </c>
      <c r="B3389" t="s">
        <v>118</v>
      </c>
      <c r="C3389" s="2">
        <f>HYPERLINK("https://cao.dolgi.msk.ru/account/1080159146/", 1080159146)</f>
        <v>1080159146</v>
      </c>
      <c r="D3389" t="s">
        <v>2763</v>
      </c>
      <c r="E3389">
        <v>-1.46</v>
      </c>
      <c r="F3389">
        <v>0</v>
      </c>
      <c r="G3389" t="s">
        <v>14</v>
      </c>
      <c r="I3389" t="s">
        <v>2409</v>
      </c>
    </row>
    <row r="3390" spans="1:9" hidden="1" x14ac:dyDescent="0.25">
      <c r="A3390" t="s">
        <v>2719</v>
      </c>
      <c r="B3390" t="s">
        <v>118</v>
      </c>
      <c r="C3390" s="2">
        <f>HYPERLINK("https://cao.dolgi.msk.ru/account/1083390108/", 1083390108)</f>
        <v>1083390108</v>
      </c>
      <c r="D3390" t="s">
        <v>2763</v>
      </c>
      <c r="E3390">
        <v>-7352.05</v>
      </c>
      <c r="F3390">
        <v>-1.0900000000000001</v>
      </c>
      <c r="G3390" t="s">
        <v>12</v>
      </c>
      <c r="I3390" t="s">
        <v>2409</v>
      </c>
    </row>
    <row r="3391" spans="1:9" hidden="1" x14ac:dyDescent="0.25">
      <c r="A3391" t="s">
        <v>2719</v>
      </c>
      <c r="B3391" t="s">
        <v>120</v>
      </c>
      <c r="C3391" s="2">
        <f>HYPERLINK("https://cao.dolgi.msk.ru/account/1080159154/", 1080159154)</f>
        <v>1080159154</v>
      </c>
      <c r="D3391" t="s">
        <v>2764</v>
      </c>
      <c r="E3391">
        <v>546.03</v>
      </c>
      <c r="G3391" t="s">
        <v>14</v>
      </c>
      <c r="I3391" t="s">
        <v>2409</v>
      </c>
    </row>
    <row r="3392" spans="1:9" hidden="1" x14ac:dyDescent="0.25">
      <c r="A3392" t="s">
        <v>2719</v>
      </c>
      <c r="B3392" t="s">
        <v>120</v>
      </c>
      <c r="C3392" s="2">
        <f>HYPERLINK("https://cao.dolgi.msk.ru/account/1083389932/", 1083389932)</f>
        <v>1083389932</v>
      </c>
      <c r="D3392" t="s">
        <v>2764</v>
      </c>
      <c r="E3392">
        <v>-12043.46</v>
      </c>
      <c r="F3392">
        <v>-3.84</v>
      </c>
      <c r="G3392" t="s">
        <v>12</v>
      </c>
      <c r="I3392" t="s">
        <v>2409</v>
      </c>
    </row>
    <row r="3393" spans="1:9" hidden="1" x14ac:dyDescent="0.25">
      <c r="A3393" t="s">
        <v>2719</v>
      </c>
      <c r="B3393" t="s">
        <v>122</v>
      </c>
      <c r="C3393" s="2">
        <f>HYPERLINK("https://cao.dolgi.msk.ru/account/1080159162/", 1080159162)</f>
        <v>1080159162</v>
      </c>
      <c r="D3393" t="s">
        <v>2765</v>
      </c>
      <c r="E3393">
        <v>2360.23</v>
      </c>
      <c r="F3393">
        <v>7.22</v>
      </c>
      <c r="G3393" t="s">
        <v>14</v>
      </c>
      <c r="I3393" t="s">
        <v>2409</v>
      </c>
    </row>
    <row r="3394" spans="1:9" hidden="1" x14ac:dyDescent="0.25">
      <c r="A3394" t="s">
        <v>2719</v>
      </c>
      <c r="B3394" t="s">
        <v>122</v>
      </c>
      <c r="C3394" s="2">
        <f>HYPERLINK("https://cao.dolgi.msk.ru/account/1083390204/", 1083390204)</f>
        <v>1083390204</v>
      </c>
      <c r="D3394" t="s">
        <v>2765</v>
      </c>
      <c r="E3394">
        <v>0</v>
      </c>
      <c r="F3394">
        <v>0</v>
      </c>
      <c r="G3394" t="s">
        <v>12</v>
      </c>
      <c r="I3394" t="s">
        <v>2409</v>
      </c>
    </row>
    <row r="3395" spans="1:9" hidden="1" x14ac:dyDescent="0.25">
      <c r="A3395" t="s">
        <v>2719</v>
      </c>
      <c r="B3395" t="s">
        <v>124</v>
      </c>
      <c r="C3395" s="2">
        <f>HYPERLINK("https://cao.dolgi.msk.ru/account/1080159189/", 1080159189)</f>
        <v>1080159189</v>
      </c>
      <c r="D3395" t="s">
        <v>2766</v>
      </c>
      <c r="E3395">
        <v>-1660.31</v>
      </c>
      <c r="G3395" t="s">
        <v>14</v>
      </c>
      <c r="I3395" t="s">
        <v>2409</v>
      </c>
    </row>
    <row r="3396" spans="1:9" hidden="1" x14ac:dyDescent="0.25">
      <c r="A3396" t="s">
        <v>2719</v>
      </c>
      <c r="B3396" t="s">
        <v>124</v>
      </c>
      <c r="C3396" s="2">
        <f>HYPERLINK("https://cao.dolgi.msk.ru/account/1083389764/", 1083389764)</f>
        <v>1083389764</v>
      </c>
      <c r="D3396" t="s">
        <v>2766</v>
      </c>
      <c r="E3396">
        <v>-4711.96</v>
      </c>
      <c r="F3396">
        <v>-1.08</v>
      </c>
      <c r="G3396" t="s">
        <v>12</v>
      </c>
      <c r="I3396" t="s">
        <v>2409</v>
      </c>
    </row>
    <row r="3397" spans="1:9" hidden="1" x14ac:dyDescent="0.25">
      <c r="A3397" t="s">
        <v>2719</v>
      </c>
      <c r="B3397" t="s">
        <v>126</v>
      </c>
      <c r="C3397" s="2">
        <f>HYPERLINK("https://cao.dolgi.msk.ru/account/1080159197/", 1080159197)</f>
        <v>1080159197</v>
      </c>
      <c r="D3397" t="s">
        <v>2767</v>
      </c>
      <c r="E3397">
        <v>-513.66999999999996</v>
      </c>
      <c r="G3397" t="s">
        <v>14</v>
      </c>
      <c r="I3397" t="s">
        <v>2409</v>
      </c>
    </row>
    <row r="3398" spans="1:9" hidden="1" x14ac:dyDescent="0.25">
      <c r="A3398" t="s">
        <v>2719</v>
      </c>
      <c r="B3398" t="s">
        <v>126</v>
      </c>
      <c r="C3398" s="2">
        <f>HYPERLINK("https://cao.dolgi.msk.ru/account/1083390036/", 1083390036)</f>
        <v>1083390036</v>
      </c>
      <c r="D3398" t="s">
        <v>2767</v>
      </c>
      <c r="E3398">
        <v>-143.79</v>
      </c>
      <c r="F3398">
        <v>-0.01</v>
      </c>
      <c r="G3398" t="s">
        <v>12</v>
      </c>
      <c r="I3398" t="s">
        <v>2409</v>
      </c>
    </row>
    <row r="3399" spans="1:9" hidden="1" x14ac:dyDescent="0.25">
      <c r="A3399" t="s">
        <v>2719</v>
      </c>
      <c r="B3399" t="s">
        <v>128</v>
      </c>
      <c r="C3399" s="2">
        <f>HYPERLINK("https://cao.dolgi.msk.ru/account/1080159218/", 1080159218)</f>
        <v>1080159218</v>
      </c>
      <c r="D3399" t="s">
        <v>2768</v>
      </c>
      <c r="E3399">
        <v>31082.32</v>
      </c>
      <c r="G3399" t="s">
        <v>14</v>
      </c>
      <c r="I3399" t="s">
        <v>2409</v>
      </c>
    </row>
    <row r="3400" spans="1:9" hidden="1" x14ac:dyDescent="0.25">
      <c r="A3400" t="s">
        <v>2719</v>
      </c>
      <c r="B3400" t="s">
        <v>128</v>
      </c>
      <c r="C3400" s="2">
        <f>HYPERLINK("https://cao.dolgi.msk.ru/account/1083390116/", 1083390116)</f>
        <v>1083390116</v>
      </c>
      <c r="D3400" t="s">
        <v>2768</v>
      </c>
      <c r="E3400">
        <v>-7644.24</v>
      </c>
      <c r="F3400">
        <v>-1.68</v>
      </c>
      <c r="G3400" t="s">
        <v>12</v>
      </c>
      <c r="I3400" t="s">
        <v>2409</v>
      </c>
    </row>
    <row r="3401" spans="1:9" hidden="1" x14ac:dyDescent="0.25">
      <c r="A3401" t="s">
        <v>2719</v>
      </c>
      <c r="B3401" t="s">
        <v>130</v>
      </c>
      <c r="C3401" s="2">
        <f>HYPERLINK("https://cao.dolgi.msk.ru/account/1080159226/", 1080159226)</f>
        <v>1080159226</v>
      </c>
      <c r="D3401" t="s">
        <v>2769</v>
      </c>
      <c r="E3401">
        <v>-1981.94</v>
      </c>
      <c r="F3401">
        <v>-3.11</v>
      </c>
      <c r="G3401" t="s">
        <v>14</v>
      </c>
      <c r="I3401" t="s">
        <v>2409</v>
      </c>
    </row>
    <row r="3402" spans="1:9" hidden="1" x14ac:dyDescent="0.25">
      <c r="A3402" t="s">
        <v>2719</v>
      </c>
      <c r="B3402" t="s">
        <v>130</v>
      </c>
      <c r="C3402" s="2">
        <f>HYPERLINK("https://cao.dolgi.msk.ru/account/1083389641/", 1083389641)</f>
        <v>1083389641</v>
      </c>
      <c r="D3402" t="s">
        <v>2769</v>
      </c>
      <c r="E3402">
        <v>-3579.85</v>
      </c>
      <c r="F3402">
        <v>-0.85</v>
      </c>
      <c r="G3402" t="s">
        <v>12</v>
      </c>
      <c r="I3402" t="s">
        <v>2409</v>
      </c>
    </row>
    <row r="3403" spans="1:9" hidden="1" x14ac:dyDescent="0.25">
      <c r="A3403" t="s">
        <v>2719</v>
      </c>
      <c r="B3403" t="s">
        <v>132</v>
      </c>
      <c r="C3403" s="2">
        <f>HYPERLINK("https://cao.dolgi.msk.ru/account/1080159234/", 1080159234)</f>
        <v>1080159234</v>
      </c>
      <c r="D3403" t="s">
        <v>2770</v>
      </c>
      <c r="E3403">
        <v>6657.38</v>
      </c>
      <c r="G3403" t="s">
        <v>14</v>
      </c>
      <c r="I3403" t="s">
        <v>2409</v>
      </c>
    </row>
    <row r="3404" spans="1:9" hidden="1" x14ac:dyDescent="0.25">
      <c r="A3404" t="s">
        <v>2719</v>
      </c>
      <c r="B3404" t="s">
        <v>132</v>
      </c>
      <c r="C3404" s="2">
        <f>HYPERLINK("https://cao.dolgi.msk.ru/account/1083389545/", 1083389545)</f>
        <v>1083389545</v>
      </c>
      <c r="D3404" t="s">
        <v>2770</v>
      </c>
      <c r="E3404">
        <v>-4589.58</v>
      </c>
      <c r="F3404">
        <v>-1.3</v>
      </c>
      <c r="G3404" t="s">
        <v>12</v>
      </c>
      <c r="I3404" t="s">
        <v>2409</v>
      </c>
    </row>
    <row r="3405" spans="1:9" hidden="1" x14ac:dyDescent="0.25">
      <c r="A3405" t="s">
        <v>2719</v>
      </c>
      <c r="B3405" t="s">
        <v>133</v>
      </c>
      <c r="C3405" s="2">
        <f>HYPERLINK("https://cao.dolgi.msk.ru/account/1080159242/", 1080159242)</f>
        <v>1080159242</v>
      </c>
      <c r="D3405" t="s">
        <v>2771</v>
      </c>
      <c r="E3405">
        <v>34111.1</v>
      </c>
      <c r="G3405" t="s">
        <v>14</v>
      </c>
      <c r="I3405" t="s">
        <v>2409</v>
      </c>
    </row>
    <row r="3406" spans="1:9" hidden="1" x14ac:dyDescent="0.25">
      <c r="A3406" t="s">
        <v>2719</v>
      </c>
      <c r="B3406" t="s">
        <v>133</v>
      </c>
      <c r="C3406" s="2">
        <f>HYPERLINK("https://cao.dolgi.msk.ru/account/1083390124/", 1083390124)</f>
        <v>1083390124</v>
      </c>
      <c r="D3406" t="s">
        <v>2771</v>
      </c>
      <c r="E3406">
        <v>-6014.09</v>
      </c>
      <c r="F3406">
        <v>-0.96</v>
      </c>
      <c r="G3406" t="s">
        <v>12</v>
      </c>
      <c r="I3406" t="s">
        <v>2409</v>
      </c>
    </row>
    <row r="3407" spans="1:9" hidden="1" x14ac:dyDescent="0.25">
      <c r="A3407" t="s">
        <v>2719</v>
      </c>
      <c r="B3407" t="s">
        <v>135</v>
      </c>
      <c r="C3407" s="2">
        <f>HYPERLINK("https://cao.dolgi.msk.ru/account/1080166397/", 1080166397)</f>
        <v>1080166397</v>
      </c>
      <c r="D3407" t="s">
        <v>2772</v>
      </c>
      <c r="E3407">
        <v>181.99</v>
      </c>
      <c r="F3407">
        <v>0.67</v>
      </c>
      <c r="G3407" t="s">
        <v>14</v>
      </c>
      <c r="I3407" t="s">
        <v>2409</v>
      </c>
    </row>
    <row r="3408" spans="1:9" hidden="1" x14ac:dyDescent="0.25">
      <c r="A3408" t="s">
        <v>2719</v>
      </c>
      <c r="B3408" t="s">
        <v>135</v>
      </c>
      <c r="C3408" s="2">
        <f>HYPERLINK("https://cao.dolgi.msk.ru/account/1083389705/", 1083389705)</f>
        <v>1083389705</v>
      </c>
      <c r="D3408" t="s">
        <v>2772</v>
      </c>
      <c r="E3408">
        <v>0</v>
      </c>
      <c r="F3408">
        <v>0</v>
      </c>
      <c r="G3408" t="s">
        <v>12</v>
      </c>
      <c r="I3408" t="s">
        <v>2409</v>
      </c>
    </row>
    <row r="3409" spans="1:9" hidden="1" x14ac:dyDescent="0.25">
      <c r="A3409" t="s">
        <v>2719</v>
      </c>
      <c r="B3409" t="s">
        <v>137</v>
      </c>
      <c r="C3409" s="2">
        <f>HYPERLINK("https://cao.dolgi.msk.ru/account/1080159269/", 1080159269)</f>
        <v>1080159269</v>
      </c>
      <c r="D3409" t="s">
        <v>2773</v>
      </c>
      <c r="E3409">
        <v>-242.06</v>
      </c>
      <c r="F3409">
        <v>-0.06</v>
      </c>
      <c r="G3409" t="s">
        <v>14</v>
      </c>
      <c r="I3409" t="s">
        <v>2409</v>
      </c>
    </row>
    <row r="3410" spans="1:9" hidden="1" x14ac:dyDescent="0.25">
      <c r="A3410" t="s">
        <v>2719</v>
      </c>
      <c r="B3410" t="s">
        <v>137</v>
      </c>
      <c r="C3410" s="2">
        <f>HYPERLINK("https://cao.dolgi.msk.ru/account/1083390132/", 1083390132)</f>
        <v>1083390132</v>
      </c>
      <c r="D3410" t="s">
        <v>2773</v>
      </c>
      <c r="E3410">
        <v>-3622.7</v>
      </c>
      <c r="F3410">
        <v>-1.21</v>
      </c>
      <c r="G3410" t="s">
        <v>12</v>
      </c>
      <c r="I3410" t="s">
        <v>2409</v>
      </c>
    </row>
    <row r="3411" spans="1:9" hidden="1" x14ac:dyDescent="0.25">
      <c r="A3411" t="s">
        <v>2719</v>
      </c>
      <c r="B3411" t="s">
        <v>139</v>
      </c>
      <c r="C3411" s="2">
        <f>HYPERLINK("https://cao.dolgi.msk.ru/account/1080159277/", 1080159277)</f>
        <v>1080159277</v>
      </c>
      <c r="D3411" t="s">
        <v>2774</v>
      </c>
      <c r="E3411">
        <v>0</v>
      </c>
      <c r="F3411">
        <v>0</v>
      </c>
      <c r="G3411" t="s">
        <v>14</v>
      </c>
      <c r="I3411" t="s">
        <v>2409</v>
      </c>
    </row>
    <row r="3412" spans="1:9" hidden="1" x14ac:dyDescent="0.25">
      <c r="A3412" t="s">
        <v>2719</v>
      </c>
      <c r="B3412" t="s">
        <v>139</v>
      </c>
      <c r="C3412" s="2">
        <f>HYPERLINK("https://cao.dolgi.msk.ru/account/1083390212/", 1083390212)</f>
        <v>1083390212</v>
      </c>
      <c r="D3412" t="s">
        <v>2774</v>
      </c>
      <c r="E3412">
        <v>0</v>
      </c>
      <c r="F3412">
        <v>0</v>
      </c>
      <c r="G3412" t="s">
        <v>12</v>
      </c>
      <c r="I3412" t="s">
        <v>2409</v>
      </c>
    </row>
    <row r="3413" spans="1:9" hidden="1" x14ac:dyDescent="0.25">
      <c r="A3413" t="s">
        <v>2719</v>
      </c>
      <c r="B3413" t="s">
        <v>141</v>
      </c>
      <c r="C3413" s="2">
        <f>HYPERLINK("https://cao.dolgi.msk.ru/account/1080159285/", 1080159285)</f>
        <v>1080159285</v>
      </c>
      <c r="D3413" t="s">
        <v>2775</v>
      </c>
      <c r="E3413">
        <v>6154.98</v>
      </c>
      <c r="G3413" t="s">
        <v>14</v>
      </c>
      <c r="I3413" t="s">
        <v>2409</v>
      </c>
    </row>
    <row r="3414" spans="1:9" hidden="1" x14ac:dyDescent="0.25">
      <c r="A3414" t="s">
        <v>2719</v>
      </c>
      <c r="B3414" t="s">
        <v>141</v>
      </c>
      <c r="C3414" s="2">
        <f>HYPERLINK("https://cao.dolgi.msk.ru/account/1083389879/", 1083389879)</f>
        <v>1083389879</v>
      </c>
      <c r="D3414" t="s">
        <v>2775</v>
      </c>
      <c r="E3414">
        <v>-433.81</v>
      </c>
      <c r="F3414">
        <v>-0.12</v>
      </c>
      <c r="G3414" t="s">
        <v>12</v>
      </c>
      <c r="I3414" t="s">
        <v>2409</v>
      </c>
    </row>
    <row r="3415" spans="1:9" hidden="1" x14ac:dyDescent="0.25">
      <c r="A3415" t="s">
        <v>2719</v>
      </c>
      <c r="B3415" t="s">
        <v>143</v>
      </c>
      <c r="C3415" s="2">
        <f>HYPERLINK("https://cao.dolgi.msk.ru/account/1080159293/", 1080159293)</f>
        <v>1080159293</v>
      </c>
      <c r="D3415" t="s">
        <v>2776</v>
      </c>
      <c r="E3415">
        <v>26519.82</v>
      </c>
      <c r="F3415">
        <v>6.41</v>
      </c>
      <c r="G3415" t="s">
        <v>14</v>
      </c>
      <c r="I3415" t="s">
        <v>2409</v>
      </c>
    </row>
    <row r="3416" spans="1:9" hidden="1" x14ac:dyDescent="0.25">
      <c r="A3416" t="s">
        <v>2719</v>
      </c>
      <c r="B3416" t="s">
        <v>143</v>
      </c>
      <c r="C3416" s="2">
        <f>HYPERLINK("https://cao.dolgi.msk.ru/account/1083389668/", 1083389668)</f>
        <v>1083389668</v>
      </c>
      <c r="D3416" t="s">
        <v>2776</v>
      </c>
      <c r="E3416">
        <v>-460</v>
      </c>
      <c r="F3416">
        <v>-0.06</v>
      </c>
      <c r="G3416" t="s">
        <v>12</v>
      </c>
      <c r="I3416" t="s">
        <v>2409</v>
      </c>
    </row>
    <row r="3417" spans="1:9" hidden="1" x14ac:dyDescent="0.25">
      <c r="A3417" t="s">
        <v>2719</v>
      </c>
      <c r="B3417" t="s">
        <v>145</v>
      </c>
      <c r="C3417" s="2">
        <f>HYPERLINK("https://cao.dolgi.msk.ru/account/1080159306/", 1080159306)</f>
        <v>1080159306</v>
      </c>
      <c r="D3417" t="s">
        <v>2777</v>
      </c>
      <c r="E3417">
        <v>-2748.73</v>
      </c>
      <c r="G3417" t="s">
        <v>14</v>
      </c>
      <c r="I3417" t="s">
        <v>2409</v>
      </c>
    </row>
    <row r="3418" spans="1:9" hidden="1" x14ac:dyDescent="0.25">
      <c r="A3418" t="s">
        <v>2719</v>
      </c>
      <c r="B3418" t="s">
        <v>145</v>
      </c>
      <c r="C3418" s="2">
        <f>HYPERLINK("https://cao.dolgi.msk.ru/account/1083389959/", 1083389959)</f>
        <v>1083389959</v>
      </c>
      <c r="D3418" t="s">
        <v>2777</v>
      </c>
      <c r="E3418">
        <v>-4425.09</v>
      </c>
      <c r="F3418">
        <v>-1.57</v>
      </c>
      <c r="G3418" t="s">
        <v>12</v>
      </c>
      <c r="I3418" t="s">
        <v>2409</v>
      </c>
    </row>
    <row r="3419" spans="1:9" hidden="1" x14ac:dyDescent="0.25">
      <c r="A3419" t="s">
        <v>2719</v>
      </c>
      <c r="B3419" t="s">
        <v>147</v>
      </c>
      <c r="C3419" s="2">
        <f>HYPERLINK("https://cao.dolgi.msk.ru/account/1080159314/", 1080159314)</f>
        <v>1080159314</v>
      </c>
      <c r="D3419" t="s">
        <v>2778</v>
      </c>
      <c r="E3419">
        <v>-595.1</v>
      </c>
      <c r="F3419">
        <v>-0.56999999999999995</v>
      </c>
      <c r="G3419" t="s">
        <v>14</v>
      </c>
      <c r="I3419" t="s">
        <v>2409</v>
      </c>
    </row>
    <row r="3420" spans="1:9" hidden="1" x14ac:dyDescent="0.25">
      <c r="A3420" t="s">
        <v>2719</v>
      </c>
      <c r="B3420" t="s">
        <v>147</v>
      </c>
      <c r="C3420" s="2">
        <f>HYPERLINK("https://cao.dolgi.msk.ru/account/1083389887/", 1083389887)</f>
        <v>1083389887</v>
      </c>
      <c r="D3420" t="s">
        <v>2778</v>
      </c>
      <c r="E3420">
        <v>-5697.88</v>
      </c>
      <c r="F3420">
        <v>-1.3</v>
      </c>
      <c r="G3420" t="s">
        <v>12</v>
      </c>
      <c r="I3420" t="s">
        <v>2409</v>
      </c>
    </row>
    <row r="3421" spans="1:9" hidden="1" x14ac:dyDescent="0.25">
      <c r="A3421" t="s">
        <v>2719</v>
      </c>
      <c r="B3421" t="s">
        <v>149</v>
      </c>
      <c r="C3421" s="2">
        <f>HYPERLINK("https://cao.dolgi.msk.ru/account/1080159322/", 1080159322)</f>
        <v>1080159322</v>
      </c>
      <c r="D3421" t="s">
        <v>2779</v>
      </c>
      <c r="E3421">
        <v>49.3</v>
      </c>
      <c r="F3421">
        <v>0.09</v>
      </c>
      <c r="G3421" t="s">
        <v>14</v>
      </c>
      <c r="I3421" t="s">
        <v>2409</v>
      </c>
    </row>
    <row r="3422" spans="1:9" hidden="1" x14ac:dyDescent="0.25">
      <c r="A3422" t="s">
        <v>2719</v>
      </c>
      <c r="B3422" t="s">
        <v>149</v>
      </c>
      <c r="C3422" s="2">
        <f>HYPERLINK("https://cao.dolgi.msk.ru/account/1083389676/", 1083389676)</f>
        <v>1083389676</v>
      </c>
      <c r="D3422" t="s">
        <v>2779</v>
      </c>
      <c r="E3422">
        <v>-2960.33</v>
      </c>
      <c r="F3422">
        <v>-1.46</v>
      </c>
      <c r="G3422" t="s">
        <v>12</v>
      </c>
      <c r="I3422" t="s">
        <v>2409</v>
      </c>
    </row>
    <row r="3423" spans="1:9" hidden="1" x14ac:dyDescent="0.25">
      <c r="A3423" t="s">
        <v>2719</v>
      </c>
      <c r="B3423" t="s">
        <v>151</v>
      </c>
      <c r="C3423" s="2">
        <f>HYPERLINK("https://cao.dolgi.msk.ru/account/1080159349/", 1080159349)</f>
        <v>1080159349</v>
      </c>
      <c r="D3423" t="s">
        <v>2780</v>
      </c>
      <c r="E3423">
        <v>0</v>
      </c>
      <c r="F3423">
        <v>0</v>
      </c>
      <c r="G3423" t="s">
        <v>14</v>
      </c>
      <c r="I3423" t="s">
        <v>2409</v>
      </c>
    </row>
    <row r="3424" spans="1:9" hidden="1" x14ac:dyDescent="0.25">
      <c r="A3424" t="s">
        <v>2719</v>
      </c>
      <c r="B3424" t="s">
        <v>151</v>
      </c>
      <c r="C3424" s="2">
        <f>HYPERLINK("https://cao.dolgi.msk.ru/account/1083390159/", 1083390159)</f>
        <v>1083390159</v>
      </c>
      <c r="D3424" t="s">
        <v>2780</v>
      </c>
      <c r="E3424">
        <v>-3584.67</v>
      </c>
      <c r="F3424">
        <v>-1.22</v>
      </c>
      <c r="G3424" t="s">
        <v>12</v>
      </c>
      <c r="I3424" t="s">
        <v>2409</v>
      </c>
    </row>
    <row r="3425" spans="1:9" hidden="1" x14ac:dyDescent="0.25">
      <c r="A3425" t="s">
        <v>2719</v>
      </c>
      <c r="B3425" t="s">
        <v>153</v>
      </c>
      <c r="C3425" s="2">
        <f>HYPERLINK("https://cao.dolgi.msk.ru/account/1080153115/", 1080153115)</f>
        <v>1080153115</v>
      </c>
      <c r="D3425" t="s">
        <v>2781</v>
      </c>
      <c r="E3425">
        <v>268.31</v>
      </c>
      <c r="G3425" t="s">
        <v>14</v>
      </c>
      <c r="I3425" t="s">
        <v>2409</v>
      </c>
    </row>
    <row r="3426" spans="1:9" x14ac:dyDescent="0.25">
      <c r="A3426" t="s">
        <v>2719</v>
      </c>
      <c r="B3426" t="s">
        <v>153</v>
      </c>
      <c r="C3426" s="2">
        <f>HYPERLINK("https://cao.dolgi.msk.ru/account/1083390052/", 1083390052)</f>
        <v>1083390052</v>
      </c>
      <c r="D3426" t="s">
        <v>2781</v>
      </c>
      <c r="E3426">
        <v>5813.73</v>
      </c>
      <c r="F3426">
        <v>1.99</v>
      </c>
      <c r="G3426" t="s">
        <v>12</v>
      </c>
      <c r="I3426" t="s">
        <v>2409</v>
      </c>
    </row>
    <row r="3427" spans="1:9" hidden="1" x14ac:dyDescent="0.25">
      <c r="A3427" t="s">
        <v>2719</v>
      </c>
      <c r="B3427" t="s">
        <v>155</v>
      </c>
      <c r="C3427" s="2">
        <f>HYPERLINK("https://cao.dolgi.msk.ru/account/1080159357/", 1080159357)</f>
        <v>1080159357</v>
      </c>
      <c r="D3427" t="s">
        <v>2782</v>
      </c>
      <c r="E3427">
        <v>-1186.53</v>
      </c>
      <c r="F3427">
        <v>-17.309999999999999</v>
      </c>
      <c r="G3427" t="s">
        <v>14</v>
      </c>
      <c r="I3427" t="s">
        <v>2409</v>
      </c>
    </row>
    <row r="3428" spans="1:9" hidden="1" x14ac:dyDescent="0.25">
      <c r="A3428" t="s">
        <v>2719</v>
      </c>
      <c r="B3428" t="s">
        <v>155</v>
      </c>
      <c r="C3428" s="2">
        <f>HYPERLINK("https://cao.dolgi.msk.ru/account/1083390044/", 1083390044)</f>
        <v>1083390044</v>
      </c>
      <c r="D3428" t="s">
        <v>2782</v>
      </c>
      <c r="E3428">
        <v>-4697.6400000000003</v>
      </c>
      <c r="F3428">
        <v>-1.2</v>
      </c>
      <c r="G3428" t="s">
        <v>12</v>
      </c>
      <c r="I3428" t="s">
        <v>2409</v>
      </c>
    </row>
    <row r="3429" spans="1:9" hidden="1" x14ac:dyDescent="0.25">
      <c r="A3429" t="s">
        <v>2719</v>
      </c>
      <c r="B3429" t="s">
        <v>157</v>
      </c>
      <c r="C3429" s="2">
        <f>HYPERLINK("https://cao.dolgi.msk.ru/account/1080159365/", 1080159365)</f>
        <v>1080159365</v>
      </c>
      <c r="D3429" t="s">
        <v>2783</v>
      </c>
      <c r="E3429">
        <v>-68.92</v>
      </c>
      <c r="F3429">
        <v>-0.04</v>
      </c>
      <c r="G3429" t="s">
        <v>14</v>
      </c>
      <c r="I3429" t="s">
        <v>2409</v>
      </c>
    </row>
    <row r="3430" spans="1:9" hidden="1" x14ac:dyDescent="0.25">
      <c r="A3430" t="s">
        <v>2719</v>
      </c>
      <c r="B3430" t="s">
        <v>157</v>
      </c>
      <c r="C3430" s="2">
        <f>HYPERLINK("https://cao.dolgi.msk.ru/account/1083389684/", 1083389684)</f>
        <v>1083389684</v>
      </c>
      <c r="D3430" t="s">
        <v>2783</v>
      </c>
      <c r="E3430">
        <v>-3629.92</v>
      </c>
      <c r="F3430">
        <v>-1.21</v>
      </c>
      <c r="G3430" t="s">
        <v>12</v>
      </c>
      <c r="I3430" t="s">
        <v>2409</v>
      </c>
    </row>
    <row r="3431" spans="1:9" hidden="1" x14ac:dyDescent="0.25">
      <c r="A3431" t="s">
        <v>2719</v>
      </c>
      <c r="B3431" t="s">
        <v>159</v>
      </c>
      <c r="C3431" s="2">
        <f>HYPERLINK("https://cao.dolgi.msk.ru/account/1080159373/", 1080159373)</f>
        <v>1080159373</v>
      </c>
      <c r="D3431" t="s">
        <v>2784</v>
      </c>
      <c r="E3431">
        <v>1758.07</v>
      </c>
      <c r="F3431">
        <v>2.46</v>
      </c>
      <c r="G3431" t="s">
        <v>14</v>
      </c>
      <c r="I3431" t="s">
        <v>2409</v>
      </c>
    </row>
    <row r="3432" spans="1:9" hidden="1" x14ac:dyDescent="0.25">
      <c r="A3432" t="s">
        <v>2719</v>
      </c>
      <c r="B3432" t="s">
        <v>159</v>
      </c>
      <c r="C3432" s="2">
        <f>HYPERLINK("https://cao.dolgi.msk.ru/account/1083390167/", 1083390167)</f>
        <v>1083390167</v>
      </c>
      <c r="D3432" t="s">
        <v>2784</v>
      </c>
      <c r="E3432">
        <v>0</v>
      </c>
      <c r="F3432">
        <v>0</v>
      </c>
      <c r="G3432" t="s">
        <v>12</v>
      </c>
      <c r="I3432" t="s">
        <v>2409</v>
      </c>
    </row>
    <row r="3433" spans="1:9" hidden="1" x14ac:dyDescent="0.25">
      <c r="A3433" t="s">
        <v>2719</v>
      </c>
      <c r="B3433" t="s">
        <v>161</v>
      </c>
      <c r="C3433" s="2">
        <f>HYPERLINK("https://cao.dolgi.msk.ru/account/1080153123/", 1080153123)</f>
        <v>1080153123</v>
      </c>
      <c r="D3433" t="s">
        <v>2785</v>
      </c>
      <c r="E3433">
        <v>-109.25</v>
      </c>
      <c r="F3433">
        <v>-0.04</v>
      </c>
      <c r="G3433" t="s">
        <v>14</v>
      </c>
      <c r="I3433" t="s">
        <v>2409</v>
      </c>
    </row>
    <row r="3434" spans="1:9" hidden="1" x14ac:dyDescent="0.25">
      <c r="A3434" t="s">
        <v>2719</v>
      </c>
      <c r="B3434" t="s">
        <v>161</v>
      </c>
      <c r="C3434" s="2">
        <f>HYPERLINK("https://cao.dolgi.msk.ru/account/1083389967/", 1083389967)</f>
        <v>1083389967</v>
      </c>
      <c r="D3434" t="s">
        <v>2785</v>
      </c>
      <c r="E3434">
        <v>-3155.9</v>
      </c>
      <c r="F3434">
        <v>-1.07</v>
      </c>
      <c r="G3434" t="s">
        <v>12</v>
      </c>
      <c r="I3434" t="s">
        <v>2409</v>
      </c>
    </row>
    <row r="3435" spans="1:9" hidden="1" x14ac:dyDescent="0.25">
      <c r="A3435" t="s">
        <v>2719</v>
      </c>
      <c r="B3435" t="s">
        <v>163</v>
      </c>
      <c r="C3435" s="2">
        <f>HYPERLINK("https://cao.dolgi.msk.ru/account/1080159402/", 1080159402)</f>
        <v>1080159402</v>
      </c>
      <c r="D3435" t="s">
        <v>2786</v>
      </c>
      <c r="E3435">
        <v>7082.58</v>
      </c>
      <c r="G3435" t="s">
        <v>14</v>
      </c>
      <c r="I3435" t="s">
        <v>2409</v>
      </c>
    </row>
    <row r="3436" spans="1:9" hidden="1" x14ac:dyDescent="0.25">
      <c r="A3436" t="s">
        <v>2719</v>
      </c>
      <c r="B3436" t="s">
        <v>163</v>
      </c>
      <c r="C3436" s="2">
        <f>HYPERLINK("https://cao.dolgi.msk.ru/account/1083390239/", 1083390239)</f>
        <v>1083390239</v>
      </c>
      <c r="D3436" t="s">
        <v>2786</v>
      </c>
      <c r="E3436">
        <v>4927.66</v>
      </c>
      <c r="F3436">
        <v>1</v>
      </c>
      <c r="G3436" t="s">
        <v>12</v>
      </c>
      <c r="I3436" t="s">
        <v>2409</v>
      </c>
    </row>
    <row r="3437" spans="1:9" hidden="1" x14ac:dyDescent="0.25">
      <c r="A3437" t="s">
        <v>2719</v>
      </c>
      <c r="B3437" t="s">
        <v>571</v>
      </c>
      <c r="C3437" s="2">
        <f>HYPERLINK("https://cao.dolgi.msk.ru/account/1080159429/", 1080159429)</f>
        <v>1080159429</v>
      </c>
      <c r="D3437" t="s">
        <v>2787</v>
      </c>
      <c r="E3437">
        <v>-9.82</v>
      </c>
      <c r="F3437">
        <v>-0.01</v>
      </c>
      <c r="G3437" t="s">
        <v>14</v>
      </c>
      <c r="I3437" t="s">
        <v>2409</v>
      </c>
    </row>
    <row r="3438" spans="1:9" hidden="1" x14ac:dyDescent="0.25">
      <c r="A3438" t="s">
        <v>2719</v>
      </c>
      <c r="B3438" t="s">
        <v>571</v>
      </c>
      <c r="C3438" s="2">
        <f>HYPERLINK("https://cao.dolgi.msk.ru/account/1083390247/", 1083390247)</f>
        <v>1083390247</v>
      </c>
      <c r="D3438" t="s">
        <v>2787</v>
      </c>
      <c r="E3438">
        <v>-4362.43</v>
      </c>
      <c r="F3438">
        <v>-1.22</v>
      </c>
      <c r="G3438" t="s">
        <v>12</v>
      </c>
      <c r="I3438" t="s">
        <v>2409</v>
      </c>
    </row>
    <row r="3439" spans="1:9" hidden="1" x14ac:dyDescent="0.25">
      <c r="A3439" t="s">
        <v>2719</v>
      </c>
      <c r="B3439" t="s">
        <v>682</v>
      </c>
      <c r="C3439" s="2">
        <f>HYPERLINK("https://cao.dolgi.msk.ru/account/1080159437/", 1080159437)</f>
        <v>1080159437</v>
      </c>
      <c r="D3439" t="s">
        <v>2788</v>
      </c>
      <c r="E3439">
        <v>631.17999999999995</v>
      </c>
      <c r="F3439">
        <v>0.23</v>
      </c>
      <c r="G3439" t="s">
        <v>14</v>
      </c>
      <c r="I3439" t="s">
        <v>2409</v>
      </c>
    </row>
    <row r="3440" spans="1:9" hidden="1" x14ac:dyDescent="0.25">
      <c r="A3440" t="s">
        <v>2719</v>
      </c>
      <c r="B3440" t="s">
        <v>682</v>
      </c>
      <c r="C3440" s="2">
        <f>HYPERLINK("https://cao.dolgi.msk.ru/account/1083389692/", 1083389692)</f>
        <v>1083389692</v>
      </c>
      <c r="D3440" t="s">
        <v>2788</v>
      </c>
      <c r="E3440">
        <v>-6504.81</v>
      </c>
      <c r="F3440">
        <v>-1.07</v>
      </c>
      <c r="G3440" t="s">
        <v>12</v>
      </c>
      <c r="I3440" t="s">
        <v>2409</v>
      </c>
    </row>
    <row r="3441" spans="1:9" hidden="1" x14ac:dyDescent="0.25">
      <c r="A3441" t="s">
        <v>2789</v>
      </c>
      <c r="B3441" t="s">
        <v>10</v>
      </c>
      <c r="C3441" s="2">
        <f>HYPERLINK("https://cao.dolgi.msk.ru/account/1080255218/", 1080255218)</f>
        <v>1080255218</v>
      </c>
      <c r="D3441" t="s">
        <v>2790</v>
      </c>
      <c r="E3441">
        <v>-3024.74</v>
      </c>
      <c r="F3441">
        <v>-1.02</v>
      </c>
      <c r="G3441" t="s">
        <v>12</v>
      </c>
      <c r="I3441" t="s">
        <v>1428</v>
      </c>
    </row>
    <row r="3442" spans="1:9" hidden="1" x14ac:dyDescent="0.25">
      <c r="A3442" t="s">
        <v>2789</v>
      </c>
      <c r="B3442" t="s">
        <v>16</v>
      </c>
      <c r="C3442" s="2">
        <f>HYPERLINK("https://cao.dolgi.msk.ru/account/1080255226/", 1080255226)</f>
        <v>1080255226</v>
      </c>
      <c r="D3442" t="s">
        <v>2791</v>
      </c>
      <c r="E3442">
        <v>-5882.78</v>
      </c>
      <c r="F3442">
        <v>-1.0900000000000001</v>
      </c>
      <c r="G3442" t="s">
        <v>12</v>
      </c>
      <c r="I3442" t="s">
        <v>1428</v>
      </c>
    </row>
    <row r="3443" spans="1:9" hidden="1" x14ac:dyDescent="0.25">
      <c r="A3443" t="s">
        <v>2789</v>
      </c>
      <c r="B3443" t="s">
        <v>18</v>
      </c>
      <c r="C3443" s="2">
        <f>HYPERLINK("https://cao.dolgi.msk.ru/account/1080255234/", 1080255234)</f>
        <v>1080255234</v>
      </c>
      <c r="D3443" t="s">
        <v>2792</v>
      </c>
      <c r="E3443">
        <v>-3260.77</v>
      </c>
      <c r="F3443">
        <v>-0.88</v>
      </c>
      <c r="G3443" t="s">
        <v>12</v>
      </c>
      <c r="I3443" t="s">
        <v>1428</v>
      </c>
    </row>
    <row r="3444" spans="1:9" hidden="1" x14ac:dyDescent="0.25">
      <c r="A3444" t="s">
        <v>2789</v>
      </c>
      <c r="B3444" t="s">
        <v>20</v>
      </c>
      <c r="C3444" s="2">
        <f>HYPERLINK("https://cao.dolgi.msk.ru/account/1080255242/", 1080255242)</f>
        <v>1080255242</v>
      </c>
      <c r="D3444" t="s">
        <v>2793</v>
      </c>
      <c r="E3444">
        <v>0</v>
      </c>
      <c r="F3444">
        <v>0</v>
      </c>
      <c r="G3444" t="s">
        <v>12</v>
      </c>
      <c r="I3444" t="s">
        <v>1428</v>
      </c>
    </row>
    <row r="3445" spans="1:9" hidden="1" x14ac:dyDescent="0.25">
      <c r="A3445" t="s">
        <v>2789</v>
      </c>
      <c r="B3445" t="s">
        <v>21</v>
      </c>
      <c r="C3445" s="2">
        <f>HYPERLINK("https://cao.dolgi.msk.ru/account/1080255269/", 1080255269)</f>
        <v>1080255269</v>
      </c>
      <c r="D3445" t="s">
        <v>2794</v>
      </c>
      <c r="E3445">
        <v>-4336.5600000000004</v>
      </c>
      <c r="F3445">
        <v>-1.03</v>
      </c>
      <c r="G3445" t="s">
        <v>12</v>
      </c>
      <c r="I3445" t="s">
        <v>1428</v>
      </c>
    </row>
    <row r="3446" spans="1:9" hidden="1" x14ac:dyDescent="0.25">
      <c r="A3446" t="s">
        <v>2789</v>
      </c>
      <c r="B3446" t="s">
        <v>22</v>
      </c>
      <c r="C3446" s="2">
        <f>HYPERLINK("https://cao.dolgi.msk.ru/account/1080255277/", 1080255277)</f>
        <v>1080255277</v>
      </c>
      <c r="D3446" t="s">
        <v>2795</v>
      </c>
      <c r="E3446">
        <v>-4994.76</v>
      </c>
      <c r="F3446">
        <v>-0.97</v>
      </c>
      <c r="G3446" t="s">
        <v>12</v>
      </c>
      <c r="I3446" t="s">
        <v>1428</v>
      </c>
    </row>
    <row r="3447" spans="1:9" hidden="1" x14ac:dyDescent="0.25">
      <c r="A3447" t="s">
        <v>2789</v>
      </c>
      <c r="B3447" t="s">
        <v>23</v>
      </c>
      <c r="C3447" s="2">
        <f>HYPERLINK("https://cao.dolgi.msk.ru/account/1080255285/", 1080255285)</f>
        <v>1080255285</v>
      </c>
      <c r="D3447" t="s">
        <v>2796</v>
      </c>
      <c r="E3447">
        <v>-5946.65</v>
      </c>
      <c r="F3447">
        <v>-2.83</v>
      </c>
      <c r="G3447" t="s">
        <v>12</v>
      </c>
      <c r="I3447" t="s">
        <v>1428</v>
      </c>
    </row>
    <row r="3448" spans="1:9" x14ac:dyDescent="0.25">
      <c r="A3448" t="s">
        <v>2789</v>
      </c>
      <c r="B3448" t="s">
        <v>24</v>
      </c>
      <c r="C3448" s="2">
        <f>HYPERLINK("https://cao.dolgi.msk.ru/account/1080255293/", 1080255293)</f>
        <v>1080255293</v>
      </c>
      <c r="D3448" t="s">
        <v>2797</v>
      </c>
      <c r="E3448">
        <v>67736.88</v>
      </c>
      <c r="F3448">
        <v>12.91</v>
      </c>
      <c r="G3448" t="s">
        <v>12</v>
      </c>
      <c r="I3448" t="s">
        <v>1428</v>
      </c>
    </row>
    <row r="3449" spans="1:9" hidden="1" x14ac:dyDescent="0.25">
      <c r="A3449" t="s">
        <v>2789</v>
      </c>
      <c r="B3449" t="s">
        <v>27</v>
      </c>
      <c r="C3449" s="2">
        <f>HYPERLINK("https://cao.dolgi.msk.ru/account/1080255306/", 1080255306)</f>
        <v>1080255306</v>
      </c>
      <c r="D3449" t="s">
        <v>2798</v>
      </c>
      <c r="E3449">
        <v>-1356.59</v>
      </c>
      <c r="F3449">
        <v>-0.57999999999999996</v>
      </c>
      <c r="G3449" t="s">
        <v>12</v>
      </c>
      <c r="I3449" t="s">
        <v>1428</v>
      </c>
    </row>
    <row r="3450" spans="1:9" hidden="1" x14ac:dyDescent="0.25">
      <c r="A3450" t="s">
        <v>2789</v>
      </c>
      <c r="B3450" t="s">
        <v>29</v>
      </c>
      <c r="C3450" s="2">
        <f>HYPERLINK("https://cao.dolgi.msk.ru/account/1080255314/", 1080255314)</f>
        <v>1080255314</v>
      </c>
      <c r="D3450" t="s">
        <v>2799</v>
      </c>
      <c r="E3450">
        <v>-5919.24</v>
      </c>
      <c r="F3450">
        <v>-1.25</v>
      </c>
      <c r="G3450" t="s">
        <v>12</v>
      </c>
      <c r="I3450" t="s">
        <v>1428</v>
      </c>
    </row>
    <row r="3451" spans="1:9" hidden="1" x14ac:dyDescent="0.25">
      <c r="A3451" t="s">
        <v>2789</v>
      </c>
      <c r="B3451" t="s">
        <v>31</v>
      </c>
      <c r="C3451" s="2">
        <f>HYPERLINK("https://cao.dolgi.msk.ru/account/1080255322/", 1080255322)</f>
        <v>1080255322</v>
      </c>
      <c r="D3451" t="s">
        <v>2800</v>
      </c>
      <c r="E3451">
        <v>-7343.67</v>
      </c>
      <c r="F3451">
        <v>-1.01</v>
      </c>
      <c r="G3451" t="s">
        <v>12</v>
      </c>
      <c r="I3451" t="s">
        <v>1428</v>
      </c>
    </row>
    <row r="3452" spans="1:9" hidden="1" x14ac:dyDescent="0.25">
      <c r="A3452" t="s">
        <v>2789</v>
      </c>
      <c r="B3452" t="s">
        <v>33</v>
      </c>
      <c r="C3452" s="2">
        <f>HYPERLINK("https://cao.dolgi.msk.ru/account/1080255349/", 1080255349)</f>
        <v>1080255349</v>
      </c>
      <c r="D3452" t="s">
        <v>2801</v>
      </c>
      <c r="E3452">
        <v>-5977.23</v>
      </c>
      <c r="F3452">
        <v>-1.0900000000000001</v>
      </c>
      <c r="G3452" t="s">
        <v>12</v>
      </c>
      <c r="I3452" t="s">
        <v>1428</v>
      </c>
    </row>
    <row r="3453" spans="1:9" hidden="1" x14ac:dyDescent="0.25">
      <c r="A3453" t="s">
        <v>2789</v>
      </c>
      <c r="B3453" t="s">
        <v>34</v>
      </c>
      <c r="C3453" s="2">
        <f>HYPERLINK("https://cao.dolgi.msk.ru/account/1080255357/", 1080255357)</f>
        <v>1080255357</v>
      </c>
      <c r="D3453" t="s">
        <v>2802</v>
      </c>
      <c r="E3453">
        <v>-5884.76</v>
      </c>
      <c r="F3453">
        <v>-1.02</v>
      </c>
      <c r="G3453" t="s">
        <v>12</v>
      </c>
      <c r="I3453" t="s">
        <v>1428</v>
      </c>
    </row>
    <row r="3454" spans="1:9" hidden="1" x14ac:dyDescent="0.25">
      <c r="A3454" t="s">
        <v>2789</v>
      </c>
      <c r="B3454" t="s">
        <v>36</v>
      </c>
      <c r="C3454" s="2">
        <f>HYPERLINK("https://cao.dolgi.msk.ru/account/1080255365/", 1080255365)</f>
        <v>1080255365</v>
      </c>
      <c r="D3454" t="s">
        <v>2803</v>
      </c>
      <c r="E3454">
        <v>-3736.85</v>
      </c>
      <c r="F3454">
        <v>-1.1200000000000001</v>
      </c>
      <c r="G3454" t="s">
        <v>12</v>
      </c>
      <c r="I3454" t="s">
        <v>1428</v>
      </c>
    </row>
    <row r="3455" spans="1:9" hidden="1" x14ac:dyDescent="0.25">
      <c r="A3455" t="s">
        <v>2789</v>
      </c>
      <c r="B3455" t="s">
        <v>38</v>
      </c>
      <c r="C3455" s="2">
        <f>HYPERLINK("https://cao.dolgi.msk.ru/account/1080255373/", 1080255373)</f>
        <v>1080255373</v>
      </c>
      <c r="D3455" t="s">
        <v>2804</v>
      </c>
      <c r="E3455">
        <v>0</v>
      </c>
      <c r="F3455">
        <v>0</v>
      </c>
      <c r="G3455" t="s">
        <v>12</v>
      </c>
      <c r="I3455" t="s">
        <v>1428</v>
      </c>
    </row>
    <row r="3456" spans="1:9" hidden="1" x14ac:dyDescent="0.25">
      <c r="A3456" t="s">
        <v>2789</v>
      </c>
      <c r="B3456" t="s">
        <v>39</v>
      </c>
      <c r="C3456" s="2">
        <f>HYPERLINK("https://cao.dolgi.msk.ru/account/1080255381/", 1080255381)</f>
        <v>1080255381</v>
      </c>
      <c r="D3456" t="s">
        <v>2805</v>
      </c>
      <c r="E3456">
        <v>-3635.71</v>
      </c>
      <c r="F3456">
        <v>-1.1200000000000001</v>
      </c>
      <c r="G3456" t="s">
        <v>12</v>
      </c>
      <c r="I3456" t="s">
        <v>1428</v>
      </c>
    </row>
    <row r="3457" spans="1:9" hidden="1" x14ac:dyDescent="0.25">
      <c r="A3457" t="s">
        <v>2789</v>
      </c>
      <c r="B3457" t="s">
        <v>40</v>
      </c>
      <c r="C3457" s="2">
        <f>HYPERLINK("https://cao.dolgi.msk.ru/account/1080255402/", 1080255402)</f>
        <v>1080255402</v>
      </c>
      <c r="D3457" t="s">
        <v>2806</v>
      </c>
      <c r="E3457">
        <v>3960.59</v>
      </c>
      <c r="F3457">
        <v>0.68</v>
      </c>
      <c r="G3457" t="s">
        <v>12</v>
      </c>
      <c r="I3457" t="s">
        <v>1428</v>
      </c>
    </row>
    <row r="3458" spans="1:9" hidden="1" x14ac:dyDescent="0.25">
      <c r="A3458" t="s">
        <v>2789</v>
      </c>
      <c r="B3458" t="s">
        <v>41</v>
      </c>
      <c r="C3458" s="2">
        <f>HYPERLINK("https://cao.dolgi.msk.ru/account/1080255429/", 1080255429)</f>
        <v>1080255429</v>
      </c>
      <c r="D3458" t="s">
        <v>2807</v>
      </c>
      <c r="E3458">
        <v>-4405.1899999999996</v>
      </c>
      <c r="F3458">
        <v>-1.61</v>
      </c>
      <c r="G3458" t="s">
        <v>12</v>
      </c>
      <c r="I3458" t="s">
        <v>1428</v>
      </c>
    </row>
    <row r="3459" spans="1:9" hidden="1" x14ac:dyDescent="0.25">
      <c r="A3459" t="s">
        <v>2789</v>
      </c>
      <c r="B3459" t="s">
        <v>42</v>
      </c>
      <c r="C3459" s="2">
        <f>HYPERLINK("https://cao.dolgi.msk.ru/account/1080255437/", 1080255437)</f>
        <v>1080255437</v>
      </c>
      <c r="D3459" t="s">
        <v>2808</v>
      </c>
      <c r="E3459">
        <v>-5729.46</v>
      </c>
      <c r="F3459">
        <v>-1.02</v>
      </c>
      <c r="G3459" t="s">
        <v>12</v>
      </c>
      <c r="I3459" t="s">
        <v>1428</v>
      </c>
    </row>
    <row r="3460" spans="1:9" hidden="1" x14ac:dyDescent="0.25">
      <c r="A3460" t="s">
        <v>2789</v>
      </c>
      <c r="B3460" t="s">
        <v>44</v>
      </c>
      <c r="C3460" s="2">
        <f>HYPERLINK("https://cao.dolgi.msk.ru/account/1080255445/", 1080255445)</f>
        <v>1080255445</v>
      </c>
      <c r="D3460" t="s">
        <v>2809</v>
      </c>
      <c r="E3460">
        <v>0</v>
      </c>
      <c r="F3460">
        <v>0</v>
      </c>
      <c r="G3460" t="s">
        <v>12</v>
      </c>
      <c r="I3460" t="s">
        <v>1428</v>
      </c>
    </row>
    <row r="3461" spans="1:9" hidden="1" x14ac:dyDescent="0.25">
      <c r="A3461" t="s">
        <v>2789</v>
      </c>
      <c r="B3461" t="s">
        <v>66</v>
      </c>
      <c r="C3461" s="2">
        <f>HYPERLINK("https://cao.dolgi.msk.ru/account/1080255453/", 1080255453)</f>
        <v>1080255453</v>
      </c>
      <c r="D3461" t="s">
        <v>2810</v>
      </c>
      <c r="E3461">
        <v>-2435.14</v>
      </c>
      <c r="F3461">
        <v>-1.03</v>
      </c>
      <c r="G3461" t="s">
        <v>12</v>
      </c>
      <c r="I3461" t="s">
        <v>1428</v>
      </c>
    </row>
    <row r="3462" spans="1:9" x14ac:dyDescent="0.25">
      <c r="A3462" t="s">
        <v>2789</v>
      </c>
      <c r="B3462" t="s">
        <v>68</v>
      </c>
      <c r="C3462" s="2">
        <f>HYPERLINK("https://cao.dolgi.msk.ru/account/1080255461/", 1080255461)</f>
        <v>1080255461</v>
      </c>
      <c r="D3462" t="s">
        <v>2811</v>
      </c>
      <c r="E3462">
        <v>10852.91</v>
      </c>
      <c r="F3462">
        <v>1.82</v>
      </c>
      <c r="G3462" t="s">
        <v>12</v>
      </c>
      <c r="I3462" t="s">
        <v>1428</v>
      </c>
    </row>
    <row r="3463" spans="1:9" hidden="1" x14ac:dyDescent="0.25">
      <c r="A3463" t="s">
        <v>2789</v>
      </c>
      <c r="B3463" t="s">
        <v>70</v>
      </c>
      <c r="C3463" s="2">
        <f>HYPERLINK("https://cao.dolgi.msk.ru/account/1080255488/", 1080255488)</f>
        <v>1080255488</v>
      </c>
      <c r="D3463" t="s">
        <v>2812</v>
      </c>
      <c r="E3463">
        <v>-6268.71</v>
      </c>
      <c r="F3463">
        <v>-1.06</v>
      </c>
      <c r="G3463" t="s">
        <v>12</v>
      </c>
      <c r="I3463" t="s">
        <v>1428</v>
      </c>
    </row>
    <row r="3464" spans="1:9" hidden="1" x14ac:dyDescent="0.25">
      <c r="A3464" t="s">
        <v>2789</v>
      </c>
      <c r="B3464" t="s">
        <v>72</v>
      </c>
      <c r="C3464" s="2">
        <f>HYPERLINK("https://cao.dolgi.msk.ru/account/1080255496/", 1080255496)</f>
        <v>1080255496</v>
      </c>
      <c r="D3464" t="s">
        <v>2813</v>
      </c>
      <c r="E3464">
        <v>-3854.98</v>
      </c>
      <c r="F3464">
        <v>-1.02</v>
      </c>
      <c r="G3464" t="s">
        <v>12</v>
      </c>
      <c r="I3464" t="s">
        <v>1428</v>
      </c>
    </row>
    <row r="3465" spans="1:9" hidden="1" x14ac:dyDescent="0.25">
      <c r="A3465" t="s">
        <v>2789</v>
      </c>
      <c r="B3465" t="s">
        <v>74</v>
      </c>
      <c r="C3465" s="2">
        <f>HYPERLINK("https://cao.dolgi.msk.ru/account/1080255509/", 1080255509)</f>
        <v>1080255509</v>
      </c>
      <c r="D3465" t="s">
        <v>2814</v>
      </c>
      <c r="E3465">
        <v>0</v>
      </c>
      <c r="F3465">
        <v>0</v>
      </c>
      <c r="G3465" t="s">
        <v>12</v>
      </c>
      <c r="I3465" t="s">
        <v>1428</v>
      </c>
    </row>
    <row r="3466" spans="1:9" hidden="1" x14ac:dyDescent="0.25">
      <c r="A3466" t="s">
        <v>2789</v>
      </c>
      <c r="B3466" t="s">
        <v>76</v>
      </c>
      <c r="C3466" s="2">
        <f>HYPERLINK("https://cao.dolgi.msk.ru/account/1080255517/", 1080255517)</f>
        <v>1080255517</v>
      </c>
      <c r="D3466" t="s">
        <v>2815</v>
      </c>
      <c r="E3466">
        <v>-4587.96</v>
      </c>
      <c r="F3466">
        <v>-0.59</v>
      </c>
      <c r="G3466" t="s">
        <v>12</v>
      </c>
      <c r="I3466" t="s">
        <v>1428</v>
      </c>
    </row>
    <row r="3467" spans="1:9" hidden="1" x14ac:dyDescent="0.25">
      <c r="A3467" t="s">
        <v>2789</v>
      </c>
      <c r="B3467" t="s">
        <v>78</v>
      </c>
      <c r="C3467" s="2">
        <f>HYPERLINK("https://cao.dolgi.msk.ru/account/1080255525/", 1080255525)</f>
        <v>1080255525</v>
      </c>
      <c r="D3467" t="s">
        <v>2816</v>
      </c>
      <c r="E3467">
        <v>0</v>
      </c>
      <c r="F3467">
        <v>0</v>
      </c>
      <c r="G3467" t="s">
        <v>12</v>
      </c>
      <c r="I3467" t="s">
        <v>1428</v>
      </c>
    </row>
    <row r="3468" spans="1:9" hidden="1" x14ac:dyDescent="0.25">
      <c r="A3468" t="s">
        <v>2789</v>
      </c>
      <c r="B3468" t="s">
        <v>80</v>
      </c>
      <c r="C3468" s="2">
        <f>HYPERLINK("https://cao.dolgi.msk.ru/account/1080255533/", 1080255533)</f>
        <v>1080255533</v>
      </c>
      <c r="D3468" t="s">
        <v>2817</v>
      </c>
      <c r="E3468">
        <v>-71.98</v>
      </c>
      <c r="F3468">
        <v>-0.02</v>
      </c>
      <c r="G3468" t="s">
        <v>12</v>
      </c>
      <c r="I3468" t="s">
        <v>1428</v>
      </c>
    </row>
    <row r="3469" spans="1:9" hidden="1" x14ac:dyDescent="0.25">
      <c r="A3469" t="s">
        <v>2789</v>
      </c>
      <c r="B3469" t="s">
        <v>82</v>
      </c>
      <c r="C3469" s="2">
        <f>HYPERLINK("https://cao.dolgi.msk.ru/account/1080255541/", 1080255541)</f>
        <v>1080255541</v>
      </c>
      <c r="D3469" t="s">
        <v>15</v>
      </c>
      <c r="E3469">
        <v>-5243.31</v>
      </c>
      <c r="F3469">
        <v>-0.89</v>
      </c>
      <c r="G3469" t="s">
        <v>12</v>
      </c>
      <c r="I3469" t="s">
        <v>1428</v>
      </c>
    </row>
    <row r="3470" spans="1:9" hidden="1" x14ac:dyDescent="0.25">
      <c r="A3470" t="s">
        <v>2789</v>
      </c>
      <c r="B3470" t="s">
        <v>84</v>
      </c>
      <c r="C3470" s="2">
        <f>HYPERLINK("https://cao.dolgi.msk.ru/account/1080255568/", 1080255568)</f>
        <v>1080255568</v>
      </c>
      <c r="D3470" t="s">
        <v>2818</v>
      </c>
      <c r="E3470">
        <v>-8821.74</v>
      </c>
      <c r="F3470">
        <v>-1.1200000000000001</v>
      </c>
      <c r="G3470" t="s">
        <v>12</v>
      </c>
      <c r="I3470" t="s">
        <v>1428</v>
      </c>
    </row>
    <row r="3471" spans="1:9" hidden="1" x14ac:dyDescent="0.25">
      <c r="A3471" t="s">
        <v>2789</v>
      </c>
      <c r="B3471" t="s">
        <v>86</v>
      </c>
      <c r="C3471" s="2">
        <f>HYPERLINK("https://cao.dolgi.msk.ru/account/1080255576/", 1080255576)</f>
        <v>1080255576</v>
      </c>
      <c r="D3471" t="s">
        <v>2819</v>
      </c>
      <c r="E3471">
        <v>-4265.59</v>
      </c>
      <c r="F3471">
        <v>-1.08</v>
      </c>
      <c r="G3471" t="s">
        <v>12</v>
      </c>
      <c r="I3471" t="s">
        <v>1428</v>
      </c>
    </row>
    <row r="3472" spans="1:9" hidden="1" x14ac:dyDescent="0.25">
      <c r="A3472" t="s">
        <v>2789</v>
      </c>
      <c r="B3472" t="s">
        <v>88</v>
      </c>
      <c r="C3472" s="2">
        <f>HYPERLINK("https://cao.dolgi.msk.ru/account/1080255584/", 1080255584)</f>
        <v>1080255584</v>
      </c>
      <c r="D3472" t="s">
        <v>2820</v>
      </c>
      <c r="E3472">
        <v>-7041.71</v>
      </c>
      <c r="F3472">
        <v>-1.07</v>
      </c>
      <c r="G3472" t="s">
        <v>12</v>
      </c>
      <c r="I3472" t="s">
        <v>1428</v>
      </c>
    </row>
    <row r="3473" spans="1:9" hidden="1" x14ac:dyDescent="0.25">
      <c r="A3473" t="s">
        <v>2789</v>
      </c>
      <c r="B3473" t="s">
        <v>90</v>
      </c>
      <c r="C3473" s="2">
        <f>HYPERLINK("https://cao.dolgi.msk.ru/account/1080255592/", 1080255592)</f>
        <v>1080255592</v>
      </c>
      <c r="D3473" t="s">
        <v>2821</v>
      </c>
      <c r="E3473">
        <v>-6343.54</v>
      </c>
      <c r="F3473">
        <v>-1.1000000000000001</v>
      </c>
      <c r="G3473" t="s">
        <v>12</v>
      </c>
      <c r="I3473" t="s">
        <v>1428</v>
      </c>
    </row>
    <row r="3474" spans="1:9" hidden="1" x14ac:dyDescent="0.25">
      <c r="A3474" t="s">
        <v>2789</v>
      </c>
      <c r="B3474" t="s">
        <v>92</v>
      </c>
      <c r="C3474" s="2">
        <f>HYPERLINK("https://cao.dolgi.msk.ru/account/1080255605/", 1080255605)</f>
        <v>1080255605</v>
      </c>
      <c r="D3474" t="s">
        <v>2822</v>
      </c>
      <c r="E3474">
        <v>-5673.7</v>
      </c>
      <c r="F3474">
        <v>-1</v>
      </c>
      <c r="G3474" t="s">
        <v>12</v>
      </c>
      <c r="I3474" t="s">
        <v>1428</v>
      </c>
    </row>
    <row r="3475" spans="1:9" hidden="1" x14ac:dyDescent="0.25">
      <c r="A3475" t="s">
        <v>2789</v>
      </c>
      <c r="B3475" t="s">
        <v>94</v>
      </c>
      <c r="C3475" s="2">
        <f>HYPERLINK("https://cao.dolgi.msk.ru/account/1080255613/", 1080255613)</f>
        <v>1080255613</v>
      </c>
      <c r="D3475" t="s">
        <v>2823</v>
      </c>
      <c r="E3475">
        <v>-4041.43</v>
      </c>
      <c r="F3475">
        <v>-1.02</v>
      </c>
      <c r="G3475" t="s">
        <v>12</v>
      </c>
      <c r="I3475" t="s">
        <v>1428</v>
      </c>
    </row>
    <row r="3476" spans="1:9" hidden="1" x14ac:dyDescent="0.25">
      <c r="A3476" t="s">
        <v>2789</v>
      </c>
      <c r="B3476" t="s">
        <v>96</v>
      </c>
      <c r="C3476" s="2">
        <f>HYPERLINK("https://cao.dolgi.msk.ru/account/1080255621/", 1080255621)</f>
        <v>1080255621</v>
      </c>
      <c r="D3476" t="s">
        <v>2824</v>
      </c>
      <c r="E3476">
        <v>-1257.6300000000001</v>
      </c>
      <c r="F3476">
        <v>-0.35</v>
      </c>
      <c r="G3476" t="s">
        <v>12</v>
      </c>
      <c r="I3476" t="s">
        <v>1428</v>
      </c>
    </row>
    <row r="3477" spans="1:9" hidden="1" x14ac:dyDescent="0.25">
      <c r="A3477" t="s">
        <v>2789</v>
      </c>
      <c r="B3477" t="s">
        <v>98</v>
      </c>
      <c r="C3477" s="2">
        <f>HYPERLINK("https://cao.dolgi.msk.ru/account/1080255648/", 1080255648)</f>
        <v>1080255648</v>
      </c>
      <c r="D3477" t="s">
        <v>2825</v>
      </c>
      <c r="E3477">
        <v>-5891.38</v>
      </c>
      <c r="F3477">
        <v>-1.1000000000000001</v>
      </c>
      <c r="G3477" t="s">
        <v>12</v>
      </c>
      <c r="I3477" t="s">
        <v>1428</v>
      </c>
    </row>
    <row r="3478" spans="1:9" x14ac:dyDescent="0.25">
      <c r="A3478" t="s">
        <v>2789</v>
      </c>
      <c r="B3478" t="s">
        <v>100</v>
      </c>
      <c r="C3478" s="2">
        <f>HYPERLINK("https://cao.dolgi.msk.ru/account/1080255656/", 1080255656)</f>
        <v>1080255656</v>
      </c>
      <c r="D3478" t="s">
        <v>2826</v>
      </c>
      <c r="E3478">
        <v>13033.11</v>
      </c>
      <c r="F3478">
        <v>3.22</v>
      </c>
      <c r="G3478" t="s">
        <v>12</v>
      </c>
      <c r="I3478" t="s">
        <v>1428</v>
      </c>
    </row>
    <row r="3479" spans="1:9" hidden="1" x14ac:dyDescent="0.25">
      <c r="A3479" t="s">
        <v>2789</v>
      </c>
      <c r="B3479" t="s">
        <v>102</v>
      </c>
      <c r="C3479" s="2">
        <f>HYPERLINK("https://cao.dolgi.msk.ru/account/1080255664/", 1080255664)</f>
        <v>1080255664</v>
      </c>
      <c r="D3479" t="s">
        <v>2827</v>
      </c>
      <c r="E3479">
        <v>-9283.1299999999992</v>
      </c>
      <c r="F3479">
        <v>-1.59</v>
      </c>
      <c r="G3479" t="s">
        <v>12</v>
      </c>
      <c r="I3479" t="s">
        <v>1428</v>
      </c>
    </row>
    <row r="3480" spans="1:9" hidden="1" x14ac:dyDescent="0.25">
      <c r="A3480" t="s">
        <v>2789</v>
      </c>
      <c r="B3480" t="s">
        <v>104</v>
      </c>
      <c r="C3480" s="2">
        <f>HYPERLINK("https://cao.dolgi.msk.ru/account/1080255672/", 1080255672)</f>
        <v>1080255672</v>
      </c>
      <c r="D3480" t="s">
        <v>2828</v>
      </c>
      <c r="E3480">
        <v>-8851.44</v>
      </c>
      <c r="F3480">
        <v>-0.87</v>
      </c>
      <c r="G3480" t="s">
        <v>12</v>
      </c>
      <c r="I3480" t="s">
        <v>1428</v>
      </c>
    </row>
    <row r="3481" spans="1:9" hidden="1" x14ac:dyDescent="0.25">
      <c r="A3481" t="s">
        <v>2789</v>
      </c>
      <c r="B3481" t="s">
        <v>106</v>
      </c>
      <c r="C3481" s="2">
        <f>HYPERLINK("https://cao.dolgi.msk.ru/account/1080255699/", 1080255699)</f>
        <v>1080255699</v>
      </c>
      <c r="D3481" t="s">
        <v>15</v>
      </c>
      <c r="E3481">
        <v>-5529.26</v>
      </c>
      <c r="F3481">
        <v>-1.07</v>
      </c>
      <c r="G3481" t="s">
        <v>12</v>
      </c>
      <c r="I3481" t="s">
        <v>1428</v>
      </c>
    </row>
    <row r="3482" spans="1:9" hidden="1" x14ac:dyDescent="0.25">
      <c r="A3482" t="s">
        <v>2789</v>
      </c>
      <c r="B3482" t="s">
        <v>108</v>
      </c>
      <c r="C3482" s="2">
        <f>HYPERLINK("https://cao.dolgi.msk.ru/account/1080255701/", 1080255701)</f>
        <v>1080255701</v>
      </c>
      <c r="D3482" t="s">
        <v>2829</v>
      </c>
      <c r="E3482">
        <v>-4540.18</v>
      </c>
      <c r="F3482">
        <v>-0.97</v>
      </c>
      <c r="G3482" t="s">
        <v>12</v>
      </c>
      <c r="I3482" t="s">
        <v>1428</v>
      </c>
    </row>
    <row r="3483" spans="1:9" hidden="1" x14ac:dyDescent="0.25">
      <c r="A3483" t="s">
        <v>2789</v>
      </c>
      <c r="B3483" t="s">
        <v>110</v>
      </c>
      <c r="C3483" s="2">
        <f>HYPERLINK("https://cao.dolgi.msk.ru/account/1080255728/", 1080255728)</f>
        <v>1080255728</v>
      </c>
      <c r="D3483" t="s">
        <v>2830</v>
      </c>
      <c r="E3483">
        <v>-4970.66</v>
      </c>
      <c r="F3483">
        <v>-1.01</v>
      </c>
      <c r="G3483" t="s">
        <v>12</v>
      </c>
      <c r="I3483" t="s">
        <v>1428</v>
      </c>
    </row>
    <row r="3484" spans="1:9" hidden="1" x14ac:dyDescent="0.25">
      <c r="A3484" t="s">
        <v>2789</v>
      </c>
      <c r="B3484" t="s">
        <v>112</v>
      </c>
      <c r="C3484" s="2">
        <f>HYPERLINK("https://cao.dolgi.msk.ru/account/1080255736/", 1080255736)</f>
        <v>1080255736</v>
      </c>
      <c r="D3484" t="s">
        <v>2831</v>
      </c>
      <c r="E3484">
        <v>3005.54</v>
      </c>
      <c r="F3484">
        <v>0.74</v>
      </c>
      <c r="G3484" t="s">
        <v>12</v>
      </c>
      <c r="I3484" t="s">
        <v>1428</v>
      </c>
    </row>
    <row r="3485" spans="1:9" hidden="1" x14ac:dyDescent="0.25">
      <c r="A3485" t="s">
        <v>2789</v>
      </c>
      <c r="B3485" t="s">
        <v>114</v>
      </c>
      <c r="C3485" s="2">
        <f>HYPERLINK("https://cao.dolgi.msk.ru/account/1080255744/", 1080255744)</f>
        <v>1080255744</v>
      </c>
      <c r="D3485" t="s">
        <v>2832</v>
      </c>
      <c r="E3485">
        <v>-6756.02</v>
      </c>
      <c r="F3485">
        <v>-1.17</v>
      </c>
      <c r="G3485" t="s">
        <v>12</v>
      </c>
      <c r="I3485" t="s">
        <v>1428</v>
      </c>
    </row>
    <row r="3486" spans="1:9" hidden="1" x14ac:dyDescent="0.25">
      <c r="A3486" t="s">
        <v>2789</v>
      </c>
      <c r="B3486" t="s">
        <v>116</v>
      </c>
      <c r="C3486" s="2">
        <f>HYPERLINK("https://cao.dolgi.msk.ru/account/1080255752/", 1080255752)</f>
        <v>1080255752</v>
      </c>
      <c r="D3486" t="s">
        <v>2833</v>
      </c>
      <c r="E3486">
        <v>-23.1</v>
      </c>
      <c r="F3486">
        <v>0</v>
      </c>
      <c r="G3486" t="s">
        <v>12</v>
      </c>
      <c r="I3486" t="s">
        <v>1428</v>
      </c>
    </row>
    <row r="3487" spans="1:9" hidden="1" x14ac:dyDescent="0.25">
      <c r="A3487" t="s">
        <v>2789</v>
      </c>
      <c r="B3487" t="s">
        <v>118</v>
      </c>
      <c r="C3487" s="2">
        <f>HYPERLINK("https://cao.dolgi.msk.ru/account/1080255779/", 1080255779)</f>
        <v>1080255779</v>
      </c>
      <c r="D3487" t="s">
        <v>2834</v>
      </c>
      <c r="E3487">
        <v>0</v>
      </c>
      <c r="F3487">
        <v>0</v>
      </c>
      <c r="G3487" t="s">
        <v>12</v>
      </c>
      <c r="I3487" t="s">
        <v>1428</v>
      </c>
    </row>
    <row r="3488" spans="1:9" hidden="1" x14ac:dyDescent="0.25">
      <c r="A3488" t="s">
        <v>2789</v>
      </c>
      <c r="B3488" t="s">
        <v>120</v>
      </c>
      <c r="C3488" s="2">
        <f>HYPERLINK("https://cao.dolgi.msk.ru/account/1080255787/", 1080255787)</f>
        <v>1080255787</v>
      </c>
      <c r="D3488" t="s">
        <v>2835</v>
      </c>
      <c r="E3488">
        <v>-405.98</v>
      </c>
      <c r="F3488">
        <v>-0.15</v>
      </c>
      <c r="G3488" t="s">
        <v>12</v>
      </c>
      <c r="I3488" t="s">
        <v>1428</v>
      </c>
    </row>
    <row r="3489" spans="1:9" hidden="1" x14ac:dyDescent="0.25">
      <c r="A3489" t="s">
        <v>2789</v>
      </c>
      <c r="B3489" t="s">
        <v>122</v>
      </c>
      <c r="C3489" s="2">
        <f>HYPERLINK("https://cao.dolgi.msk.ru/account/1080255795/", 1080255795)</f>
        <v>1080255795</v>
      </c>
      <c r="D3489" t="s">
        <v>2836</v>
      </c>
      <c r="E3489">
        <v>-4231.13</v>
      </c>
      <c r="F3489">
        <v>-1.05</v>
      </c>
      <c r="G3489" t="s">
        <v>12</v>
      </c>
      <c r="I3489" t="s">
        <v>1428</v>
      </c>
    </row>
    <row r="3490" spans="1:9" hidden="1" x14ac:dyDescent="0.25">
      <c r="A3490" t="s">
        <v>2789</v>
      </c>
      <c r="B3490" t="s">
        <v>124</v>
      </c>
      <c r="C3490" s="2">
        <f>HYPERLINK("https://cao.dolgi.msk.ru/account/1080255808/", 1080255808)</f>
        <v>1080255808</v>
      </c>
      <c r="D3490" t="s">
        <v>2837</v>
      </c>
      <c r="E3490">
        <v>-6452.41</v>
      </c>
      <c r="F3490">
        <v>-1.0900000000000001</v>
      </c>
      <c r="G3490" t="s">
        <v>12</v>
      </c>
      <c r="I3490" t="s">
        <v>1428</v>
      </c>
    </row>
    <row r="3491" spans="1:9" hidden="1" x14ac:dyDescent="0.25">
      <c r="A3491" t="s">
        <v>2789</v>
      </c>
      <c r="B3491" t="s">
        <v>126</v>
      </c>
      <c r="C3491" s="2">
        <f>HYPERLINK("https://cao.dolgi.msk.ru/account/1080255816/", 1080255816)</f>
        <v>1080255816</v>
      </c>
      <c r="D3491" t="s">
        <v>2838</v>
      </c>
      <c r="E3491">
        <v>-6656.37</v>
      </c>
      <c r="F3491">
        <v>-1.05</v>
      </c>
      <c r="G3491" t="s">
        <v>12</v>
      </c>
      <c r="I3491" t="s">
        <v>1428</v>
      </c>
    </row>
    <row r="3492" spans="1:9" hidden="1" x14ac:dyDescent="0.25">
      <c r="A3492" t="s">
        <v>2789</v>
      </c>
      <c r="B3492" t="s">
        <v>128</v>
      </c>
      <c r="C3492" s="2">
        <f>HYPERLINK("https://cao.dolgi.msk.ru/account/1080255824/", 1080255824)</f>
        <v>1080255824</v>
      </c>
      <c r="D3492" t="s">
        <v>2839</v>
      </c>
      <c r="E3492">
        <v>-2711.54</v>
      </c>
      <c r="F3492">
        <v>-0.96</v>
      </c>
      <c r="G3492" t="s">
        <v>12</v>
      </c>
      <c r="I3492" t="s">
        <v>1428</v>
      </c>
    </row>
    <row r="3493" spans="1:9" hidden="1" x14ac:dyDescent="0.25">
      <c r="A3493" t="s">
        <v>2789</v>
      </c>
      <c r="B3493" t="s">
        <v>130</v>
      </c>
      <c r="C3493" s="2">
        <f>HYPERLINK("https://cao.dolgi.msk.ru/account/1080255832/", 1080255832)</f>
        <v>1080255832</v>
      </c>
      <c r="D3493" t="s">
        <v>2840</v>
      </c>
      <c r="E3493">
        <v>-5972.19</v>
      </c>
      <c r="F3493">
        <v>-0.68</v>
      </c>
      <c r="G3493" t="s">
        <v>12</v>
      </c>
      <c r="I3493" t="s">
        <v>1428</v>
      </c>
    </row>
    <row r="3494" spans="1:9" hidden="1" x14ac:dyDescent="0.25">
      <c r="A3494" t="s">
        <v>2789</v>
      </c>
      <c r="B3494" t="s">
        <v>132</v>
      </c>
      <c r="C3494" s="2">
        <f>HYPERLINK("https://cao.dolgi.msk.ru/account/1080255859/", 1080255859)</f>
        <v>1080255859</v>
      </c>
      <c r="D3494" t="s">
        <v>2841</v>
      </c>
      <c r="E3494">
        <v>-3997.44</v>
      </c>
      <c r="F3494">
        <v>-1.02</v>
      </c>
      <c r="G3494" t="s">
        <v>12</v>
      </c>
      <c r="I3494" t="s">
        <v>1428</v>
      </c>
    </row>
    <row r="3495" spans="1:9" hidden="1" x14ac:dyDescent="0.25">
      <c r="A3495" t="s">
        <v>2789</v>
      </c>
      <c r="B3495" t="s">
        <v>133</v>
      </c>
      <c r="C3495" s="2">
        <f>HYPERLINK("https://cao.dolgi.msk.ru/account/1080255867/", 1080255867)</f>
        <v>1080255867</v>
      </c>
      <c r="D3495" t="s">
        <v>2842</v>
      </c>
      <c r="E3495">
        <v>-5552.31</v>
      </c>
      <c r="F3495">
        <v>-0.99</v>
      </c>
      <c r="G3495" t="s">
        <v>12</v>
      </c>
      <c r="I3495" t="s">
        <v>1428</v>
      </c>
    </row>
    <row r="3496" spans="1:9" hidden="1" x14ac:dyDescent="0.25">
      <c r="A3496" t="s">
        <v>2789</v>
      </c>
      <c r="B3496" t="s">
        <v>135</v>
      </c>
      <c r="C3496" s="2">
        <f>HYPERLINK("https://cao.dolgi.msk.ru/account/1080255875/", 1080255875)</f>
        <v>1080255875</v>
      </c>
      <c r="D3496" t="s">
        <v>2843</v>
      </c>
      <c r="E3496">
        <v>-10868.09</v>
      </c>
      <c r="F3496">
        <v>-2.27</v>
      </c>
      <c r="G3496" t="s">
        <v>12</v>
      </c>
      <c r="I3496" t="s">
        <v>1428</v>
      </c>
    </row>
    <row r="3497" spans="1:9" hidden="1" x14ac:dyDescent="0.25">
      <c r="A3497" t="s">
        <v>2789</v>
      </c>
      <c r="B3497" t="s">
        <v>137</v>
      </c>
      <c r="C3497" s="2">
        <f>HYPERLINK("https://cao.dolgi.msk.ru/account/1080255883/", 1080255883)</f>
        <v>1080255883</v>
      </c>
      <c r="D3497" t="s">
        <v>2844</v>
      </c>
      <c r="E3497">
        <v>0</v>
      </c>
      <c r="F3497">
        <v>0</v>
      </c>
      <c r="G3497" t="s">
        <v>12</v>
      </c>
      <c r="I3497" t="s">
        <v>1428</v>
      </c>
    </row>
    <row r="3498" spans="1:9" hidden="1" x14ac:dyDescent="0.25">
      <c r="A3498" t="s">
        <v>2789</v>
      </c>
      <c r="B3498" t="s">
        <v>139</v>
      </c>
      <c r="C3498" s="2">
        <f>HYPERLINK("https://cao.dolgi.msk.ru/account/1080255891/", 1080255891)</f>
        <v>1080255891</v>
      </c>
      <c r="D3498" t="s">
        <v>2845</v>
      </c>
      <c r="E3498">
        <v>0</v>
      </c>
      <c r="G3498" t="s">
        <v>14</v>
      </c>
      <c r="I3498" t="s">
        <v>1428</v>
      </c>
    </row>
    <row r="3499" spans="1:9" hidden="1" x14ac:dyDescent="0.25">
      <c r="A3499" t="s">
        <v>2789</v>
      </c>
      <c r="B3499" t="s">
        <v>139</v>
      </c>
      <c r="C3499" s="2">
        <f>HYPERLINK("https://cao.dolgi.msk.ru/account/1089127052/", 1089127052)</f>
        <v>1089127052</v>
      </c>
      <c r="D3499" t="s">
        <v>1082</v>
      </c>
      <c r="E3499">
        <v>-5902.7</v>
      </c>
      <c r="F3499">
        <v>-1.02</v>
      </c>
      <c r="G3499" t="s">
        <v>12</v>
      </c>
      <c r="I3499" t="s">
        <v>1428</v>
      </c>
    </row>
    <row r="3500" spans="1:9" hidden="1" x14ac:dyDescent="0.25">
      <c r="A3500" t="s">
        <v>2789</v>
      </c>
      <c r="B3500" t="s">
        <v>141</v>
      </c>
      <c r="C3500" s="2">
        <f>HYPERLINK("https://cao.dolgi.msk.ru/account/1080255904/", 1080255904)</f>
        <v>1080255904</v>
      </c>
      <c r="D3500" t="s">
        <v>2846</v>
      </c>
      <c r="E3500">
        <v>-2759.08</v>
      </c>
      <c r="F3500">
        <v>-0.83</v>
      </c>
      <c r="G3500" t="s">
        <v>12</v>
      </c>
      <c r="I3500" t="s">
        <v>1428</v>
      </c>
    </row>
    <row r="3501" spans="1:9" hidden="1" x14ac:dyDescent="0.25">
      <c r="A3501" t="s">
        <v>2789</v>
      </c>
      <c r="B3501" t="s">
        <v>141</v>
      </c>
      <c r="C3501" s="2">
        <f>HYPERLINK("https://cao.dolgi.msk.ru/account/1089131019/", 1089131019)</f>
        <v>1089131019</v>
      </c>
      <c r="D3501" t="s">
        <v>15</v>
      </c>
      <c r="E3501">
        <v>-3366.54</v>
      </c>
      <c r="F3501">
        <v>-1.36</v>
      </c>
      <c r="G3501" t="s">
        <v>12</v>
      </c>
      <c r="I3501" t="s">
        <v>1428</v>
      </c>
    </row>
    <row r="3502" spans="1:9" hidden="1" x14ac:dyDescent="0.25">
      <c r="A3502" t="s">
        <v>2789</v>
      </c>
      <c r="B3502" t="s">
        <v>143</v>
      </c>
      <c r="C3502" s="2">
        <f>HYPERLINK("https://cao.dolgi.msk.ru/account/1080255912/", 1080255912)</f>
        <v>1080255912</v>
      </c>
      <c r="D3502" t="s">
        <v>2847</v>
      </c>
      <c r="E3502">
        <v>-580.24</v>
      </c>
      <c r="F3502">
        <v>-0.12</v>
      </c>
      <c r="G3502" t="s">
        <v>12</v>
      </c>
      <c r="I3502" t="s">
        <v>1428</v>
      </c>
    </row>
    <row r="3503" spans="1:9" hidden="1" x14ac:dyDescent="0.25">
      <c r="A3503" t="s">
        <v>2789</v>
      </c>
      <c r="B3503" t="s">
        <v>145</v>
      </c>
      <c r="C3503" s="2">
        <f>HYPERLINK("https://cao.dolgi.msk.ru/account/1080255939/", 1080255939)</f>
        <v>1080255939</v>
      </c>
      <c r="D3503" t="s">
        <v>2848</v>
      </c>
      <c r="E3503">
        <v>-3709.4</v>
      </c>
      <c r="F3503">
        <v>-1.1200000000000001</v>
      </c>
      <c r="G3503" t="s">
        <v>12</v>
      </c>
      <c r="I3503" t="s">
        <v>1428</v>
      </c>
    </row>
    <row r="3504" spans="1:9" hidden="1" x14ac:dyDescent="0.25">
      <c r="A3504" t="s">
        <v>2789</v>
      </c>
      <c r="B3504" t="s">
        <v>147</v>
      </c>
      <c r="C3504" s="2">
        <f>HYPERLINK("https://cao.dolgi.msk.ru/account/1080255947/", 1080255947)</f>
        <v>1080255947</v>
      </c>
      <c r="D3504" t="s">
        <v>2849</v>
      </c>
      <c r="E3504">
        <v>-2280.7600000000002</v>
      </c>
      <c r="F3504">
        <v>-1.02</v>
      </c>
      <c r="G3504" t="s">
        <v>12</v>
      </c>
      <c r="I3504" t="s">
        <v>1428</v>
      </c>
    </row>
    <row r="3505" spans="1:9" hidden="1" x14ac:dyDescent="0.25">
      <c r="A3505" t="s">
        <v>2789</v>
      </c>
      <c r="B3505" t="s">
        <v>149</v>
      </c>
      <c r="C3505" s="2">
        <f>HYPERLINK("https://cao.dolgi.msk.ru/account/1080255955/", 1080255955)</f>
        <v>1080255955</v>
      </c>
      <c r="D3505" t="s">
        <v>2850</v>
      </c>
      <c r="E3505">
        <v>-8347.99</v>
      </c>
      <c r="F3505">
        <v>-1.03</v>
      </c>
      <c r="G3505" t="s">
        <v>12</v>
      </c>
      <c r="I3505" t="s">
        <v>1428</v>
      </c>
    </row>
    <row r="3506" spans="1:9" hidden="1" x14ac:dyDescent="0.25">
      <c r="A3506" t="s">
        <v>2789</v>
      </c>
      <c r="B3506" t="s">
        <v>151</v>
      </c>
      <c r="C3506" s="2">
        <f>HYPERLINK("https://cao.dolgi.msk.ru/account/1080255963/", 1080255963)</f>
        <v>1080255963</v>
      </c>
      <c r="D3506" t="s">
        <v>2851</v>
      </c>
      <c r="E3506">
        <v>0</v>
      </c>
      <c r="F3506">
        <v>0</v>
      </c>
      <c r="G3506" t="s">
        <v>12</v>
      </c>
      <c r="I3506" t="s">
        <v>1428</v>
      </c>
    </row>
    <row r="3507" spans="1:9" hidden="1" x14ac:dyDescent="0.25">
      <c r="A3507" t="s">
        <v>2789</v>
      </c>
      <c r="B3507" t="s">
        <v>153</v>
      </c>
      <c r="C3507" s="2">
        <f>HYPERLINK("https://cao.dolgi.msk.ru/account/1080255971/", 1080255971)</f>
        <v>1080255971</v>
      </c>
      <c r="D3507" t="s">
        <v>2852</v>
      </c>
      <c r="E3507">
        <v>-5102.4799999999996</v>
      </c>
      <c r="F3507">
        <v>-1.03</v>
      </c>
      <c r="G3507" t="s">
        <v>12</v>
      </c>
      <c r="I3507" t="s">
        <v>1428</v>
      </c>
    </row>
    <row r="3508" spans="1:9" hidden="1" x14ac:dyDescent="0.25">
      <c r="A3508" t="s">
        <v>2789</v>
      </c>
      <c r="B3508" t="s">
        <v>155</v>
      </c>
      <c r="C3508" s="2">
        <f>HYPERLINK("https://cao.dolgi.msk.ru/account/1080255998/", 1080255998)</f>
        <v>1080255998</v>
      </c>
      <c r="D3508" t="s">
        <v>2853</v>
      </c>
      <c r="E3508">
        <v>-4324.62</v>
      </c>
      <c r="F3508">
        <v>-1</v>
      </c>
      <c r="G3508" t="s">
        <v>12</v>
      </c>
      <c r="I3508" t="s">
        <v>1428</v>
      </c>
    </row>
    <row r="3509" spans="1:9" hidden="1" x14ac:dyDescent="0.25">
      <c r="A3509" t="s">
        <v>2789</v>
      </c>
      <c r="B3509" t="s">
        <v>157</v>
      </c>
      <c r="C3509" s="2">
        <f>HYPERLINK("https://cao.dolgi.msk.ru/account/1080256018/", 1080256018)</f>
        <v>1080256018</v>
      </c>
      <c r="D3509" t="s">
        <v>2854</v>
      </c>
      <c r="E3509">
        <v>-5719.11</v>
      </c>
      <c r="F3509">
        <v>-1.05</v>
      </c>
      <c r="G3509" t="s">
        <v>12</v>
      </c>
      <c r="I3509" t="s">
        <v>1428</v>
      </c>
    </row>
    <row r="3510" spans="1:9" hidden="1" x14ac:dyDescent="0.25">
      <c r="A3510" t="s">
        <v>2789</v>
      </c>
      <c r="B3510" t="s">
        <v>159</v>
      </c>
      <c r="C3510" s="2">
        <f>HYPERLINK("https://cao.dolgi.msk.ru/account/1080256026/", 1080256026)</f>
        <v>1080256026</v>
      </c>
      <c r="D3510" t="s">
        <v>2855</v>
      </c>
      <c r="E3510">
        <v>0</v>
      </c>
      <c r="F3510">
        <v>0</v>
      </c>
      <c r="G3510" t="s">
        <v>12</v>
      </c>
      <c r="I3510" t="s">
        <v>1428</v>
      </c>
    </row>
    <row r="3511" spans="1:9" hidden="1" x14ac:dyDescent="0.25">
      <c r="A3511" t="s">
        <v>2789</v>
      </c>
      <c r="B3511" t="s">
        <v>161</v>
      </c>
      <c r="C3511" s="2">
        <f>HYPERLINK("https://cao.dolgi.msk.ru/account/1080256034/", 1080256034)</f>
        <v>1080256034</v>
      </c>
      <c r="D3511" t="s">
        <v>2856</v>
      </c>
      <c r="E3511">
        <v>-3785.14</v>
      </c>
      <c r="F3511">
        <v>-0.98</v>
      </c>
      <c r="G3511" t="s">
        <v>12</v>
      </c>
      <c r="I3511" t="s">
        <v>1428</v>
      </c>
    </row>
    <row r="3512" spans="1:9" hidden="1" x14ac:dyDescent="0.25">
      <c r="A3512" t="s">
        <v>2789</v>
      </c>
      <c r="B3512" t="s">
        <v>163</v>
      </c>
      <c r="C3512" s="2">
        <f>HYPERLINK("https://cao.dolgi.msk.ru/account/1080256042/", 1080256042)</f>
        <v>1080256042</v>
      </c>
      <c r="D3512" t="s">
        <v>2857</v>
      </c>
      <c r="E3512">
        <v>-130.30000000000001</v>
      </c>
      <c r="F3512">
        <v>-0.02</v>
      </c>
      <c r="G3512" t="s">
        <v>12</v>
      </c>
      <c r="I3512" t="s">
        <v>1428</v>
      </c>
    </row>
    <row r="3513" spans="1:9" hidden="1" x14ac:dyDescent="0.25">
      <c r="A3513" t="s">
        <v>2789</v>
      </c>
      <c r="B3513" t="s">
        <v>571</v>
      </c>
      <c r="C3513" s="2">
        <f>HYPERLINK("https://cao.dolgi.msk.ru/account/1080256069/", 1080256069)</f>
        <v>1080256069</v>
      </c>
      <c r="D3513" t="s">
        <v>2858</v>
      </c>
      <c r="E3513">
        <v>-2109.69</v>
      </c>
      <c r="F3513">
        <v>-1.07</v>
      </c>
      <c r="G3513" t="s">
        <v>12</v>
      </c>
      <c r="I3513" t="s">
        <v>1428</v>
      </c>
    </row>
    <row r="3514" spans="1:9" hidden="1" x14ac:dyDescent="0.25">
      <c r="A3514" t="s">
        <v>2789</v>
      </c>
      <c r="B3514" t="s">
        <v>571</v>
      </c>
      <c r="C3514" s="2">
        <f>HYPERLINK("https://cao.dolgi.msk.ru/account/1083273411/", 1083273411)</f>
        <v>1083273411</v>
      </c>
      <c r="D3514" t="s">
        <v>15</v>
      </c>
      <c r="E3514">
        <v>-2972.24</v>
      </c>
      <c r="F3514">
        <v>-1.17</v>
      </c>
      <c r="G3514" t="s">
        <v>12</v>
      </c>
      <c r="I3514" t="s">
        <v>1428</v>
      </c>
    </row>
    <row r="3515" spans="1:9" hidden="1" x14ac:dyDescent="0.25">
      <c r="A3515" t="s">
        <v>2789</v>
      </c>
      <c r="B3515" t="s">
        <v>682</v>
      </c>
      <c r="C3515" s="2">
        <f>HYPERLINK("https://cao.dolgi.msk.ru/account/1080256077/", 1080256077)</f>
        <v>1080256077</v>
      </c>
      <c r="D3515" t="s">
        <v>2859</v>
      </c>
      <c r="E3515">
        <v>-6449.66</v>
      </c>
      <c r="F3515">
        <v>-1.0900000000000001</v>
      </c>
      <c r="G3515" t="s">
        <v>12</v>
      </c>
      <c r="I3515" t="s">
        <v>1428</v>
      </c>
    </row>
    <row r="3516" spans="1:9" hidden="1" x14ac:dyDescent="0.25">
      <c r="A3516" t="s">
        <v>2789</v>
      </c>
      <c r="B3516" t="s">
        <v>578</v>
      </c>
      <c r="C3516" s="2">
        <f>HYPERLINK("https://cao.dolgi.msk.ru/account/1080256085/", 1080256085)</f>
        <v>1080256085</v>
      </c>
      <c r="D3516" t="s">
        <v>2860</v>
      </c>
      <c r="E3516">
        <v>0</v>
      </c>
      <c r="F3516">
        <v>0</v>
      </c>
      <c r="G3516" t="s">
        <v>12</v>
      </c>
      <c r="I3516" t="s">
        <v>1428</v>
      </c>
    </row>
    <row r="3517" spans="1:9" hidden="1" x14ac:dyDescent="0.25">
      <c r="A3517" t="s">
        <v>2789</v>
      </c>
      <c r="B3517" t="s">
        <v>580</v>
      </c>
      <c r="C3517" s="2">
        <f>HYPERLINK("https://cao.dolgi.msk.ru/account/1080256093/", 1080256093)</f>
        <v>1080256093</v>
      </c>
      <c r="D3517" t="s">
        <v>2861</v>
      </c>
      <c r="E3517">
        <v>-6039.26</v>
      </c>
      <c r="F3517">
        <v>-1.02</v>
      </c>
      <c r="G3517" t="s">
        <v>12</v>
      </c>
      <c r="I3517" t="s">
        <v>1428</v>
      </c>
    </row>
    <row r="3518" spans="1:9" hidden="1" x14ac:dyDescent="0.25">
      <c r="A3518" t="s">
        <v>2789</v>
      </c>
      <c r="B3518" t="s">
        <v>686</v>
      </c>
      <c r="C3518" s="2">
        <f>HYPERLINK("https://cao.dolgi.msk.ru/account/1080256106/", 1080256106)</f>
        <v>1080256106</v>
      </c>
      <c r="D3518" t="s">
        <v>2862</v>
      </c>
      <c r="E3518">
        <v>-1122.1300000000001</v>
      </c>
      <c r="F3518">
        <v>-0.16</v>
      </c>
      <c r="G3518" t="s">
        <v>12</v>
      </c>
      <c r="I3518" t="s">
        <v>1428</v>
      </c>
    </row>
    <row r="3519" spans="1:9" hidden="1" x14ac:dyDescent="0.25">
      <c r="A3519" t="s">
        <v>2789</v>
      </c>
      <c r="B3519" t="s">
        <v>582</v>
      </c>
      <c r="C3519" s="2">
        <f>HYPERLINK("https://cao.dolgi.msk.ru/account/1080256114/", 1080256114)</f>
        <v>1080256114</v>
      </c>
      <c r="D3519" t="s">
        <v>2863</v>
      </c>
      <c r="E3519">
        <v>-4275.05</v>
      </c>
      <c r="F3519">
        <v>-1.02</v>
      </c>
      <c r="G3519" t="s">
        <v>12</v>
      </c>
      <c r="I3519" t="s">
        <v>1428</v>
      </c>
    </row>
    <row r="3520" spans="1:9" hidden="1" x14ac:dyDescent="0.25">
      <c r="A3520" t="s">
        <v>2789</v>
      </c>
      <c r="B3520" t="s">
        <v>584</v>
      </c>
      <c r="C3520" s="2">
        <f>HYPERLINK("https://cao.dolgi.msk.ru/account/1080256122/", 1080256122)</f>
        <v>1080256122</v>
      </c>
      <c r="D3520" t="s">
        <v>2864</v>
      </c>
      <c r="E3520">
        <v>-6440.57</v>
      </c>
      <c r="F3520">
        <v>-1.0900000000000001</v>
      </c>
      <c r="G3520" t="s">
        <v>12</v>
      </c>
      <c r="I3520" t="s">
        <v>1428</v>
      </c>
    </row>
    <row r="3521" spans="1:9" hidden="1" x14ac:dyDescent="0.25">
      <c r="A3521" t="s">
        <v>2789</v>
      </c>
      <c r="B3521" t="s">
        <v>586</v>
      </c>
      <c r="C3521" s="2">
        <f>HYPERLINK("https://cao.dolgi.msk.ru/account/1080256149/", 1080256149)</f>
        <v>1080256149</v>
      </c>
      <c r="D3521" t="s">
        <v>2865</v>
      </c>
      <c r="E3521">
        <v>-8773.65</v>
      </c>
      <c r="F3521">
        <v>-1.1200000000000001</v>
      </c>
      <c r="G3521" t="s">
        <v>12</v>
      </c>
      <c r="I3521" t="s">
        <v>1428</v>
      </c>
    </row>
    <row r="3522" spans="1:9" hidden="1" x14ac:dyDescent="0.25">
      <c r="A3522" t="s">
        <v>2789</v>
      </c>
      <c r="B3522" t="s">
        <v>588</v>
      </c>
      <c r="C3522" s="2">
        <f>HYPERLINK("https://cao.dolgi.msk.ru/account/1080256157/", 1080256157)</f>
        <v>1080256157</v>
      </c>
      <c r="D3522" t="s">
        <v>2866</v>
      </c>
      <c r="E3522">
        <v>-8202.2900000000009</v>
      </c>
      <c r="F3522">
        <v>-1.01</v>
      </c>
      <c r="G3522" t="s">
        <v>12</v>
      </c>
      <c r="I3522" t="s">
        <v>1428</v>
      </c>
    </row>
    <row r="3523" spans="1:9" hidden="1" x14ac:dyDescent="0.25">
      <c r="A3523" t="s">
        <v>2789</v>
      </c>
      <c r="B3523" t="s">
        <v>590</v>
      </c>
      <c r="C3523" s="2">
        <f>HYPERLINK("https://cao.dolgi.msk.ru/account/1080256165/", 1080256165)</f>
        <v>1080256165</v>
      </c>
      <c r="D3523" t="s">
        <v>2867</v>
      </c>
      <c r="E3523">
        <v>-4632.2299999999996</v>
      </c>
      <c r="F3523">
        <v>-0.9</v>
      </c>
      <c r="G3523" t="s">
        <v>12</v>
      </c>
      <c r="I3523" t="s">
        <v>1428</v>
      </c>
    </row>
    <row r="3524" spans="1:9" hidden="1" x14ac:dyDescent="0.25">
      <c r="A3524" t="s">
        <v>2789</v>
      </c>
      <c r="B3524" t="s">
        <v>693</v>
      </c>
      <c r="C3524" s="2">
        <f>HYPERLINK("https://cao.dolgi.msk.ru/account/1080256173/", 1080256173)</f>
        <v>1080256173</v>
      </c>
      <c r="D3524" t="s">
        <v>2868</v>
      </c>
      <c r="E3524">
        <v>-3472.58</v>
      </c>
      <c r="F3524">
        <v>-1.02</v>
      </c>
      <c r="G3524" t="s">
        <v>12</v>
      </c>
      <c r="I3524" t="s">
        <v>1428</v>
      </c>
    </row>
    <row r="3525" spans="1:9" hidden="1" x14ac:dyDescent="0.25">
      <c r="A3525" t="s">
        <v>2789</v>
      </c>
      <c r="B3525" t="s">
        <v>694</v>
      </c>
      <c r="C3525" s="2">
        <f>HYPERLINK("https://cao.dolgi.msk.ru/account/1080256181/", 1080256181)</f>
        <v>1080256181</v>
      </c>
      <c r="D3525" t="s">
        <v>2869</v>
      </c>
      <c r="E3525">
        <v>-5376.17</v>
      </c>
      <c r="F3525">
        <v>-1.08</v>
      </c>
      <c r="G3525" t="s">
        <v>12</v>
      </c>
      <c r="I3525" t="s">
        <v>1428</v>
      </c>
    </row>
    <row r="3526" spans="1:9" hidden="1" x14ac:dyDescent="0.25">
      <c r="A3526" t="s">
        <v>2789</v>
      </c>
      <c r="B3526" t="s">
        <v>696</v>
      </c>
      <c r="C3526" s="2">
        <f>HYPERLINK("https://cao.dolgi.msk.ru/account/1080256202/", 1080256202)</f>
        <v>1080256202</v>
      </c>
      <c r="D3526" t="s">
        <v>2870</v>
      </c>
      <c r="E3526">
        <v>-5872.97</v>
      </c>
      <c r="F3526">
        <v>-0.88</v>
      </c>
      <c r="G3526" t="s">
        <v>12</v>
      </c>
      <c r="I3526" t="s">
        <v>1428</v>
      </c>
    </row>
    <row r="3527" spans="1:9" hidden="1" x14ac:dyDescent="0.25">
      <c r="A3527" t="s">
        <v>2789</v>
      </c>
      <c r="B3527" t="s">
        <v>698</v>
      </c>
      <c r="C3527" s="2">
        <f>HYPERLINK("https://cao.dolgi.msk.ru/account/1080256229/", 1080256229)</f>
        <v>1080256229</v>
      </c>
      <c r="D3527" t="s">
        <v>2871</v>
      </c>
      <c r="E3527">
        <v>-2972.81</v>
      </c>
      <c r="F3527">
        <v>-1.02</v>
      </c>
      <c r="G3527" t="s">
        <v>12</v>
      </c>
      <c r="I3527" t="s">
        <v>1428</v>
      </c>
    </row>
    <row r="3528" spans="1:9" hidden="1" x14ac:dyDescent="0.25">
      <c r="A3528" t="s">
        <v>2789</v>
      </c>
      <c r="B3528" t="s">
        <v>700</v>
      </c>
      <c r="C3528" s="2">
        <f>HYPERLINK("https://cao.dolgi.msk.ru/account/1080256237/", 1080256237)</f>
        <v>1080256237</v>
      </c>
      <c r="D3528" t="s">
        <v>2872</v>
      </c>
      <c r="E3528">
        <v>-708.29</v>
      </c>
      <c r="F3528">
        <v>-0.12</v>
      </c>
      <c r="G3528" t="s">
        <v>12</v>
      </c>
      <c r="I3528" t="s">
        <v>1428</v>
      </c>
    </row>
    <row r="3529" spans="1:9" hidden="1" x14ac:dyDescent="0.25">
      <c r="A3529" t="s">
        <v>2789</v>
      </c>
      <c r="B3529" t="s">
        <v>702</v>
      </c>
      <c r="C3529" s="2">
        <f>HYPERLINK("https://cao.dolgi.msk.ru/account/1080256245/", 1080256245)</f>
        <v>1080256245</v>
      </c>
      <c r="D3529" t="s">
        <v>2873</v>
      </c>
      <c r="E3529">
        <v>-4362.49</v>
      </c>
      <c r="F3529">
        <v>-0.94</v>
      </c>
      <c r="G3529" t="s">
        <v>12</v>
      </c>
      <c r="I3529" t="s">
        <v>1428</v>
      </c>
    </row>
    <row r="3530" spans="1:9" hidden="1" x14ac:dyDescent="0.25">
      <c r="A3530" t="s">
        <v>2789</v>
      </c>
      <c r="B3530" t="s">
        <v>703</v>
      </c>
      <c r="C3530" s="2">
        <f>HYPERLINK("https://cao.dolgi.msk.ru/account/1080256253/", 1080256253)</f>
        <v>1080256253</v>
      </c>
      <c r="D3530" t="s">
        <v>2874</v>
      </c>
      <c r="E3530">
        <v>0</v>
      </c>
      <c r="F3530">
        <v>0</v>
      </c>
      <c r="G3530" t="s">
        <v>12</v>
      </c>
      <c r="I3530" t="s">
        <v>1428</v>
      </c>
    </row>
    <row r="3531" spans="1:9" hidden="1" x14ac:dyDescent="0.25">
      <c r="A3531" t="s">
        <v>2789</v>
      </c>
      <c r="B3531" t="s">
        <v>705</v>
      </c>
      <c r="C3531" s="2">
        <f>HYPERLINK("https://cao.dolgi.msk.ru/account/1080256261/", 1080256261)</f>
        <v>1080256261</v>
      </c>
      <c r="D3531" t="s">
        <v>2875</v>
      </c>
      <c r="E3531">
        <v>-4334.53</v>
      </c>
      <c r="F3531">
        <v>-0.95</v>
      </c>
      <c r="G3531" t="s">
        <v>12</v>
      </c>
      <c r="I3531" t="s">
        <v>1428</v>
      </c>
    </row>
    <row r="3532" spans="1:9" hidden="1" x14ac:dyDescent="0.25">
      <c r="A3532" t="s">
        <v>2789</v>
      </c>
      <c r="B3532" t="s">
        <v>707</v>
      </c>
      <c r="C3532" s="2">
        <f>HYPERLINK("https://cao.dolgi.msk.ru/account/1080256288/", 1080256288)</f>
        <v>1080256288</v>
      </c>
      <c r="D3532" t="s">
        <v>2876</v>
      </c>
      <c r="E3532">
        <v>-3539.58</v>
      </c>
      <c r="F3532">
        <v>-1.06</v>
      </c>
      <c r="G3532" t="s">
        <v>12</v>
      </c>
      <c r="I3532" t="s">
        <v>1428</v>
      </c>
    </row>
    <row r="3533" spans="1:9" hidden="1" x14ac:dyDescent="0.25">
      <c r="A3533" t="s">
        <v>2789</v>
      </c>
      <c r="B3533" t="s">
        <v>709</v>
      </c>
      <c r="C3533" s="2">
        <f>HYPERLINK("https://cao.dolgi.msk.ru/account/1080256296/", 1080256296)</f>
        <v>1080256296</v>
      </c>
      <c r="D3533" t="s">
        <v>2877</v>
      </c>
      <c r="E3533">
        <v>-3233.64</v>
      </c>
      <c r="F3533">
        <v>-1.06</v>
      </c>
      <c r="G3533" t="s">
        <v>12</v>
      </c>
      <c r="I3533" t="s">
        <v>1428</v>
      </c>
    </row>
    <row r="3534" spans="1:9" hidden="1" x14ac:dyDescent="0.25">
      <c r="A3534" t="s">
        <v>2789</v>
      </c>
      <c r="B3534" t="s">
        <v>711</v>
      </c>
      <c r="C3534" s="2">
        <f>HYPERLINK("https://cao.dolgi.msk.ru/account/1080256309/", 1080256309)</f>
        <v>1080256309</v>
      </c>
      <c r="D3534" t="s">
        <v>2878</v>
      </c>
      <c r="E3534">
        <v>-6008.82</v>
      </c>
      <c r="F3534">
        <v>-1.03</v>
      </c>
      <c r="G3534" t="s">
        <v>12</v>
      </c>
      <c r="I3534" t="s">
        <v>1428</v>
      </c>
    </row>
    <row r="3535" spans="1:9" hidden="1" x14ac:dyDescent="0.25">
      <c r="A3535" t="s">
        <v>2789</v>
      </c>
      <c r="B3535" t="s">
        <v>713</v>
      </c>
      <c r="C3535" s="2">
        <f>HYPERLINK("https://cao.dolgi.msk.ru/account/1080256317/", 1080256317)</f>
        <v>1080256317</v>
      </c>
      <c r="D3535" t="s">
        <v>2879</v>
      </c>
      <c r="E3535">
        <v>-230</v>
      </c>
      <c r="F3535">
        <v>-0.04</v>
      </c>
      <c r="G3535" t="s">
        <v>12</v>
      </c>
      <c r="I3535" t="s">
        <v>1428</v>
      </c>
    </row>
    <row r="3536" spans="1:9" hidden="1" x14ac:dyDescent="0.25">
      <c r="A3536" t="s">
        <v>2789</v>
      </c>
      <c r="B3536" t="s">
        <v>528</v>
      </c>
      <c r="C3536" s="2">
        <f>HYPERLINK("https://cao.dolgi.msk.ru/account/1080256325/", 1080256325)</f>
        <v>1080256325</v>
      </c>
      <c r="D3536" t="s">
        <v>2880</v>
      </c>
      <c r="E3536">
        <v>-6071.38</v>
      </c>
      <c r="F3536">
        <v>-1.03</v>
      </c>
      <c r="G3536" t="s">
        <v>12</v>
      </c>
      <c r="I3536" t="s">
        <v>1428</v>
      </c>
    </row>
    <row r="3537" spans="1:9" hidden="1" x14ac:dyDescent="0.25">
      <c r="A3537" t="s">
        <v>2789</v>
      </c>
      <c r="B3537" t="s">
        <v>530</v>
      </c>
      <c r="C3537" s="2">
        <f>HYPERLINK("https://cao.dolgi.msk.ru/account/1080256333/", 1080256333)</f>
        <v>1080256333</v>
      </c>
      <c r="D3537" t="s">
        <v>2881</v>
      </c>
      <c r="E3537">
        <v>-193.83</v>
      </c>
      <c r="F3537">
        <v>-0.03</v>
      </c>
      <c r="G3537" t="s">
        <v>12</v>
      </c>
      <c r="I3537" t="s">
        <v>1428</v>
      </c>
    </row>
    <row r="3538" spans="1:9" hidden="1" x14ac:dyDescent="0.25">
      <c r="A3538" t="s">
        <v>2789</v>
      </c>
      <c r="B3538" t="s">
        <v>532</v>
      </c>
      <c r="C3538" s="2">
        <f>HYPERLINK("https://cao.dolgi.msk.ru/account/1080256341/", 1080256341)</f>
        <v>1080256341</v>
      </c>
      <c r="D3538" t="s">
        <v>2882</v>
      </c>
      <c r="E3538">
        <v>-6812.4</v>
      </c>
      <c r="F3538">
        <v>-1.02</v>
      </c>
      <c r="G3538" t="s">
        <v>12</v>
      </c>
      <c r="I3538" t="s">
        <v>1428</v>
      </c>
    </row>
    <row r="3539" spans="1:9" hidden="1" x14ac:dyDescent="0.25">
      <c r="A3539" t="s">
        <v>2789</v>
      </c>
      <c r="B3539" t="s">
        <v>534</v>
      </c>
      <c r="C3539" s="2">
        <f>HYPERLINK("https://cao.dolgi.msk.ru/account/1080256368/", 1080256368)</f>
        <v>1080256368</v>
      </c>
      <c r="D3539" t="s">
        <v>2883</v>
      </c>
      <c r="E3539">
        <v>-5725.76</v>
      </c>
      <c r="F3539">
        <v>-1.01</v>
      </c>
      <c r="G3539" t="s">
        <v>12</v>
      </c>
      <c r="I3539" t="s">
        <v>1428</v>
      </c>
    </row>
    <row r="3540" spans="1:9" hidden="1" x14ac:dyDescent="0.25">
      <c r="A3540" t="s">
        <v>2789</v>
      </c>
      <c r="B3540" t="s">
        <v>536</v>
      </c>
      <c r="C3540" s="2">
        <f>HYPERLINK("https://cao.dolgi.msk.ru/account/1080256376/", 1080256376)</f>
        <v>1080256376</v>
      </c>
      <c r="D3540" t="s">
        <v>15</v>
      </c>
      <c r="E3540">
        <v>-6402.79</v>
      </c>
      <c r="F3540">
        <v>-1.0900000000000001</v>
      </c>
      <c r="G3540" t="s">
        <v>12</v>
      </c>
      <c r="I3540" t="s">
        <v>1428</v>
      </c>
    </row>
    <row r="3541" spans="1:9" hidden="1" x14ac:dyDescent="0.25">
      <c r="A3541" t="s">
        <v>2789</v>
      </c>
      <c r="B3541" t="s">
        <v>538</v>
      </c>
      <c r="C3541" s="2">
        <f>HYPERLINK("https://cao.dolgi.msk.ru/account/1080256384/", 1080256384)</f>
        <v>1080256384</v>
      </c>
      <c r="D3541" t="s">
        <v>2884</v>
      </c>
      <c r="E3541">
        <v>-7413.77</v>
      </c>
      <c r="F3541">
        <v>-1.7</v>
      </c>
      <c r="G3541" t="s">
        <v>12</v>
      </c>
      <c r="I3541" t="s">
        <v>1428</v>
      </c>
    </row>
    <row r="3542" spans="1:9" hidden="1" x14ac:dyDescent="0.25">
      <c r="A3542" t="s">
        <v>2789</v>
      </c>
      <c r="B3542" t="s">
        <v>539</v>
      </c>
      <c r="C3542" s="2">
        <f>HYPERLINK("https://cao.dolgi.msk.ru/account/1080256392/", 1080256392)</f>
        <v>1080256392</v>
      </c>
      <c r="D3542" t="s">
        <v>2885</v>
      </c>
      <c r="E3542">
        <v>-1985.85</v>
      </c>
      <c r="F3542">
        <v>-0.34</v>
      </c>
      <c r="G3542" t="s">
        <v>12</v>
      </c>
      <c r="I3542" t="s">
        <v>1428</v>
      </c>
    </row>
    <row r="3543" spans="1:9" hidden="1" x14ac:dyDescent="0.25">
      <c r="A3543" t="s">
        <v>2789</v>
      </c>
      <c r="B3543" t="s">
        <v>541</v>
      </c>
      <c r="C3543" s="2">
        <f>HYPERLINK("https://cao.dolgi.msk.ru/account/1080256405/", 1080256405)</f>
        <v>1080256405</v>
      </c>
      <c r="D3543" t="s">
        <v>2886</v>
      </c>
      <c r="E3543">
        <v>-5359.49</v>
      </c>
      <c r="F3543">
        <v>-1.02</v>
      </c>
      <c r="G3543" t="s">
        <v>12</v>
      </c>
      <c r="I3543" t="s">
        <v>1428</v>
      </c>
    </row>
    <row r="3544" spans="1:9" hidden="1" x14ac:dyDescent="0.25">
      <c r="A3544" t="s">
        <v>2789</v>
      </c>
      <c r="B3544" t="s">
        <v>543</v>
      </c>
      <c r="C3544" s="2">
        <f>HYPERLINK("https://cao.dolgi.msk.ru/account/1080256413/", 1080256413)</f>
        <v>1080256413</v>
      </c>
      <c r="D3544" t="s">
        <v>2887</v>
      </c>
      <c r="E3544">
        <v>-3013.4</v>
      </c>
      <c r="F3544">
        <v>-0.94</v>
      </c>
      <c r="G3544" t="s">
        <v>12</v>
      </c>
      <c r="I3544" t="s">
        <v>1428</v>
      </c>
    </row>
    <row r="3545" spans="1:9" x14ac:dyDescent="0.25">
      <c r="A3545" t="s">
        <v>2789</v>
      </c>
      <c r="B3545" t="s">
        <v>545</v>
      </c>
      <c r="C3545" s="2">
        <f>HYPERLINK("https://cao.dolgi.msk.ru/account/1080256421/", 1080256421)</f>
        <v>1080256421</v>
      </c>
      <c r="D3545" t="s">
        <v>2888</v>
      </c>
      <c r="E3545">
        <v>75057.75</v>
      </c>
      <c r="F3545">
        <v>9.6300000000000008</v>
      </c>
      <c r="G3545" t="s">
        <v>12</v>
      </c>
      <c r="I3545" t="s">
        <v>1428</v>
      </c>
    </row>
    <row r="3546" spans="1:9" hidden="1" x14ac:dyDescent="0.25">
      <c r="A3546" t="s">
        <v>2789</v>
      </c>
      <c r="B3546" t="s">
        <v>546</v>
      </c>
      <c r="C3546" s="2">
        <f>HYPERLINK("https://cao.dolgi.msk.ru/account/1080256448/", 1080256448)</f>
        <v>1080256448</v>
      </c>
      <c r="D3546" t="s">
        <v>15</v>
      </c>
      <c r="E3546">
        <v>0</v>
      </c>
      <c r="F3546">
        <v>0</v>
      </c>
      <c r="G3546" t="s">
        <v>12</v>
      </c>
      <c r="I3546" t="s">
        <v>1428</v>
      </c>
    </row>
    <row r="3547" spans="1:9" hidden="1" x14ac:dyDescent="0.25">
      <c r="A3547" t="s">
        <v>2789</v>
      </c>
      <c r="B3547" t="s">
        <v>548</v>
      </c>
      <c r="C3547" s="2">
        <f>HYPERLINK("https://cao.dolgi.msk.ru/account/1080256456/", 1080256456)</f>
        <v>1080256456</v>
      </c>
      <c r="D3547" t="s">
        <v>2889</v>
      </c>
      <c r="E3547">
        <v>-2592.7399999999998</v>
      </c>
      <c r="F3547">
        <v>-1.02</v>
      </c>
      <c r="G3547" t="s">
        <v>12</v>
      </c>
      <c r="I3547" t="s">
        <v>1428</v>
      </c>
    </row>
    <row r="3548" spans="1:9" hidden="1" x14ac:dyDescent="0.25">
      <c r="A3548" t="s">
        <v>2789</v>
      </c>
      <c r="B3548" t="s">
        <v>727</v>
      </c>
      <c r="C3548" s="2">
        <f>HYPERLINK("https://cao.dolgi.msk.ru/account/1080256464/", 1080256464)</f>
        <v>1080256464</v>
      </c>
      <c r="D3548" t="s">
        <v>2890</v>
      </c>
      <c r="E3548">
        <v>-2484.75</v>
      </c>
      <c r="F3548">
        <v>-0.22</v>
      </c>
      <c r="G3548" t="s">
        <v>12</v>
      </c>
      <c r="I3548" t="s">
        <v>1428</v>
      </c>
    </row>
    <row r="3549" spans="1:9" hidden="1" x14ac:dyDescent="0.25">
      <c r="A3549" t="s">
        <v>2789</v>
      </c>
      <c r="B3549" t="s">
        <v>551</v>
      </c>
      <c r="C3549" s="2">
        <f>HYPERLINK("https://cao.dolgi.msk.ru/account/1080256472/", 1080256472)</f>
        <v>1080256472</v>
      </c>
      <c r="D3549" t="s">
        <v>2891</v>
      </c>
      <c r="G3549" t="s">
        <v>14</v>
      </c>
      <c r="I3549" t="s">
        <v>1428</v>
      </c>
    </row>
    <row r="3550" spans="1:9" hidden="1" x14ac:dyDescent="0.25">
      <c r="A3550" t="s">
        <v>2789</v>
      </c>
      <c r="B3550" t="s">
        <v>730</v>
      </c>
      <c r="C3550" s="2">
        <f>HYPERLINK("https://cao.dolgi.msk.ru/account/1080256499/", 1080256499)</f>
        <v>1080256499</v>
      </c>
      <c r="D3550" t="s">
        <v>2892</v>
      </c>
      <c r="E3550">
        <v>-5035.7299999999996</v>
      </c>
      <c r="F3550">
        <v>-0.99</v>
      </c>
      <c r="G3550" t="s">
        <v>12</v>
      </c>
      <c r="I3550" t="s">
        <v>1428</v>
      </c>
    </row>
    <row r="3551" spans="1:9" hidden="1" x14ac:dyDescent="0.25">
      <c r="A3551" t="s">
        <v>2789</v>
      </c>
      <c r="B3551" t="s">
        <v>732</v>
      </c>
      <c r="C3551" s="2">
        <f>HYPERLINK("https://cao.dolgi.msk.ru/account/1080256501/", 1080256501)</f>
        <v>1080256501</v>
      </c>
      <c r="D3551" t="s">
        <v>2893</v>
      </c>
      <c r="E3551">
        <v>-6504.57</v>
      </c>
      <c r="F3551">
        <v>-1.0900000000000001</v>
      </c>
      <c r="G3551" t="s">
        <v>12</v>
      </c>
      <c r="I3551" t="s">
        <v>1428</v>
      </c>
    </row>
    <row r="3552" spans="1:9" hidden="1" x14ac:dyDescent="0.25">
      <c r="A3552" t="s">
        <v>2789</v>
      </c>
      <c r="B3552" t="s">
        <v>553</v>
      </c>
      <c r="C3552" s="2">
        <f>HYPERLINK("https://cao.dolgi.msk.ru/account/1080256528/", 1080256528)</f>
        <v>1080256528</v>
      </c>
      <c r="D3552" t="s">
        <v>2894</v>
      </c>
      <c r="E3552">
        <v>-6125.17</v>
      </c>
      <c r="F3552">
        <v>-1.17</v>
      </c>
      <c r="G3552" t="s">
        <v>12</v>
      </c>
      <c r="I3552" t="s">
        <v>1428</v>
      </c>
    </row>
    <row r="3553" spans="1:9" hidden="1" x14ac:dyDescent="0.25">
      <c r="A3553" t="s">
        <v>2789</v>
      </c>
      <c r="B3553" t="s">
        <v>555</v>
      </c>
      <c r="C3553" s="2">
        <f>HYPERLINK("https://cao.dolgi.msk.ru/account/1080256536/", 1080256536)</f>
        <v>1080256536</v>
      </c>
      <c r="D3553" t="s">
        <v>2895</v>
      </c>
      <c r="E3553">
        <v>-276.95999999999998</v>
      </c>
      <c r="F3553">
        <v>-0.03</v>
      </c>
      <c r="G3553" t="s">
        <v>12</v>
      </c>
      <c r="I3553" t="s">
        <v>1428</v>
      </c>
    </row>
    <row r="3554" spans="1:9" hidden="1" x14ac:dyDescent="0.25">
      <c r="A3554" t="s">
        <v>2789</v>
      </c>
      <c r="B3554" t="s">
        <v>736</v>
      </c>
      <c r="C3554" s="2">
        <f>HYPERLINK("https://cao.dolgi.msk.ru/account/1080256544/", 1080256544)</f>
        <v>1080256544</v>
      </c>
      <c r="D3554" t="s">
        <v>2896</v>
      </c>
      <c r="E3554">
        <v>-2661.68</v>
      </c>
      <c r="F3554">
        <v>-0.94</v>
      </c>
      <c r="G3554" t="s">
        <v>12</v>
      </c>
      <c r="I3554" t="s">
        <v>1428</v>
      </c>
    </row>
    <row r="3555" spans="1:9" hidden="1" x14ac:dyDescent="0.25">
      <c r="A3555" t="s">
        <v>2789</v>
      </c>
      <c r="B3555" t="s">
        <v>736</v>
      </c>
      <c r="C3555" s="2">
        <f>HYPERLINK("https://cao.dolgi.msk.ru/account/1083278191/", 1083278191)</f>
        <v>1083278191</v>
      </c>
      <c r="D3555" t="s">
        <v>15</v>
      </c>
      <c r="E3555">
        <v>-2341.23</v>
      </c>
      <c r="F3555">
        <v>-1.01</v>
      </c>
      <c r="G3555" t="s">
        <v>12</v>
      </c>
      <c r="I3555" t="s">
        <v>1428</v>
      </c>
    </row>
    <row r="3556" spans="1:9" hidden="1" x14ac:dyDescent="0.25">
      <c r="A3556" t="s">
        <v>2789</v>
      </c>
      <c r="B3556" t="s">
        <v>736</v>
      </c>
      <c r="C3556" s="2">
        <f>HYPERLINK("https://cao.dolgi.msk.ru/account/1083284049/", 1083284049)</f>
        <v>1083284049</v>
      </c>
      <c r="D3556" t="s">
        <v>15</v>
      </c>
      <c r="E3556">
        <v>-1594.8</v>
      </c>
      <c r="F3556">
        <v>-1.62</v>
      </c>
      <c r="G3556" t="s">
        <v>12</v>
      </c>
      <c r="I3556" t="s">
        <v>1428</v>
      </c>
    </row>
    <row r="3557" spans="1:9" hidden="1" x14ac:dyDescent="0.25">
      <c r="A3557" t="s">
        <v>2789</v>
      </c>
      <c r="B3557" t="s">
        <v>738</v>
      </c>
      <c r="C3557" s="2">
        <f>HYPERLINK("https://cao.dolgi.msk.ru/account/1080256552/", 1080256552)</f>
        <v>1080256552</v>
      </c>
      <c r="D3557" t="s">
        <v>2897</v>
      </c>
      <c r="E3557">
        <v>-917.58</v>
      </c>
      <c r="F3557">
        <v>-0.21</v>
      </c>
      <c r="G3557" t="s">
        <v>12</v>
      </c>
      <c r="I3557" t="s">
        <v>1428</v>
      </c>
    </row>
    <row r="3558" spans="1:9" hidden="1" x14ac:dyDescent="0.25">
      <c r="A3558" t="s">
        <v>2789</v>
      </c>
      <c r="B3558" t="s">
        <v>742</v>
      </c>
      <c r="C3558" s="2">
        <f>HYPERLINK("https://cao.dolgi.msk.ru/account/1080256587/", 1080256587)</f>
        <v>1080256587</v>
      </c>
      <c r="D3558" t="s">
        <v>2898</v>
      </c>
      <c r="E3558">
        <v>-5134.88</v>
      </c>
      <c r="F3558">
        <v>-1.1100000000000001</v>
      </c>
      <c r="G3558" t="s">
        <v>12</v>
      </c>
      <c r="I3558" t="s">
        <v>1428</v>
      </c>
    </row>
    <row r="3559" spans="1:9" hidden="1" x14ac:dyDescent="0.25">
      <c r="A3559" t="s">
        <v>2789</v>
      </c>
      <c r="B3559" t="s">
        <v>557</v>
      </c>
      <c r="C3559" s="2">
        <f>HYPERLINK("https://cao.dolgi.msk.ru/account/1080256595/", 1080256595)</f>
        <v>1080256595</v>
      </c>
      <c r="D3559" t="s">
        <v>2899</v>
      </c>
      <c r="E3559">
        <v>0.25</v>
      </c>
      <c r="F3559">
        <v>0</v>
      </c>
      <c r="G3559" t="s">
        <v>12</v>
      </c>
      <c r="I3559" t="s">
        <v>1428</v>
      </c>
    </row>
    <row r="3560" spans="1:9" hidden="1" x14ac:dyDescent="0.25">
      <c r="A3560" t="s">
        <v>2789</v>
      </c>
      <c r="B3560" t="s">
        <v>558</v>
      </c>
      <c r="C3560" s="2">
        <f>HYPERLINK("https://cao.dolgi.msk.ru/account/1080256608/", 1080256608)</f>
        <v>1080256608</v>
      </c>
      <c r="D3560" t="s">
        <v>15</v>
      </c>
      <c r="E3560">
        <v>-7118.05</v>
      </c>
      <c r="F3560">
        <v>-1.1499999999999999</v>
      </c>
      <c r="G3560" t="s">
        <v>12</v>
      </c>
      <c r="I3560" t="s">
        <v>1428</v>
      </c>
    </row>
    <row r="3561" spans="1:9" hidden="1" x14ac:dyDescent="0.25">
      <c r="A3561" t="s">
        <v>2789</v>
      </c>
      <c r="B3561" t="s">
        <v>746</v>
      </c>
      <c r="C3561" s="2">
        <f>HYPERLINK("https://cao.dolgi.msk.ru/account/1080256616/", 1080256616)</f>
        <v>1080256616</v>
      </c>
      <c r="D3561" t="s">
        <v>15</v>
      </c>
      <c r="E3561">
        <v>-4694.54</v>
      </c>
      <c r="F3561">
        <v>-1.0900000000000001</v>
      </c>
      <c r="G3561" t="s">
        <v>12</v>
      </c>
      <c r="I3561" t="s">
        <v>1428</v>
      </c>
    </row>
    <row r="3562" spans="1:9" hidden="1" x14ac:dyDescent="0.25">
      <c r="A3562" t="s">
        <v>2789</v>
      </c>
      <c r="B3562" t="s">
        <v>748</v>
      </c>
      <c r="C3562" s="2">
        <f>HYPERLINK("https://cao.dolgi.msk.ru/account/1080256624/", 1080256624)</f>
        <v>1080256624</v>
      </c>
      <c r="D3562" t="s">
        <v>2900</v>
      </c>
      <c r="E3562">
        <v>-1610.6</v>
      </c>
      <c r="F3562">
        <v>-1.23</v>
      </c>
      <c r="G3562" t="s">
        <v>12</v>
      </c>
      <c r="I3562" t="s">
        <v>1428</v>
      </c>
    </row>
    <row r="3563" spans="1:9" hidden="1" x14ac:dyDescent="0.25">
      <c r="A3563" t="s">
        <v>2789</v>
      </c>
      <c r="B3563" t="s">
        <v>750</v>
      </c>
      <c r="C3563" s="2">
        <f>HYPERLINK("https://cao.dolgi.msk.ru/account/1080256632/", 1080256632)</f>
        <v>1080256632</v>
      </c>
      <c r="D3563" t="s">
        <v>2901</v>
      </c>
      <c r="E3563">
        <v>-5322.51</v>
      </c>
      <c r="F3563">
        <v>-1.02</v>
      </c>
      <c r="G3563" t="s">
        <v>12</v>
      </c>
      <c r="I3563" t="s">
        <v>1428</v>
      </c>
    </row>
    <row r="3564" spans="1:9" hidden="1" x14ac:dyDescent="0.25">
      <c r="A3564" t="s">
        <v>2789</v>
      </c>
      <c r="B3564" t="s">
        <v>752</v>
      </c>
      <c r="C3564" s="2">
        <f>HYPERLINK("https://cao.dolgi.msk.ru/account/1080256659/", 1080256659)</f>
        <v>1080256659</v>
      </c>
      <c r="D3564" t="s">
        <v>1082</v>
      </c>
      <c r="E3564">
        <v>-6420.83</v>
      </c>
      <c r="F3564">
        <v>-1.2</v>
      </c>
      <c r="G3564" t="s">
        <v>12</v>
      </c>
      <c r="I3564" t="s">
        <v>1428</v>
      </c>
    </row>
    <row r="3565" spans="1:9" hidden="1" x14ac:dyDescent="0.25">
      <c r="A3565" t="s">
        <v>2789</v>
      </c>
      <c r="B3565" t="s">
        <v>754</v>
      </c>
      <c r="C3565" s="2">
        <f>HYPERLINK("https://cao.dolgi.msk.ru/account/1080256667/", 1080256667)</f>
        <v>1080256667</v>
      </c>
      <c r="D3565" t="s">
        <v>15</v>
      </c>
      <c r="E3565">
        <v>0</v>
      </c>
      <c r="F3565">
        <v>0</v>
      </c>
      <c r="G3565" t="s">
        <v>12</v>
      </c>
      <c r="I3565" t="s">
        <v>1428</v>
      </c>
    </row>
    <row r="3566" spans="1:9" hidden="1" x14ac:dyDescent="0.25">
      <c r="A3566" t="s">
        <v>2789</v>
      </c>
      <c r="B3566" t="s">
        <v>756</v>
      </c>
      <c r="C3566" s="2">
        <f>HYPERLINK("https://cao.dolgi.msk.ru/account/1080256675/", 1080256675)</f>
        <v>1080256675</v>
      </c>
      <c r="D3566" t="s">
        <v>2902</v>
      </c>
      <c r="E3566">
        <v>-4307.9399999999996</v>
      </c>
      <c r="F3566">
        <v>-0.98</v>
      </c>
      <c r="G3566" t="s">
        <v>12</v>
      </c>
      <c r="I3566" t="s">
        <v>1428</v>
      </c>
    </row>
    <row r="3567" spans="1:9" hidden="1" x14ac:dyDescent="0.25">
      <c r="A3567" t="s">
        <v>2789</v>
      </c>
      <c r="B3567" t="s">
        <v>758</v>
      </c>
      <c r="C3567" s="2">
        <f>HYPERLINK("https://cao.dolgi.msk.ru/account/1080256683/", 1080256683)</f>
        <v>1080256683</v>
      </c>
      <c r="D3567" t="s">
        <v>2903</v>
      </c>
      <c r="E3567">
        <v>-3300.76</v>
      </c>
      <c r="F3567">
        <v>-1.01</v>
      </c>
      <c r="G3567" t="s">
        <v>12</v>
      </c>
      <c r="I3567" t="s">
        <v>1428</v>
      </c>
    </row>
    <row r="3568" spans="1:9" hidden="1" x14ac:dyDescent="0.25">
      <c r="A3568" t="s">
        <v>2789</v>
      </c>
      <c r="B3568" t="s">
        <v>760</v>
      </c>
      <c r="C3568" s="2">
        <f>HYPERLINK("https://cao.dolgi.msk.ru/account/1080256691/", 1080256691)</f>
        <v>1080256691</v>
      </c>
      <c r="D3568" t="s">
        <v>2904</v>
      </c>
      <c r="E3568">
        <v>-3393.97</v>
      </c>
      <c r="F3568">
        <v>-1.01</v>
      </c>
      <c r="G3568" t="s">
        <v>12</v>
      </c>
      <c r="I3568" t="s">
        <v>1428</v>
      </c>
    </row>
    <row r="3569" spans="1:9" hidden="1" x14ac:dyDescent="0.25">
      <c r="A3569" t="s">
        <v>2789</v>
      </c>
      <c r="B3569" t="s">
        <v>762</v>
      </c>
      <c r="C3569" s="2">
        <f>HYPERLINK("https://cao.dolgi.msk.ru/account/1080256704/", 1080256704)</f>
        <v>1080256704</v>
      </c>
      <c r="D3569" t="s">
        <v>2905</v>
      </c>
      <c r="E3569">
        <v>-6195.34</v>
      </c>
      <c r="F3569">
        <v>-0.98</v>
      </c>
      <c r="G3569" t="s">
        <v>12</v>
      </c>
      <c r="I3569" t="s">
        <v>1428</v>
      </c>
    </row>
    <row r="3570" spans="1:9" hidden="1" x14ac:dyDescent="0.25">
      <c r="A3570" t="s">
        <v>2789</v>
      </c>
      <c r="B3570" t="s">
        <v>764</v>
      </c>
      <c r="C3570" s="2">
        <f>HYPERLINK("https://cao.dolgi.msk.ru/account/1080256712/", 1080256712)</f>
        <v>1080256712</v>
      </c>
      <c r="D3570" t="s">
        <v>2906</v>
      </c>
      <c r="E3570">
        <v>-2008.02</v>
      </c>
      <c r="F3570">
        <v>-0.98</v>
      </c>
      <c r="G3570" t="s">
        <v>12</v>
      </c>
      <c r="I3570" t="s">
        <v>1428</v>
      </c>
    </row>
    <row r="3571" spans="1:9" hidden="1" x14ac:dyDescent="0.25">
      <c r="A3571" t="s">
        <v>2789</v>
      </c>
      <c r="B3571" t="s">
        <v>766</v>
      </c>
      <c r="C3571" s="2">
        <f>HYPERLINK("https://cao.dolgi.msk.ru/account/1080256739/", 1080256739)</f>
        <v>1080256739</v>
      </c>
      <c r="D3571" t="s">
        <v>2907</v>
      </c>
      <c r="E3571">
        <v>-2001.81</v>
      </c>
      <c r="F3571">
        <v>-1.1000000000000001</v>
      </c>
      <c r="G3571" t="s">
        <v>12</v>
      </c>
      <c r="I3571" t="s">
        <v>1428</v>
      </c>
    </row>
    <row r="3572" spans="1:9" x14ac:dyDescent="0.25">
      <c r="A3572" t="s">
        <v>2789</v>
      </c>
      <c r="B3572" t="s">
        <v>768</v>
      </c>
      <c r="C3572" s="2">
        <f>HYPERLINK("https://cao.dolgi.msk.ru/account/1080256747/", 1080256747)</f>
        <v>1080256747</v>
      </c>
      <c r="D3572" t="s">
        <v>2908</v>
      </c>
      <c r="E3572">
        <v>21277.26</v>
      </c>
      <c r="F3572">
        <v>4</v>
      </c>
      <c r="G3572" t="s">
        <v>12</v>
      </c>
      <c r="I3572" t="s">
        <v>1428</v>
      </c>
    </row>
    <row r="3573" spans="1:9" hidden="1" x14ac:dyDescent="0.25">
      <c r="A3573" t="s">
        <v>2789</v>
      </c>
      <c r="B3573" t="s">
        <v>770</v>
      </c>
      <c r="C3573" s="2">
        <f>HYPERLINK("https://cao.dolgi.msk.ru/account/1080256755/", 1080256755)</f>
        <v>1080256755</v>
      </c>
      <c r="D3573" t="s">
        <v>2909</v>
      </c>
      <c r="E3573">
        <v>-4469.17</v>
      </c>
      <c r="F3573">
        <v>-1.1399999999999999</v>
      </c>
      <c r="G3573" t="s">
        <v>12</v>
      </c>
      <c r="I3573" t="s">
        <v>1428</v>
      </c>
    </row>
    <row r="3574" spans="1:9" hidden="1" x14ac:dyDescent="0.25">
      <c r="A3574" t="s">
        <v>2789</v>
      </c>
      <c r="B3574" t="s">
        <v>772</v>
      </c>
      <c r="C3574" s="2">
        <f>HYPERLINK("https://cao.dolgi.msk.ru/account/1080256763/", 1080256763)</f>
        <v>1080256763</v>
      </c>
      <c r="D3574" t="s">
        <v>2910</v>
      </c>
      <c r="E3574">
        <v>-598.71</v>
      </c>
      <c r="F3574">
        <v>-0.13</v>
      </c>
      <c r="G3574" t="s">
        <v>12</v>
      </c>
      <c r="I3574" t="s">
        <v>1428</v>
      </c>
    </row>
    <row r="3575" spans="1:9" hidden="1" x14ac:dyDescent="0.25">
      <c r="A3575" t="s">
        <v>2789</v>
      </c>
      <c r="B3575" t="s">
        <v>774</v>
      </c>
      <c r="C3575" s="2">
        <f>HYPERLINK("https://cao.dolgi.msk.ru/account/1080256771/", 1080256771)</f>
        <v>1080256771</v>
      </c>
      <c r="D3575" t="s">
        <v>2911</v>
      </c>
      <c r="E3575">
        <v>-3690.64</v>
      </c>
      <c r="F3575">
        <v>-1</v>
      </c>
      <c r="G3575" t="s">
        <v>12</v>
      </c>
      <c r="I3575" t="s">
        <v>1428</v>
      </c>
    </row>
    <row r="3576" spans="1:9" hidden="1" x14ac:dyDescent="0.25">
      <c r="A3576" t="s">
        <v>2789</v>
      </c>
      <c r="B3576" t="s">
        <v>776</v>
      </c>
      <c r="C3576" s="2">
        <f>HYPERLINK("https://cao.dolgi.msk.ru/account/1080256798/", 1080256798)</f>
        <v>1080256798</v>
      </c>
      <c r="D3576" t="s">
        <v>2912</v>
      </c>
      <c r="E3576">
        <v>-5366.77</v>
      </c>
      <c r="F3576">
        <v>-0.89</v>
      </c>
      <c r="G3576" t="s">
        <v>12</v>
      </c>
      <c r="I3576" t="s">
        <v>1428</v>
      </c>
    </row>
    <row r="3577" spans="1:9" hidden="1" x14ac:dyDescent="0.25">
      <c r="A3577" t="s">
        <v>2789</v>
      </c>
      <c r="B3577" t="s">
        <v>778</v>
      </c>
      <c r="C3577" s="2">
        <f>HYPERLINK("https://cao.dolgi.msk.ru/account/1080256819/", 1080256819)</f>
        <v>1080256819</v>
      </c>
      <c r="D3577" t="s">
        <v>2913</v>
      </c>
      <c r="E3577">
        <v>-4198.8900000000003</v>
      </c>
      <c r="F3577">
        <v>-1.22</v>
      </c>
      <c r="G3577" t="s">
        <v>12</v>
      </c>
      <c r="I3577" t="s">
        <v>1428</v>
      </c>
    </row>
    <row r="3578" spans="1:9" hidden="1" x14ac:dyDescent="0.25">
      <c r="A3578" t="s">
        <v>2789</v>
      </c>
      <c r="B3578" t="s">
        <v>780</v>
      </c>
      <c r="C3578" s="2">
        <f>HYPERLINK("https://cao.dolgi.msk.ru/account/1080256827/", 1080256827)</f>
        <v>1080256827</v>
      </c>
      <c r="D3578" t="s">
        <v>2914</v>
      </c>
      <c r="E3578">
        <v>0</v>
      </c>
      <c r="F3578">
        <v>0</v>
      </c>
      <c r="G3578" t="s">
        <v>12</v>
      </c>
      <c r="I3578" t="s">
        <v>1428</v>
      </c>
    </row>
    <row r="3579" spans="1:9" hidden="1" x14ac:dyDescent="0.25">
      <c r="A3579" t="s">
        <v>2789</v>
      </c>
      <c r="B3579" t="s">
        <v>781</v>
      </c>
      <c r="C3579" s="2">
        <f>HYPERLINK("https://cao.dolgi.msk.ru/account/1080256835/", 1080256835)</f>
        <v>1080256835</v>
      </c>
      <c r="D3579" t="s">
        <v>2915</v>
      </c>
      <c r="E3579">
        <v>-1708.87</v>
      </c>
      <c r="F3579">
        <v>-1.1000000000000001</v>
      </c>
      <c r="G3579" t="s">
        <v>12</v>
      </c>
      <c r="I3579" t="s">
        <v>1428</v>
      </c>
    </row>
    <row r="3580" spans="1:9" hidden="1" x14ac:dyDescent="0.25">
      <c r="A3580" t="s">
        <v>2789</v>
      </c>
      <c r="B3580" t="s">
        <v>782</v>
      </c>
      <c r="C3580" s="2">
        <f>HYPERLINK("https://cao.dolgi.msk.ru/account/1080256843/", 1080256843)</f>
        <v>1080256843</v>
      </c>
      <c r="D3580" t="s">
        <v>2916</v>
      </c>
      <c r="E3580">
        <v>-0.35</v>
      </c>
      <c r="F3580">
        <v>0</v>
      </c>
      <c r="G3580" t="s">
        <v>12</v>
      </c>
      <c r="I3580" t="s">
        <v>1428</v>
      </c>
    </row>
    <row r="3581" spans="1:9" hidden="1" x14ac:dyDescent="0.25">
      <c r="A3581" t="s">
        <v>2789</v>
      </c>
      <c r="B3581" t="s">
        <v>784</v>
      </c>
      <c r="C3581" s="2">
        <f>HYPERLINK("https://cao.dolgi.msk.ru/account/1080256851/", 1080256851)</f>
        <v>1080256851</v>
      </c>
      <c r="D3581" t="s">
        <v>2917</v>
      </c>
      <c r="E3581">
        <v>-4590.26</v>
      </c>
      <c r="F3581">
        <v>-0.97</v>
      </c>
      <c r="G3581" t="s">
        <v>12</v>
      </c>
      <c r="I3581" t="s">
        <v>1428</v>
      </c>
    </row>
    <row r="3582" spans="1:9" hidden="1" x14ac:dyDescent="0.25">
      <c r="A3582" t="s">
        <v>2789</v>
      </c>
      <c r="B3582" t="s">
        <v>786</v>
      </c>
      <c r="C3582" s="2">
        <f>HYPERLINK("https://cao.dolgi.msk.ru/account/1080256878/", 1080256878)</f>
        <v>1080256878</v>
      </c>
      <c r="D3582" t="s">
        <v>2918</v>
      </c>
      <c r="E3582">
        <v>-4857.5200000000004</v>
      </c>
      <c r="F3582">
        <v>-1.01</v>
      </c>
      <c r="G3582" t="s">
        <v>12</v>
      </c>
      <c r="I3582" t="s">
        <v>1428</v>
      </c>
    </row>
    <row r="3583" spans="1:9" hidden="1" x14ac:dyDescent="0.25">
      <c r="A3583" t="s">
        <v>2789</v>
      </c>
      <c r="B3583" t="s">
        <v>788</v>
      </c>
      <c r="C3583" s="2">
        <f>HYPERLINK("https://cao.dolgi.msk.ru/account/1080256886/", 1080256886)</f>
        <v>1080256886</v>
      </c>
      <c r="D3583" t="s">
        <v>2919</v>
      </c>
      <c r="E3583">
        <v>-6640.87</v>
      </c>
      <c r="F3583">
        <v>-1.82</v>
      </c>
      <c r="G3583" t="s">
        <v>12</v>
      </c>
      <c r="I3583" t="s">
        <v>1428</v>
      </c>
    </row>
    <row r="3584" spans="1:9" hidden="1" x14ac:dyDescent="0.25">
      <c r="A3584" t="s">
        <v>2789</v>
      </c>
      <c r="B3584" t="s">
        <v>789</v>
      </c>
      <c r="C3584" s="2">
        <f>HYPERLINK("https://cao.dolgi.msk.ru/account/1080256894/", 1080256894)</f>
        <v>1080256894</v>
      </c>
      <c r="D3584" t="s">
        <v>2920</v>
      </c>
      <c r="E3584">
        <v>-7665.56</v>
      </c>
      <c r="F3584">
        <v>-1.08</v>
      </c>
      <c r="G3584" t="s">
        <v>12</v>
      </c>
      <c r="I3584" t="s">
        <v>1428</v>
      </c>
    </row>
    <row r="3585" spans="1:9" hidden="1" x14ac:dyDescent="0.25">
      <c r="A3585" t="s">
        <v>2789</v>
      </c>
      <c r="B3585" t="s">
        <v>790</v>
      </c>
      <c r="C3585" s="2">
        <f>HYPERLINK("https://cao.dolgi.msk.ru/account/1080256907/", 1080256907)</f>
        <v>1080256907</v>
      </c>
      <c r="D3585" t="s">
        <v>2921</v>
      </c>
      <c r="E3585">
        <v>-5585.58</v>
      </c>
      <c r="F3585">
        <v>-1.1100000000000001</v>
      </c>
      <c r="G3585" t="s">
        <v>12</v>
      </c>
      <c r="I3585" t="s">
        <v>1428</v>
      </c>
    </row>
    <row r="3586" spans="1:9" hidden="1" x14ac:dyDescent="0.25">
      <c r="A3586" t="s">
        <v>2922</v>
      </c>
      <c r="B3586" t="s">
        <v>10</v>
      </c>
      <c r="C3586" s="2">
        <f>HYPERLINK("https://cao.dolgi.msk.ru/account/1080248245/", 1080248245)</f>
        <v>1080248245</v>
      </c>
      <c r="D3586" t="s">
        <v>2923</v>
      </c>
      <c r="E3586">
        <v>-9689.7199999999993</v>
      </c>
      <c r="F3586">
        <v>-1.05</v>
      </c>
      <c r="G3586" t="s">
        <v>12</v>
      </c>
      <c r="I3586" t="s">
        <v>1428</v>
      </c>
    </row>
    <row r="3587" spans="1:9" hidden="1" x14ac:dyDescent="0.25">
      <c r="A3587" t="s">
        <v>2922</v>
      </c>
      <c r="B3587" t="s">
        <v>16</v>
      </c>
      <c r="C3587" s="2">
        <f>HYPERLINK("https://cao.dolgi.msk.ru/account/1080248288/", 1080248288)</f>
        <v>1080248288</v>
      </c>
      <c r="D3587" t="s">
        <v>2924</v>
      </c>
      <c r="E3587">
        <v>-6052.54</v>
      </c>
      <c r="F3587">
        <v>-1.06</v>
      </c>
      <c r="G3587" t="s">
        <v>12</v>
      </c>
      <c r="I3587" t="s">
        <v>1428</v>
      </c>
    </row>
    <row r="3588" spans="1:9" x14ac:dyDescent="0.25">
      <c r="A3588" t="s">
        <v>2922</v>
      </c>
      <c r="B3588" t="s">
        <v>18</v>
      </c>
      <c r="C3588" s="2">
        <f>HYPERLINK("https://cao.dolgi.msk.ru/account/1080248296/", 1080248296)</f>
        <v>1080248296</v>
      </c>
      <c r="D3588" t="s">
        <v>2925</v>
      </c>
      <c r="E3588">
        <v>10630.17</v>
      </c>
      <c r="F3588">
        <v>1.49</v>
      </c>
      <c r="G3588" t="s">
        <v>12</v>
      </c>
      <c r="I3588" t="s">
        <v>1428</v>
      </c>
    </row>
    <row r="3589" spans="1:9" hidden="1" x14ac:dyDescent="0.25">
      <c r="A3589" t="s">
        <v>2922</v>
      </c>
      <c r="B3589" t="s">
        <v>20</v>
      </c>
      <c r="C3589" s="2">
        <f>HYPERLINK("https://cao.dolgi.msk.ru/account/1080248309/", 1080248309)</f>
        <v>1080248309</v>
      </c>
      <c r="D3589" t="s">
        <v>2926</v>
      </c>
      <c r="E3589">
        <v>-215.22</v>
      </c>
      <c r="F3589">
        <v>-0.03</v>
      </c>
      <c r="G3589" t="s">
        <v>12</v>
      </c>
      <c r="I3589" t="s">
        <v>1428</v>
      </c>
    </row>
    <row r="3590" spans="1:9" hidden="1" x14ac:dyDescent="0.25">
      <c r="A3590" t="s">
        <v>2922</v>
      </c>
      <c r="B3590" t="s">
        <v>21</v>
      </c>
      <c r="C3590" s="2">
        <f>HYPERLINK("https://cao.dolgi.msk.ru/account/1080248317/", 1080248317)</f>
        <v>1080248317</v>
      </c>
      <c r="D3590" t="s">
        <v>2927</v>
      </c>
      <c r="E3590">
        <v>-7414.22</v>
      </c>
      <c r="F3590">
        <v>-0.73</v>
      </c>
      <c r="G3590" t="s">
        <v>12</v>
      </c>
      <c r="I3590" t="s">
        <v>1428</v>
      </c>
    </row>
    <row r="3591" spans="1:9" hidden="1" x14ac:dyDescent="0.25">
      <c r="A3591" t="s">
        <v>2922</v>
      </c>
      <c r="B3591" t="s">
        <v>22</v>
      </c>
      <c r="C3591" s="2">
        <f>HYPERLINK("https://cao.dolgi.msk.ru/account/1080248325/", 1080248325)</f>
        <v>1080248325</v>
      </c>
      <c r="D3591" t="s">
        <v>2928</v>
      </c>
      <c r="E3591">
        <v>-6947.2</v>
      </c>
      <c r="F3591">
        <v>-1.06</v>
      </c>
      <c r="G3591" t="s">
        <v>12</v>
      </c>
      <c r="I3591" t="s">
        <v>1428</v>
      </c>
    </row>
    <row r="3592" spans="1:9" x14ac:dyDescent="0.25">
      <c r="A3592" t="s">
        <v>2922</v>
      </c>
      <c r="B3592" t="s">
        <v>23</v>
      </c>
      <c r="C3592" s="2">
        <f>HYPERLINK("https://cao.dolgi.msk.ru/account/1080248333/", 1080248333)</f>
        <v>1080248333</v>
      </c>
      <c r="D3592" t="s">
        <v>2929</v>
      </c>
      <c r="E3592">
        <v>92801.08</v>
      </c>
      <c r="F3592">
        <v>12.92</v>
      </c>
      <c r="G3592" t="s">
        <v>12</v>
      </c>
      <c r="I3592" t="s">
        <v>1428</v>
      </c>
    </row>
    <row r="3593" spans="1:9" hidden="1" x14ac:dyDescent="0.25">
      <c r="A3593" t="s">
        <v>2922</v>
      </c>
      <c r="B3593" t="s">
        <v>24</v>
      </c>
      <c r="C3593" s="2">
        <f>HYPERLINK("https://cao.dolgi.msk.ru/account/1080248341/", 1080248341)</f>
        <v>1080248341</v>
      </c>
      <c r="D3593" t="s">
        <v>2930</v>
      </c>
      <c r="E3593">
        <v>-8772.48</v>
      </c>
      <c r="F3593">
        <v>-0.97</v>
      </c>
      <c r="G3593" t="s">
        <v>12</v>
      </c>
      <c r="I3593" t="s">
        <v>1428</v>
      </c>
    </row>
    <row r="3594" spans="1:9" hidden="1" x14ac:dyDescent="0.25">
      <c r="A3594" t="s">
        <v>2922</v>
      </c>
      <c r="B3594" t="s">
        <v>27</v>
      </c>
      <c r="C3594" s="2">
        <f>HYPERLINK("https://cao.dolgi.msk.ru/account/1080248368/", 1080248368)</f>
        <v>1080248368</v>
      </c>
      <c r="D3594" t="s">
        <v>2931</v>
      </c>
      <c r="E3594">
        <v>-12286.96</v>
      </c>
      <c r="F3594">
        <v>-1.04</v>
      </c>
      <c r="G3594" t="s">
        <v>12</v>
      </c>
      <c r="I3594" t="s">
        <v>1428</v>
      </c>
    </row>
    <row r="3595" spans="1:9" hidden="1" x14ac:dyDescent="0.25">
      <c r="A3595" t="s">
        <v>2922</v>
      </c>
      <c r="B3595" t="s">
        <v>29</v>
      </c>
      <c r="C3595" s="2">
        <f>HYPERLINK("https://cao.dolgi.msk.ru/account/1080248376/", 1080248376)</f>
        <v>1080248376</v>
      </c>
      <c r="D3595" t="s">
        <v>2932</v>
      </c>
      <c r="E3595">
        <v>2416.41</v>
      </c>
      <c r="F3595">
        <v>0.28000000000000003</v>
      </c>
      <c r="G3595" t="s">
        <v>12</v>
      </c>
      <c r="I3595" t="s">
        <v>1428</v>
      </c>
    </row>
    <row r="3596" spans="1:9" hidden="1" x14ac:dyDescent="0.25">
      <c r="A3596" t="s">
        <v>2922</v>
      </c>
      <c r="B3596" t="s">
        <v>31</v>
      </c>
      <c r="C3596" s="2">
        <f>HYPERLINK("https://cao.dolgi.msk.ru/account/1080248384/", 1080248384)</f>
        <v>1080248384</v>
      </c>
      <c r="D3596" t="s">
        <v>15</v>
      </c>
      <c r="E3596">
        <v>-6822.94</v>
      </c>
      <c r="F3596">
        <v>-1.08</v>
      </c>
      <c r="G3596" t="s">
        <v>12</v>
      </c>
      <c r="I3596" t="s">
        <v>1428</v>
      </c>
    </row>
    <row r="3597" spans="1:9" hidden="1" x14ac:dyDescent="0.25">
      <c r="A3597" t="s">
        <v>2922</v>
      </c>
      <c r="B3597" t="s">
        <v>33</v>
      </c>
      <c r="C3597" s="2">
        <f>HYPERLINK("https://cao.dolgi.msk.ru/account/1080248392/", 1080248392)</f>
        <v>1080248392</v>
      </c>
      <c r="D3597" t="s">
        <v>2933</v>
      </c>
      <c r="E3597">
        <v>-7677.5</v>
      </c>
      <c r="F3597">
        <v>-1.02</v>
      </c>
      <c r="G3597" t="s">
        <v>12</v>
      </c>
      <c r="I3597" t="s">
        <v>1428</v>
      </c>
    </row>
    <row r="3598" spans="1:9" hidden="1" x14ac:dyDescent="0.25">
      <c r="A3598" t="s">
        <v>2922</v>
      </c>
      <c r="B3598" t="s">
        <v>34</v>
      </c>
      <c r="C3598" s="2">
        <f>HYPERLINK("https://cao.dolgi.msk.ru/account/1080248405/", 1080248405)</f>
        <v>1080248405</v>
      </c>
      <c r="D3598" t="s">
        <v>2934</v>
      </c>
      <c r="E3598">
        <v>-6950.56</v>
      </c>
      <c r="F3598">
        <v>-1.06</v>
      </c>
      <c r="G3598" t="s">
        <v>12</v>
      </c>
      <c r="I3598" t="s">
        <v>1428</v>
      </c>
    </row>
    <row r="3599" spans="1:9" hidden="1" x14ac:dyDescent="0.25">
      <c r="A3599" t="s">
        <v>2922</v>
      </c>
      <c r="B3599" t="s">
        <v>36</v>
      </c>
      <c r="C3599" s="2">
        <f>HYPERLINK("https://cao.dolgi.msk.ru/account/1080248413/", 1080248413)</f>
        <v>1080248413</v>
      </c>
      <c r="D3599" t="s">
        <v>2935</v>
      </c>
      <c r="E3599">
        <v>-7157.19</v>
      </c>
      <c r="F3599">
        <v>-1.02</v>
      </c>
      <c r="G3599" t="s">
        <v>12</v>
      </c>
      <c r="I3599" t="s">
        <v>1428</v>
      </c>
    </row>
    <row r="3600" spans="1:9" hidden="1" x14ac:dyDescent="0.25">
      <c r="A3600" t="s">
        <v>2922</v>
      </c>
      <c r="B3600" t="s">
        <v>38</v>
      </c>
      <c r="C3600" s="2">
        <f>HYPERLINK("https://cao.dolgi.msk.ru/account/1080248421/", 1080248421)</f>
        <v>1080248421</v>
      </c>
      <c r="D3600" t="s">
        <v>2936</v>
      </c>
      <c r="E3600">
        <v>-7116.29</v>
      </c>
      <c r="F3600">
        <v>-1.18</v>
      </c>
      <c r="G3600" t="s">
        <v>12</v>
      </c>
      <c r="I3600" t="s">
        <v>1428</v>
      </c>
    </row>
    <row r="3601" spans="1:9" hidden="1" x14ac:dyDescent="0.25">
      <c r="A3601" t="s">
        <v>2922</v>
      </c>
      <c r="B3601" t="s">
        <v>39</v>
      </c>
      <c r="C3601" s="2">
        <f>HYPERLINK("https://cao.dolgi.msk.ru/account/1080248448/", 1080248448)</f>
        <v>1080248448</v>
      </c>
      <c r="D3601" t="s">
        <v>2937</v>
      </c>
      <c r="E3601">
        <v>-5989.77</v>
      </c>
      <c r="F3601">
        <v>-1.02</v>
      </c>
      <c r="G3601" t="s">
        <v>12</v>
      </c>
      <c r="I3601" t="s">
        <v>1428</v>
      </c>
    </row>
    <row r="3602" spans="1:9" hidden="1" x14ac:dyDescent="0.25">
      <c r="A3602" t="s">
        <v>2922</v>
      </c>
      <c r="B3602" t="s">
        <v>40</v>
      </c>
      <c r="C3602" s="2">
        <f>HYPERLINK("https://cao.dolgi.msk.ru/account/1080248464/", 1080248464)</f>
        <v>1080248464</v>
      </c>
      <c r="D3602" t="s">
        <v>2938</v>
      </c>
      <c r="E3602">
        <v>-15205.78</v>
      </c>
      <c r="F3602">
        <v>-1.1200000000000001</v>
      </c>
      <c r="G3602" t="s">
        <v>12</v>
      </c>
      <c r="I3602" t="s">
        <v>1428</v>
      </c>
    </row>
    <row r="3603" spans="1:9" hidden="1" x14ac:dyDescent="0.25">
      <c r="A3603" t="s">
        <v>2922</v>
      </c>
      <c r="B3603" t="s">
        <v>41</v>
      </c>
      <c r="C3603" s="2">
        <f>HYPERLINK("https://cao.dolgi.msk.ru/account/1080248472/", 1080248472)</f>
        <v>1080248472</v>
      </c>
      <c r="D3603" t="s">
        <v>2939</v>
      </c>
      <c r="E3603">
        <v>-3091.77</v>
      </c>
      <c r="F3603">
        <v>-1.02</v>
      </c>
      <c r="G3603" t="s">
        <v>12</v>
      </c>
      <c r="I3603" t="s">
        <v>1428</v>
      </c>
    </row>
    <row r="3604" spans="1:9" hidden="1" x14ac:dyDescent="0.25">
      <c r="A3604" t="s">
        <v>2922</v>
      </c>
      <c r="B3604" t="s">
        <v>42</v>
      </c>
      <c r="C3604" s="2">
        <f>HYPERLINK("https://cao.dolgi.msk.ru/account/1080248499/", 1080248499)</f>
        <v>1080248499</v>
      </c>
      <c r="D3604" t="s">
        <v>2940</v>
      </c>
      <c r="E3604">
        <v>-5747.37</v>
      </c>
      <c r="F3604">
        <v>-1.02</v>
      </c>
      <c r="G3604" t="s">
        <v>12</v>
      </c>
      <c r="I3604" t="s">
        <v>1428</v>
      </c>
    </row>
    <row r="3605" spans="1:9" hidden="1" x14ac:dyDescent="0.25">
      <c r="A3605" t="s">
        <v>2922</v>
      </c>
      <c r="B3605" t="s">
        <v>44</v>
      </c>
      <c r="C3605" s="2">
        <f>HYPERLINK("https://cao.dolgi.msk.ru/account/1080248501/", 1080248501)</f>
        <v>1080248501</v>
      </c>
      <c r="D3605" t="s">
        <v>15</v>
      </c>
      <c r="E3605">
        <v>-73.64</v>
      </c>
      <c r="F3605">
        <v>-0.03</v>
      </c>
      <c r="G3605" t="s">
        <v>14</v>
      </c>
      <c r="I3605" t="s">
        <v>1428</v>
      </c>
    </row>
    <row r="3606" spans="1:9" hidden="1" x14ac:dyDescent="0.25">
      <c r="A3606" t="s">
        <v>2922</v>
      </c>
      <c r="B3606" t="s">
        <v>44</v>
      </c>
      <c r="C3606" s="2">
        <f>HYPERLINK("https://cao.dolgi.msk.ru/account/1080248528/", 1080248528)</f>
        <v>1080248528</v>
      </c>
      <c r="D3606" t="s">
        <v>2941</v>
      </c>
      <c r="E3606">
        <v>0</v>
      </c>
      <c r="F3606">
        <v>0</v>
      </c>
      <c r="G3606" t="s">
        <v>12</v>
      </c>
      <c r="I3606" t="s">
        <v>1428</v>
      </c>
    </row>
    <row r="3607" spans="1:9" hidden="1" x14ac:dyDescent="0.25">
      <c r="A3607" t="s">
        <v>2922</v>
      </c>
      <c r="B3607" t="s">
        <v>44</v>
      </c>
      <c r="C3607" s="2">
        <f>HYPERLINK("https://cao.dolgi.msk.ru/account/1080248536/", 1080248536)</f>
        <v>1080248536</v>
      </c>
      <c r="D3607" t="s">
        <v>2942</v>
      </c>
      <c r="E3607">
        <v>-527.88</v>
      </c>
      <c r="F3607">
        <v>-0.17</v>
      </c>
      <c r="G3607" t="s">
        <v>14</v>
      </c>
      <c r="I3607" t="s">
        <v>1428</v>
      </c>
    </row>
    <row r="3608" spans="1:9" hidden="1" x14ac:dyDescent="0.25">
      <c r="A3608" t="s">
        <v>2922</v>
      </c>
      <c r="B3608" t="s">
        <v>66</v>
      </c>
      <c r="C3608" s="2">
        <f>HYPERLINK("https://cao.dolgi.msk.ru/account/1080248544/", 1080248544)</f>
        <v>1080248544</v>
      </c>
      <c r="D3608" t="s">
        <v>2943</v>
      </c>
      <c r="E3608">
        <v>0</v>
      </c>
      <c r="F3608">
        <v>0</v>
      </c>
      <c r="G3608" t="s">
        <v>12</v>
      </c>
      <c r="I3608" t="s">
        <v>1428</v>
      </c>
    </row>
    <row r="3609" spans="1:9" hidden="1" x14ac:dyDescent="0.25">
      <c r="A3609" t="s">
        <v>2922</v>
      </c>
      <c r="B3609" t="s">
        <v>68</v>
      </c>
      <c r="C3609" s="2">
        <f>HYPERLINK("https://cao.dolgi.msk.ru/account/1080248552/", 1080248552)</f>
        <v>1080248552</v>
      </c>
      <c r="D3609" t="s">
        <v>2944</v>
      </c>
      <c r="E3609">
        <v>-396.51</v>
      </c>
      <c r="F3609">
        <v>-7.0000000000000007E-2</v>
      </c>
      <c r="G3609" t="s">
        <v>12</v>
      </c>
      <c r="I3609" t="s">
        <v>1428</v>
      </c>
    </row>
    <row r="3610" spans="1:9" hidden="1" x14ac:dyDescent="0.25">
      <c r="A3610" t="s">
        <v>2922</v>
      </c>
      <c r="B3610" t="s">
        <v>70</v>
      </c>
      <c r="C3610" s="2">
        <f>HYPERLINK("https://cao.dolgi.msk.ru/account/1080248579/", 1080248579)</f>
        <v>1080248579</v>
      </c>
      <c r="D3610" t="s">
        <v>2945</v>
      </c>
      <c r="E3610">
        <v>-6903.53</v>
      </c>
      <c r="F3610">
        <v>-1.01</v>
      </c>
      <c r="G3610" t="s">
        <v>12</v>
      </c>
      <c r="I3610" t="s">
        <v>1428</v>
      </c>
    </row>
    <row r="3611" spans="1:9" hidden="1" x14ac:dyDescent="0.25">
      <c r="A3611" t="s">
        <v>2922</v>
      </c>
      <c r="B3611" t="s">
        <v>72</v>
      </c>
      <c r="C3611" s="2">
        <f>HYPERLINK("https://cao.dolgi.msk.ru/account/1080248587/", 1080248587)</f>
        <v>1080248587</v>
      </c>
      <c r="D3611" t="s">
        <v>2946</v>
      </c>
      <c r="E3611">
        <v>-8377.08</v>
      </c>
      <c r="F3611">
        <v>-1.0900000000000001</v>
      </c>
      <c r="G3611" t="s">
        <v>12</v>
      </c>
      <c r="I3611" t="s">
        <v>1428</v>
      </c>
    </row>
    <row r="3612" spans="1:9" hidden="1" x14ac:dyDescent="0.25">
      <c r="A3612" t="s">
        <v>2922</v>
      </c>
      <c r="B3612" t="s">
        <v>74</v>
      </c>
      <c r="C3612" s="2">
        <f>HYPERLINK("https://cao.dolgi.msk.ru/account/1080248595/", 1080248595)</f>
        <v>1080248595</v>
      </c>
      <c r="D3612" t="s">
        <v>2947</v>
      </c>
      <c r="E3612">
        <v>-5628.39</v>
      </c>
      <c r="F3612">
        <v>-0.98</v>
      </c>
      <c r="G3612" t="s">
        <v>12</v>
      </c>
      <c r="I3612" t="s">
        <v>1428</v>
      </c>
    </row>
    <row r="3613" spans="1:9" hidden="1" x14ac:dyDescent="0.25">
      <c r="A3613" t="s">
        <v>2922</v>
      </c>
      <c r="B3613" t="s">
        <v>76</v>
      </c>
      <c r="C3613" s="2">
        <f>HYPERLINK("https://cao.dolgi.msk.ru/account/1080248608/", 1080248608)</f>
        <v>1080248608</v>
      </c>
      <c r="D3613" t="s">
        <v>2948</v>
      </c>
      <c r="E3613">
        <v>-8596.32</v>
      </c>
      <c r="F3613">
        <v>-1.58</v>
      </c>
      <c r="G3613" t="s">
        <v>12</v>
      </c>
      <c r="I3613" t="s">
        <v>1428</v>
      </c>
    </row>
    <row r="3614" spans="1:9" hidden="1" x14ac:dyDescent="0.25">
      <c r="A3614" t="s">
        <v>2922</v>
      </c>
      <c r="B3614" t="s">
        <v>78</v>
      </c>
      <c r="C3614" s="2">
        <f>HYPERLINK("https://cao.dolgi.msk.ru/account/1080248616/", 1080248616)</f>
        <v>1080248616</v>
      </c>
      <c r="D3614" t="s">
        <v>2949</v>
      </c>
      <c r="E3614">
        <v>0</v>
      </c>
      <c r="F3614">
        <v>0</v>
      </c>
      <c r="G3614" t="s">
        <v>12</v>
      </c>
      <c r="I3614" t="s">
        <v>1428</v>
      </c>
    </row>
    <row r="3615" spans="1:9" hidden="1" x14ac:dyDescent="0.25">
      <c r="A3615" t="s">
        <v>2922</v>
      </c>
      <c r="B3615" t="s">
        <v>80</v>
      </c>
      <c r="C3615" s="2">
        <f>HYPERLINK("https://cao.dolgi.msk.ru/account/1080248624/", 1080248624)</f>
        <v>1080248624</v>
      </c>
      <c r="D3615" t="s">
        <v>2950</v>
      </c>
      <c r="E3615">
        <v>-7983.18</v>
      </c>
      <c r="F3615">
        <v>-0.79</v>
      </c>
      <c r="G3615" t="s">
        <v>12</v>
      </c>
      <c r="I3615" t="s">
        <v>1428</v>
      </c>
    </row>
    <row r="3616" spans="1:9" hidden="1" x14ac:dyDescent="0.25">
      <c r="A3616" t="s">
        <v>2922</v>
      </c>
      <c r="B3616" t="s">
        <v>82</v>
      </c>
      <c r="C3616" s="2">
        <f>HYPERLINK("https://cao.dolgi.msk.ru/account/1080248632/", 1080248632)</f>
        <v>1080248632</v>
      </c>
      <c r="D3616" t="s">
        <v>2951</v>
      </c>
      <c r="E3616">
        <v>-11441.45</v>
      </c>
      <c r="F3616">
        <v>-1.44</v>
      </c>
      <c r="G3616" t="s">
        <v>12</v>
      </c>
      <c r="I3616" t="s">
        <v>1428</v>
      </c>
    </row>
    <row r="3617" spans="1:9" hidden="1" x14ac:dyDescent="0.25">
      <c r="A3617" t="s">
        <v>2922</v>
      </c>
      <c r="B3617" t="s">
        <v>84</v>
      </c>
      <c r="C3617" s="2">
        <f>HYPERLINK("https://cao.dolgi.msk.ru/account/1080248659/", 1080248659)</f>
        <v>1080248659</v>
      </c>
      <c r="D3617" t="s">
        <v>2952</v>
      </c>
      <c r="E3617">
        <v>-7973.74</v>
      </c>
      <c r="F3617">
        <v>-1.23</v>
      </c>
      <c r="G3617" t="s">
        <v>12</v>
      </c>
      <c r="I3617" t="s">
        <v>1428</v>
      </c>
    </row>
    <row r="3618" spans="1:9" hidden="1" x14ac:dyDescent="0.25">
      <c r="A3618" t="s">
        <v>2922</v>
      </c>
      <c r="B3618" t="s">
        <v>86</v>
      </c>
      <c r="C3618" s="2">
        <f>HYPERLINK("https://cao.dolgi.msk.ru/account/1080248667/", 1080248667)</f>
        <v>1080248667</v>
      </c>
      <c r="D3618" t="s">
        <v>2953</v>
      </c>
      <c r="E3618">
        <v>-3862.11</v>
      </c>
      <c r="F3618">
        <v>-1.05</v>
      </c>
      <c r="G3618" t="s">
        <v>12</v>
      </c>
      <c r="I3618" t="s">
        <v>1428</v>
      </c>
    </row>
    <row r="3619" spans="1:9" hidden="1" x14ac:dyDescent="0.25">
      <c r="A3619" t="s">
        <v>2922</v>
      </c>
      <c r="B3619" t="s">
        <v>88</v>
      </c>
      <c r="C3619" s="2">
        <f>HYPERLINK("https://cao.dolgi.msk.ru/account/1080248675/", 1080248675)</f>
        <v>1080248675</v>
      </c>
      <c r="D3619" t="s">
        <v>2954</v>
      </c>
      <c r="E3619">
        <v>-8205.18</v>
      </c>
      <c r="F3619">
        <v>-0.99</v>
      </c>
      <c r="G3619" t="s">
        <v>12</v>
      </c>
      <c r="I3619" t="s">
        <v>1428</v>
      </c>
    </row>
    <row r="3620" spans="1:9" hidden="1" x14ac:dyDescent="0.25">
      <c r="A3620" t="s">
        <v>2922</v>
      </c>
      <c r="B3620" t="s">
        <v>90</v>
      </c>
      <c r="C3620" s="2">
        <f>HYPERLINK("https://cao.dolgi.msk.ru/account/1080248683/", 1080248683)</f>
        <v>1080248683</v>
      </c>
      <c r="D3620" t="s">
        <v>2955</v>
      </c>
      <c r="E3620">
        <v>-7366.58</v>
      </c>
      <c r="F3620">
        <v>-0.98</v>
      </c>
      <c r="G3620" t="s">
        <v>12</v>
      </c>
      <c r="I3620" t="s">
        <v>1428</v>
      </c>
    </row>
    <row r="3621" spans="1:9" hidden="1" x14ac:dyDescent="0.25">
      <c r="A3621" t="s">
        <v>2922</v>
      </c>
      <c r="B3621" t="s">
        <v>92</v>
      </c>
      <c r="C3621" s="2">
        <f>HYPERLINK("https://cao.dolgi.msk.ru/account/1080248691/", 1080248691)</f>
        <v>1080248691</v>
      </c>
      <c r="D3621" t="s">
        <v>2956</v>
      </c>
      <c r="E3621">
        <v>-6056.97</v>
      </c>
      <c r="F3621">
        <v>-0.97</v>
      </c>
      <c r="G3621" t="s">
        <v>12</v>
      </c>
      <c r="I3621" t="s">
        <v>1428</v>
      </c>
    </row>
    <row r="3622" spans="1:9" hidden="1" x14ac:dyDescent="0.25">
      <c r="A3622" t="s">
        <v>2922</v>
      </c>
      <c r="B3622" t="s">
        <v>94</v>
      </c>
      <c r="C3622" s="2">
        <f>HYPERLINK("https://cao.dolgi.msk.ru/account/1080248704/", 1080248704)</f>
        <v>1080248704</v>
      </c>
      <c r="D3622" t="s">
        <v>2957</v>
      </c>
      <c r="E3622">
        <v>-3684.62</v>
      </c>
      <c r="F3622">
        <v>-1.1000000000000001</v>
      </c>
      <c r="G3622" t="s">
        <v>12</v>
      </c>
      <c r="I3622" t="s">
        <v>1428</v>
      </c>
    </row>
    <row r="3623" spans="1:9" hidden="1" x14ac:dyDescent="0.25">
      <c r="A3623" t="s">
        <v>2922</v>
      </c>
      <c r="B3623" t="s">
        <v>96</v>
      </c>
      <c r="C3623" s="2">
        <f>HYPERLINK("https://cao.dolgi.msk.ru/account/1080248712/", 1080248712)</f>
        <v>1080248712</v>
      </c>
      <c r="D3623" t="s">
        <v>2958</v>
      </c>
      <c r="E3623">
        <v>-12178.87</v>
      </c>
      <c r="F3623">
        <v>-1.99</v>
      </c>
      <c r="G3623" t="s">
        <v>12</v>
      </c>
      <c r="I3623" t="s">
        <v>1428</v>
      </c>
    </row>
    <row r="3624" spans="1:9" hidden="1" x14ac:dyDescent="0.25">
      <c r="A3624" t="s">
        <v>2922</v>
      </c>
      <c r="B3624" t="s">
        <v>98</v>
      </c>
      <c r="C3624" s="2">
        <f>HYPERLINK("https://cao.dolgi.msk.ru/account/1080248739/", 1080248739)</f>
        <v>1080248739</v>
      </c>
      <c r="D3624" t="s">
        <v>2959</v>
      </c>
      <c r="E3624">
        <v>-11071.02</v>
      </c>
      <c r="F3624">
        <v>-1.94</v>
      </c>
      <c r="G3624" t="s">
        <v>12</v>
      </c>
      <c r="I3624" t="s">
        <v>1428</v>
      </c>
    </row>
    <row r="3625" spans="1:9" hidden="1" x14ac:dyDescent="0.25">
      <c r="A3625" t="s">
        <v>2922</v>
      </c>
      <c r="B3625" t="s">
        <v>100</v>
      </c>
      <c r="C3625" s="2">
        <f>HYPERLINK("https://cao.dolgi.msk.ru/account/1080248747/", 1080248747)</f>
        <v>1080248747</v>
      </c>
      <c r="D3625" t="s">
        <v>2960</v>
      </c>
      <c r="E3625">
        <v>-86.52</v>
      </c>
      <c r="F3625">
        <v>-0.01</v>
      </c>
      <c r="G3625" t="s">
        <v>12</v>
      </c>
      <c r="I3625" t="s">
        <v>1428</v>
      </c>
    </row>
    <row r="3626" spans="1:9" hidden="1" x14ac:dyDescent="0.25">
      <c r="A3626" t="s">
        <v>2922</v>
      </c>
      <c r="B3626" t="s">
        <v>102</v>
      </c>
      <c r="C3626" s="2">
        <f>HYPERLINK("https://cao.dolgi.msk.ru/account/1080248755/", 1080248755)</f>
        <v>1080248755</v>
      </c>
      <c r="D3626" t="s">
        <v>2961</v>
      </c>
      <c r="E3626">
        <v>-4705.38</v>
      </c>
      <c r="F3626">
        <v>-1.03</v>
      </c>
      <c r="G3626" t="s">
        <v>12</v>
      </c>
      <c r="I3626" t="s">
        <v>1428</v>
      </c>
    </row>
    <row r="3627" spans="1:9" hidden="1" x14ac:dyDescent="0.25">
      <c r="A3627" t="s">
        <v>2922</v>
      </c>
      <c r="B3627" t="s">
        <v>104</v>
      </c>
      <c r="C3627" s="2">
        <f>HYPERLINK("https://cao.dolgi.msk.ru/account/1080248763/", 1080248763)</f>
        <v>1080248763</v>
      </c>
      <c r="D3627" t="s">
        <v>2962</v>
      </c>
      <c r="E3627">
        <v>-7634.9</v>
      </c>
      <c r="F3627">
        <v>-1.04</v>
      </c>
      <c r="G3627" t="s">
        <v>12</v>
      </c>
      <c r="I3627" t="s">
        <v>1428</v>
      </c>
    </row>
    <row r="3628" spans="1:9" hidden="1" x14ac:dyDescent="0.25">
      <c r="A3628" t="s">
        <v>2922</v>
      </c>
      <c r="B3628" t="s">
        <v>106</v>
      </c>
      <c r="C3628" s="2">
        <f>HYPERLINK("https://cao.dolgi.msk.ru/account/1080248771/", 1080248771)</f>
        <v>1080248771</v>
      </c>
      <c r="D3628" t="s">
        <v>2963</v>
      </c>
      <c r="E3628">
        <v>-267.77999999999997</v>
      </c>
      <c r="F3628">
        <v>-0.03</v>
      </c>
      <c r="G3628" t="s">
        <v>12</v>
      </c>
      <c r="I3628" t="s">
        <v>1428</v>
      </c>
    </row>
    <row r="3629" spans="1:9" hidden="1" x14ac:dyDescent="0.25">
      <c r="A3629" t="s">
        <v>2922</v>
      </c>
      <c r="B3629" t="s">
        <v>108</v>
      </c>
      <c r="C3629" s="2">
        <f>HYPERLINK("https://cao.dolgi.msk.ru/account/1080248798/", 1080248798)</f>
        <v>1080248798</v>
      </c>
      <c r="D3629" t="s">
        <v>2964</v>
      </c>
      <c r="E3629">
        <v>-5006.75</v>
      </c>
      <c r="F3629">
        <v>-0.95</v>
      </c>
      <c r="G3629" t="s">
        <v>12</v>
      </c>
      <c r="I3629" t="s">
        <v>1428</v>
      </c>
    </row>
    <row r="3630" spans="1:9" hidden="1" x14ac:dyDescent="0.25">
      <c r="A3630" t="s">
        <v>2922</v>
      </c>
      <c r="B3630" t="s">
        <v>110</v>
      </c>
      <c r="C3630" s="2">
        <f>HYPERLINK("https://cao.dolgi.msk.ru/account/1080248819/", 1080248819)</f>
        <v>1080248819</v>
      </c>
      <c r="D3630" t="s">
        <v>2965</v>
      </c>
      <c r="E3630">
        <v>-2726.37</v>
      </c>
      <c r="F3630">
        <v>-1.02</v>
      </c>
      <c r="G3630" t="s">
        <v>12</v>
      </c>
      <c r="I3630" t="s">
        <v>1428</v>
      </c>
    </row>
    <row r="3631" spans="1:9" hidden="1" x14ac:dyDescent="0.25">
      <c r="A3631" t="s">
        <v>2922</v>
      </c>
      <c r="B3631" t="s">
        <v>112</v>
      </c>
      <c r="C3631" s="2">
        <f>HYPERLINK("https://cao.dolgi.msk.ru/account/1080248827/", 1080248827)</f>
        <v>1080248827</v>
      </c>
      <c r="D3631" t="s">
        <v>2966</v>
      </c>
      <c r="E3631">
        <v>-9665.14</v>
      </c>
      <c r="F3631">
        <v>-1.02</v>
      </c>
      <c r="G3631" t="s">
        <v>12</v>
      </c>
      <c r="I3631" t="s">
        <v>1428</v>
      </c>
    </row>
    <row r="3632" spans="1:9" hidden="1" x14ac:dyDescent="0.25">
      <c r="A3632" t="s">
        <v>2922</v>
      </c>
      <c r="B3632" t="s">
        <v>114</v>
      </c>
      <c r="C3632" s="2">
        <f>HYPERLINK("https://cao.dolgi.msk.ru/account/1080248835/", 1080248835)</f>
        <v>1080248835</v>
      </c>
      <c r="D3632" t="s">
        <v>2967</v>
      </c>
      <c r="E3632">
        <v>0</v>
      </c>
      <c r="F3632">
        <v>0</v>
      </c>
      <c r="G3632" t="s">
        <v>12</v>
      </c>
      <c r="I3632" t="s">
        <v>1428</v>
      </c>
    </row>
    <row r="3633" spans="1:9" hidden="1" x14ac:dyDescent="0.25">
      <c r="A3633" t="s">
        <v>2922</v>
      </c>
      <c r="B3633" t="s">
        <v>116</v>
      </c>
      <c r="C3633" s="2">
        <f>HYPERLINK("https://cao.dolgi.msk.ru/account/1080248843/", 1080248843)</f>
        <v>1080248843</v>
      </c>
      <c r="D3633" t="s">
        <v>2968</v>
      </c>
      <c r="E3633">
        <v>-12225.26</v>
      </c>
      <c r="F3633">
        <v>-1.01</v>
      </c>
      <c r="G3633" t="s">
        <v>12</v>
      </c>
      <c r="I3633" t="s">
        <v>1428</v>
      </c>
    </row>
    <row r="3634" spans="1:9" hidden="1" x14ac:dyDescent="0.25">
      <c r="A3634" t="s">
        <v>2922</v>
      </c>
      <c r="B3634" t="s">
        <v>118</v>
      </c>
      <c r="C3634" s="2">
        <f>HYPERLINK("https://cao.dolgi.msk.ru/account/1080248851/", 1080248851)</f>
        <v>1080248851</v>
      </c>
      <c r="D3634" t="s">
        <v>2969</v>
      </c>
      <c r="E3634">
        <v>-89.27</v>
      </c>
      <c r="F3634">
        <v>-0.01</v>
      </c>
      <c r="G3634" t="s">
        <v>12</v>
      </c>
      <c r="I3634" t="s">
        <v>1428</v>
      </c>
    </row>
    <row r="3635" spans="1:9" hidden="1" x14ac:dyDescent="0.25">
      <c r="A3635" t="s">
        <v>2922</v>
      </c>
      <c r="B3635" t="s">
        <v>120</v>
      </c>
      <c r="C3635" s="2">
        <f>HYPERLINK("https://cao.dolgi.msk.ru/account/1080248878/", 1080248878)</f>
        <v>1080248878</v>
      </c>
      <c r="D3635" t="s">
        <v>2968</v>
      </c>
      <c r="E3635">
        <v>-7157.37</v>
      </c>
      <c r="F3635">
        <v>-1.06</v>
      </c>
      <c r="G3635" t="s">
        <v>12</v>
      </c>
      <c r="I3635" t="s">
        <v>1428</v>
      </c>
    </row>
    <row r="3636" spans="1:9" hidden="1" x14ac:dyDescent="0.25">
      <c r="A3636" t="s">
        <v>2922</v>
      </c>
      <c r="B3636" t="s">
        <v>122</v>
      </c>
      <c r="C3636" s="2">
        <f>HYPERLINK("https://cao.dolgi.msk.ru/account/1080248886/", 1080248886)</f>
        <v>1080248886</v>
      </c>
      <c r="D3636" t="s">
        <v>2970</v>
      </c>
      <c r="E3636">
        <v>-7090.51</v>
      </c>
      <c r="F3636">
        <v>-1.02</v>
      </c>
      <c r="G3636" t="s">
        <v>12</v>
      </c>
      <c r="I3636" t="s">
        <v>1428</v>
      </c>
    </row>
    <row r="3637" spans="1:9" hidden="1" x14ac:dyDescent="0.25">
      <c r="A3637" t="s">
        <v>2922</v>
      </c>
      <c r="B3637" t="s">
        <v>124</v>
      </c>
      <c r="C3637" s="2">
        <f>HYPERLINK("https://cao.dolgi.msk.ru/account/1080248894/", 1080248894)</f>
        <v>1080248894</v>
      </c>
      <c r="D3637" t="s">
        <v>2971</v>
      </c>
      <c r="E3637">
        <v>-9577.5</v>
      </c>
      <c r="F3637">
        <v>-1.01</v>
      </c>
      <c r="G3637" t="s">
        <v>12</v>
      </c>
      <c r="I3637" t="s">
        <v>1428</v>
      </c>
    </row>
    <row r="3638" spans="1:9" hidden="1" x14ac:dyDescent="0.25">
      <c r="A3638" t="s">
        <v>2922</v>
      </c>
      <c r="B3638" t="s">
        <v>126</v>
      </c>
      <c r="C3638" s="2">
        <f>HYPERLINK("https://cao.dolgi.msk.ru/account/1080248907/", 1080248907)</f>
        <v>1080248907</v>
      </c>
      <c r="D3638" t="s">
        <v>2972</v>
      </c>
      <c r="E3638">
        <v>-2499.41</v>
      </c>
      <c r="F3638">
        <v>-1.07</v>
      </c>
      <c r="G3638" t="s">
        <v>12</v>
      </c>
      <c r="I3638" t="s">
        <v>1428</v>
      </c>
    </row>
    <row r="3639" spans="1:9" hidden="1" x14ac:dyDescent="0.25">
      <c r="A3639" t="s">
        <v>2922</v>
      </c>
      <c r="B3639" t="s">
        <v>126</v>
      </c>
      <c r="C3639" s="2">
        <f>HYPERLINK("https://cao.dolgi.msk.ru/account/1080324666/", 1080324666)</f>
        <v>1080324666</v>
      </c>
      <c r="D3639" t="s">
        <v>2972</v>
      </c>
      <c r="E3639">
        <v>-3381.26</v>
      </c>
      <c r="F3639">
        <v>-1.19</v>
      </c>
      <c r="G3639" t="s">
        <v>12</v>
      </c>
      <c r="I3639" t="s">
        <v>1428</v>
      </c>
    </row>
    <row r="3640" spans="1:9" hidden="1" x14ac:dyDescent="0.25">
      <c r="A3640" t="s">
        <v>2922</v>
      </c>
      <c r="B3640" t="s">
        <v>128</v>
      </c>
      <c r="C3640" s="2">
        <f>HYPERLINK("https://cao.dolgi.msk.ru/account/1080248915/", 1080248915)</f>
        <v>1080248915</v>
      </c>
      <c r="D3640" t="s">
        <v>2973</v>
      </c>
      <c r="E3640">
        <v>-276.83999999999997</v>
      </c>
      <c r="F3640">
        <v>-0.03</v>
      </c>
      <c r="G3640" t="s">
        <v>12</v>
      </c>
      <c r="I3640" t="s">
        <v>1428</v>
      </c>
    </row>
    <row r="3641" spans="1:9" hidden="1" x14ac:dyDescent="0.25">
      <c r="A3641" t="s">
        <v>2922</v>
      </c>
      <c r="B3641" t="s">
        <v>128</v>
      </c>
      <c r="C3641" s="2">
        <f>HYPERLINK("https://cao.dolgi.msk.ru/account/1083270878/", 1083270878)</f>
        <v>1083270878</v>
      </c>
      <c r="D3641" t="s">
        <v>15</v>
      </c>
      <c r="E3641">
        <v>0</v>
      </c>
      <c r="G3641" t="s">
        <v>14</v>
      </c>
      <c r="I3641" t="s">
        <v>1428</v>
      </c>
    </row>
    <row r="3642" spans="1:9" hidden="1" x14ac:dyDescent="0.25">
      <c r="A3642" t="s">
        <v>2922</v>
      </c>
      <c r="B3642" t="s">
        <v>130</v>
      </c>
      <c r="C3642" s="2">
        <f>HYPERLINK("https://cao.dolgi.msk.ru/account/1080248923/", 1080248923)</f>
        <v>1080248923</v>
      </c>
      <c r="D3642" t="s">
        <v>2974</v>
      </c>
      <c r="E3642">
        <v>-26.83</v>
      </c>
      <c r="F3642">
        <v>0</v>
      </c>
      <c r="G3642" t="s">
        <v>12</v>
      </c>
      <c r="I3642" t="s">
        <v>1428</v>
      </c>
    </row>
    <row r="3643" spans="1:9" x14ac:dyDescent="0.25">
      <c r="A3643" t="s">
        <v>2922</v>
      </c>
      <c r="B3643" t="s">
        <v>132</v>
      </c>
      <c r="C3643" s="2">
        <f>HYPERLINK("https://cao.dolgi.msk.ru/account/1080248931/", 1080248931)</f>
        <v>1080248931</v>
      </c>
      <c r="D3643" t="s">
        <v>2975</v>
      </c>
      <c r="E3643">
        <v>15238.09</v>
      </c>
      <c r="F3643">
        <v>1.99</v>
      </c>
      <c r="G3643" t="s">
        <v>12</v>
      </c>
      <c r="I3643" t="s">
        <v>1428</v>
      </c>
    </row>
    <row r="3644" spans="1:9" hidden="1" x14ac:dyDescent="0.25">
      <c r="A3644" t="s">
        <v>2922</v>
      </c>
      <c r="B3644" t="s">
        <v>133</v>
      </c>
      <c r="C3644" s="2">
        <f>HYPERLINK("https://cao.dolgi.msk.ru/account/1080248958/", 1080248958)</f>
        <v>1080248958</v>
      </c>
      <c r="D3644" t="s">
        <v>2976</v>
      </c>
      <c r="E3644">
        <v>-4999.0600000000004</v>
      </c>
      <c r="F3644">
        <v>-1.03</v>
      </c>
      <c r="G3644" t="s">
        <v>12</v>
      </c>
      <c r="I3644" t="s">
        <v>1428</v>
      </c>
    </row>
    <row r="3645" spans="1:9" hidden="1" x14ac:dyDescent="0.25">
      <c r="A3645" t="s">
        <v>2922</v>
      </c>
      <c r="B3645" t="s">
        <v>135</v>
      </c>
      <c r="C3645" s="2">
        <f>HYPERLINK("https://cao.dolgi.msk.ru/account/1080248966/", 1080248966)</f>
        <v>1080248966</v>
      </c>
      <c r="D3645" t="s">
        <v>2977</v>
      </c>
      <c r="E3645">
        <v>-6736.42</v>
      </c>
      <c r="F3645">
        <v>-0.99</v>
      </c>
      <c r="G3645" t="s">
        <v>12</v>
      </c>
      <c r="I3645" t="s">
        <v>1428</v>
      </c>
    </row>
    <row r="3646" spans="1:9" x14ac:dyDescent="0.25">
      <c r="A3646" t="s">
        <v>2922</v>
      </c>
      <c r="B3646" t="s">
        <v>137</v>
      </c>
      <c r="C3646" s="2">
        <f>HYPERLINK("https://cao.dolgi.msk.ru/account/1080248982/", 1080248982)</f>
        <v>1080248982</v>
      </c>
      <c r="D3646" t="s">
        <v>2978</v>
      </c>
      <c r="E3646">
        <v>436948.64</v>
      </c>
      <c r="F3646">
        <v>39.25</v>
      </c>
      <c r="G3646" t="s">
        <v>12</v>
      </c>
      <c r="I3646" t="s">
        <v>1428</v>
      </c>
    </row>
    <row r="3647" spans="1:9" hidden="1" x14ac:dyDescent="0.25">
      <c r="A3647" t="s">
        <v>2922</v>
      </c>
      <c r="B3647" t="s">
        <v>139</v>
      </c>
      <c r="C3647" s="2">
        <f>HYPERLINK("https://cao.dolgi.msk.ru/account/1080249002/", 1080249002)</f>
        <v>1080249002</v>
      </c>
      <c r="D3647" t="s">
        <v>2979</v>
      </c>
      <c r="E3647">
        <v>-6059.2</v>
      </c>
      <c r="F3647">
        <v>-1.02</v>
      </c>
      <c r="G3647" t="s">
        <v>12</v>
      </c>
      <c r="I3647" t="s">
        <v>1428</v>
      </c>
    </row>
    <row r="3648" spans="1:9" hidden="1" x14ac:dyDescent="0.25">
      <c r="A3648" t="s">
        <v>2922</v>
      </c>
      <c r="B3648" t="s">
        <v>141</v>
      </c>
      <c r="C3648" s="2">
        <f>HYPERLINK("https://cao.dolgi.msk.ru/account/1080249029/", 1080249029)</f>
        <v>1080249029</v>
      </c>
      <c r="D3648" t="s">
        <v>2980</v>
      </c>
      <c r="E3648">
        <v>-76.87</v>
      </c>
      <c r="F3648">
        <v>-0.01</v>
      </c>
      <c r="G3648" t="s">
        <v>12</v>
      </c>
      <c r="I3648" t="s">
        <v>1428</v>
      </c>
    </row>
    <row r="3649" spans="1:9" hidden="1" x14ac:dyDescent="0.25">
      <c r="A3649" t="s">
        <v>2922</v>
      </c>
      <c r="B3649" t="s">
        <v>143</v>
      </c>
      <c r="C3649" s="2">
        <f>HYPERLINK("https://cao.dolgi.msk.ru/account/1080249037/", 1080249037)</f>
        <v>1080249037</v>
      </c>
      <c r="D3649" t="s">
        <v>2981</v>
      </c>
      <c r="E3649">
        <v>-6729.22</v>
      </c>
      <c r="F3649">
        <v>-1</v>
      </c>
      <c r="G3649" t="s">
        <v>12</v>
      </c>
      <c r="I3649" t="s">
        <v>1428</v>
      </c>
    </row>
    <row r="3650" spans="1:9" hidden="1" x14ac:dyDescent="0.25">
      <c r="A3650" t="s">
        <v>2922</v>
      </c>
      <c r="B3650" t="s">
        <v>145</v>
      </c>
      <c r="C3650" s="2">
        <f>HYPERLINK("https://cao.dolgi.msk.ru/account/1080249045/", 1080249045)</f>
        <v>1080249045</v>
      </c>
      <c r="D3650" t="s">
        <v>2982</v>
      </c>
      <c r="E3650">
        <v>-10879.4</v>
      </c>
      <c r="F3650">
        <v>-1.01</v>
      </c>
      <c r="G3650" t="s">
        <v>12</v>
      </c>
      <c r="I3650" t="s">
        <v>1428</v>
      </c>
    </row>
    <row r="3651" spans="1:9" hidden="1" x14ac:dyDescent="0.25">
      <c r="A3651" t="s">
        <v>2922</v>
      </c>
      <c r="B3651" t="s">
        <v>145</v>
      </c>
      <c r="C3651" s="2">
        <f>HYPERLINK("https://cao.dolgi.msk.ru/account/1080249053/", 1080249053)</f>
        <v>1080249053</v>
      </c>
      <c r="D3651" t="s">
        <v>15</v>
      </c>
      <c r="E3651">
        <v>0</v>
      </c>
      <c r="G3651" t="s">
        <v>14</v>
      </c>
      <c r="I3651" t="s">
        <v>1428</v>
      </c>
    </row>
    <row r="3652" spans="1:9" hidden="1" x14ac:dyDescent="0.25">
      <c r="A3652" t="s">
        <v>2922</v>
      </c>
      <c r="B3652" t="s">
        <v>145</v>
      </c>
      <c r="C3652" s="2">
        <f>HYPERLINK("https://cao.dolgi.msk.ru/account/1080249061/", 1080249061)</f>
        <v>1080249061</v>
      </c>
      <c r="D3652" t="s">
        <v>2982</v>
      </c>
      <c r="E3652">
        <v>0</v>
      </c>
      <c r="G3652" t="s">
        <v>14</v>
      </c>
      <c r="I3652" t="s">
        <v>1428</v>
      </c>
    </row>
    <row r="3653" spans="1:9" hidden="1" x14ac:dyDescent="0.25">
      <c r="A3653" t="s">
        <v>2922</v>
      </c>
      <c r="B3653" t="s">
        <v>147</v>
      </c>
      <c r="C3653" s="2">
        <f>HYPERLINK("https://cao.dolgi.msk.ru/account/1080249088/", 1080249088)</f>
        <v>1080249088</v>
      </c>
      <c r="D3653" t="s">
        <v>2983</v>
      </c>
      <c r="E3653">
        <v>5255.6</v>
      </c>
      <c r="F3653">
        <v>0.95</v>
      </c>
      <c r="G3653" t="s">
        <v>12</v>
      </c>
      <c r="I3653" t="s">
        <v>1428</v>
      </c>
    </row>
    <row r="3654" spans="1:9" hidden="1" x14ac:dyDescent="0.25">
      <c r="A3654" t="s">
        <v>2922</v>
      </c>
      <c r="B3654" t="s">
        <v>151</v>
      </c>
      <c r="C3654" s="2">
        <f>HYPERLINK("https://cao.dolgi.msk.ru/account/1080249109/", 1080249109)</f>
        <v>1080249109</v>
      </c>
      <c r="D3654" t="s">
        <v>2984</v>
      </c>
      <c r="E3654">
        <v>0</v>
      </c>
      <c r="F3654">
        <v>0</v>
      </c>
      <c r="G3654" t="s">
        <v>12</v>
      </c>
      <c r="I3654" t="s">
        <v>1428</v>
      </c>
    </row>
    <row r="3655" spans="1:9" hidden="1" x14ac:dyDescent="0.25">
      <c r="A3655" t="s">
        <v>2922</v>
      </c>
      <c r="B3655" t="s">
        <v>153</v>
      </c>
      <c r="C3655" s="2">
        <f>HYPERLINK("https://cao.dolgi.msk.ru/account/1080249117/", 1080249117)</f>
        <v>1080249117</v>
      </c>
      <c r="D3655" t="s">
        <v>2985</v>
      </c>
      <c r="E3655">
        <v>-6439.2</v>
      </c>
      <c r="F3655">
        <v>-1.07</v>
      </c>
      <c r="G3655" t="s">
        <v>12</v>
      </c>
      <c r="I3655" t="s">
        <v>1428</v>
      </c>
    </row>
    <row r="3656" spans="1:9" hidden="1" x14ac:dyDescent="0.25">
      <c r="A3656" t="s">
        <v>2922</v>
      </c>
      <c r="B3656" t="s">
        <v>155</v>
      </c>
      <c r="C3656" s="2">
        <f>HYPERLINK("https://cao.dolgi.msk.ru/account/1080249125/", 1080249125)</f>
        <v>1080249125</v>
      </c>
      <c r="D3656" t="s">
        <v>2986</v>
      </c>
      <c r="E3656">
        <v>-6959.32</v>
      </c>
      <c r="F3656">
        <v>-1.02</v>
      </c>
      <c r="G3656" t="s">
        <v>12</v>
      </c>
      <c r="I3656" t="s">
        <v>1428</v>
      </c>
    </row>
    <row r="3657" spans="1:9" hidden="1" x14ac:dyDescent="0.25">
      <c r="A3657" t="s">
        <v>2922</v>
      </c>
      <c r="B3657" t="s">
        <v>157</v>
      </c>
      <c r="C3657" s="2">
        <f>HYPERLINK("https://cao.dolgi.msk.ru/account/1080249133/", 1080249133)</f>
        <v>1080249133</v>
      </c>
      <c r="D3657" t="s">
        <v>2987</v>
      </c>
      <c r="E3657">
        <v>-4050.87</v>
      </c>
      <c r="F3657">
        <v>-1.06</v>
      </c>
      <c r="G3657" t="s">
        <v>12</v>
      </c>
      <c r="I3657" t="s">
        <v>1428</v>
      </c>
    </row>
    <row r="3658" spans="1:9" hidden="1" x14ac:dyDescent="0.25">
      <c r="A3658" t="s">
        <v>2922</v>
      </c>
      <c r="B3658" t="s">
        <v>159</v>
      </c>
      <c r="C3658" s="2">
        <f>HYPERLINK("https://cao.dolgi.msk.ru/account/1080249141/", 1080249141)</f>
        <v>1080249141</v>
      </c>
      <c r="D3658" t="s">
        <v>2988</v>
      </c>
      <c r="E3658">
        <v>-9287.4</v>
      </c>
      <c r="F3658">
        <v>-1.03</v>
      </c>
      <c r="G3658" t="s">
        <v>12</v>
      </c>
      <c r="I3658" t="s">
        <v>1428</v>
      </c>
    </row>
    <row r="3659" spans="1:9" hidden="1" x14ac:dyDescent="0.25">
      <c r="A3659" t="s">
        <v>2922</v>
      </c>
      <c r="B3659" t="s">
        <v>161</v>
      </c>
      <c r="C3659" s="2">
        <f>HYPERLINK("https://cao.dolgi.msk.ru/account/1080249168/", 1080249168)</f>
        <v>1080249168</v>
      </c>
      <c r="D3659" t="s">
        <v>2989</v>
      </c>
      <c r="E3659">
        <v>0</v>
      </c>
      <c r="F3659">
        <v>0</v>
      </c>
      <c r="G3659" t="s">
        <v>12</v>
      </c>
      <c r="I3659" t="s">
        <v>1428</v>
      </c>
    </row>
    <row r="3660" spans="1:9" hidden="1" x14ac:dyDescent="0.25">
      <c r="A3660" t="s">
        <v>2922</v>
      </c>
      <c r="B3660" t="s">
        <v>163</v>
      </c>
      <c r="C3660" s="2">
        <f>HYPERLINK("https://cao.dolgi.msk.ru/account/1080249176/", 1080249176)</f>
        <v>1080249176</v>
      </c>
      <c r="D3660" t="s">
        <v>2990</v>
      </c>
      <c r="E3660">
        <v>-4391.7299999999996</v>
      </c>
      <c r="F3660">
        <v>-1.02</v>
      </c>
      <c r="G3660" t="s">
        <v>12</v>
      </c>
      <c r="I3660" t="s">
        <v>1428</v>
      </c>
    </row>
    <row r="3661" spans="1:9" hidden="1" x14ac:dyDescent="0.25">
      <c r="A3661" t="s">
        <v>2922</v>
      </c>
      <c r="B3661" t="s">
        <v>571</v>
      </c>
      <c r="C3661" s="2">
        <f>HYPERLINK("https://cao.dolgi.msk.ru/account/1080249184/", 1080249184)</f>
        <v>1080249184</v>
      </c>
      <c r="D3661" t="s">
        <v>2991</v>
      </c>
      <c r="E3661">
        <v>-7711.87</v>
      </c>
      <c r="F3661">
        <v>-1.02</v>
      </c>
      <c r="G3661" t="s">
        <v>12</v>
      </c>
      <c r="I3661" t="s">
        <v>1428</v>
      </c>
    </row>
    <row r="3662" spans="1:9" hidden="1" x14ac:dyDescent="0.25">
      <c r="A3662" t="s">
        <v>2922</v>
      </c>
      <c r="B3662" t="s">
        <v>682</v>
      </c>
      <c r="C3662" s="2">
        <f>HYPERLINK("https://cao.dolgi.msk.ru/account/1080249192/", 1080249192)</f>
        <v>1080249192</v>
      </c>
      <c r="D3662" t="s">
        <v>2992</v>
      </c>
      <c r="E3662">
        <v>-9.27</v>
      </c>
      <c r="F3662">
        <v>0</v>
      </c>
      <c r="G3662" t="s">
        <v>12</v>
      </c>
      <c r="I3662" t="s">
        <v>1428</v>
      </c>
    </row>
    <row r="3663" spans="1:9" hidden="1" x14ac:dyDescent="0.25">
      <c r="A3663" t="s">
        <v>2922</v>
      </c>
      <c r="B3663" t="s">
        <v>682</v>
      </c>
      <c r="C3663" s="2">
        <f>HYPERLINK("https://cao.dolgi.msk.ru/account/1080249205/", 1080249205)</f>
        <v>1080249205</v>
      </c>
      <c r="D3663" t="s">
        <v>2993</v>
      </c>
      <c r="E3663">
        <v>0</v>
      </c>
      <c r="G3663" t="s">
        <v>14</v>
      </c>
      <c r="I3663" t="s">
        <v>1428</v>
      </c>
    </row>
    <row r="3664" spans="1:9" x14ac:dyDescent="0.25">
      <c r="A3664" t="s">
        <v>2922</v>
      </c>
      <c r="B3664" t="s">
        <v>578</v>
      </c>
      <c r="C3664" s="2">
        <f>HYPERLINK("https://cao.dolgi.msk.ru/account/1080249213/", 1080249213)</f>
        <v>1080249213</v>
      </c>
      <c r="D3664" t="s">
        <v>2994</v>
      </c>
      <c r="E3664">
        <v>55489.13</v>
      </c>
      <c r="F3664">
        <v>3.95</v>
      </c>
      <c r="G3664" t="s">
        <v>12</v>
      </c>
      <c r="I3664" t="s">
        <v>1428</v>
      </c>
    </row>
    <row r="3665" spans="1:9" hidden="1" x14ac:dyDescent="0.25">
      <c r="A3665" t="s">
        <v>2922</v>
      </c>
      <c r="B3665" t="s">
        <v>580</v>
      </c>
      <c r="C3665" s="2">
        <f>HYPERLINK("https://cao.dolgi.msk.ru/account/1080249221/", 1080249221)</f>
        <v>1080249221</v>
      </c>
      <c r="D3665" t="s">
        <v>2995</v>
      </c>
      <c r="E3665">
        <v>-5776.39</v>
      </c>
      <c r="F3665">
        <v>-1.07</v>
      </c>
      <c r="G3665" t="s">
        <v>12</v>
      </c>
      <c r="I3665" t="s">
        <v>1428</v>
      </c>
    </row>
    <row r="3666" spans="1:9" hidden="1" x14ac:dyDescent="0.25">
      <c r="A3666" t="s">
        <v>2922</v>
      </c>
      <c r="B3666" t="s">
        <v>686</v>
      </c>
      <c r="C3666" s="2">
        <f>HYPERLINK("https://cao.dolgi.msk.ru/account/1080249248/", 1080249248)</f>
        <v>1080249248</v>
      </c>
      <c r="D3666" t="s">
        <v>2996</v>
      </c>
      <c r="E3666">
        <v>329.42</v>
      </c>
      <c r="F3666">
        <v>0.05</v>
      </c>
      <c r="G3666" t="s">
        <v>12</v>
      </c>
      <c r="I3666" t="s">
        <v>1428</v>
      </c>
    </row>
    <row r="3667" spans="1:9" hidden="1" x14ac:dyDescent="0.25">
      <c r="A3667" t="s">
        <v>2922</v>
      </c>
      <c r="B3667" t="s">
        <v>582</v>
      </c>
      <c r="C3667" s="2">
        <f>HYPERLINK("https://cao.dolgi.msk.ru/account/1080249256/", 1080249256)</f>
        <v>1080249256</v>
      </c>
      <c r="D3667" t="s">
        <v>2997</v>
      </c>
      <c r="E3667">
        <v>-15920.26</v>
      </c>
      <c r="F3667">
        <v>-2.42</v>
      </c>
      <c r="G3667" t="s">
        <v>12</v>
      </c>
      <c r="I3667" t="s">
        <v>1428</v>
      </c>
    </row>
    <row r="3668" spans="1:9" hidden="1" x14ac:dyDescent="0.25">
      <c r="A3668" t="s">
        <v>2922</v>
      </c>
      <c r="B3668" t="s">
        <v>582</v>
      </c>
      <c r="C3668" s="2">
        <f>HYPERLINK("https://cao.dolgi.msk.ru/account/1083272929/", 1083272929)</f>
        <v>1083272929</v>
      </c>
      <c r="D3668" t="s">
        <v>15</v>
      </c>
      <c r="E3668">
        <v>-5451.79</v>
      </c>
      <c r="F3668">
        <v>-1.71</v>
      </c>
      <c r="G3668" t="s">
        <v>12</v>
      </c>
      <c r="I3668" t="s">
        <v>1428</v>
      </c>
    </row>
    <row r="3669" spans="1:9" hidden="1" x14ac:dyDescent="0.25">
      <c r="A3669" t="s">
        <v>2922</v>
      </c>
      <c r="B3669" t="s">
        <v>584</v>
      </c>
      <c r="C3669" s="2">
        <f>HYPERLINK("https://cao.dolgi.msk.ru/account/1080249264/", 1080249264)</f>
        <v>1080249264</v>
      </c>
      <c r="D3669" t="s">
        <v>2998</v>
      </c>
      <c r="E3669">
        <v>11686.45</v>
      </c>
      <c r="F3669">
        <v>0.98</v>
      </c>
      <c r="G3669" t="s">
        <v>12</v>
      </c>
      <c r="I3669" t="s">
        <v>1428</v>
      </c>
    </row>
    <row r="3670" spans="1:9" hidden="1" x14ac:dyDescent="0.25">
      <c r="A3670" t="s">
        <v>2922</v>
      </c>
      <c r="B3670" t="s">
        <v>586</v>
      </c>
      <c r="C3670" s="2">
        <f>HYPERLINK("https://cao.dolgi.msk.ru/account/1080249272/", 1080249272)</f>
        <v>1080249272</v>
      </c>
      <c r="D3670" t="s">
        <v>2999</v>
      </c>
      <c r="E3670">
        <v>-7393.32</v>
      </c>
      <c r="F3670">
        <v>-1.01</v>
      </c>
      <c r="G3670" t="s">
        <v>12</v>
      </c>
      <c r="I3670" t="s">
        <v>1428</v>
      </c>
    </row>
    <row r="3671" spans="1:9" hidden="1" x14ac:dyDescent="0.25">
      <c r="A3671" t="s">
        <v>2922</v>
      </c>
      <c r="B3671" t="s">
        <v>588</v>
      </c>
      <c r="C3671" s="2">
        <f>HYPERLINK("https://cao.dolgi.msk.ru/account/1080249299/", 1080249299)</f>
        <v>1080249299</v>
      </c>
      <c r="D3671" t="s">
        <v>3000</v>
      </c>
      <c r="E3671">
        <v>0</v>
      </c>
      <c r="F3671">
        <v>0</v>
      </c>
      <c r="G3671" t="s">
        <v>12</v>
      </c>
      <c r="I3671" t="s">
        <v>1428</v>
      </c>
    </row>
    <row r="3672" spans="1:9" hidden="1" x14ac:dyDescent="0.25">
      <c r="A3672" t="s">
        <v>2922</v>
      </c>
      <c r="B3672" t="s">
        <v>590</v>
      </c>
      <c r="C3672" s="2">
        <f>HYPERLINK("https://cao.dolgi.msk.ru/account/1080249301/", 1080249301)</f>
        <v>1080249301</v>
      </c>
      <c r="D3672" t="s">
        <v>3001</v>
      </c>
      <c r="E3672">
        <v>-7566.62</v>
      </c>
      <c r="F3672">
        <v>-1.03</v>
      </c>
      <c r="G3672" t="s">
        <v>12</v>
      </c>
      <c r="I3672" t="s">
        <v>1428</v>
      </c>
    </row>
    <row r="3673" spans="1:9" hidden="1" x14ac:dyDescent="0.25">
      <c r="A3673" t="s">
        <v>2922</v>
      </c>
      <c r="B3673" t="s">
        <v>693</v>
      </c>
      <c r="C3673" s="2">
        <f>HYPERLINK("https://cao.dolgi.msk.ru/account/1080249336/", 1080249336)</f>
        <v>1080249336</v>
      </c>
      <c r="D3673" t="s">
        <v>3002</v>
      </c>
      <c r="E3673">
        <v>-10657.2</v>
      </c>
      <c r="F3673">
        <v>-1.1499999999999999</v>
      </c>
      <c r="G3673" t="s">
        <v>12</v>
      </c>
      <c r="I3673" t="s">
        <v>1428</v>
      </c>
    </row>
    <row r="3674" spans="1:9" hidden="1" x14ac:dyDescent="0.25">
      <c r="A3674" t="s">
        <v>2922</v>
      </c>
      <c r="B3674" t="s">
        <v>694</v>
      </c>
      <c r="C3674" s="2">
        <f>HYPERLINK("https://cao.dolgi.msk.ru/account/1080249352/", 1080249352)</f>
        <v>1080249352</v>
      </c>
      <c r="D3674" t="s">
        <v>3003</v>
      </c>
      <c r="E3674">
        <v>-5280.01</v>
      </c>
      <c r="F3674">
        <v>-1.01</v>
      </c>
      <c r="G3674" t="s">
        <v>12</v>
      </c>
      <c r="I3674" t="s">
        <v>1428</v>
      </c>
    </row>
    <row r="3675" spans="1:9" hidden="1" x14ac:dyDescent="0.25">
      <c r="A3675" t="s">
        <v>2922</v>
      </c>
      <c r="B3675" t="s">
        <v>696</v>
      </c>
      <c r="C3675" s="2">
        <f>HYPERLINK("https://cao.dolgi.msk.ru/account/1080249379/", 1080249379)</f>
        <v>1080249379</v>
      </c>
      <c r="D3675" t="s">
        <v>3004</v>
      </c>
      <c r="E3675">
        <v>-500.51</v>
      </c>
      <c r="F3675">
        <v>-0.08</v>
      </c>
      <c r="G3675" t="s">
        <v>12</v>
      </c>
      <c r="I3675" t="s">
        <v>1428</v>
      </c>
    </row>
    <row r="3676" spans="1:9" hidden="1" x14ac:dyDescent="0.25">
      <c r="A3676" t="s">
        <v>2922</v>
      </c>
      <c r="B3676" t="s">
        <v>698</v>
      </c>
      <c r="C3676" s="2">
        <f>HYPERLINK("https://cao.dolgi.msk.ru/account/1080249387/", 1080249387)</f>
        <v>1080249387</v>
      </c>
      <c r="D3676" t="s">
        <v>3005</v>
      </c>
      <c r="E3676">
        <v>-14379.3</v>
      </c>
      <c r="F3676">
        <v>-1.01</v>
      </c>
      <c r="G3676" t="s">
        <v>12</v>
      </c>
      <c r="I3676" t="s">
        <v>1428</v>
      </c>
    </row>
    <row r="3677" spans="1:9" hidden="1" x14ac:dyDescent="0.25">
      <c r="A3677" t="s">
        <v>2922</v>
      </c>
      <c r="B3677" t="s">
        <v>700</v>
      </c>
      <c r="C3677" s="2">
        <f>HYPERLINK("https://cao.dolgi.msk.ru/account/1080249395/", 1080249395)</f>
        <v>1080249395</v>
      </c>
      <c r="D3677" t="s">
        <v>3006</v>
      </c>
      <c r="E3677">
        <v>0</v>
      </c>
      <c r="G3677" t="s">
        <v>14</v>
      </c>
      <c r="I3677" t="s">
        <v>1428</v>
      </c>
    </row>
    <row r="3678" spans="1:9" hidden="1" x14ac:dyDescent="0.25">
      <c r="A3678" t="s">
        <v>2922</v>
      </c>
      <c r="B3678" t="s">
        <v>702</v>
      </c>
      <c r="C3678" s="2">
        <f>HYPERLINK("https://cao.dolgi.msk.ru/account/1080249408/", 1080249408)</f>
        <v>1080249408</v>
      </c>
      <c r="D3678" t="s">
        <v>3007</v>
      </c>
      <c r="E3678">
        <v>-8942.4500000000007</v>
      </c>
      <c r="F3678">
        <v>-1.05</v>
      </c>
      <c r="G3678" t="s">
        <v>12</v>
      </c>
      <c r="I3678" t="s">
        <v>1428</v>
      </c>
    </row>
    <row r="3679" spans="1:9" hidden="1" x14ac:dyDescent="0.25">
      <c r="A3679" t="s">
        <v>2922</v>
      </c>
      <c r="B3679" t="s">
        <v>703</v>
      </c>
      <c r="C3679" s="2">
        <f>HYPERLINK("https://cao.dolgi.msk.ru/account/1080249416/", 1080249416)</f>
        <v>1080249416</v>
      </c>
      <c r="D3679" t="s">
        <v>3008</v>
      </c>
      <c r="E3679">
        <v>3669.51</v>
      </c>
      <c r="F3679">
        <v>0.49</v>
      </c>
      <c r="G3679" t="s">
        <v>12</v>
      </c>
      <c r="I3679" t="s">
        <v>1428</v>
      </c>
    </row>
    <row r="3680" spans="1:9" hidden="1" x14ac:dyDescent="0.25">
      <c r="A3680" t="s">
        <v>2922</v>
      </c>
      <c r="B3680" t="s">
        <v>705</v>
      </c>
      <c r="C3680" s="2">
        <f>HYPERLINK("https://cao.dolgi.msk.ru/account/1080249424/", 1080249424)</f>
        <v>1080249424</v>
      </c>
      <c r="D3680" t="s">
        <v>1082</v>
      </c>
      <c r="E3680">
        <v>-428.8</v>
      </c>
      <c r="F3680">
        <v>-0.08</v>
      </c>
      <c r="G3680" t="s">
        <v>12</v>
      </c>
      <c r="I3680" t="s">
        <v>1428</v>
      </c>
    </row>
    <row r="3681" spans="1:9" hidden="1" x14ac:dyDescent="0.25">
      <c r="A3681" t="s">
        <v>2922</v>
      </c>
      <c r="B3681" t="s">
        <v>707</v>
      </c>
      <c r="C3681" s="2">
        <f>HYPERLINK("https://cao.dolgi.msk.ru/account/1080249432/", 1080249432)</f>
        <v>1080249432</v>
      </c>
      <c r="D3681" t="s">
        <v>3009</v>
      </c>
      <c r="E3681">
        <v>-8276.48</v>
      </c>
      <c r="F3681">
        <v>-1.01</v>
      </c>
      <c r="G3681" t="s">
        <v>12</v>
      </c>
      <c r="I3681" t="s">
        <v>1428</v>
      </c>
    </row>
    <row r="3682" spans="1:9" hidden="1" x14ac:dyDescent="0.25">
      <c r="A3682" t="s">
        <v>2922</v>
      </c>
      <c r="B3682" t="s">
        <v>709</v>
      </c>
      <c r="C3682" s="2">
        <f>HYPERLINK("https://cao.dolgi.msk.ru/account/1080249758/", 1080249758)</f>
        <v>1080249758</v>
      </c>
      <c r="D3682" t="s">
        <v>3010</v>
      </c>
      <c r="E3682">
        <v>-4730.82</v>
      </c>
      <c r="F3682">
        <v>-0.99</v>
      </c>
      <c r="G3682" t="s">
        <v>12</v>
      </c>
      <c r="I3682" t="s">
        <v>1428</v>
      </c>
    </row>
    <row r="3683" spans="1:9" hidden="1" x14ac:dyDescent="0.25">
      <c r="A3683" t="s">
        <v>2922</v>
      </c>
      <c r="B3683" t="s">
        <v>711</v>
      </c>
      <c r="C3683" s="2">
        <f>HYPERLINK("https://cao.dolgi.msk.ru/account/1080249459/", 1080249459)</f>
        <v>1080249459</v>
      </c>
      <c r="D3683" t="s">
        <v>3011</v>
      </c>
      <c r="E3683">
        <v>-7546.88</v>
      </c>
      <c r="F3683">
        <v>-0.98</v>
      </c>
      <c r="G3683" t="s">
        <v>12</v>
      </c>
      <c r="I3683" t="s">
        <v>1428</v>
      </c>
    </row>
    <row r="3684" spans="1:9" hidden="1" x14ac:dyDescent="0.25">
      <c r="A3684" t="s">
        <v>2922</v>
      </c>
      <c r="B3684" t="s">
        <v>713</v>
      </c>
      <c r="C3684" s="2">
        <f>HYPERLINK("https://cao.dolgi.msk.ru/account/1080249467/", 1080249467)</f>
        <v>1080249467</v>
      </c>
      <c r="D3684" t="s">
        <v>3012</v>
      </c>
      <c r="E3684">
        <v>-6368.18</v>
      </c>
      <c r="F3684">
        <v>-1.01</v>
      </c>
      <c r="G3684" t="s">
        <v>12</v>
      </c>
      <c r="I3684" t="s">
        <v>1428</v>
      </c>
    </row>
    <row r="3685" spans="1:9" hidden="1" x14ac:dyDescent="0.25">
      <c r="A3685" t="s">
        <v>2922</v>
      </c>
      <c r="B3685" t="s">
        <v>528</v>
      </c>
      <c r="C3685" s="2">
        <f>HYPERLINK("https://cao.dolgi.msk.ru/account/1080249475/", 1080249475)</f>
        <v>1080249475</v>
      </c>
      <c r="D3685" t="s">
        <v>3013</v>
      </c>
      <c r="E3685">
        <v>-7991.68</v>
      </c>
      <c r="F3685">
        <v>-0.97</v>
      </c>
      <c r="G3685" t="s">
        <v>12</v>
      </c>
      <c r="I3685" t="s">
        <v>1428</v>
      </c>
    </row>
    <row r="3686" spans="1:9" hidden="1" x14ac:dyDescent="0.25">
      <c r="A3686" t="s">
        <v>2922</v>
      </c>
      <c r="B3686" t="s">
        <v>530</v>
      </c>
      <c r="C3686" s="2">
        <f>HYPERLINK("https://cao.dolgi.msk.ru/account/1080249483/", 1080249483)</f>
        <v>1080249483</v>
      </c>
      <c r="D3686" t="s">
        <v>3014</v>
      </c>
      <c r="E3686">
        <v>-5531.11</v>
      </c>
      <c r="F3686">
        <v>-1.01</v>
      </c>
      <c r="G3686" t="s">
        <v>12</v>
      </c>
      <c r="I3686" t="s">
        <v>1428</v>
      </c>
    </row>
    <row r="3687" spans="1:9" hidden="1" x14ac:dyDescent="0.25">
      <c r="A3687" t="s">
        <v>2922</v>
      </c>
      <c r="B3687" t="s">
        <v>532</v>
      </c>
      <c r="C3687" s="2">
        <f>HYPERLINK("https://cao.dolgi.msk.ru/account/1080249491/", 1080249491)</f>
        <v>1080249491</v>
      </c>
      <c r="D3687" t="s">
        <v>3015</v>
      </c>
      <c r="E3687">
        <v>-5755.64</v>
      </c>
      <c r="F3687">
        <v>-0.98</v>
      </c>
      <c r="G3687" t="s">
        <v>12</v>
      </c>
      <c r="I3687" t="s">
        <v>1428</v>
      </c>
    </row>
    <row r="3688" spans="1:9" hidden="1" x14ac:dyDescent="0.25">
      <c r="A3688" t="s">
        <v>2922</v>
      </c>
      <c r="B3688" t="s">
        <v>534</v>
      </c>
      <c r="C3688" s="2">
        <f>HYPERLINK("https://cao.dolgi.msk.ru/account/1080249504/", 1080249504)</f>
        <v>1080249504</v>
      </c>
      <c r="D3688" t="s">
        <v>3016</v>
      </c>
      <c r="E3688">
        <v>7167.39</v>
      </c>
      <c r="F3688">
        <v>1</v>
      </c>
      <c r="G3688" t="s">
        <v>12</v>
      </c>
      <c r="I3688" t="s">
        <v>1428</v>
      </c>
    </row>
    <row r="3689" spans="1:9" hidden="1" x14ac:dyDescent="0.25">
      <c r="A3689" t="s">
        <v>2922</v>
      </c>
      <c r="B3689" t="s">
        <v>536</v>
      </c>
      <c r="C3689" s="2">
        <f>HYPERLINK("https://cao.dolgi.msk.ru/account/1080249512/", 1080249512)</f>
        <v>1080249512</v>
      </c>
      <c r="D3689" t="s">
        <v>3017</v>
      </c>
      <c r="E3689">
        <v>7253.54</v>
      </c>
      <c r="F3689">
        <v>0.91</v>
      </c>
      <c r="G3689" t="s">
        <v>12</v>
      </c>
      <c r="I3689" t="s">
        <v>1428</v>
      </c>
    </row>
    <row r="3690" spans="1:9" hidden="1" x14ac:dyDescent="0.25">
      <c r="A3690" t="s">
        <v>2922</v>
      </c>
      <c r="B3690" t="s">
        <v>538</v>
      </c>
      <c r="C3690" s="2">
        <f>HYPERLINK("https://cao.dolgi.msk.ru/account/1080249539/", 1080249539)</f>
        <v>1080249539</v>
      </c>
      <c r="D3690" t="s">
        <v>3018</v>
      </c>
      <c r="E3690">
        <v>2233.65</v>
      </c>
      <c r="F3690">
        <v>0.28999999999999998</v>
      </c>
      <c r="G3690" t="s">
        <v>12</v>
      </c>
      <c r="I3690" t="s">
        <v>1428</v>
      </c>
    </row>
    <row r="3691" spans="1:9" hidden="1" x14ac:dyDescent="0.25">
      <c r="A3691" t="s">
        <v>2922</v>
      </c>
      <c r="B3691" t="s">
        <v>539</v>
      </c>
      <c r="C3691" s="2">
        <f>HYPERLINK("https://cao.dolgi.msk.ru/account/1080249547/", 1080249547)</f>
        <v>1080249547</v>
      </c>
      <c r="D3691" t="s">
        <v>3019</v>
      </c>
      <c r="E3691">
        <v>-6004.16</v>
      </c>
      <c r="F3691">
        <v>-1.04</v>
      </c>
      <c r="G3691" t="s">
        <v>12</v>
      </c>
      <c r="I3691" t="s">
        <v>1428</v>
      </c>
    </row>
    <row r="3692" spans="1:9" hidden="1" x14ac:dyDescent="0.25">
      <c r="A3692" t="s">
        <v>2922</v>
      </c>
      <c r="B3692" t="s">
        <v>541</v>
      </c>
      <c r="C3692" s="2">
        <f>HYPERLINK("https://cao.dolgi.msk.ru/account/1080249555/", 1080249555)</f>
        <v>1080249555</v>
      </c>
      <c r="D3692" t="s">
        <v>3020</v>
      </c>
      <c r="E3692">
        <v>-5304.28</v>
      </c>
      <c r="F3692">
        <v>-1.02</v>
      </c>
      <c r="G3692" t="s">
        <v>12</v>
      </c>
      <c r="I3692" t="s">
        <v>1428</v>
      </c>
    </row>
    <row r="3693" spans="1:9" hidden="1" x14ac:dyDescent="0.25">
      <c r="A3693" t="s">
        <v>2922</v>
      </c>
      <c r="B3693" t="s">
        <v>543</v>
      </c>
      <c r="C3693" s="2">
        <f>HYPERLINK("https://cao.dolgi.msk.ru/account/1080249563/", 1080249563)</f>
        <v>1080249563</v>
      </c>
      <c r="D3693" t="s">
        <v>3021</v>
      </c>
      <c r="E3693">
        <v>-6178.82</v>
      </c>
      <c r="F3693">
        <v>-1.03</v>
      </c>
      <c r="G3693" t="s">
        <v>12</v>
      </c>
      <c r="I3693" t="s">
        <v>1428</v>
      </c>
    </row>
    <row r="3694" spans="1:9" hidden="1" x14ac:dyDescent="0.25">
      <c r="A3694" t="s">
        <v>2922</v>
      </c>
      <c r="B3694" t="s">
        <v>545</v>
      </c>
      <c r="C3694" s="2">
        <f>HYPERLINK("https://cao.dolgi.msk.ru/account/1080249571/", 1080249571)</f>
        <v>1080249571</v>
      </c>
      <c r="D3694" t="s">
        <v>3022</v>
      </c>
      <c r="E3694">
        <v>-23535.279999999999</v>
      </c>
      <c r="F3694">
        <v>-2.0299999999999998</v>
      </c>
      <c r="G3694" t="s">
        <v>12</v>
      </c>
      <c r="I3694" t="s">
        <v>1428</v>
      </c>
    </row>
    <row r="3695" spans="1:9" hidden="1" x14ac:dyDescent="0.25">
      <c r="A3695" t="s">
        <v>2922</v>
      </c>
      <c r="B3695" t="s">
        <v>546</v>
      </c>
      <c r="C3695" s="2">
        <f>HYPERLINK("https://cao.dolgi.msk.ru/account/1080249598/", 1080249598)</f>
        <v>1080249598</v>
      </c>
      <c r="D3695" t="s">
        <v>3023</v>
      </c>
      <c r="E3695">
        <v>-5273.32</v>
      </c>
      <c r="F3695">
        <v>-1.04</v>
      </c>
      <c r="G3695" t="s">
        <v>12</v>
      </c>
      <c r="I3695" t="s">
        <v>1428</v>
      </c>
    </row>
    <row r="3696" spans="1:9" hidden="1" x14ac:dyDescent="0.25">
      <c r="A3696" t="s">
        <v>2922</v>
      </c>
      <c r="B3696" t="s">
        <v>548</v>
      </c>
      <c r="C3696" s="2">
        <f>HYPERLINK("https://cao.dolgi.msk.ru/account/1080249619/", 1080249619)</f>
        <v>1080249619</v>
      </c>
      <c r="D3696" t="s">
        <v>3024</v>
      </c>
      <c r="E3696">
        <v>-4099.2</v>
      </c>
      <c r="F3696">
        <v>-1.1000000000000001</v>
      </c>
      <c r="G3696" t="s">
        <v>12</v>
      </c>
      <c r="I3696" t="s">
        <v>1428</v>
      </c>
    </row>
    <row r="3697" spans="1:9" hidden="1" x14ac:dyDescent="0.25">
      <c r="A3697" t="s">
        <v>2922</v>
      </c>
      <c r="B3697" t="s">
        <v>727</v>
      </c>
      <c r="C3697" s="2">
        <f>HYPERLINK("https://cao.dolgi.msk.ru/account/1080249627/", 1080249627)</f>
        <v>1080249627</v>
      </c>
      <c r="D3697" t="s">
        <v>3025</v>
      </c>
      <c r="E3697">
        <v>-5400.04</v>
      </c>
      <c r="F3697">
        <v>-1.07</v>
      </c>
      <c r="G3697" t="s">
        <v>12</v>
      </c>
      <c r="I3697" t="s">
        <v>1428</v>
      </c>
    </row>
    <row r="3698" spans="1:9" hidden="1" x14ac:dyDescent="0.25">
      <c r="A3698" t="s">
        <v>2922</v>
      </c>
      <c r="B3698" t="s">
        <v>551</v>
      </c>
      <c r="C3698" s="2">
        <f>HYPERLINK("https://cao.dolgi.msk.ru/account/1080249731/", 1080249731)</f>
        <v>1080249731</v>
      </c>
      <c r="D3698" t="s">
        <v>3026</v>
      </c>
      <c r="E3698">
        <v>-7667.1</v>
      </c>
      <c r="F3698">
        <v>-1.05</v>
      </c>
      <c r="G3698" t="s">
        <v>12</v>
      </c>
      <c r="I3698" t="s">
        <v>1428</v>
      </c>
    </row>
    <row r="3699" spans="1:9" hidden="1" x14ac:dyDescent="0.25">
      <c r="A3699" t="s">
        <v>2922</v>
      </c>
      <c r="B3699" t="s">
        <v>730</v>
      </c>
      <c r="C3699" s="2">
        <f>HYPERLINK("https://cao.dolgi.msk.ru/account/1080249635/", 1080249635)</f>
        <v>1080249635</v>
      </c>
      <c r="D3699" t="s">
        <v>3027</v>
      </c>
      <c r="E3699">
        <v>-6559.94</v>
      </c>
      <c r="F3699">
        <v>-1.04</v>
      </c>
      <c r="G3699" t="s">
        <v>12</v>
      </c>
      <c r="I3699" t="s">
        <v>1428</v>
      </c>
    </row>
    <row r="3700" spans="1:9" hidden="1" x14ac:dyDescent="0.25">
      <c r="A3700" t="s">
        <v>2922</v>
      </c>
      <c r="B3700" t="s">
        <v>732</v>
      </c>
      <c r="C3700" s="2">
        <f>HYPERLINK("https://cao.dolgi.msk.ru/account/1080249643/", 1080249643)</f>
        <v>1080249643</v>
      </c>
      <c r="D3700" t="s">
        <v>3028</v>
      </c>
      <c r="E3700">
        <v>-202.94</v>
      </c>
      <c r="F3700">
        <v>-0.03</v>
      </c>
      <c r="G3700" t="s">
        <v>12</v>
      </c>
      <c r="I3700" t="s">
        <v>1428</v>
      </c>
    </row>
    <row r="3701" spans="1:9" hidden="1" x14ac:dyDescent="0.25">
      <c r="A3701" t="s">
        <v>2922</v>
      </c>
      <c r="B3701" t="s">
        <v>553</v>
      </c>
      <c r="C3701" s="2">
        <f>HYPERLINK("https://cao.dolgi.msk.ru/account/1080249651/", 1080249651)</f>
        <v>1080249651</v>
      </c>
      <c r="D3701" t="s">
        <v>3029</v>
      </c>
      <c r="E3701">
        <v>-6604.75</v>
      </c>
      <c r="F3701">
        <v>-1.01</v>
      </c>
      <c r="G3701" t="s">
        <v>12</v>
      </c>
      <c r="I3701" t="s">
        <v>1428</v>
      </c>
    </row>
    <row r="3702" spans="1:9" hidden="1" x14ac:dyDescent="0.25">
      <c r="A3702" t="s">
        <v>2922</v>
      </c>
      <c r="B3702" t="s">
        <v>555</v>
      </c>
      <c r="C3702" s="2">
        <f>HYPERLINK("https://cao.dolgi.msk.ru/account/1080249678/", 1080249678)</f>
        <v>1080249678</v>
      </c>
      <c r="D3702" t="s">
        <v>3030</v>
      </c>
      <c r="E3702">
        <v>-4431.01</v>
      </c>
      <c r="F3702">
        <v>-1</v>
      </c>
      <c r="G3702" t="s">
        <v>12</v>
      </c>
      <c r="I3702" t="s">
        <v>1428</v>
      </c>
    </row>
    <row r="3703" spans="1:9" hidden="1" x14ac:dyDescent="0.25">
      <c r="A3703" t="s">
        <v>2922</v>
      </c>
      <c r="B3703" t="s">
        <v>736</v>
      </c>
      <c r="C3703" s="2">
        <f>HYPERLINK("https://cao.dolgi.msk.ru/account/1080249686/", 1080249686)</f>
        <v>1080249686</v>
      </c>
      <c r="D3703" t="s">
        <v>3031</v>
      </c>
      <c r="E3703">
        <v>-7745.82</v>
      </c>
      <c r="F3703">
        <v>-1.38</v>
      </c>
      <c r="G3703" t="s">
        <v>12</v>
      </c>
      <c r="I3703" t="s">
        <v>1428</v>
      </c>
    </row>
    <row r="3704" spans="1:9" hidden="1" x14ac:dyDescent="0.25">
      <c r="A3704" t="s">
        <v>2922</v>
      </c>
      <c r="B3704" t="s">
        <v>738</v>
      </c>
      <c r="C3704" s="2">
        <f>HYPERLINK("https://cao.dolgi.msk.ru/account/1080249694/", 1080249694)</f>
        <v>1080249694</v>
      </c>
      <c r="D3704" t="s">
        <v>3032</v>
      </c>
      <c r="E3704">
        <v>-4061.56</v>
      </c>
      <c r="F3704">
        <v>-1.04</v>
      </c>
      <c r="G3704" t="s">
        <v>12</v>
      </c>
      <c r="I3704" t="s">
        <v>1428</v>
      </c>
    </row>
    <row r="3705" spans="1:9" hidden="1" x14ac:dyDescent="0.25">
      <c r="A3705" t="s">
        <v>2922</v>
      </c>
      <c r="B3705" t="s">
        <v>740</v>
      </c>
      <c r="C3705" s="2">
        <f>HYPERLINK("https://cao.dolgi.msk.ru/account/1080249707/", 1080249707)</f>
        <v>1080249707</v>
      </c>
      <c r="D3705" t="s">
        <v>3033</v>
      </c>
      <c r="E3705">
        <v>-5777.32</v>
      </c>
      <c r="F3705">
        <v>-1.04</v>
      </c>
      <c r="G3705" t="s">
        <v>12</v>
      </c>
      <c r="H3705" t="s">
        <v>7</v>
      </c>
      <c r="I3705" t="s">
        <v>1428</v>
      </c>
    </row>
    <row r="3706" spans="1:9" hidden="1" x14ac:dyDescent="0.25">
      <c r="A3706" t="s">
        <v>2922</v>
      </c>
      <c r="B3706" t="s">
        <v>740</v>
      </c>
      <c r="C3706" s="2">
        <f>HYPERLINK("https://cao.dolgi.msk.ru/account/1080249715/", 1080249715)</f>
        <v>1080249715</v>
      </c>
      <c r="D3706" t="s">
        <v>15</v>
      </c>
      <c r="E3706">
        <v>-0.34</v>
      </c>
      <c r="G3706" t="s">
        <v>14</v>
      </c>
      <c r="H3706" t="s">
        <v>7</v>
      </c>
      <c r="I3706" t="s">
        <v>1428</v>
      </c>
    </row>
    <row r="3707" spans="1:9" hidden="1" x14ac:dyDescent="0.25">
      <c r="A3707" t="s">
        <v>3034</v>
      </c>
      <c r="B3707" t="s">
        <v>10</v>
      </c>
      <c r="C3707" s="2">
        <f>HYPERLINK("https://cao.dolgi.msk.ru/account/1080256915/", 1080256915)</f>
        <v>1080256915</v>
      </c>
      <c r="D3707" t="s">
        <v>3035</v>
      </c>
      <c r="G3707" t="s">
        <v>14</v>
      </c>
      <c r="I3707" t="s">
        <v>1428</v>
      </c>
    </row>
    <row r="3708" spans="1:9" hidden="1" x14ac:dyDescent="0.25">
      <c r="A3708" t="s">
        <v>3034</v>
      </c>
      <c r="B3708" t="s">
        <v>16</v>
      </c>
      <c r="C3708" s="2">
        <f>HYPERLINK("https://cao.dolgi.msk.ru/account/1080256923/", 1080256923)</f>
        <v>1080256923</v>
      </c>
      <c r="D3708" t="s">
        <v>15</v>
      </c>
      <c r="G3708" t="s">
        <v>14</v>
      </c>
      <c r="I3708" t="s">
        <v>1428</v>
      </c>
    </row>
    <row r="3709" spans="1:9" x14ac:dyDescent="0.25">
      <c r="A3709" t="s">
        <v>3034</v>
      </c>
      <c r="B3709" t="s">
        <v>18</v>
      </c>
      <c r="C3709" s="2">
        <f>HYPERLINK("https://cao.dolgi.msk.ru/account/1080256931/", 1080256931)</f>
        <v>1080256931</v>
      </c>
      <c r="D3709" t="s">
        <v>3036</v>
      </c>
      <c r="E3709">
        <v>9472.09</v>
      </c>
      <c r="F3709">
        <v>1.85</v>
      </c>
      <c r="G3709" t="s">
        <v>12</v>
      </c>
      <c r="I3709" t="s">
        <v>1428</v>
      </c>
    </row>
    <row r="3710" spans="1:9" hidden="1" x14ac:dyDescent="0.25">
      <c r="A3710" t="s">
        <v>3034</v>
      </c>
      <c r="B3710" t="s">
        <v>20</v>
      </c>
      <c r="C3710" s="2">
        <f>HYPERLINK("https://cao.dolgi.msk.ru/account/1080256958/", 1080256958)</f>
        <v>1080256958</v>
      </c>
      <c r="D3710" t="s">
        <v>3037</v>
      </c>
      <c r="E3710">
        <v>-91.87</v>
      </c>
      <c r="F3710">
        <v>-0.01</v>
      </c>
      <c r="G3710" t="s">
        <v>12</v>
      </c>
      <c r="I3710" t="s">
        <v>1428</v>
      </c>
    </row>
    <row r="3711" spans="1:9" hidden="1" x14ac:dyDescent="0.25">
      <c r="A3711" t="s">
        <v>3034</v>
      </c>
      <c r="B3711" t="s">
        <v>21</v>
      </c>
      <c r="C3711" s="2">
        <f>HYPERLINK("https://cao.dolgi.msk.ru/account/1080256966/", 1080256966)</f>
        <v>1080256966</v>
      </c>
      <c r="D3711" t="s">
        <v>3038</v>
      </c>
      <c r="E3711">
        <v>-3859.04</v>
      </c>
      <c r="F3711">
        <v>-1.1299999999999999</v>
      </c>
      <c r="G3711" t="s">
        <v>12</v>
      </c>
      <c r="I3711" t="s">
        <v>1428</v>
      </c>
    </row>
    <row r="3712" spans="1:9" hidden="1" x14ac:dyDescent="0.25">
      <c r="A3712" t="s">
        <v>3034</v>
      </c>
      <c r="B3712" t="s">
        <v>22</v>
      </c>
      <c r="C3712" s="2">
        <f>HYPERLINK("https://cao.dolgi.msk.ru/account/1080256974/", 1080256974)</f>
        <v>1080256974</v>
      </c>
      <c r="D3712" t="s">
        <v>15</v>
      </c>
      <c r="E3712">
        <v>169.77</v>
      </c>
      <c r="F3712">
        <v>0.02</v>
      </c>
      <c r="G3712" t="s">
        <v>12</v>
      </c>
      <c r="I3712" t="s">
        <v>1428</v>
      </c>
    </row>
    <row r="3713" spans="1:9" hidden="1" x14ac:dyDescent="0.25">
      <c r="A3713" t="s">
        <v>3034</v>
      </c>
      <c r="B3713" t="s">
        <v>23</v>
      </c>
      <c r="C3713" s="2">
        <f>HYPERLINK("https://cao.dolgi.msk.ru/account/1080256982/", 1080256982)</f>
        <v>1080256982</v>
      </c>
      <c r="D3713" t="s">
        <v>3039</v>
      </c>
      <c r="E3713">
        <v>-3429.97</v>
      </c>
      <c r="F3713">
        <v>-1.32</v>
      </c>
      <c r="G3713" t="s">
        <v>12</v>
      </c>
      <c r="I3713" t="s">
        <v>1428</v>
      </c>
    </row>
    <row r="3714" spans="1:9" hidden="1" x14ac:dyDescent="0.25">
      <c r="A3714" t="s">
        <v>3034</v>
      </c>
      <c r="B3714" t="s">
        <v>24</v>
      </c>
      <c r="C3714" s="2">
        <f>HYPERLINK("https://cao.dolgi.msk.ru/account/1080257002/", 1080257002)</f>
        <v>1080257002</v>
      </c>
      <c r="D3714" t="s">
        <v>15</v>
      </c>
      <c r="E3714">
        <v>-8958.0400000000009</v>
      </c>
      <c r="F3714">
        <v>-1.25</v>
      </c>
      <c r="G3714" t="s">
        <v>12</v>
      </c>
      <c r="I3714" t="s">
        <v>1428</v>
      </c>
    </row>
    <row r="3715" spans="1:9" hidden="1" x14ac:dyDescent="0.25">
      <c r="A3715" t="s">
        <v>3034</v>
      </c>
      <c r="B3715" t="s">
        <v>27</v>
      </c>
      <c r="C3715" s="2">
        <f>HYPERLINK("https://cao.dolgi.msk.ru/account/1080257029/", 1080257029)</f>
        <v>1080257029</v>
      </c>
      <c r="D3715" t="s">
        <v>3040</v>
      </c>
      <c r="E3715">
        <v>-5881.91</v>
      </c>
      <c r="F3715">
        <v>-1.2</v>
      </c>
      <c r="G3715" t="s">
        <v>12</v>
      </c>
      <c r="I3715" t="s">
        <v>1428</v>
      </c>
    </row>
    <row r="3716" spans="1:9" hidden="1" x14ac:dyDescent="0.25">
      <c r="A3716" t="s">
        <v>3034</v>
      </c>
      <c r="B3716" t="s">
        <v>29</v>
      </c>
      <c r="C3716" s="2">
        <f>HYPERLINK("https://cao.dolgi.msk.ru/account/1080257037/", 1080257037)</f>
        <v>1080257037</v>
      </c>
      <c r="D3716" t="s">
        <v>3041</v>
      </c>
      <c r="E3716">
        <v>-7407.17</v>
      </c>
      <c r="F3716">
        <v>-1.03</v>
      </c>
      <c r="G3716" t="s">
        <v>12</v>
      </c>
      <c r="I3716" t="s">
        <v>1428</v>
      </c>
    </row>
    <row r="3717" spans="1:9" hidden="1" x14ac:dyDescent="0.25">
      <c r="A3717" t="s">
        <v>3034</v>
      </c>
      <c r="B3717" t="s">
        <v>31</v>
      </c>
      <c r="C3717" s="2">
        <f>HYPERLINK("https://cao.dolgi.msk.ru/account/1080257045/", 1080257045)</f>
        <v>1080257045</v>
      </c>
      <c r="D3717" t="s">
        <v>3042</v>
      </c>
      <c r="E3717">
        <v>-5339.92</v>
      </c>
      <c r="F3717">
        <v>-1.28</v>
      </c>
      <c r="G3717" t="s">
        <v>12</v>
      </c>
      <c r="I3717" t="s">
        <v>1428</v>
      </c>
    </row>
    <row r="3718" spans="1:9" hidden="1" x14ac:dyDescent="0.25">
      <c r="A3718" t="s">
        <v>3034</v>
      </c>
      <c r="B3718" t="s">
        <v>33</v>
      </c>
      <c r="C3718" s="2">
        <f>HYPERLINK("https://cao.dolgi.msk.ru/account/1080257053/", 1080257053)</f>
        <v>1080257053</v>
      </c>
      <c r="D3718" t="s">
        <v>3043</v>
      </c>
      <c r="E3718">
        <v>-10592.57</v>
      </c>
      <c r="F3718">
        <v>-1.1000000000000001</v>
      </c>
      <c r="G3718" t="s">
        <v>12</v>
      </c>
      <c r="I3718" t="s">
        <v>1428</v>
      </c>
    </row>
    <row r="3719" spans="1:9" hidden="1" x14ac:dyDescent="0.25">
      <c r="A3719" t="s">
        <v>3034</v>
      </c>
      <c r="B3719" t="s">
        <v>34</v>
      </c>
      <c r="C3719" s="2">
        <f>HYPERLINK("https://cao.dolgi.msk.ru/account/1080257061/", 1080257061)</f>
        <v>1080257061</v>
      </c>
      <c r="D3719" t="s">
        <v>3044</v>
      </c>
      <c r="E3719">
        <v>-4322.5600000000004</v>
      </c>
      <c r="F3719">
        <v>-1.22</v>
      </c>
      <c r="G3719" t="s">
        <v>12</v>
      </c>
      <c r="I3719" t="s">
        <v>1428</v>
      </c>
    </row>
    <row r="3720" spans="1:9" x14ac:dyDescent="0.25">
      <c r="A3720" t="s">
        <v>3034</v>
      </c>
      <c r="B3720" t="s">
        <v>36</v>
      </c>
      <c r="C3720" s="2">
        <f>HYPERLINK("https://cao.dolgi.msk.ru/account/1080257088/", 1080257088)</f>
        <v>1080257088</v>
      </c>
      <c r="D3720" t="s">
        <v>1082</v>
      </c>
      <c r="E3720">
        <v>13020.3</v>
      </c>
      <c r="F3720">
        <v>1.83</v>
      </c>
      <c r="G3720" t="s">
        <v>12</v>
      </c>
      <c r="I3720" t="s">
        <v>1428</v>
      </c>
    </row>
    <row r="3721" spans="1:9" hidden="1" x14ac:dyDescent="0.25">
      <c r="A3721" t="s">
        <v>3034</v>
      </c>
      <c r="B3721" t="s">
        <v>36</v>
      </c>
      <c r="C3721" s="2">
        <f>HYPERLINK("https://cao.dolgi.msk.ru/account/1080322193/", 1080322193)</f>
        <v>1080322193</v>
      </c>
      <c r="D3721" t="s">
        <v>3045</v>
      </c>
      <c r="E3721">
        <v>129.22999999999999</v>
      </c>
      <c r="G3721" t="s">
        <v>14</v>
      </c>
      <c r="I3721" t="s">
        <v>1428</v>
      </c>
    </row>
    <row r="3722" spans="1:9" hidden="1" x14ac:dyDescent="0.25">
      <c r="A3722" t="s">
        <v>3034</v>
      </c>
      <c r="B3722" t="s">
        <v>38</v>
      </c>
      <c r="C3722" s="2">
        <f>HYPERLINK("https://cao.dolgi.msk.ru/account/1080257096/", 1080257096)</f>
        <v>1080257096</v>
      </c>
      <c r="D3722" t="s">
        <v>3046</v>
      </c>
      <c r="E3722">
        <v>-5519.38</v>
      </c>
      <c r="F3722">
        <v>-1.1299999999999999</v>
      </c>
      <c r="G3722" t="s">
        <v>12</v>
      </c>
      <c r="I3722" t="s">
        <v>1428</v>
      </c>
    </row>
    <row r="3723" spans="1:9" x14ac:dyDescent="0.25">
      <c r="A3723" t="s">
        <v>3034</v>
      </c>
      <c r="B3723" t="s">
        <v>39</v>
      </c>
      <c r="C3723" s="2">
        <f>HYPERLINK("https://cao.dolgi.msk.ru/account/1080257109/", 1080257109)</f>
        <v>1080257109</v>
      </c>
      <c r="D3723" t="s">
        <v>3047</v>
      </c>
      <c r="E3723">
        <v>14328.63</v>
      </c>
      <c r="F3723">
        <v>2.1800000000000002</v>
      </c>
      <c r="G3723" t="s">
        <v>12</v>
      </c>
      <c r="I3723" t="s">
        <v>1428</v>
      </c>
    </row>
    <row r="3724" spans="1:9" hidden="1" x14ac:dyDescent="0.25">
      <c r="A3724" t="s">
        <v>3034</v>
      </c>
      <c r="B3724" t="s">
        <v>40</v>
      </c>
      <c r="C3724" s="2">
        <f>HYPERLINK("https://cao.dolgi.msk.ru/account/1080257117/", 1080257117)</f>
        <v>1080257117</v>
      </c>
      <c r="D3724" t="s">
        <v>3048</v>
      </c>
      <c r="E3724">
        <v>-4273.6400000000003</v>
      </c>
      <c r="F3724">
        <v>-1.26</v>
      </c>
      <c r="G3724" t="s">
        <v>12</v>
      </c>
      <c r="I3724" t="s">
        <v>1428</v>
      </c>
    </row>
    <row r="3725" spans="1:9" hidden="1" x14ac:dyDescent="0.25">
      <c r="A3725" t="s">
        <v>3034</v>
      </c>
      <c r="B3725" t="s">
        <v>41</v>
      </c>
      <c r="C3725" s="2">
        <f>HYPERLINK("https://cao.dolgi.msk.ru/account/1080257125/", 1080257125)</f>
        <v>1080257125</v>
      </c>
      <c r="D3725" t="s">
        <v>3049</v>
      </c>
      <c r="E3725">
        <v>-5961.64</v>
      </c>
      <c r="F3725">
        <v>-1.19</v>
      </c>
      <c r="G3725" t="s">
        <v>12</v>
      </c>
      <c r="I3725" t="s">
        <v>1428</v>
      </c>
    </row>
    <row r="3726" spans="1:9" hidden="1" x14ac:dyDescent="0.25">
      <c r="A3726" t="s">
        <v>3034</v>
      </c>
      <c r="B3726" t="s">
        <v>42</v>
      </c>
      <c r="C3726" s="2">
        <f>HYPERLINK("https://cao.dolgi.msk.ru/account/1080257133/", 1080257133)</f>
        <v>1080257133</v>
      </c>
      <c r="D3726" t="s">
        <v>3050</v>
      </c>
      <c r="E3726">
        <v>207.37</v>
      </c>
      <c r="F3726">
        <v>0.04</v>
      </c>
      <c r="G3726" t="s">
        <v>12</v>
      </c>
      <c r="I3726" t="s">
        <v>1428</v>
      </c>
    </row>
    <row r="3727" spans="1:9" hidden="1" x14ac:dyDescent="0.25">
      <c r="A3727" t="s">
        <v>3034</v>
      </c>
      <c r="B3727" t="s">
        <v>44</v>
      </c>
      <c r="C3727" s="2">
        <f>HYPERLINK("https://cao.dolgi.msk.ru/account/1080257141/", 1080257141)</f>
        <v>1080257141</v>
      </c>
      <c r="D3727" t="s">
        <v>3051</v>
      </c>
      <c r="E3727">
        <v>-9631.52</v>
      </c>
      <c r="F3727">
        <v>-1.21</v>
      </c>
      <c r="G3727" t="s">
        <v>12</v>
      </c>
      <c r="I3727" t="s">
        <v>1428</v>
      </c>
    </row>
    <row r="3728" spans="1:9" hidden="1" x14ac:dyDescent="0.25">
      <c r="A3728" t="s">
        <v>3034</v>
      </c>
      <c r="B3728" t="s">
        <v>66</v>
      </c>
      <c r="C3728" s="2">
        <f>HYPERLINK("https://cao.dolgi.msk.ru/account/1080257168/", 1080257168)</f>
        <v>1080257168</v>
      </c>
      <c r="D3728" t="s">
        <v>3052</v>
      </c>
      <c r="E3728">
        <v>-4133.8</v>
      </c>
      <c r="F3728">
        <v>-1.37</v>
      </c>
      <c r="G3728" t="s">
        <v>12</v>
      </c>
      <c r="I3728" t="s">
        <v>1428</v>
      </c>
    </row>
    <row r="3729" spans="1:9" hidden="1" x14ac:dyDescent="0.25">
      <c r="A3729" t="s">
        <v>3034</v>
      </c>
      <c r="B3729" t="s">
        <v>68</v>
      </c>
      <c r="C3729" s="2">
        <f>HYPERLINK("https://cao.dolgi.msk.ru/account/1080257176/", 1080257176)</f>
        <v>1080257176</v>
      </c>
      <c r="D3729" t="s">
        <v>3053</v>
      </c>
      <c r="E3729">
        <v>-3482.92</v>
      </c>
      <c r="F3729">
        <v>-0.56000000000000005</v>
      </c>
      <c r="G3729" t="s">
        <v>12</v>
      </c>
      <c r="I3729" t="s">
        <v>1428</v>
      </c>
    </row>
    <row r="3730" spans="1:9" hidden="1" x14ac:dyDescent="0.25">
      <c r="A3730" t="s">
        <v>3034</v>
      </c>
      <c r="B3730" t="s">
        <v>70</v>
      </c>
      <c r="C3730" s="2">
        <f>HYPERLINK("https://cao.dolgi.msk.ru/account/1080257184/", 1080257184)</f>
        <v>1080257184</v>
      </c>
      <c r="D3730" t="s">
        <v>3054</v>
      </c>
      <c r="E3730">
        <v>-3736.02</v>
      </c>
      <c r="F3730">
        <v>-1.08</v>
      </c>
      <c r="G3730" t="s">
        <v>12</v>
      </c>
      <c r="I3730" t="s">
        <v>1428</v>
      </c>
    </row>
    <row r="3731" spans="1:9" hidden="1" x14ac:dyDescent="0.25">
      <c r="A3731" t="s">
        <v>3034</v>
      </c>
      <c r="B3731" t="s">
        <v>72</v>
      </c>
      <c r="C3731" s="2">
        <f>HYPERLINK("https://cao.dolgi.msk.ru/account/1080257192/", 1080257192)</f>
        <v>1080257192</v>
      </c>
      <c r="D3731" t="s">
        <v>15</v>
      </c>
      <c r="E3731">
        <v>0</v>
      </c>
      <c r="F3731">
        <v>0</v>
      </c>
      <c r="G3731" t="s">
        <v>12</v>
      </c>
      <c r="I3731" t="s">
        <v>1428</v>
      </c>
    </row>
    <row r="3732" spans="1:9" x14ac:dyDescent="0.25">
      <c r="A3732" t="s">
        <v>3034</v>
      </c>
      <c r="B3732" t="s">
        <v>74</v>
      </c>
      <c r="C3732" s="2">
        <f>HYPERLINK("https://cao.dolgi.msk.ru/account/1080257205/", 1080257205)</f>
        <v>1080257205</v>
      </c>
      <c r="D3732" t="s">
        <v>3055</v>
      </c>
      <c r="E3732">
        <v>12274.72</v>
      </c>
      <c r="F3732">
        <v>1.88</v>
      </c>
      <c r="G3732" t="s">
        <v>12</v>
      </c>
      <c r="I3732" t="s">
        <v>1428</v>
      </c>
    </row>
    <row r="3733" spans="1:9" hidden="1" x14ac:dyDescent="0.25">
      <c r="A3733" t="s">
        <v>3034</v>
      </c>
      <c r="B3733" t="s">
        <v>76</v>
      </c>
      <c r="C3733" s="2">
        <f>HYPERLINK("https://cao.dolgi.msk.ru/account/1080321967/", 1080321967)</f>
        <v>1080321967</v>
      </c>
      <c r="D3733" t="s">
        <v>3056</v>
      </c>
      <c r="E3733">
        <v>6560.55</v>
      </c>
      <c r="F3733">
        <v>1</v>
      </c>
      <c r="G3733" t="s">
        <v>12</v>
      </c>
      <c r="I3733" t="s">
        <v>1428</v>
      </c>
    </row>
    <row r="3734" spans="1:9" hidden="1" x14ac:dyDescent="0.25">
      <c r="A3734" t="s">
        <v>3034</v>
      </c>
      <c r="B3734" t="s">
        <v>78</v>
      </c>
      <c r="C3734" s="2">
        <f>HYPERLINK("https://cao.dolgi.msk.ru/account/1080257221/", 1080257221)</f>
        <v>1080257221</v>
      </c>
      <c r="D3734" t="s">
        <v>3057</v>
      </c>
      <c r="E3734">
        <v>7758.69</v>
      </c>
      <c r="F3734">
        <v>0.79</v>
      </c>
      <c r="G3734" t="s">
        <v>14</v>
      </c>
      <c r="I3734" t="s">
        <v>1428</v>
      </c>
    </row>
    <row r="3735" spans="1:9" hidden="1" x14ac:dyDescent="0.25">
      <c r="A3735" t="s">
        <v>3034</v>
      </c>
      <c r="B3735" t="s">
        <v>78</v>
      </c>
      <c r="C3735" s="2">
        <f>HYPERLINK("https://cao.dolgi.msk.ru/account/1083395734/", 1083395734)</f>
        <v>1083395734</v>
      </c>
      <c r="D3735" t="s">
        <v>189</v>
      </c>
      <c r="E3735">
        <v>-15270.16</v>
      </c>
      <c r="F3735">
        <v>-2.46</v>
      </c>
      <c r="G3735" t="s">
        <v>12</v>
      </c>
      <c r="I3735" t="s">
        <v>1428</v>
      </c>
    </row>
    <row r="3736" spans="1:9" hidden="1" x14ac:dyDescent="0.25">
      <c r="A3736" t="s">
        <v>3034</v>
      </c>
      <c r="B3736" t="s">
        <v>80</v>
      </c>
      <c r="C3736" s="2">
        <f>HYPERLINK("https://cao.dolgi.msk.ru/account/1080257248/", 1080257248)</f>
        <v>1080257248</v>
      </c>
      <c r="D3736" t="s">
        <v>3058</v>
      </c>
      <c r="E3736">
        <v>-8206.67</v>
      </c>
      <c r="F3736">
        <v>-1.28</v>
      </c>
      <c r="G3736" t="s">
        <v>12</v>
      </c>
      <c r="I3736" t="s">
        <v>1428</v>
      </c>
    </row>
    <row r="3737" spans="1:9" hidden="1" x14ac:dyDescent="0.25">
      <c r="A3737" t="s">
        <v>3034</v>
      </c>
      <c r="B3737" t="s">
        <v>82</v>
      </c>
      <c r="C3737" s="2">
        <f>HYPERLINK("https://cao.dolgi.msk.ru/account/1080257256/", 1080257256)</f>
        <v>1080257256</v>
      </c>
      <c r="D3737" t="s">
        <v>3059</v>
      </c>
      <c r="E3737">
        <v>-2525.15</v>
      </c>
      <c r="F3737">
        <v>-0.25</v>
      </c>
      <c r="G3737" t="s">
        <v>12</v>
      </c>
      <c r="I3737" t="s">
        <v>1428</v>
      </c>
    </row>
    <row r="3738" spans="1:9" x14ac:dyDescent="0.25">
      <c r="A3738" t="s">
        <v>3034</v>
      </c>
      <c r="B3738" t="s">
        <v>84</v>
      </c>
      <c r="C3738" s="2">
        <f>HYPERLINK("https://cao.dolgi.msk.ru/account/1080257264/", 1080257264)</f>
        <v>1080257264</v>
      </c>
      <c r="D3738" t="s">
        <v>3060</v>
      </c>
      <c r="E3738">
        <v>10110.18</v>
      </c>
      <c r="F3738">
        <v>1.05</v>
      </c>
      <c r="G3738" t="s">
        <v>12</v>
      </c>
      <c r="I3738" t="s">
        <v>1428</v>
      </c>
    </row>
    <row r="3739" spans="1:9" hidden="1" x14ac:dyDescent="0.25">
      <c r="A3739" t="s">
        <v>3034</v>
      </c>
      <c r="B3739" t="s">
        <v>86</v>
      </c>
      <c r="C3739" s="2">
        <f>HYPERLINK("https://cao.dolgi.msk.ru/account/1080257272/", 1080257272)</f>
        <v>1080257272</v>
      </c>
      <c r="D3739" t="s">
        <v>3061</v>
      </c>
      <c r="E3739">
        <v>-6467.13</v>
      </c>
      <c r="F3739">
        <v>-1.2</v>
      </c>
      <c r="G3739" t="s">
        <v>12</v>
      </c>
      <c r="I3739" t="s">
        <v>1428</v>
      </c>
    </row>
    <row r="3740" spans="1:9" hidden="1" x14ac:dyDescent="0.25">
      <c r="A3740" t="s">
        <v>3034</v>
      </c>
      <c r="B3740" t="s">
        <v>88</v>
      </c>
      <c r="C3740" s="2">
        <f>HYPERLINK("https://cao.dolgi.msk.ru/account/1080257299/", 1080257299)</f>
        <v>1080257299</v>
      </c>
      <c r="D3740" t="s">
        <v>3062</v>
      </c>
      <c r="E3740">
        <v>-5035.1499999999996</v>
      </c>
      <c r="F3740">
        <v>-1.0900000000000001</v>
      </c>
      <c r="G3740" t="s">
        <v>12</v>
      </c>
      <c r="I3740" t="s">
        <v>1428</v>
      </c>
    </row>
    <row r="3741" spans="1:9" hidden="1" x14ac:dyDescent="0.25">
      <c r="A3741" t="s">
        <v>3034</v>
      </c>
      <c r="B3741" t="s">
        <v>90</v>
      </c>
      <c r="C3741" s="2">
        <f>HYPERLINK("https://cao.dolgi.msk.ru/account/1080257301/", 1080257301)</f>
        <v>1080257301</v>
      </c>
      <c r="D3741" t="s">
        <v>3063</v>
      </c>
      <c r="E3741">
        <v>-7017.52</v>
      </c>
      <c r="F3741">
        <v>-1.05</v>
      </c>
      <c r="G3741" t="s">
        <v>12</v>
      </c>
      <c r="I3741" t="s">
        <v>1428</v>
      </c>
    </row>
    <row r="3742" spans="1:9" hidden="1" x14ac:dyDescent="0.25">
      <c r="A3742" t="s">
        <v>3034</v>
      </c>
      <c r="B3742" t="s">
        <v>92</v>
      </c>
      <c r="C3742" s="2">
        <f>HYPERLINK("https://cao.dolgi.msk.ru/account/1080257328/", 1080257328)</f>
        <v>1080257328</v>
      </c>
      <c r="D3742" t="s">
        <v>3064</v>
      </c>
      <c r="E3742">
        <v>-5800.87</v>
      </c>
      <c r="F3742">
        <v>-1.05</v>
      </c>
      <c r="G3742" t="s">
        <v>12</v>
      </c>
      <c r="I3742" t="s">
        <v>1428</v>
      </c>
    </row>
    <row r="3743" spans="1:9" hidden="1" x14ac:dyDescent="0.25">
      <c r="A3743" t="s">
        <v>3034</v>
      </c>
      <c r="B3743" t="s">
        <v>94</v>
      </c>
      <c r="C3743" s="2">
        <f>HYPERLINK("https://cao.dolgi.msk.ru/account/1080257336/", 1080257336)</f>
        <v>1080257336</v>
      </c>
      <c r="D3743" t="s">
        <v>3065</v>
      </c>
      <c r="E3743">
        <v>-7325.59</v>
      </c>
      <c r="F3743">
        <v>-1.22</v>
      </c>
      <c r="G3743" t="s">
        <v>12</v>
      </c>
      <c r="I3743" t="s">
        <v>1428</v>
      </c>
    </row>
    <row r="3744" spans="1:9" hidden="1" x14ac:dyDescent="0.25">
      <c r="A3744" t="s">
        <v>3034</v>
      </c>
      <c r="B3744" t="s">
        <v>96</v>
      </c>
      <c r="C3744" s="2">
        <f>HYPERLINK("https://cao.dolgi.msk.ru/account/1080257344/", 1080257344)</f>
        <v>1080257344</v>
      </c>
      <c r="D3744" t="s">
        <v>3066</v>
      </c>
      <c r="E3744">
        <v>-7274.44</v>
      </c>
      <c r="F3744">
        <v>-0.48</v>
      </c>
      <c r="G3744" t="s">
        <v>12</v>
      </c>
      <c r="I3744" t="s">
        <v>1428</v>
      </c>
    </row>
    <row r="3745" spans="1:9" hidden="1" x14ac:dyDescent="0.25">
      <c r="A3745" t="s">
        <v>3034</v>
      </c>
      <c r="B3745" t="s">
        <v>98</v>
      </c>
      <c r="C3745" s="2">
        <f>HYPERLINK("https://cao.dolgi.msk.ru/account/1080257379/", 1080257379)</f>
        <v>1080257379</v>
      </c>
      <c r="D3745" t="s">
        <v>3067</v>
      </c>
      <c r="E3745">
        <v>-547.82000000000005</v>
      </c>
      <c r="F3745">
        <v>-0.13</v>
      </c>
      <c r="G3745" t="s">
        <v>12</v>
      </c>
      <c r="I3745" t="s">
        <v>1428</v>
      </c>
    </row>
    <row r="3746" spans="1:9" hidden="1" x14ac:dyDescent="0.25">
      <c r="A3746" t="s">
        <v>3034</v>
      </c>
      <c r="B3746" t="s">
        <v>100</v>
      </c>
      <c r="C3746" s="2">
        <f>HYPERLINK("https://cao.dolgi.msk.ru/account/1080257387/", 1080257387)</f>
        <v>1080257387</v>
      </c>
      <c r="D3746" t="s">
        <v>3068</v>
      </c>
      <c r="E3746">
        <v>-4456.43</v>
      </c>
      <c r="F3746">
        <v>-1.1399999999999999</v>
      </c>
      <c r="G3746" t="s">
        <v>12</v>
      </c>
      <c r="H3746" t="s">
        <v>7</v>
      </c>
      <c r="I3746" t="s">
        <v>1428</v>
      </c>
    </row>
    <row r="3747" spans="1:9" hidden="1" x14ac:dyDescent="0.25">
      <c r="A3747" t="s">
        <v>3034</v>
      </c>
      <c r="B3747" t="s">
        <v>100</v>
      </c>
      <c r="C3747" s="2">
        <f>HYPERLINK("https://cao.dolgi.msk.ru/account/1080257395/", 1080257395)</f>
        <v>1080257395</v>
      </c>
      <c r="D3747" t="s">
        <v>3068</v>
      </c>
      <c r="E3747">
        <v>-2006.4</v>
      </c>
      <c r="F3747">
        <v>-1.38</v>
      </c>
      <c r="G3747" t="s">
        <v>12</v>
      </c>
      <c r="H3747" t="s">
        <v>7</v>
      </c>
      <c r="I3747" t="s">
        <v>1428</v>
      </c>
    </row>
    <row r="3748" spans="1:9" hidden="1" x14ac:dyDescent="0.25">
      <c r="A3748" t="s">
        <v>3034</v>
      </c>
      <c r="B3748" t="s">
        <v>102</v>
      </c>
      <c r="C3748" s="2">
        <f>HYPERLINK("https://cao.dolgi.msk.ru/account/1080257408/", 1080257408)</f>
        <v>1080257408</v>
      </c>
      <c r="D3748" t="s">
        <v>3069</v>
      </c>
      <c r="E3748">
        <v>-7952.68</v>
      </c>
      <c r="F3748">
        <v>-1.1100000000000001</v>
      </c>
      <c r="G3748" t="s">
        <v>12</v>
      </c>
      <c r="I3748" t="s">
        <v>1428</v>
      </c>
    </row>
    <row r="3749" spans="1:9" hidden="1" x14ac:dyDescent="0.25">
      <c r="A3749" t="s">
        <v>3034</v>
      </c>
      <c r="B3749" t="s">
        <v>104</v>
      </c>
      <c r="C3749" s="2">
        <f>HYPERLINK("https://cao.dolgi.msk.ru/account/1080257416/", 1080257416)</f>
        <v>1080257416</v>
      </c>
      <c r="D3749" t="s">
        <v>3070</v>
      </c>
      <c r="E3749">
        <v>-5304.01</v>
      </c>
      <c r="F3749">
        <v>-1.1599999999999999</v>
      </c>
      <c r="G3749" t="s">
        <v>12</v>
      </c>
      <c r="I3749" t="s">
        <v>1428</v>
      </c>
    </row>
    <row r="3750" spans="1:9" hidden="1" x14ac:dyDescent="0.25">
      <c r="A3750" t="s">
        <v>3034</v>
      </c>
      <c r="B3750" t="s">
        <v>106</v>
      </c>
      <c r="C3750" s="2">
        <f>HYPERLINK("https://cao.dolgi.msk.ru/account/1080257424/", 1080257424)</f>
        <v>1080257424</v>
      </c>
      <c r="D3750" t="s">
        <v>3071</v>
      </c>
      <c r="E3750">
        <v>-4438.2700000000004</v>
      </c>
      <c r="F3750">
        <v>-0.97</v>
      </c>
      <c r="G3750" t="s">
        <v>12</v>
      </c>
      <c r="I3750" t="s">
        <v>1428</v>
      </c>
    </row>
    <row r="3751" spans="1:9" hidden="1" x14ac:dyDescent="0.25">
      <c r="A3751" t="s">
        <v>3034</v>
      </c>
      <c r="B3751" t="s">
        <v>108</v>
      </c>
      <c r="C3751" s="2">
        <f>HYPERLINK("https://cao.dolgi.msk.ru/account/1080257432/", 1080257432)</f>
        <v>1080257432</v>
      </c>
      <c r="D3751" t="s">
        <v>3072</v>
      </c>
      <c r="E3751">
        <v>-4533.3999999999996</v>
      </c>
      <c r="F3751">
        <v>-1.34</v>
      </c>
      <c r="G3751" t="s">
        <v>12</v>
      </c>
      <c r="I3751" t="s">
        <v>1428</v>
      </c>
    </row>
    <row r="3752" spans="1:9" hidden="1" x14ac:dyDescent="0.25">
      <c r="A3752" t="s">
        <v>3034</v>
      </c>
      <c r="B3752" t="s">
        <v>110</v>
      </c>
      <c r="C3752" s="2">
        <f>HYPERLINK("https://cao.dolgi.msk.ru/account/1080257459/", 1080257459)</f>
        <v>1080257459</v>
      </c>
      <c r="D3752" t="s">
        <v>3073</v>
      </c>
      <c r="E3752">
        <v>-22097.599999999999</v>
      </c>
      <c r="F3752">
        <v>-1.17</v>
      </c>
      <c r="G3752" t="s">
        <v>12</v>
      </c>
      <c r="I3752" t="s">
        <v>1428</v>
      </c>
    </row>
    <row r="3753" spans="1:9" hidden="1" x14ac:dyDescent="0.25">
      <c r="A3753" t="s">
        <v>3034</v>
      </c>
      <c r="B3753" t="s">
        <v>112</v>
      </c>
      <c r="C3753" s="2">
        <f>HYPERLINK("https://cao.dolgi.msk.ru/account/1080257467/", 1080257467)</f>
        <v>1080257467</v>
      </c>
      <c r="D3753" t="s">
        <v>3074</v>
      </c>
      <c r="E3753">
        <v>-525.15</v>
      </c>
      <c r="F3753">
        <v>-0.09</v>
      </c>
      <c r="G3753" t="s">
        <v>12</v>
      </c>
      <c r="I3753" t="s">
        <v>1428</v>
      </c>
    </row>
    <row r="3754" spans="1:9" x14ac:dyDescent="0.25">
      <c r="A3754" t="s">
        <v>3034</v>
      </c>
      <c r="B3754" t="s">
        <v>114</v>
      </c>
      <c r="C3754" s="2">
        <f>HYPERLINK("https://cao.dolgi.msk.ru/account/1080257475/", 1080257475)</f>
        <v>1080257475</v>
      </c>
      <c r="D3754" t="s">
        <v>3075</v>
      </c>
      <c r="E3754">
        <v>12142.62</v>
      </c>
      <c r="F3754">
        <v>2</v>
      </c>
      <c r="G3754" t="s">
        <v>12</v>
      </c>
      <c r="I3754" t="s">
        <v>1428</v>
      </c>
    </row>
    <row r="3755" spans="1:9" hidden="1" x14ac:dyDescent="0.25">
      <c r="A3755" t="s">
        <v>3034</v>
      </c>
      <c r="B3755" t="s">
        <v>116</v>
      </c>
      <c r="C3755" s="2">
        <f>HYPERLINK("https://cao.dolgi.msk.ru/account/1080257483/", 1080257483)</f>
        <v>1080257483</v>
      </c>
      <c r="D3755" t="s">
        <v>3076</v>
      </c>
      <c r="E3755">
        <v>-6961.36</v>
      </c>
      <c r="F3755">
        <v>-1.17</v>
      </c>
      <c r="G3755" t="s">
        <v>12</v>
      </c>
      <c r="I3755" t="s">
        <v>1428</v>
      </c>
    </row>
    <row r="3756" spans="1:9" hidden="1" x14ac:dyDescent="0.25">
      <c r="A3756" t="s">
        <v>3034</v>
      </c>
      <c r="B3756" t="s">
        <v>118</v>
      </c>
      <c r="C3756" s="2">
        <f>HYPERLINK("https://cao.dolgi.msk.ru/account/1080257491/", 1080257491)</f>
        <v>1080257491</v>
      </c>
      <c r="D3756" t="s">
        <v>3077</v>
      </c>
      <c r="E3756">
        <v>389.58</v>
      </c>
      <c r="G3756" t="s">
        <v>14</v>
      </c>
      <c r="I3756" t="s">
        <v>1428</v>
      </c>
    </row>
    <row r="3757" spans="1:9" hidden="1" x14ac:dyDescent="0.25">
      <c r="A3757" t="s">
        <v>3034</v>
      </c>
      <c r="B3757" t="s">
        <v>118</v>
      </c>
      <c r="C3757" s="2">
        <f>HYPERLINK("https://cao.dolgi.msk.ru/account/1083371177/", 1083371177)</f>
        <v>1083371177</v>
      </c>
      <c r="D3757" t="s">
        <v>15</v>
      </c>
      <c r="E3757">
        <v>-6681.62</v>
      </c>
      <c r="F3757">
        <v>-1.07</v>
      </c>
      <c r="G3757" t="s">
        <v>12</v>
      </c>
      <c r="I3757" t="s">
        <v>1428</v>
      </c>
    </row>
    <row r="3758" spans="1:9" hidden="1" x14ac:dyDescent="0.25">
      <c r="A3758" t="s">
        <v>3034</v>
      </c>
      <c r="B3758" t="s">
        <v>120</v>
      </c>
      <c r="C3758" s="2">
        <f>HYPERLINK("https://cao.dolgi.msk.ru/account/1080257504/", 1080257504)</f>
        <v>1080257504</v>
      </c>
      <c r="D3758" t="s">
        <v>3078</v>
      </c>
      <c r="E3758">
        <v>0</v>
      </c>
      <c r="F3758">
        <v>0</v>
      </c>
      <c r="G3758" t="s">
        <v>12</v>
      </c>
      <c r="I3758" t="s">
        <v>1428</v>
      </c>
    </row>
    <row r="3759" spans="1:9" hidden="1" x14ac:dyDescent="0.25">
      <c r="A3759" t="s">
        <v>3034</v>
      </c>
      <c r="B3759" t="s">
        <v>122</v>
      </c>
      <c r="C3759" s="2">
        <f>HYPERLINK("https://cao.dolgi.msk.ru/account/1080257512/", 1080257512)</f>
        <v>1080257512</v>
      </c>
      <c r="D3759" t="s">
        <v>3079</v>
      </c>
      <c r="E3759">
        <v>0</v>
      </c>
      <c r="F3759">
        <v>0</v>
      </c>
      <c r="G3759" t="s">
        <v>12</v>
      </c>
      <c r="I3759" t="s">
        <v>1428</v>
      </c>
    </row>
    <row r="3760" spans="1:9" hidden="1" x14ac:dyDescent="0.25">
      <c r="A3760" t="s">
        <v>3034</v>
      </c>
      <c r="B3760" t="s">
        <v>124</v>
      </c>
      <c r="C3760" s="2">
        <f>HYPERLINK("https://cao.dolgi.msk.ru/account/1080257539/", 1080257539)</f>
        <v>1080257539</v>
      </c>
      <c r="D3760" t="s">
        <v>3080</v>
      </c>
      <c r="E3760">
        <v>-7584.74</v>
      </c>
      <c r="F3760">
        <v>-1.1599999999999999</v>
      </c>
      <c r="G3760" t="s">
        <v>12</v>
      </c>
      <c r="I3760" t="s">
        <v>1428</v>
      </c>
    </row>
    <row r="3761" spans="1:9" hidden="1" x14ac:dyDescent="0.25">
      <c r="A3761" t="s">
        <v>3034</v>
      </c>
      <c r="B3761" t="s">
        <v>126</v>
      </c>
      <c r="C3761" s="2">
        <f>HYPERLINK("https://cao.dolgi.msk.ru/account/1080257547/", 1080257547)</f>
        <v>1080257547</v>
      </c>
      <c r="D3761" t="s">
        <v>3081</v>
      </c>
      <c r="E3761">
        <v>-4088.95</v>
      </c>
      <c r="F3761">
        <v>-1.19</v>
      </c>
      <c r="G3761" t="s">
        <v>12</v>
      </c>
      <c r="I3761" t="s">
        <v>1428</v>
      </c>
    </row>
    <row r="3762" spans="1:9" hidden="1" x14ac:dyDescent="0.25">
      <c r="A3762" t="s">
        <v>3034</v>
      </c>
      <c r="B3762" t="s">
        <v>128</v>
      </c>
      <c r="C3762" s="2">
        <f>HYPERLINK("https://cao.dolgi.msk.ru/account/1080257555/", 1080257555)</f>
        <v>1080257555</v>
      </c>
      <c r="D3762" t="s">
        <v>3082</v>
      </c>
      <c r="E3762">
        <v>-8253.23</v>
      </c>
      <c r="F3762">
        <v>-1.34</v>
      </c>
      <c r="G3762" t="s">
        <v>12</v>
      </c>
      <c r="I3762" t="s">
        <v>1428</v>
      </c>
    </row>
    <row r="3763" spans="1:9" hidden="1" x14ac:dyDescent="0.25">
      <c r="A3763" t="s">
        <v>3034</v>
      </c>
      <c r="B3763" t="s">
        <v>130</v>
      </c>
      <c r="C3763" s="2">
        <f>HYPERLINK("https://cao.dolgi.msk.ru/account/1080257563/", 1080257563)</f>
        <v>1080257563</v>
      </c>
      <c r="D3763" t="s">
        <v>3083</v>
      </c>
      <c r="E3763">
        <v>7318.64</v>
      </c>
      <c r="F3763">
        <v>0.79</v>
      </c>
      <c r="G3763" t="s">
        <v>12</v>
      </c>
      <c r="I3763" t="s">
        <v>1428</v>
      </c>
    </row>
    <row r="3764" spans="1:9" hidden="1" x14ac:dyDescent="0.25">
      <c r="A3764" t="s">
        <v>3034</v>
      </c>
      <c r="B3764" t="s">
        <v>130</v>
      </c>
      <c r="C3764" s="2">
        <f>HYPERLINK("https://cao.dolgi.msk.ru/account/1080257571/", 1080257571)</f>
        <v>1080257571</v>
      </c>
      <c r="D3764" t="s">
        <v>15</v>
      </c>
      <c r="G3764" t="s">
        <v>14</v>
      </c>
      <c r="I3764" t="s">
        <v>1428</v>
      </c>
    </row>
    <row r="3765" spans="1:9" hidden="1" x14ac:dyDescent="0.25">
      <c r="A3765" t="s">
        <v>3034</v>
      </c>
      <c r="B3765" t="s">
        <v>133</v>
      </c>
      <c r="C3765" s="2">
        <f>HYPERLINK("https://cao.dolgi.msk.ru/account/1080257619/", 1080257619)</f>
        <v>1080257619</v>
      </c>
      <c r="D3765" t="s">
        <v>3084</v>
      </c>
      <c r="E3765">
        <v>0</v>
      </c>
      <c r="F3765">
        <v>0</v>
      </c>
      <c r="G3765" t="s">
        <v>12</v>
      </c>
      <c r="I3765" t="s">
        <v>1428</v>
      </c>
    </row>
    <row r="3766" spans="1:9" hidden="1" x14ac:dyDescent="0.25">
      <c r="A3766" t="s">
        <v>3034</v>
      </c>
      <c r="B3766" t="s">
        <v>135</v>
      </c>
      <c r="C3766" s="2">
        <f>HYPERLINK("https://cao.dolgi.msk.ru/account/1080257627/", 1080257627)</f>
        <v>1080257627</v>
      </c>
      <c r="D3766" t="s">
        <v>3085</v>
      </c>
      <c r="E3766">
        <v>-3014.94</v>
      </c>
      <c r="F3766">
        <v>-1.2</v>
      </c>
      <c r="G3766" t="s">
        <v>12</v>
      </c>
      <c r="I3766" t="s">
        <v>1428</v>
      </c>
    </row>
    <row r="3767" spans="1:9" hidden="1" x14ac:dyDescent="0.25">
      <c r="A3767" t="s">
        <v>3034</v>
      </c>
      <c r="B3767" t="s">
        <v>135</v>
      </c>
      <c r="C3767" s="2">
        <f>HYPERLINK("https://cao.dolgi.msk.ru/account/1083283927/", 1083283927)</f>
        <v>1083283927</v>
      </c>
      <c r="D3767" t="s">
        <v>15</v>
      </c>
      <c r="E3767">
        <v>-2482.5100000000002</v>
      </c>
      <c r="F3767">
        <v>-1.23</v>
      </c>
      <c r="G3767" t="s">
        <v>12</v>
      </c>
      <c r="I3767" t="s">
        <v>1428</v>
      </c>
    </row>
    <row r="3768" spans="1:9" hidden="1" x14ac:dyDescent="0.25">
      <c r="A3768" t="s">
        <v>3034</v>
      </c>
      <c r="B3768" t="s">
        <v>137</v>
      </c>
      <c r="C3768" s="2">
        <f>HYPERLINK("https://cao.dolgi.msk.ru/account/1080257635/", 1080257635)</f>
        <v>1080257635</v>
      </c>
      <c r="D3768" t="s">
        <v>3086</v>
      </c>
      <c r="E3768">
        <v>-2918.19</v>
      </c>
      <c r="G3768" t="s">
        <v>14</v>
      </c>
      <c r="I3768" t="s">
        <v>1428</v>
      </c>
    </row>
    <row r="3769" spans="1:9" hidden="1" x14ac:dyDescent="0.25">
      <c r="A3769" t="s">
        <v>3034</v>
      </c>
      <c r="B3769" t="s">
        <v>137</v>
      </c>
      <c r="C3769" s="2">
        <f>HYPERLINK("https://cao.dolgi.msk.ru/account/1083391012/", 1083391012)</f>
        <v>1083391012</v>
      </c>
      <c r="D3769" t="s">
        <v>189</v>
      </c>
      <c r="E3769">
        <v>-5702</v>
      </c>
      <c r="F3769">
        <v>-1.1599999999999999</v>
      </c>
      <c r="G3769" t="s">
        <v>12</v>
      </c>
      <c r="I3769" t="s">
        <v>1428</v>
      </c>
    </row>
    <row r="3770" spans="1:9" hidden="1" x14ac:dyDescent="0.25">
      <c r="A3770" t="s">
        <v>3034</v>
      </c>
      <c r="B3770" t="s">
        <v>137</v>
      </c>
      <c r="C3770" s="2">
        <f>HYPERLINK("https://cao.dolgi.msk.ru/account/1089130147/", 1089130147)</f>
        <v>1089130147</v>
      </c>
      <c r="D3770" t="s">
        <v>15</v>
      </c>
      <c r="E3770">
        <v>0</v>
      </c>
      <c r="G3770" t="s">
        <v>14</v>
      </c>
      <c r="I3770" t="s">
        <v>1428</v>
      </c>
    </row>
    <row r="3771" spans="1:9" hidden="1" x14ac:dyDescent="0.25">
      <c r="A3771" t="s">
        <v>3034</v>
      </c>
      <c r="B3771" t="s">
        <v>137</v>
      </c>
      <c r="C3771" s="2">
        <f>HYPERLINK("https://cao.dolgi.msk.ru/account/1089131393/", 1089131393)</f>
        <v>1089131393</v>
      </c>
      <c r="D3771" t="s">
        <v>15</v>
      </c>
      <c r="E3771">
        <v>0</v>
      </c>
      <c r="G3771" t="s">
        <v>14</v>
      </c>
      <c r="I3771" t="s">
        <v>1428</v>
      </c>
    </row>
    <row r="3772" spans="1:9" hidden="1" x14ac:dyDescent="0.25">
      <c r="A3772" t="s">
        <v>3034</v>
      </c>
      <c r="B3772" t="s">
        <v>139</v>
      </c>
      <c r="C3772" s="2">
        <f>HYPERLINK("https://cao.dolgi.msk.ru/account/1080257643/", 1080257643)</f>
        <v>1080257643</v>
      </c>
      <c r="D3772" t="s">
        <v>3087</v>
      </c>
      <c r="E3772">
        <v>0</v>
      </c>
      <c r="F3772">
        <v>0</v>
      </c>
      <c r="G3772" t="s">
        <v>12</v>
      </c>
      <c r="I3772" t="s">
        <v>1428</v>
      </c>
    </row>
    <row r="3773" spans="1:9" hidden="1" x14ac:dyDescent="0.25">
      <c r="A3773" t="s">
        <v>3034</v>
      </c>
      <c r="B3773" t="s">
        <v>141</v>
      </c>
      <c r="C3773" s="2">
        <f>HYPERLINK("https://cao.dolgi.msk.ru/account/1080257651/", 1080257651)</f>
        <v>1080257651</v>
      </c>
      <c r="D3773" t="s">
        <v>15</v>
      </c>
      <c r="E3773">
        <v>-19.04</v>
      </c>
      <c r="F3773">
        <v>0</v>
      </c>
      <c r="G3773" t="s">
        <v>12</v>
      </c>
      <c r="I3773" t="s">
        <v>1428</v>
      </c>
    </row>
    <row r="3774" spans="1:9" hidden="1" x14ac:dyDescent="0.25">
      <c r="A3774" t="s">
        <v>3034</v>
      </c>
      <c r="B3774" t="s">
        <v>143</v>
      </c>
      <c r="C3774" s="2">
        <f>HYPERLINK("https://cao.dolgi.msk.ru/account/1080257678/", 1080257678)</f>
        <v>1080257678</v>
      </c>
      <c r="D3774" t="s">
        <v>3088</v>
      </c>
      <c r="E3774">
        <v>-4701.68</v>
      </c>
      <c r="F3774">
        <v>-1.27</v>
      </c>
      <c r="G3774" t="s">
        <v>12</v>
      </c>
      <c r="I3774" t="s">
        <v>1428</v>
      </c>
    </row>
    <row r="3775" spans="1:9" hidden="1" x14ac:dyDescent="0.25">
      <c r="A3775" t="s">
        <v>3034</v>
      </c>
      <c r="B3775" t="s">
        <v>145</v>
      </c>
      <c r="C3775" s="2">
        <f>HYPERLINK("https://cao.dolgi.msk.ru/account/1080257686/", 1080257686)</f>
        <v>1080257686</v>
      </c>
      <c r="D3775" t="s">
        <v>3089</v>
      </c>
      <c r="E3775">
        <v>-7920.29</v>
      </c>
      <c r="F3775">
        <v>-1.21</v>
      </c>
      <c r="G3775" t="s">
        <v>12</v>
      </c>
      <c r="H3775" t="s">
        <v>7</v>
      </c>
      <c r="I3775" t="s">
        <v>1428</v>
      </c>
    </row>
    <row r="3776" spans="1:9" hidden="1" x14ac:dyDescent="0.25">
      <c r="A3776" t="s">
        <v>3034</v>
      </c>
      <c r="B3776" t="s">
        <v>145</v>
      </c>
      <c r="C3776" s="2">
        <f>HYPERLINK("https://cao.dolgi.msk.ru/account/1080257694/", 1080257694)</f>
        <v>1080257694</v>
      </c>
      <c r="D3776" t="s">
        <v>3089</v>
      </c>
      <c r="E3776">
        <v>-785.88</v>
      </c>
      <c r="G3776" t="s">
        <v>14</v>
      </c>
      <c r="H3776" t="s">
        <v>7</v>
      </c>
      <c r="I3776" t="s">
        <v>1428</v>
      </c>
    </row>
    <row r="3777" spans="1:9" hidden="1" x14ac:dyDescent="0.25">
      <c r="A3777" t="s">
        <v>3034</v>
      </c>
      <c r="B3777" t="s">
        <v>147</v>
      </c>
      <c r="C3777" s="2">
        <f>HYPERLINK("https://cao.dolgi.msk.ru/account/1080257707/", 1080257707)</f>
        <v>1080257707</v>
      </c>
      <c r="D3777" t="s">
        <v>3090</v>
      </c>
      <c r="E3777">
        <v>-1850.83</v>
      </c>
      <c r="F3777">
        <v>-0.56999999999999995</v>
      </c>
      <c r="G3777" t="s">
        <v>12</v>
      </c>
      <c r="H3777" t="s">
        <v>7</v>
      </c>
      <c r="I3777" t="s">
        <v>1428</v>
      </c>
    </row>
    <row r="3778" spans="1:9" hidden="1" x14ac:dyDescent="0.25">
      <c r="A3778" t="s">
        <v>3034</v>
      </c>
      <c r="B3778" t="s">
        <v>147</v>
      </c>
      <c r="C3778" s="2">
        <f>HYPERLINK("https://cao.dolgi.msk.ru/account/1080257715/", 1080257715)</f>
        <v>1080257715</v>
      </c>
      <c r="D3778" t="s">
        <v>3090</v>
      </c>
      <c r="E3778">
        <v>-8483.98</v>
      </c>
      <c r="F3778">
        <v>-4.51</v>
      </c>
      <c r="G3778" t="s">
        <v>12</v>
      </c>
      <c r="H3778" t="s">
        <v>7</v>
      </c>
      <c r="I3778" t="s">
        <v>1428</v>
      </c>
    </row>
    <row r="3779" spans="1:9" hidden="1" x14ac:dyDescent="0.25">
      <c r="A3779" t="s">
        <v>3034</v>
      </c>
      <c r="B3779" t="s">
        <v>147</v>
      </c>
      <c r="C3779" s="2">
        <f>HYPERLINK("https://cao.dolgi.msk.ru/account/1080257723/", 1080257723)</f>
        <v>1080257723</v>
      </c>
      <c r="D3779" t="s">
        <v>3091</v>
      </c>
      <c r="E3779">
        <v>-13871.08</v>
      </c>
      <c r="F3779">
        <v>-4.0999999999999996</v>
      </c>
      <c r="G3779" t="s">
        <v>12</v>
      </c>
      <c r="H3779" t="s">
        <v>7</v>
      </c>
      <c r="I3779" t="s">
        <v>1428</v>
      </c>
    </row>
    <row r="3780" spans="1:9" hidden="1" x14ac:dyDescent="0.25">
      <c r="A3780" t="s">
        <v>3034</v>
      </c>
      <c r="B3780" t="s">
        <v>149</v>
      </c>
      <c r="C3780" s="2">
        <f>HYPERLINK("https://cao.dolgi.msk.ru/account/1080257731/", 1080257731)</f>
        <v>1080257731</v>
      </c>
      <c r="D3780" t="s">
        <v>3092</v>
      </c>
      <c r="E3780">
        <v>-5257.08</v>
      </c>
      <c r="F3780">
        <v>-1.96</v>
      </c>
      <c r="G3780" t="s">
        <v>12</v>
      </c>
      <c r="I3780" t="s">
        <v>1428</v>
      </c>
    </row>
    <row r="3781" spans="1:9" hidden="1" x14ac:dyDescent="0.25">
      <c r="A3781" t="s">
        <v>3034</v>
      </c>
      <c r="B3781" t="s">
        <v>151</v>
      </c>
      <c r="C3781" s="2">
        <f>HYPERLINK("https://cao.dolgi.msk.ru/account/1080257758/", 1080257758)</f>
        <v>1080257758</v>
      </c>
      <c r="D3781" t="s">
        <v>3093</v>
      </c>
      <c r="E3781">
        <v>-6148.18</v>
      </c>
      <c r="F3781">
        <v>-1.17</v>
      </c>
      <c r="G3781" t="s">
        <v>12</v>
      </c>
      <c r="I3781" t="s">
        <v>1428</v>
      </c>
    </row>
    <row r="3782" spans="1:9" hidden="1" x14ac:dyDescent="0.25">
      <c r="A3782" t="s">
        <v>3034</v>
      </c>
      <c r="B3782" t="s">
        <v>153</v>
      </c>
      <c r="C3782" s="2">
        <f>HYPERLINK("https://cao.dolgi.msk.ru/account/1080257766/", 1080257766)</f>
        <v>1080257766</v>
      </c>
      <c r="D3782" t="s">
        <v>3094</v>
      </c>
      <c r="E3782">
        <v>-7919.7</v>
      </c>
      <c r="F3782">
        <v>-1.19</v>
      </c>
      <c r="G3782" t="s">
        <v>12</v>
      </c>
      <c r="I3782" t="s">
        <v>1428</v>
      </c>
    </row>
    <row r="3783" spans="1:9" hidden="1" x14ac:dyDescent="0.25">
      <c r="A3783" t="s">
        <v>3034</v>
      </c>
      <c r="B3783" t="s">
        <v>155</v>
      </c>
      <c r="C3783" s="2">
        <f>HYPERLINK("https://cao.dolgi.msk.ru/account/1080257774/", 1080257774)</f>
        <v>1080257774</v>
      </c>
      <c r="D3783" t="s">
        <v>3095</v>
      </c>
      <c r="E3783">
        <v>-8390.86</v>
      </c>
      <c r="F3783">
        <v>-1.21</v>
      </c>
      <c r="G3783" t="s">
        <v>12</v>
      </c>
      <c r="I3783" t="s">
        <v>1428</v>
      </c>
    </row>
    <row r="3784" spans="1:9" hidden="1" x14ac:dyDescent="0.25">
      <c r="A3784" t="s">
        <v>3034</v>
      </c>
      <c r="B3784" t="s">
        <v>157</v>
      </c>
      <c r="C3784" s="2">
        <f>HYPERLINK("https://cao.dolgi.msk.ru/account/1080257782/", 1080257782)</f>
        <v>1080257782</v>
      </c>
      <c r="D3784" t="s">
        <v>3096</v>
      </c>
      <c r="E3784">
        <v>-7426.68</v>
      </c>
      <c r="F3784">
        <v>-1.1499999999999999</v>
      </c>
      <c r="G3784" t="s">
        <v>12</v>
      </c>
      <c r="I3784" t="s">
        <v>1428</v>
      </c>
    </row>
    <row r="3785" spans="1:9" hidden="1" x14ac:dyDescent="0.25">
      <c r="A3785" t="s">
        <v>3034</v>
      </c>
      <c r="B3785" t="s">
        <v>159</v>
      </c>
      <c r="C3785" s="2">
        <f>HYPERLINK("https://cao.dolgi.msk.ru/account/1080257803/", 1080257803)</f>
        <v>1080257803</v>
      </c>
      <c r="D3785" t="s">
        <v>3097</v>
      </c>
      <c r="E3785">
        <v>-4073.48</v>
      </c>
      <c r="F3785">
        <v>-1.1200000000000001</v>
      </c>
      <c r="G3785" t="s">
        <v>12</v>
      </c>
      <c r="I3785" t="s">
        <v>1428</v>
      </c>
    </row>
    <row r="3786" spans="1:9" hidden="1" x14ac:dyDescent="0.25">
      <c r="A3786" t="s">
        <v>3034</v>
      </c>
      <c r="B3786" t="s">
        <v>161</v>
      </c>
      <c r="C3786" s="2">
        <f>HYPERLINK("https://cao.dolgi.msk.ru/account/1080257811/", 1080257811)</f>
        <v>1080257811</v>
      </c>
      <c r="D3786" t="s">
        <v>3098</v>
      </c>
      <c r="E3786">
        <v>0</v>
      </c>
      <c r="F3786">
        <v>0</v>
      </c>
      <c r="G3786" t="s">
        <v>12</v>
      </c>
      <c r="I3786" t="s">
        <v>1428</v>
      </c>
    </row>
    <row r="3787" spans="1:9" hidden="1" x14ac:dyDescent="0.25">
      <c r="A3787" t="s">
        <v>3034</v>
      </c>
      <c r="B3787" t="s">
        <v>163</v>
      </c>
      <c r="C3787" s="2">
        <f>HYPERLINK("https://cao.dolgi.msk.ru/account/1080257838/", 1080257838)</f>
        <v>1080257838</v>
      </c>
      <c r="D3787" t="s">
        <v>3099</v>
      </c>
      <c r="E3787">
        <v>-6138.47</v>
      </c>
      <c r="F3787">
        <v>-1.21</v>
      </c>
      <c r="G3787" t="s">
        <v>12</v>
      </c>
      <c r="I3787" t="s">
        <v>1428</v>
      </c>
    </row>
    <row r="3788" spans="1:9" hidden="1" x14ac:dyDescent="0.25">
      <c r="A3788" t="s">
        <v>3034</v>
      </c>
      <c r="B3788" t="s">
        <v>571</v>
      </c>
      <c r="C3788" s="2">
        <f>HYPERLINK("https://cao.dolgi.msk.ru/account/1080257846/", 1080257846)</f>
        <v>1080257846</v>
      </c>
      <c r="D3788" t="s">
        <v>3100</v>
      </c>
      <c r="E3788">
        <v>-6965.39</v>
      </c>
      <c r="F3788">
        <v>-1.18</v>
      </c>
      <c r="G3788" t="s">
        <v>12</v>
      </c>
      <c r="I3788" t="s">
        <v>1428</v>
      </c>
    </row>
    <row r="3789" spans="1:9" hidden="1" x14ac:dyDescent="0.25">
      <c r="A3789" t="s">
        <v>3034</v>
      </c>
      <c r="B3789" t="s">
        <v>682</v>
      </c>
      <c r="C3789" s="2">
        <f>HYPERLINK("https://cao.dolgi.msk.ru/account/1080257854/", 1080257854)</f>
        <v>1080257854</v>
      </c>
      <c r="D3789" t="s">
        <v>3101</v>
      </c>
      <c r="E3789">
        <v>-6058.37</v>
      </c>
      <c r="F3789">
        <v>-1.1599999999999999</v>
      </c>
      <c r="G3789" t="s">
        <v>12</v>
      </c>
      <c r="I3789" t="s">
        <v>1428</v>
      </c>
    </row>
    <row r="3790" spans="1:9" hidden="1" x14ac:dyDescent="0.25">
      <c r="A3790" t="s">
        <v>3034</v>
      </c>
      <c r="B3790" t="s">
        <v>578</v>
      </c>
      <c r="C3790" s="2">
        <f>HYPERLINK("https://cao.dolgi.msk.ru/account/1080257862/", 1080257862)</f>
        <v>1080257862</v>
      </c>
      <c r="D3790" t="s">
        <v>3102</v>
      </c>
      <c r="E3790">
        <v>-8075.44</v>
      </c>
      <c r="F3790">
        <v>-0.97</v>
      </c>
      <c r="G3790" t="s">
        <v>12</v>
      </c>
      <c r="I3790" t="s">
        <v>1428</v>
      </c>
    </row>
    <row r="3791" spans="1:9" hidden="1" x14ac:dyDescent="0.25">
      <c r="A3791" t="s">
        <v>3034</v>
      </c>
      <c r="B3791" t="s">
        <v>580</v>
      </c>
      <c r="C3791" s="2">
        <f>HYPERLINK("https://cao.dolgi.msk.ru/account/1080257889/", 1080257889)</f>
        <v>1080257889</v>
      </c>
      <c r="D3791" t="s">
        <v>3103</v>
      </c>
      <c r="E3791">
        <v>-4589.47</v>
      </c>
      <c r="F3791">
        <v>-1.21</v>
      </c>
      <c r="G3791" t="s">
        <v>12</v>
      </c>
      <c r="I3791" t="s">
        <v>1428</v>
      </c>
    </row>
    <row r="3792" spans="1:9" hidden="1" x14ac:dyDescent="0.25">
      <c r="A3792" t="s">
        <v>3034</v>
      </c>
      <c r="B3792" t="s">
        <v>580</v>
      </c>
      <c r="C3792" s="2">
        <f>HYPERLINK("https://cao.dolgi.msk.ru/account/1083272371/", 1083272371)</f>
        <v>1083272371</v>
      </c>
      <c r="D3792" t="s">
        <v>15</v>
      </c>
      <c r="E3792">
        <v>-1529.71</v>
      </c>
      <c r="F3792">
        <v>-1.56</v>
      </c>
      <c r="G3792" t="s">
        <v>12</v>
      </c>
      <c r="I3792" t="s">
        <v>1428</v>
      </c>
    </row>
    <row r="3793" spans="1:9" hidden="1" x14ac:dyDescent="0.25">
      <c r="A3793" t="s">
        <v>3034</v>
      </c>
      <c r="B3793" t="s">
        <v>580</v>
      </c>
      <c r="C3793" s="2">
        <f>HYPERLINK("https://cao.dolgi.msk.ru/account/1083272398/", 1083272398)</f>
        <v>1083272398</v>
      </c>
      <c r="D3793" t="s">
        <v>15</v>
      </c>
      <c r="E3793">
        <v>-1529.71</v>
      </c>
      <c r="F3793">
        <v>-1.56</v>
      </c>
      <c r="G3793" t="s">
        <v>12</v>
      </c>
      <c r="I3793" t="s">
        <v>1428</v>
      </c>
    </row>
    <row r="3794" spans="1:9" hidden="1" x14ac:dyDescent="0.25">
      <c r="A3794" t="s">
        <v>3034</v>
      </c>
      <c r="B3794" t="s">
        <v>686</v>
      </c>
      <c r="C3794" s="2">
        <f>HYPERLINK("https://cao.dolgi.msk.ru/account/1080257897/", 1080257897)</f>
        <v>1080257897</v>
      </c>
      <c r="D3794" t="s">
        <v>3104</v>
      </c>
      <c r="E3794">
        <v>-7791.75</v>
      </c>
      <c r="F3794">
        <v>-1.07</v>
      </c>
      <c r="G3794" t="s">
        <v>12</v>
      </c>
      <c r="I3794" t="s">
        <v>1428</v>
      </c>
    </row>
    <row r="3795" spans="1:9" hidden="1" x14ac:dyDescent="0.25">
      <c r="A3795" t="s">
        <v>3034</v>
      </c>
      <c r="B3795" t="s">
        <v>582</v>
      </c>
      <c r="C3795" s="2">
        <f>HYPERLINK("https://cao.dolgi.msk.ru/account/1080257918/", 1080257918)</f>
        <v>1080257918</v>
      </c>
      <c r="D3795" t="s">
        <v>3105</v>
      </c>
      <c r="E3795">
        <v>0</v>
      </c>
      <c r="F3795">
        <v>0</v>
      </c>
      <c r="G3795" t="s">
        <v>12</v>
      </c>
      <c r="I3795" t="s">
        <v>1428</v>
      </c>
    </row>
    <row r="3796" spans="1:9" hidden="1" x14ac:dyDescent="0.25">
      <c r="A3796" t="s">
        <v>3034</v>
      </c>
      <c r="B3796" t="s">
        <v>584</v>
      </c>
      <c r="C3796" s="2">
        <f>HYPERLINK("https://cao.dolgi.msk.ru/account/1080257926/", 1080257926)</f>
        <v>1080257926</v>
      </c>
      <c r="D3796" t="s">
        <v>3106</v>
      </c>
      <c r="E3796">
        <v>-8790.02</v>
      </c>
      <c r="F3796">
        <v>-1.39</v>
      </c>
      <c r="G3796" t="s">
        <v>12</v>
      </c>
      <c r="I3796" t="s">
        <v>1428</v>
      </c>
    </row>
    <row r="3797" spans="1:9" hidden="1" x14ac:dyDescent="0.25">
      <c r="A3797" t="s">
        <v>3034</v>
      </c>
      <c r="B3797" t="s">
        <v>586</v>
      </c>
      <c r="C3797" s="2">
        <f>HYPERLINK("https://cao.dolgi.msk.ru/account/1080257934/", 1080257934)</f>
        <v>1080257934</v>
      </c>
      <c r="D3797" t="s">
        <v>3107</v>
      </c>
      <c r="E3797">
        <v>-7981.03</v>
      </c>
      <c r="F3797">
        <v>-1.45</v>
      </c>
      <c r="G3797" t="s">
        <v>12</v>
      </c>
      <c r="I3797" t="s">
        <v>1428</v>
      </c>
    </row>
    <row r="3798" spans="1:9" hidden="1" x14ac:dyDescent="0.25">
      <c r="A3798" t="s">
        <v>3034</v>
      </c>
      <c r="B3798" t="s">
        <v>588</v>
      </c>
      <c r="C3798" s="2">
        <f>HYPERLINK("https://cao.dolgi.msk.ru/account/1080257942/", 1080257942)</f>
        <v>1080257942</v>
      </c>
      <c r="D3798" t="s">
        <v>3108</v>
      </c>
      <c r="E3798">
        <v>-6641.73</v>
      </c>
      <c r="F3798">
        <v>-1.1499999999999999</v>
      </c>
      <c r="G3798" t="s">
        <v>12</v>
      </c>
      <c r="I3798" t="s">
        <v>1428</v>
      </c>
    </row>
    <row r="3799" spans="1:9" hidden="1" x14ac:dyDescent="0.25">
      <c r="A3799" t="s">
        <v>3034</v>
      </c>
      <c r="B3799" t="s">
        <v>590</v>
      </c>
      <c r="C3799" s="2">
        <f>HYPERLINK("https://cao.dolgi.msk.ru/account/1080257969/", 1080257969)</f>
        <v>1080257969</v>
      </c>
      <c r="D3799" t="s">
        <v>3109</v>
      </c>
      <c r="E3799">
        <v>-5715.81</v>
      </c>
      <c r="F3799">
        <v>-1.0900000000000001</v>
      </c>
      <c r="G3799" t="s">
        <v>12</v>
      </c>
      <c r="I3799" t="s">
        <v>1428</v>
      </c>
    </row>
    <row r="3800" spans="1:9" hidden="1" x14ac:dyDescent="0.25">
      <c r="A3800" t="s">
        <v>3034</v>
      </c>
      <c r="B3800" t="s">
        <v>693</v>
      </c>
      <c r="C3800" s="2">
        <f>HYPERLINK("https://cao.dolgi.msk.ru/account/1080257977/", 1080257977)</f>
        <v>1080257977</v>
      </c>
      <c r="D3800" t="s">
        <v>3110</v>
      </c>
      <c r="E3800">
        <v>-6825.15</v>
      </c>
      <c r="F3800">
        <v>-1.29</v>
      </c>
      <c r="G3800" t="s">
        <v>12</v>
      </c>
      <c r="I3800" t="s">
        <v>1428</v>
      </c>
    </row>
    <row r="3801" spans="1:9" hidden="1" x14ac:dyDescent="0.25">
      <c r="A3801" t="s">
        <v>3034</v>
      </c>
      <c r="B3801" t="s">
        <v>694</v>
      </c>
      <c r="C3801" s="2">
        <f>HYPERLINK("https://cao.dolgi.msk.ru/account/1080257985/", 1080257985)</f>
        <v>1080257985</v>
      </c>
      <c r="D3801" t="s">
        <v>3111</v>
      </c>
      <c r="E3801">
        <v>-9672.83</v>
      </c>
      <c r="F3801">
        <v>-1.1599999999999999</v>
      </c>
      <c r="G3801" t="s">
        <v>12</v>
      </c>
      <c r="I3801" t="s">
        <v>1428</v>
      </c>
    </row>
    <row r="3802" spans="1:9" hidden="1" x14ac:dyDescent="0.25">
      <c r="A3802" t="s">
        <v>3034</v>
      </c>
      <c r="B3802" t="s">
        <v>696</v>
      </c>
      <c r="C3802" s="2">
        <f>HYPERLINK("https://cao.dolgi.msk.ru/account/1080257993/", 1080257993)</f>
        <v>1080257993</v>
      </c>
      <c r="D3802" t="s">
        <v>3112</v>
      </c>
      <c r="E3802">
        <v>-6407.41</v>
      </c>
      <c r="F3802">
        <v>-1.22</v>
      </c>
      <c r="G3802" t="s">
        <v>12</v>
      </c>
      <c r="I3802" t="s">
        <v>1428</v>
      </c>
    </row>
    <row r="3803" spans="1:9" hidden="1" x14ac:dyDescent="0.25">
      <c r="A3803" t="s">
        <v>3034</v>
      </c>
      <c r="B3803" t="s">
        <v>698</v>
      </c>
      <c r="C3803" s="2">
        <f>HYPERLINK("https://cao.dolgi.msk.ru/account/1080258005/", 1080258005)</f>
        <v>1080258005</v>
      </c>
      <c r="D3803" t="s">
        <v>3113</v>
      </c>
      <c r="E3803">
        <v>-9025.2900000000009</v>
      </c>
      <c r="F3803">
        <v>-1.1299999999999999</v>
      </c>
      <c r="G3803" t="s">
        <v>12</v>
      </c>
      <c r="I3803" t="s">
        <v>1428</v>
      </c>
    </row>
    <row r="3804" spans="1:9" hidden="1" x14ac:dyDescent="0.25">
      <c r="A3804" t="s">
        <v>3034</v>
      </c>
      <c r="B3804" t="s">
        <v>700</v>
      </c>
      <c r="C3804" s="2">
        <f>HYPERLINK("https://cao.dolgi.msk.ru/account/1080258013/", 1080258013)</f>
        <v>1080258013</v>
      </c>
      <c r="D3804" t="s">
        <v>3114</v>
      </c>
      <c r="E3804">
        <v>-9889.8700000000008</v>
      </c>
      <c r="F3804">
        <v>-1.2</v>
      </c>
      <c r="G3804" t="s">
        <v>12</v>
      </c>
      <c r="I3804" t="s">
        <v>1428</v>
      </c>
    </row>
    <row r="3805" spans="1:9" hidden="1" x14ac:dyDescent="0.25">
      <c r="A3805" t="s">
        <v>3034</v>
      </c>
      <c r="B3805" t="s">
        <v>702</v>
      </c>
      <c r="C3805" s="2">
        <f>HYPERLINK("https://cao.dolgi.msk.ru/account/1080258021/", 1080258021)</f>
        <v>1080258021</v>
      </c>
      <c r="D3805" t="s">
        <v>15</v>
      </c>
      <c r="G3805" t="s">
        <v>14</v>
      </c>
      <c r="I3805" t="s">
        <v>1428</v>
      </c>
    </row>
    <row r="3806" spans="1:9" hidden="1" x14ac:dyDescent="0.25">
      <c r="A3806" t="s">
        <v>3034</v>
      </c>
      <c r="B3806" t="s">
        <v>703</v>
      </c>
      <c r="C3806" s="2">
        <f>HYPERLINK("https://cao.dolgi.msk.ru/account/1080258048/", 1080258048)</f>
        <v>1080258048</v>
      </c>
      <c r="D3806" t="s">
        <v>15</v>
      </c>
      <c r="G3806" t="s">
        <v>14</v>
      </c>
      <c r="I3806" t="s">
        <v>1428</v>
      </c>
    </row>
    <row r="3807" spans="1:9" hidden="1" x14ac:dyDescent="0.25">
      <c r="A3807" t="s">
        <v>3034</v>
      </c>
      <c r="B3807" t="s">
        <v>705</v>
      </c>
      <c r="C3807" s="2">
        <f>HYPERLINK("https://cao.dolgi.msk.ru/account/1080258056/", 1080258056)</f>
        <v>1080258056</v>
      </c>
      <c r="D3807" t="s">
        <v>3115</v>
      </c>
      <c r="E3807">
        <v>-4400.04</v>
      </c>
      <c r="F3807">
        <v>-1.17</v>
      </c>
      <c r="G3807" t="s">
        <v>12</v>
      </c>
      <c r="I3807" t="s">
        <v>1428</v>
      </c>
    </row>
    <row r="3808" spans="1:9" hidden="1" x14ac:dyDescent="0.25">
      <c r="A3808" t="s">
        <v>3034</v>
      </c>
      <c r="B3808" t="s">
        <v>707</v>
      </c>
      <c r="C3808" s="2">
        <f>HYPERLINK("https://cao.dolgi.msk.ru/account/1080258064/", 1080258064)</f>
        <v>1080258064</v>
      </c>
      <c r="D3808" t="s">
        <v>2799</v>
      </c>
      <c r="E3808">
        <v>264614.7</v>
      </c>
      <c r="G3808" t="s">
        <v>12</v>
      </c>
      <c r="I3808" t="s">
        <v>1428</v>
      </c>
    </row>
    <row r="3809" spans="1:9" x14ac:dyDescent="0.25">
      <c r="A3809" t="s">
        <v>3034</v>
      </c>
      <c r="B3809" t="s">
        <v>707</v>
      </c>
      <c r="C3809" s="2">
        <f>HYPERLINK("https://cao.dolgi.msk.ru/account/1083396403/", 1083396403)</f>
        <v>1083396403</v>
      </c>
      <c r="D3809" t="s">
        <v>189</v>
      </c>
      <c r="E3809">
        <v>90327.42</v>
      </c>
      <c r="F3809">
        <v>20.09</v>
      </c>
      <c r="G3809" t="s">
        <v>12</v>
      </c>
      <c r="I3809" t="s">
        <v>1428</v>
      </c>
    </row>
    <row r="3810" spans="1:9" hidden="1" x14ac:dyDescent="0.25">
      <c r="A3810" t="s">
        <v>3034</v>
      </c>
      <c r="B3810" t="s">
        <v>709</v>
      </c>
      <c r="C3810" s="2">
        <f>HYPERLINK("https://cao.dolgi.msk.ru/account/1080258072/", 1080258072)</f>
        <v>1080258072</v>
      </c>
      <c r="D3810" t="s">
        <v>3116</v>
      </c>
      <c r="E3810">
        <v>-5131.1000000000004</v>
      </c>
      <c r="F3810">
        <v>-1.17</v>
      </c>
      <c r="G3810" t="s">
        <v>12</v>
      </c>
      <c r="I3810" t="s">
        <v>1428</v>
      </c>
    </row>
    <row r="3811" spans="1:9" hidden="1" x14ac:dyDescent="0.25">
      <c r="A3811" t="s">
        <v>3034</v>
      </c>
      <c r="B3811" t="s">
        <v>711</v>
      </c>
      <c r="C3811" s="2">
        <f>HYPERLINK("https://cao.dolgi.msk.ru/account/1080258099/", 1080258099)</f>
        <v>1080258099</v>
      </c>
      <c r="D3811" t="s">
        <v>3117</v>
      </c>
      <c r="E3811">
        <v>-6584.54</v>
      </c>
      <c r="F3811">
        <v>-1.1499999999999999</v>
      </c>
      <c r="G3811" t="s">
        <v>12</v>
      </c>
      <c r="I3811" t="s">
        <v>1428</v>
      </c>
    </row>
    <row r="3812" spans="1:9" hidden="1" x14ac:dyDescent="0.25">
      <c r="A3812" t="s">
        <v>3034</v>
      </c>
      <c r="B3812" t="s">
        <v>713</v>
      </c>
      <c r="C3812" s="2">
        <f>HYPERLINK("https://cao.dolgi.msk.ru/account/1080258101/", 1080258101)</f>
        <v>1080258101</v>
      </c>
      <c r="D3812" t="s">
        <v>3118</v>
      </c>
      <c r="E3812">
        <v>-6028.68</v>
      </c>
      <c r="F3812">
        <v>-1.29</v>
      </c>
      <c r="G3812" t="s">
        <v>12</v>
      </c>
      <c r="I3812" t="s">
        <v>1428</v>
      </c>
    </row>
    <row r="3813" spans="1:9" hidden="1" x14ac:dyDescent="0.25">
      <c r="A3813" t="s">
        <v>3034</v>
      </c>
      <c r="B3813" t="s">
        <v>528</v>
      </c>
      <c r="C3813" s="2">
        <f>HYPERLINK("https://cao.dolgi.msk.ru/account/1080258128/", 1080258128)</f>
        <v>1080258128</v>
      </c>
      <c r="D3813" t="s">
        <v>3119</v>
      </c>
      <c r="E3813">
        <v>-10791.75</v>
      </c>
      <c r="F3813">
        <v>-1.26</v>
      </c>
      <c r="G3813" t="s">
        <v>12</v>
      </c>
      <c r="I3813" t="s">
        <v>1428</v>
      </c>
    </row>
    <row r="3814" spans="1:9" hidden="1" x14ac:dyDescent="0.25">
      <c r="A3814" t="s">
        <v>3034</v>
      </c>
      <c r="B3814" t="s">
        <v>530</v>
      </c>
      <c r="C3814" s="2">
        <f>HYPERLINK("https://cao.dolgi.msk.ru/account/1080258136/", 1080258136)</f>
        <v>1080258136</v>
      </c>
      <c r="D3814" t="s">
        <v>3120</v>
      </c>
      <c r="E3814">
        <v>1427.86</v>
      </c>
      <c r="F3814">
        <v>0.19</v>
      </c>
      <c r="G3814" t="s">
        <v>12</v>
      </c>
      <c r="I3814" t="s">
        <v>1428</v>
      </c>
    </row>
    <row r="3815" spans="1:9" hidden="1" x14ac:dyDescent="0.25">
      <c r="A3815" t="s">
        <v>3034</v>
      </c>
      <c r="B3815" t="s">
        <v>532</v>
      </c>
      <c r="C3815" s="2">
        <f>HYPERLINK("https://cao.dolgi.msk.ru/account/1080258144/", 1080258144)</f>
        <v>1080258144</v>
      </c>
      <c r="D3815" t="s">
        <v>3121</v>
      </c>
      <c r="E3815">
        <v>64.739999999999995</v>
      </c>
      <c r="F3815">
        <v>0.01</v>
      </c>
      <c r="G3815" t="s">
        <v>12</v>
      </c>
      <c r="I3815" t="s">
        <v>1428</v>
      </c>
    </row>
    <row r="3816" spans="1:9" hidden="1" x14ac:dyDescent="0.25">
      <c r="A3816" t="s">
        <v>3034</v>
      </c>
      <c r="B3816" t="s">
        <v>534</v>
      </c>
      <c r="C3816" s="2">
        <f>HYPERLINK("https://cao.dolgi.msk.ru/account/1080258152/", 1080258152)</f>
        <v>1080258152</v>
      </c>
      <c r="D3816" t="s">
        <v>3122</v>
      </c>
      <c r="E3816">
        <v>-5878.98</v>
      </c>
      <c r="F3816">
        <v>-1.2</v>
      </c>
      <c r="G3816" t="s">
        <v>12</v>
      </c>
      <c r="I3816" t="s">
        <v>1428</v>
      </c>
    </row>
    <row r="3817" spans="1:9" hidden="1" x14ac:dyDescent="0.25">
      <c r="A3817" t="s">
        <v>3034</v>
      </c>
      <c r="B3817" t="s">
        <v>536</v>
      </c>
      <c r="C3817" s="2">
        <f>HYPERLINK("https://cao.dolgi.msk.ru/account/1080258179/", 1080258179)</f>
        <v>1080258179</v>
      </c>
      <c r="D3817" t="s">
        <v>3123</v>
      </c>
      <c r="E3817">
        <v>0</v>
      </c>
      <c r="F3817">
        <v>0</v>
      </c>
      <c r="G3817" t="s">
        <v>12</v>
      </c>
      <c r="I3817" t="s">
        <v>1428</v>
      </c>
    </row>
    <row r="3818" spans="1:9" hidden="1" x14ac:dyDescent="0.25">
      <c r="A3818" t="s">
        <v>3034</v>
      </c>
      <c r="B3818" t="s">
        <v>538</v>
      </c>
      <c r="C3818" s="2">
        <f>HYPERLINK("https://cao.dolgi.msk.ru/account/1080258187/", 1080258187)</f>
        <v>1080258187</v>
      </c>
      <c r="D3818" t="s">
        <v>3124</v>
      </c>
      <c r="E3818">
        <v>-8293.7999999999993</v>
      </c>
      <c r="F3818">
        <v>-1.1599999999999999</v>
      </c>
      <c r="G3818" t="s">
        <v>12</v>
      </c>
      <c r="I3818" t="s">
        <v>1428</v>
      </c>
    </row>
    <row r="3819" spans="1:9" hidden="1" x14ac:dyDescent="0.25">
      <c r="A3819" t="s">
        <v>3034</v>
      </c>
      <c r="B3819" t="s">
        <v>539</v>
      </c>
      <c r="C3819" s="2">
        <f>HYPERLINK("https://cao.dolgi.msk.ru/account/1080258195/", 1080258195)</f>
        <v>1080258195</v>
      </c>
      <c r="D3819" t="s">
        <v>3125</v>
      </c>
      <c r="E3819">
        <v>-13485.49</v>
      </c>
      <c r="F3819">
        <v>-1.21</v>
      </c>
      <c r="G3819" t="s">
        <v>12</v>
      </c>
      <c r="I3819" t="s">
        <v>1428</v>
      </c>
    </row>
    <row r="3820" spans="1:9" hidden="1" x14ac:dyDescent="0.25">
      <c r="A3820" t="s">
        <v>3034</v>
      </c>
      <c r="B3820" t="s">
        <v>541</v>
      </c>
      <c r="C3820" s="2">
        <f>HYPERLINK("https://cao.dolgi.msk.ru/account/1080258208/", 1080258208)</f>
        <v>1080258208</v>
      </c>
      <c r="D3820" t="s">
        <v>3126</v>
      </c>
      <c r="E3820">
        <v>-5357.5</v>
      </c>
      <c r="F3820">
        <v>-1.5</v>
      </c>
      <c r="G3820" t="s">
        <v>12</v>
      </c>
      <c r="I3820" t="s">
        <v>1428</v>
      </c>
    </row>
    <row r="3821" spans="1:9" hidden="1" x14ac:dyDescent="0.25">
      <c r="A3821" t="s">
        <v>3034</v>
      </c>
      <c r="B3821" t="s">
        <v>543</v>
      </c>
      <c r="C3821" s="2">
        <f>HYPERLINK("https://cao.dolgi.msk.ru/account/1080258216/", 1080258216)</f>
        <v>1080258216</v>
      </c>
      <c r="D3821" t="s">
        <v>3127</v>
      </c>
      <c r="E3821">
        <v>0</v>
      </c>
      <c r="F3821">
        <v>0</v>
      </c>
      <c r="G3821" t="s">
        <v>12</v>
      </c>
      <c r="I3821" t="s">
        <v>1428</v>
      </c>
    </row>
    <row r="3822" spans="1:9" hidden="1" x14ac:dyDescent="0.25">
      <c r="A3822" t="s">
        <v>3034</v>
      </c>
      <c r="B3822" t="s">
        <v>545</v>
      </c>
      <c r="C3822" s="2">
        <f>HYPERLINK("https://cao.dolgi.msk.ru/account/1080258224/", 1080258224)</f>
        <v>1080258224</v>
      </c>
      <c r="D3822" t="s">
        <v>3128</v>
      </c>
      <c r="E3822">
        <v>-4966.8599999999997</v>
      </c>
      <c r="F3822">
        <v>-0.93</v>
      </c>
      <c r="G3822" t="s">
        <v>12</v>
      </c>
      <c r="I3822" t="s">
        <v>1428</v>
      </c>
    </row>
    <row r="3823" spans="1:9" hidden="1" x14ac:dyDescent="0.25">
      <c r="A3823" t="s">
        <v>3034</v>
      </c>
      <c r="B3823" t="s">
        <v>546</v>
      </c>
      <c r="C3823" s="2">
        <f>HYPERLINK("https://cao.dolgi.msk.ru/account/1080258232/", 1080258232)</f>
        <v>1080258232</v>
      </c>
      <c r="D3823" t="s">
        <v>3129</v>
      </c>
      <c r="E3823">
        <v>-13401.14</v>
      </c>
      <c r="F3823">
        <v>-2.04</v>
      </c>
      <c r="G3823" t="s">
        <v>12</v>
      </c>
      <c r="I3823" t="s">
        <v>1428</v>
      </c>
    </row>
    <row r="3824" spans="1:9" hidden="1" x14ac:dyDescent="0.25">
      <c r="A3824" t="s">
        <v>3034</v>
      </c>
      <c r="B3824" t="s">
        <v>548</v>
      </c>
      <c r="C3824" s="2">
        <f>HYPERLINK("https://cao.dolgi.msk.ru/account/1080258259/", 1080258259)</f>
        <v>1080258259</v>
      </c>
      <c r="D3824" t="s">
        <v>3130</v>
      </c>
      <c r="E3824">
        <v>-4701.74</v>
      </c>
      <c r="F3824">
        <v>-1.1299999999999999</v>
      </c>
      <c r="G3824" t="s">
        <v>12</v>
      </c>
      <c r="I3824" t="s">
        <v>1428</v>
      </c>
    </row>
    <row r="3825" spans="1:9" hidden="1" x14ac:dyDescent="0.25">
      <c r="A3825" t="s">
        <v>3034</v>
      </c>
      <c r="B3825" t="s">
        <v>727</v>
      </c>
      <c r="C3825" s="2">
        <f>HYPERLINK("https://cao.dolgi.msk.ru/account/1080258267/", 1080258267)</f>
        <v>1080258267</v>
      </c>
      <c r="D3825" t="s">
        <v>3131</v>
      </c>
      <c r="E3825">
        <v>-7184.95</v>
      </c>
      <c r="F3825">
        <v>-1.1399999999999999</v>
      </c>
      <c r="G3825" t="s">
        <v>12</v>
      </c>
      <c r="I3825" t="s">
        <v>1428</v>
      </c>
    </row>
    <row r="3826" spans="1:9" hidden="1" x14ac:dyDescent="0.25">
      <c r="A3826" t="s">
        <v>3034</v>
      </c>
      <c r="B3826" t="s">
        <v>551</v>
      </c>
      <c r="C3826" s="2">
        <f>HYPERLINK("https://cao.dolgi.msk.ru/account/1080258275/", 1080258275)</f>
        <v>1080258275</v>
      </c>
      <c r="D3826" t="s">
        <v>3132</v>
      </c>
      <c r="E3826">
        <v>-7648.32</v>
      </c>
      <c r="F3826">
        <v>-1.17</v>
      </c>
      <c r="G3826" t="s">
        <v>12</v>
      </c>
      <c r="I3826" t="s">
        <v>1428</v>
      </c>
    </row>
    <row r="3827" spans="1:9" hidden="1" x14ac:dyDescent="0.25">
      <c r="A3827" t="s">
        <v>3034</v>
      </c>
      <c r="B3827" t="s">
        <v>730</v>
      </c>
      <c r="C3827" s="2">
        <f>HYPERLINK("https://cao.dolgi.msk.ru/account/1080258283/", 1080258283)</f>
        <v>1080258283</v>
      </c>
      <c r="D3827" t="s">
        <v>3133</v>
      </c>
      <c r="E3827">
        <v>2789.28</v>
      </c>
      <c r="F3827">
        <v>0.53</v>
      </c>
      <c r="G3827" t="s">
        <v>12</v>
      </c>
      <c r="I3827" t="s">
        <v>1428</v>
      </c>
    </row>
    <row r="3828" spans="1:9" hidden="1" x14ac:dyDescent="0.25">
      <c r="A3828" t="s">
        <v>3034</v>
      </c>
      <c r="B3828" t="s">
        <v>732</v>
      </c>
      <c r="C3828" s="2">
        <f>HYPERLINK("https://cao.dolgi.msk.ru/account/1080258291/", 1080258291)</f>
        <v>1080258291</v>
      </c>
      <c r="D3828" t="s">
        <v>3134</v>
      </c>
      <c r="E3828">
        <v>-3707.22</v>
      </c>
      <c r="F3828">
        <v>-1.25</v>
      </c>
      <c r="G3828" t="s">
        <v>12</v>
      </c>
      <c r="I3828" t="s">
        <v>1428</v>
      </c>
    </row>
    <row r="3829" spans="1:9" hidden="1" x14ac:dyDescent="0.25">
      <c r="A3829" t="s">
        <v>3034</v>
      </c>
      <c r="B3829" t="s">
        <v>553</v>
      </c>
      <c r="C3829" s="2">
        <f>HYPERLINK("https://cao.dolgi.msk.ru/account/1080258304/", 1080258304)</f>
        <v>1080258304</v>
      </c>
      <c r="D3829" t="s">
        <v>3135</v>
      </c>
      <c r="E3829">
        <v>0</v>
      </c>
      <c r="F3829">
        <v>0</v>
      </c>
      <c r="G3829" t="s">
        <v>12</v>
      </c>
      <c r="I3829" t="s">
        <v>1428</v>
      </c>
    </row>
    <row r="3830" spans="1:9" hidden="1" x14ac:dyDescent="0.25">
      <c r="A3830" t="s">
        <v>3034</v>
      </c>
      <c r="B3830" t="s">
        <v>555</v>
      </c>
      <c r="C3830" s="2">
        <f>HYPERLINK("https://cao.dolgi.msk.ru/account/1080258312/", 1080258312)</f>
        <v>1080258312</v>
      </c>
      <c r="D3830" t="s">
        <v>3136</v>
      </c>
      <c r="E3830">
        <v>-5739.92</v>
      </c>
      <c r="F3830">
        <v>-1.19</v>
      </c>
      <c r="G3830" t="s">
        <v>12</v>
      </c>
      <c r="I3830" t="s">
        <v>1428</v>
      </c>
    </row>
    <row r="3831" spans="1:9" hidden="1" x14ac:dyDescent="0.25">
      <c r="A3831" t="s">
        <v>3034</v>
      </c>
      <c r="B3831" t="s">
        <v>736</v>
      </c>
      <c r="C3831" s="2">
        <f>HYPERLINK("https://cao.dolgi.msk.ru/account/1080258339/", 1080258339)</f>
        <v>1080258339</v>
      </c>
      <c r="D3831" t="s">
        <v>3137</v>
      </c>
      <c r="E3831">
        <v>-7831.76</v>
      </c>
      <c r="F3831">
        <v>-1.1499999999999999</v>
      </c>
      <c r="G3831" t="s">
        <v>12</v>
      </c>
      <c r="I3831" t="s">
        <v>1428</v>
      </c>
    </row>
    <row r="3832" spans="1:9" hidden="1" x14ac:dyDescent="0.25">
      <c r="A3832" t="s">
        <v>3034</v>
      </c>
      <c r="B3832" t="s">
        <v>738</v>
      </c>
      <c r="C3832" s="2">
        <f>HYPERLINK("https://cao.dolgi.msk.ru/account/1080258347/", 1080258347)</f>
        <v>1080258347</v>
      </c>
      <c r="D3832" t="s">
        <v>3138</v>
      </c>
      <c r="E3832">
        <v>-5533.63</v>
      </c>
      <c r="F3832">
        <v>-1.24</v>
      </c>
      <c r="G3832" t="s">
        <v>12</v>
      </c>
      <c r="I3832" t="s">
        <v>1428</v>
      </c>
    </row>
    <row r="3833" spans="1:9" hidden="1" x14ac:dyDescent="0.25">
      <c r="A3833" t="s">
        <v>3034</v>
      </c>
      <c r="B3833" t="s">
        <v>740</v>
      </c>
      <c r="C3833" s="2">
        <f>HYPERLINK("https://cao.dolgi.msk.ru/account/1080258355/", 1080258355)</f>
        <v>1080258355</v>
      </c>
      <c r="D3833" t="s">
        <v>3139</v>
      </c>
      <c r="E3833">
        <v>-7821.85</v>
      </c>
      <c r="F3833">
        <v>-1.23</v>
      </c>
      <c r="G3833" t="s">
        <v>12</v>
      </c>
      <c r="I3833" t="s">
        <v>1428</v>
      </c>
    </row>
    <row r="3834" spans="1:9" hidden="1" x14ac:dyDescent="0.25">
      <c r="A3834" t="s">
        <v>3140</v>
      </c>
      <c r="B3834" t="s">
        <v>10</v>
      </c>
      <c r="C3834" s="2">
        <f>HYPERLINK("https://cao.dolgi.msk.ru/account/1080240948/", 1080240948)</f>
        <v>1080240948</v>
      </c>
      <c r="D3834" t="s">
        <v>3141</v>
      </c>
      <c r="E3834">
        <v>-3252.67</v>
      </c>
      <c r="F3834">
        <v>-1.35</v>
      </c>
      <c r="G3834" t="s">
        <v>12</v>
      </c>
      <c r="I3834" t="s">
        <v>1428</v>
      </c>
    </row>
    <row r="3835" spans="1:9" hidden="1" x14ac:dyDescent="0.25">
      <c r="A3835" t="s">
        <v>3140</v>
      </c>
      <c r="B3835" t="s">
        <v>16</v>
      </c>
      <c r="C3835" s="2">
        <f>HYPERLINK("https://cao.dolgi.msk.ru/account/1080240956/", 1080240956)</f>
        <v>1080240956</v>
      </c>
      <c r="D3835" t="s">
        <v>3142</v>
      </c>
      <c r="E3835">
        <v>-4667.58</v>
      </c>
      <c r="F3835">
        <v>-1.1200000000000001</v>
      </c>
      <c r="G3835" t="s">
        <v>12</v>
      </c>
      <c r="I3835" t="s">
        <v>1428</v>
      </c>
    </row>
    <row r="3836" spans="1:9" hidden="1" x14ac:dyDescent="0.25">
      <c r="A3836" t="s">
        <v>3140</v>
      </c>
      <c r="B3836" t="s">
        <v>18</v>
      </c>
      <c r="C3836" s="2">
        <f>HYPERLINK("https://cao.dolgi.msk.ru/account/1080240964/", 1080240964)</f>
        <v>1080240964</v>
      </c>
      <c r="D3836" t="s">
        <v>3143</v>
      </c>
      <c r="E3836">
        <v>0</v>
      </c>
      <c r="F3836">
        <v>0</v>
      </c>
      <c r="G3836" t="s">
        <v>12</v>
      </c>
      <c r="I3836" t="s">
        <v>1428</v>
      </c>
    </row>
    <row r="3837" spans="1:9" hidden="1" x14ac:dyDescent="0.25">
      <c r="A3837" t="s">
        <v>3140</v>
      </c>
      <c r="B3837" t="s">
        <v>20</v>
      </c>
      <c r="C3837" s="2">
        <f>HYPERLINK("https://cao.dolgi.msk.ru/account/1080240972/", 1080240972)</f>
        <v>1080240972</v>
      </c>
      <c r="D3837" t="s">
        <v>3144</v>
      </c>
      <c r="E3837">
        <v>-2978.66</v>
      </c>
      <c r="F3837">
        <v>-1.17</v>
      </c>
      <c r="G3837" t="s">
        <v>12</v>
      </c>
      <c r="I3837" t="s">
        <v>1428</v>
      </c>
    </row>
    <row r="3838" spans="1:9" hidden="1" x14ac:dyDescent="0.25">
      <c r="A3838" t="s">
        <v>3140</v>
      </c>
      <c r="B3838" t="s">
        <v>21</v>
      </c>
      <c r="C3838" s="2">
        <f>HYPERLINK("https://cao.dolgi.msk.ru/account/1080240999/", 1080240999)</f>
        <v>1080240999</v>
      </c>
      <c r="D3838" t="s">
        <v>3145</v>
      </c>
      <c r="E3838">
        <v>-4241.25</v>
      </c>
      <c r="F3838">
        <v>-1.0900000000000001</v>
      </c>
      <c r="G3838" t="s">
        <v>12</v>
      </c>
      <c r="I3838" t="s">
        <v>1428</v>
      </c>
    </row>
    <row r="3839" spans="1:9" hidden="1" x14ac:dyDescent="0.25">
      <c r="A3839" t="s">
        <v>3140</v>
      </c>
      <c r="B3839" t="s">
        <v>22</v>
      </c>
      <c r="C3839" s="2">
        <f>HYPERLINK("https://cao.dolgi.msk.ru/account/1080241019/", 1080241019)</f>
        <v>1080241019</v>
      </c>
      <c r="D3839" t="s">
        <v>3146</v>
      </c>
      <c r="E3839">
        <v>-4939.57</v>
      </c>
      <c r="F3839">
        <v>-1.03</v>
      </c>
      <c r="G3839" t="s">
        <v>12</v>
      </c>
      <c r="I3839" t="s">
        <v>1428</v>
      </c>
    </row>
    <row r="3840" spans="1:9" hidden="1" x14ac:dyDescent="0.25">
      <c r="A3840" t="s">
        <v>3140</v>
      </c>
      <c r="B3840" t="s">
        <v>23</v>
      </c>
      <c r="C3840" s="2">
        <f>HYPERLINK("https://cao.dolgi.msk.ru/account/1080241027/", 1080241027)</f>
        <v>1080241027</v>
      </c>
      <c r="D3840" t="s">
        <v>3147</v>
      </c>
      <c r="E3840">
        <v>-5526.34</v>
      </c>
      <c r="F3840">
        <v>-1.44</v>
      </c>
      <c r="G3840" t="s">
        <v>12</v>
      </c>
      <c r="I3840" t="s">
        <v>1428</v>
      </c>
    </row>
    <row r="3841" spans="1:9" hidden="1" x14ac:dyDescent="0.25">
      <c r="A3841" t="s">
        <v>3140</v>
      </c>
      <c r="B3841" t="s">
        <v>24</v>
      </c>
      <c r="C3841" s="2">
        <f>HYPERLINK("https://cao.dolgi.msk.ru/account/1080241035/", 1080241035)</f>
        <v>1080241035</v>
      </c>
      <c r="D3841" t="s">
        <v>3148</v>
      </c>
      <c r="E3841">
        <v>-2576.39</v>
      </c>
      <c r="F3841">
        <v>-1.05</v>
      </c>
      <c r="G3841" t="s">
        <v>12</v>
      </c>
      <c r="I3841" t="s">
        <v>1428</v>
      </c>
    </row>
    <row r="3842" spans="1:9" hidden="1" x14ac:dyDescent="0.25">
      <c r="A3842" t="s">
        <v>3140</v>
      </c>
      <c r="B3842" t="s">
        <v>27</v>
      </c>
      <c r="C3842" s="2">
        <f>HYPERLINK("https://cao.dolgi.msk.ru/account/1080241043/", 1080241043)</f>
        <v>1080241043</v>
      </c>
      <c r="D3842" t="s">
        <v>3149</v>
      </c>
      <c r="E3842">
        <v>-4958.72</v>
      </c>
      <c r="F3842">
        <v>-1.1599999999999999</v>
      </c>
      <c r="G3842" t="s">
        <v>12</v>
      </c>
      <c r="I3842" t="s">
        <v>1428</v>
      </c>
    </row>
    <row r="3843" spans="1:9" hidden="1" x14ac:dyDescent="0.25">
      <c r="A3843" t="s">
        <v>3140</v>
      </c>
      <c r="B3843" t="s">
        <v>29</v>
      </c>
      <c r="C3843" s="2">
        <f>HYPERLINK("https://cao.dolgi.msk.ru/account/1080241051/", 1080241051)</f>
        <v>1080241051</v>
      </c>
      <c r="D3843" t="s">
        <v>3150</v>
      </c>
      <c r="E3843">
        <v>-4426.38</v>
      </c>
      <c r="F3843">
        <v>-1.19</v>
      </c>
      <c r="G3843" t="s">
        <v>12</v>
      </c>
      <c r="I3843" t="s">
        <v>1428</v>
      </c>
    </row>
    <row r="3844" spans="1:9" hidden="1" x14ac:dyDescent="0.25">
      <c r="A3844" t="s">
        <v>3140</v>
      </c>
      <c r="B3844" t="s">
        <v>31</v>
      </c>
      <c r="C3844" s="2">
        <f>HYPERLINK("https://cao.dolgi.msk.ru/account/1080241078/", 1080241078)</f>
        <v>1080241078</v>
      </c>
      <c r="D3844" t="s">
        <v>3151</v>
      </c>
      <c r="E3844">
        <v>-8825.1299999999992</v>
      </c>
      <c r="F3844">
        <v>-1.49</v>
      </c>
      <c r="G3844" t="s">
        <v>12</v>
      </c>
      <c r="I3844" t="s">
        <v>1428</v>
      </c>
    </row>
    <row r="3845" spans="1:9" hidden="1" x14ac:dyDescent="0.25">
      <c r="A3845" t="s">
        <v>3140</v>
      </c>
      <c r="B3845" t="s">
        <v>33</v>
      </c>
      <c r="C3845" s="2">
        <f>HYPERLINK("https://cao.dolgi.msk.ru/account/1080241086/", 1080241086)</f>
        <v>1080241086</v>
      </c>
      <c r="D3845" t="s">
        <v>3152</v>
      </c>
      <c r="E3845">
        <v>-5538.39</v>
      </c>
      <c r="F3845">
        <v>-1.35</v>
      </c>
      <c r="G3845" t="s">
        <v>12</v>
      </c>
      <c r="I3845" t="s">
        <v>1428</v>
      </c>
    </row>
    <row r="3846" spans="1:9" hidden="1" x14ac:dyDescent="0.25">
      <c r="A3846" t="s">
        <v>3140</v>
      </c>
      <c r="B3846" t="s">
        <v>34</v>
      </c>
      <c r="C3846" s="2">
        <f>HYPERLINK("https://cao.dolgi.msk.ru/account/1080241094/", 1080241094)</f>
        <v>1080241094</v>
      </c>
      <c r="D3846" t="s">
        <v>3153</v>
      </c>
      <c r="E3846">
        <v>-2698.36</v>
      </c>
      <c r="F3846">
        <v>-1.19</v>
      </c>
      <c r="G3846" t="s">
        <v>12</v>
      </c>
      <c r="I3846" t="s">
        <v>1428</v>
      </c>
    </row>
    <row r="3847" spans="1:9" hidden="1" x14ac:dyDescent="0.25">
      <c r="A3847" t="s">
        <v>3140</v>
      </c>
      <c r="B3847" t="s">
        <v>38</v>
      </c>
      <c r="C3847" s="2">
        <f>HYPERLINK("https://cao.dolgi.msk.ru/account/1080241115/", 1080241115)</f>
        <v>1080241115</v>
      </c>
      <c r="D3847" t="s">
        <v>3154</v>
      </c>
      <c r="E3847">
        <v>-718.99</v>
      </c>
      <c r="F3847">
        <v>-0.1</v>
      </c>
      <c r="G3847" t="s">
        <v>12</v>
      </c>
      <c r="I3847" t="s">
        <v>1428</v>
      </c>
    </row>
    <row r="3848" spans="1:9" x14ac:dyDescent="0.25">
      <c r="A3848" t="s">
        <v>3140</v>
      </c>
      <c r="B3848" t="s">
        <v>39</v>
      </c>
      <c r="C3848" s="2">
        <f>HYPERLINK("https://cao.dolgi.msk.ru/account/1080241123/", 1080241123)</f>
        <v>1080241123</v>
      </c>
      <c r="D3848" t="s">
        <v>3155</v>
      </c>
      <c r="E3848">
        <v>180600.71</v>
      </c>
      <c r="F3848">
        <v>31.89</v>
      </c>
      <c r="G3848" t="s">
        <v>12</v>
      </c>
      <c r="I3848" t="s">
        <v>1428</v>
      </c>
    </row>
    <row r="3849" spans="1:9" hidden="1" x14ac:dyDescent="0.25">
      <c r="A3849" t="s">
        <v>3140</v>
      </c>
      <c r="B3849" t="s">
        <v>40</v>
      </c>
      <c r="C3849" s="2">
        <f>HYPERLINK("https://cao.dolgi.msk.ru/account/1080241131/", 1080241131)</f>
        <v>1080241131</v>
      </c>
      <c r="D3849" t="s">
        <v>3156</v>
      </c>
      <c r="E3849">
        <v>-6467.39</v>
      </c>
      <c r="F3849">
        <v>-1.1499999999999999</v>
      </c>
      <c r="G3849" t="s">
        <v>12</v>
      </c>
      <c r="I3849" t="s">
        <v>1428</v>
      </c>
    </row>
    <row r="3850" spans="1:9" hidden="1" x14ac:dyDescent="0.25">
      <c r="A3850" t="s">
        <v>3140</v>
      </c>
      <c r="B3850" t="s">
        <v>41</v>
      </c>
      <c r="C3850" s="2">
        <f>HYPERLINK("https://cao.dolgi.msk.ru/account/1080241158/", 1080241158)</f>
        <v>1080241158</v>
      </c>
      <c r="D3850" t="s">
        <v>3157</v>
      </c>
      <c r="E3850">
        <v>-6049.76</v>
      </c>
      <c r="F3850">
        <v>-1.1299999999999999</v>
      </c>
      <c r="G3850" t="s">
        <v>12</v>
      </c>
      <c r="I3850" t="s">
        <v>1428</v>
      </c>
    </row>
    <row r="3851" spans="1:9" hidden="1" x14ac:dyDescent="0.25">
      <c r="A3851" t="s">
        <v>3140</v>
      </c>
      <c r="B3851" t="s">
        <v>42</v>
      </c>
      <c r="C3851" s="2">
        <f>HYPERLINK("https://cao.dolgi.msk.ru/account/1080241166/", 1080241166)</f>
        <v>1080241166</v>
      </c>
      <c r="D3851" t="s">
        <v>3158</v>
      </c>
      <c r="E3851">
        <v>4835.07</v>
      </c>
      <c r="F3851">
        <v>0.64</v>
      </c>
      <c r="G3851" t="s">
        <v>12</v>
      </c>
      <c r="I3851" t="s">
        <v>1428</v>
      </c>
    </row>
    <row r="3852" spans="1:9" hidden="1" x14ac:dyDescent="0.25">
      <c r="A3852" t="s">
        <v>3140</v>
      </c>
      <c r="B3852" t="s">
        <v>44</v>
      </c>
      <c r="C3852" s="2">
        <f>HYPERLINK("https://cao.dolgi.msk.ru/account/1080241174/", 1080241174)</f>
        <v>1080241174</v>
      </c>
      <c r="D3852" t="s">
        <v>3159</v>
      </c>
      <c r="E3852">
        <v>-4968.47</v>
      </c>
      <c r="F3852">
        <v>-1.1200000000000001</v>
      </c>
      <c r="G3852" t="s">
        <v>12</v>
      </c>
      <c r="I3852" t="s">
        <v>1428</v>
      </c>
    </row>
    <row r="3853" spans="1:9" hidden="1" x14ac:dyDescent="0.25">
      <c r="A3853" t="s">
        <v>3140</v>
      </c>
      <c r="B3853" t="s">
        <v>66</v>
      </c>
      <c r="C3853" s="2">
        <f>HYPERLINK("https://cao.dolgi.msk.ru/account/1080241182/", 1080241182)</f>
        <v>1080241182</v>
      </c>
      <c r="D3853" t="s">
        <v>3160</v>
      </c>
      <c r="E3853">
        <v>-5116.32</v>
      </c>
      <c r="F3853">
        <v>-1.17</v>
      </c>
      <c r="G3853" t="s">
        <v>12</v>
      </c>
      <c r="I3853" t="s">
        <v>1428</v>
      </c>
    </row>
    <row r="3854" spans="1:9" hidden="1" x14ac:dyDescent="0.25">
      <c r="A3854" t="s">
        <v>3140</v>
      </c>
      <c r="B3854" t="s">
        <v>68</v>
      </c>
      <c r="C3854" s="2">
        <f>HYPERLINK("https://cao.dolgi.msk.ru/account/1080241203/", 1080241203)</f>
        <v>1080241203</v>
      </c>
      <c r="D3854" t="s">
        <v>3161</v>
      </c>
      <c r="E3854">
        <v>-3979.84</v>
      </c>
      <c r="F3854">
        <v>-0.98</v>
      </c>
      <c r="G3854" t="s">
        <v>12</v>
      </c>
      <c r="I3854" t="s">
        <v>1428</v>
      </c>
    </row>
    <row r="3855" spans="1:9" hidden="1" x14ac:dyDescent="0.25">
      <c r="A3855" t="s">
        <v>3140</v>
      </c>
      <c r="B3855" t="s">
        <v>70</v>
      </c>
      <c r="C3855" s="2">
        <f>HYPERLINK("https://cao.dolgi.msk.ru/account/1080241211/", 1080241211)</f>
        <v>1080241211</v>
      </c>
      <c r="D3855" t="s">
        <v>3162</v>
      </c>
      <c r="E3855">
        <v>-5657.31</v>
      </c>
      <c r="F3855">
        <v>-1.21</v>
      </c>
      <c r="G3855" t="s">
        <v>12</v>
      </c>
      <c r="I3855" t="s">
        <v>1428</v>
      </c>
    </row>
    <row r="3856" spans="1:9" hidden="1" x14ac:dyDescent="0.25">
      <c r="A3856" t="s">
        <v>3140</v>
      </c>
      <c r="B3856" t="s">
        <v>72</v>
      </c>
      <c r="C3856" s="2">
        <f>HYPERLINK("https://cao.dolgi.msk.ru/account/1080241238/", 1080241238)</f>
        <v>1080241238</v>
      </c>
      <c r="D3856" t="s">
        <v>3163</v>
      </c>
      <c r="E3856">
        <v>-6783.44</v>
      </c>
      <c r="F3856">
        <v>-1.23</v>
      </c>
      <c r="G3856" t="s">
        <v>12</v>
      </c>
      <c r="I3856" t="s">
        <v>1428</v>
      </c>
    </row>
    <row r="3857" spans="1:9" hidden="1" x14ac:dyDescent="0.25">
      <c r="A3857" t="s">
        <v>3140</v>
      </c>
      <c r="B3857" t="s">
        <v>74</v>
      </c>
      <c r="C3857" s="2">
        <f>HYPERLINK("https://cao.dolgi.msk.ru/account/1080241246/", 1080241246)</f>
        <v>1080241246</v>
      </c>
      <c r="D3857" t="s">
        <v>3164</v>
      </c>
      <c r="E3857">
        <v>-5568.73</v>
      </c>
      <c r="F3857">
        <v>-1.03</v>
      </c>
      <c r="G3857" t="s">
        <v>12</v>
      </c>
      <c r="I3857" t="s">
        <v>1428</v>
      </c>
    </row>
    <row r="3858" spans="1:9" hidden="1" x14ac:dyDescent="0.25">
      <c r="A3858" t="s">
        <v>3140</v>
      </c>
      <c r="B3858" t="s">
        <v>76</v>
      </c>
      <c r="C3858" s="2">
        <f>HYPERLINK("https://cao.dolgi.msk.ru/account/1080241254/", 1080241254)</f>
        <v>1080241254</v>
      </c>
      <c r="D3858" t="s">
        <v>3165</v>
      </c>
      <c r="E3858">
        <v>-3449.03</v>
      </c>
      <c r="F3858">
        <v>-0.87</v>
      </c>
      <c r="G3858" t="s">
        <v>12</v>
      </c>
      <c r="I3858" t="s">
        <v>1428</v>
      </c>
    </row>
    <row r="3859" spans="1:9" hidden="1" x14ac:dyDescent="0.25">
      <c r="A3859" t="s">
        <v>3140</v>
      </c>
      <c r="B3859" t="s">
        <v>78</v>
      </c>
      <c r="C3859" s="2">
        <f>HYPERLINK("https://cao.dolgi.msk.ru/account/1080241262/", 1080241262)</f>
        <v>1080241262</v>
      </c>
      <c r="D3859" t="s">
        <v>3166</v>
      </c>
      <c r="E3859">
        <v>-7026.85</v>
      </c>
      <c r="F3859">
        <v>-1.19</v>
      </c>
      <c r="G3859" t="s">
        <v>12</v>
      </c>
      <c r="I3859" t="s">
        <v>1428</v>
      </c>
    </row>
    <row r="3860" spans="1:9" hidden="1" x14ac:dyDescent="0.25">
      <c r="A3860" t="s">
        <v>3140</v>
      </c>
      <c r="B3860" t="s">
        <v>80</v>
      </c>
      <c r="C3860" s="2">
        <f>HYPERLINK("https://cao.dolgi.msk.ru/account/1080241289/", 1080241289)</f>
        <v>1080241289</v>
      </c>
      <c r="D3860" t="s">
        <v>3167</v>
      </c>
      <c r="E3860">
        <v>-5616.43</v>
      </c>
      <c r="F3860">
        <v>-1.02</v>
      </c>
      <c r="G3860" t="s">
        <v>12</v>
      </c>
      <c r="H3860" t="s">
        <v>7</v>
      </c>
      <c r="I3860" t="s">
        <v>1428</v>
      </c>
    </row>
    <row r="3861" spans="1:9" hidden="1" x14ac:dyDescent="0.25">
      <c r="A3861" t="s">
        <v>3140</v>
      </c>
      <c r="B3861" t="s">
        <v>80</v>
      </c>
      <c r="C3861" s="2">
        <f>HYPERLINK("https://cao.dolgi.msk.ru/account/1080241297/", 1080241297)</f>
        <v>1080241297</v>
      </c>
      <c r="D3861" t="s">
        <v>3168</v>
      </c>
      <c r="E3861">
        <v>-3093.5</v>
      </c>
      <c r="F3861">
        <v>-1.38</v>
      </c>
      <c r="G3861" t="s">
        <v>12</v>
      </c>
      <c r="H3861" t="s">
        <v>7</v>
      </c>
      <c r="I3861" t="s">
        <v>1428</v>
      </c>
    </row>
    <row r="3862" spans="1:9" hidden="1" x14ac:dyDescent="0.25">
      <c r="A3862" t="s">
        <v>3140</v>
      </c>
      <c r="B3862" t="s">
        <v>82</v>
      </c>
      <c r="C3862" s="2">
        <f>HYPERLINK("https://cao.dolgi.msk.ru/account/1080241318/", 1080241318)</f>
        <v>1080241318</v>
      </c>
      <c r="D3862" t="s">
        <v>3169</v>
      </c>
      <c r="E3862">
        <v>-217.94</v>
      </c>
      <c r="F3862">
        <v>-0.06</v>
      </c>
      <c r="G3862" t="s">
        <v>12</v>
      </c>
      <c r="I3862" t="s">
        <v>1428</v>
      </c>
    </row>
    <row r="3863" spans="1:9" hidden="1" x14ac:dyDescent="0.25">
      <c r="A3863" t="s">
        <v>3140</v>
      </c>
      <c r="B3863" t="s">
        <v>84</v>
      </c>
      <c r="C3863" s="2">
        <f>HYPERLINK("https://cao.dolgi.msk.ru/account/1080241326/", 1080241326)</f>
        <v>1080241326</v>
      </c>
      <c r="D3863" t="s">
        <v>3170</v>
      </c>
      <c r="E3863">
        <v>2453.4699999999998</v>
      </c>
      <c r="F3863">
        <v>1</v>
      </c>
      <c r="G3863" t="s">
        <v>12</v>
      </c>
      <c r="I3863" t="s">
        <v>1428</v>
      </c>
    </row>
    <row r="3864" spans="1:9" x14ac:dyDescent="0.25">
      <c r="A3864" t="s">
        <v>3140</v>
      </c>
      <c r="B3864" t="s">
        <v>86</v>
      </c>
      <c r="C3864" s="2">
        <f>HYPERLINK("https://cao.dolgi.msk.ru/account/1080241334/", 1080241334)</f>
        <v>1080241334</v>
      </c>
      <c r="D3864" t="s">
        <v>3171</v>
      </c>
      <c r="E3864">
        <v>355737.91</v>
      </c>
      <c r="F3864">
        <v>40.79</v>
      </c>
      <c r="G3864" t="s">
        <v>12</v>
      </c>
      <c r="I3864" t="s">
        <v>1428</v>
      </c>
    </row>
    <row r="3865" spans="1:9" hidden="1" x14ac:dyDescent="0.25">
      <c r="A3865" t="s">
        <v>3140</v>
      </c>
      <c r="B3865" t="s">
        <v>88</v>
      </c>
      <c r="C3865" s="2">
        <f>HYPERLINK("https://cao.dolgi.msk.ru/account/1080241342/", 1080241342)</f>
        <v>1080241342</v>
      </c>
      <c r="D3865" t="s">
        <v>3172</v>
      </c>
      <c r="E3865">
        <v>-4465.49</v>
      </c>
      <c r="F3865">
        <v>-1.18</v>
      </c>
      <c r="G3865" t="s">
        <v>12</v>
      </c>
      <c r="I3865" t="s">
        <v>1428</v>
      </c>
    </row>
    <row r="3866" spans="1:9" x14ac:dyDescent="0.25">
      <c r="A3866" t="s">
        <v>3140</v>
      </c>
      <c r="B3866" t="s">
        <v>90</v>
      </c>
      <c r="C3866" s="2">
        <f>HYPERLINK("https://cao.dolgi.msk.ru/account/1080241369/", 1080241369)</f>
        <v>1080241369</v>
      </c>
      <c r="D3866" t="s">
        <v>3173</v>
      </c>
      <c r="E3866">
        <v>6428.56</v>
      </c>
      <c r="F3866">
        <v>1.01</v>
      </c>
      <c r="G3866" t="s">
        <v>12</v>
      </c>
      <c r="I3866" t="s">
        <v>1428</v>
      </c>
    </row>
    <row r="3867" spans="1:9" x14ac:dyDescent="0.25">
      <c r="A3867" t="s">
        <v>3140</v>
      </c>
      <c r="B3867" t="s">
        <v>92</v>
      </c>
      <c r="C3867" s="2">
        <f>HYPERLINK("https://cao.dolgi.msk.ru/account/1080241377/", 1080241377)</f>
        <v>1080241377</v>
      </c>
      <c r="D3867" t="s">
        <v>3174</v>
      </c>
      <c r="E3867">
        <v>5839.08</v>
      </c>
      <c r="F3867">
        <v>1.01</v>
      </c>
      <c r="G3867" t="s">
        <v>12</v>
      </c>
      <c r="I3867" t="s">
        <v>1428</v>
      </c>
    </row>
    <row r="3868" spans="1:9" x14ac:dyDescent="0.25">
      <c r="A3868" t="s">
        <v>3140</v>
      </c>
      <c r="B3868" t="s">
        <v>94</v>
      </c>
      <c r="C3868" s="2">
        <f>HYPERLINK("https://cao.dolgi.msk.ru/account/1080241385/", 1080241385)</f>
        <v>1080241385</v>
      </c>
      <c r="D3868" t="s">
        <v>3175</v>
      </c>
      <c r="E3868">
        <v>106553.8</v>
      </c>
      <c r="F3868">
        <v>7.98</v>
      </c>
      <c r="G3868" t="s">
        <v>12</v>
      </c>
      <c r="I3868" t="s">
        <v>1428</v>
      </c>
    </row>
    <row r="3869" spans="1:9" hidden="1" x14ac:dyDescent="0.25">
      <c r="A3869" t="s">
        <v>3140</v>
      </c>
      <c r="B3869" t="s">
        <v>96</v>
      </c>
      <c r="C3869" s="2">
        <f>HYPERLINK("https://cao.dolgi.msk.ru/account/1080241393/", 1080241393)</f>
        <v>1080241393</v>
      </c>
      <c r="D3869" t="s">
        <v>3176</v>
      </c>
      <c r="E3869">
        <v>-5939.47</v>
      </c>
      <c r="F3869">
        <v>-1.1299999999999999</v>
      </c>
      <c r="G3869" t="s">
        <v>12</v>
      </c>
      <c r="I3869" t="s">
        <v>1428</v>
      </c>
    </row>
    <row r="3870" spans="1:9" hidden="1" x14ac:dyDescent="0.25">
      <c r="A3870" t="s">
        <v>3140</v>
      </c>
      <c r="B3870" t="s">
        <v>98</v>
      </c>
      <c r="C3870" s="2">
        <f>HYPERLINK("https://cao.dolgi.msk.ru/account/1080241406/", 1080241406)</f>
        <v>1080241406</v>
      </c>
      <c r="D3870" t="s">
        <v>3177</v>
      </c>
      <c r="E3870">
        <v>-3549.26</v>
      </c>
      <c r="F3870">
        <v>-1.1399999999999999</v>
      </c>
      <c r="G3870" t="s">
        <v>12</v>
      </c>
      <c r="I3870" t="s">
        <v>1428</v>
      </c>
    </row>
    <row r="3871" spans="1:9" hidden="1" x14ac:dyDescent="0.25">
      <c r="A3871" t="s">
        <v>3140</v>
      </c>
      <c r="B3871" t="s">
        <v>100</v>
      </c>
      <c r="C3871" s="2">
        <f>HYPERLINK("https://cao.dolgi.msk.ru/account/1080241414/", 1080241414)</f>
        <v>1080241414</v>
      </c>
      <c r="D3871" t="s">
        <v>3178</v>
      </c>
      <c r="E3871">
        <v>-7119.28</v>
      </c>
      <c r="F3871">
        <v>-1.48</v>
      </c>
      <c r="G3871" t="s">
        <v>12</v>
      </c>
      <c r="I3871" t="s">
        <v>1428</v>
      </c>
    </row>
    <row r="3872" spans="1:9" hidden="1" x14ac:dyDescent="0.25">
      <c r="A3872" t="s">
        <v>3140</v>
      </c>
      <c r="B3872" t="s">
        <v>102</v>
      </c>
      <c r="C3872" s="2">
        <f>HYPERLINK("https://cao.dolgi.msk.ru/account/1080241422/", 1080241422)</f>
        <v>1080241422</v>
      </c>
      <c r="D3872" t="s">
        <v>3069</v>
      </c>
      <c r="E3872">
        <v>5904.55</v>
      </c>
      <c r="F3872">
        <v>0.97</v>
      </c>
      <c r="G3872" t="s">
        <v>12</v>
      </c>
      <c r="I3872" t="s">
        <v>1428</v>
      </c>
    </row>
    <row r="3873" spans="1:9" hidden="1" x14ac:dyDescent="0.25">
      <c r="A3873" t="s">
        <v>3140</v>
      </c>
      <c r="B3873" t="s">
        <v>104</v>
      </c>
      <c r="C3873" s="2">
        <f>HYPERLINK("https://cao.dolgi.msk.ru/account/1080241449/", 1080241449)</f>
        <v>1080241449</v>
      </c>
      <c r="D3873" t="s">
        <v>3179</v>
      </c>
      <c r="E3873">
        <v>-4034.52</v>
      </c>
      <c r="F3873">
        <v>-0.61</v>
      </c>
      <c r="G3873" t="s">
        <v>12</v>
      </c>
      <c r="I3873" t="s">
        <v>1428</v>
      </c>
    </row>
    <row r="3874" spans="1:9" hidden="1" x14ac:dyDescent="0.25">
      <c r="A3874" t="s">
        <v>3140</v>
      </c>
      <c r="B3874" t="s">
        <v>106</v>
      </c>
      <c r="C3874" s="2">
        <f>HYPERLINK("https://cao.dolgi.msk.ru/account/1080241457/", 1080241457)</f>
        <v>1080241457</v>
      </c>
      <c r="D3874" t="s">
        <v>3180</v>
      </c>
      <c r="E3874">
        <v>119.55</v>
      </c>
      <c r="F3874">
        <v>0.02</v>
      </c>
      <c r="G3874" t="s">
        <v>12</v>
      </c>
      <c r="I3874" t="s">
        <v>1428</v>
      </c>
    </row>
    <row r="3875" spans="1:9" x14ac:dyDescent="0.25">
      <c r="A3875" t="s">
        <v>3140</v>
      </c>
      <c r="B3875" t="s">
        <v>108</v>
      </c>
      <c r="C3875" s="2">
        <f>HYPERLINK("https://cao.dolgi.msk.ru/account/1080241465/", 1080241465)</f>
        <v>1080241465</v>
      </c>
      <c r="D3875" t="s">
        <v>3181</v>
      </c>
      <c r="E3875">
        <v>17611.740000000002</v>
      </c>
      <c r="F3875">
        <v>3.73</v>
      </c>
      <c r="G3875" t="s">
        <v>12</v>
      </c>
      <c r="I3875" t="s">
        <v>1428</v>
      </c>
    </row>
    <row r="3876" spans="1:9" hidden="1" x14ac:dyDescent="0.25">
      <c r="A3876" t="s">
        <v>3140</v>
      </c>
      <c r="B3876" t="s">
        <v>110</v>
      </c>
      <c r="C3876" s="2">
        <f>HYPERLINK("https://cao.dolgi.msk.ru/account/1080241473/", 1080241473)</f>
        <v>1080241473</v>
      </c>
      <c r="D3876" t="s">
        <v>3182</v>
      </c>
      <c r="E3876">
        <v>0</v>
      </c>
      <c r="F3876">
        <v>0</v>
      </c>
      <c r="G3876" t="s">
        <v>12</v>
      </c>
      <c r="I3876" t="s">
        <v>1428</v>
      </c>
    </row>
    <row r="3877" spans="1:9" hidden="1" x14ac:dyDescent="0.25">
      <c r="A3877" t="s">
        <v>3140</v>
      </c>
      <c r="B3877" t="s">
        <v>112</v>
      </c>
      <c r="C3877" s="2">
        <f>HYPERLINK("https://cao.dolgi.msk.ru/account/1080241481/", 1080241481)</f>
        <v>1080241481</v>
      </c>
      <c r="D3877" t="s">
        <v>3183</v>
      </c>
      <c r="E3877">
        <v>-51.92</v>
      </c>
      <c r="F3877">
        <v>-0.01</v>
      </c>
      <c r="G3877" t="s">
        <v>12</v>
      </c>
      <c r="I3877" t="s">
        <v>1428</v>
      </c>
    </row>
    <row r="3878" spans="1:9" hidden="1" x14ac:dyDescent="0.25">
      <c r="A3878" t="s">
        <v>3140</v>
      </c>
      <c r="B3878" t="s">
        <v>114</v>
      </c>
      <c r="C3878" s="2">
        <f>HYPERLINK("https://cao.dolgi.msk.ru/account/1080241502/", 1080241502)</f>
        <v>1080241502</v>
      </c>
      <c r="D3878" t="s">
        <v>3184</v>
      </c>
      <c r="E3878">
        <v>-2993.73</v>
      </c>
      <c r="F3878">
        <v>-1.1499999999999999</v>
      </c>
      <c r="G3878" t="s">
        <v>12</v>
      </c>
      <c r="I3878" t="s">
        <v>1428</v>
      </c>
    </row>
    <row r="3879" spans="1:9" hidden="1" x14ac:dyDescent="0.25">
      <c r="A3879" t="s">
        <v>3140</v>
      </c>
      <c r="B3879" t="s">
        <v>116</v>
      </c>
      <c r="C3879" s="2">
        <f>HYPERLINK("https://cao.dolgi.msk.ru/account/1080241529/", 1080241529)</f>
        <v>1080241529</v>
      </c>
      <c r="D3879" t="s">
        <v>3185</v>
      </c>
      <c r="E3879">
        <v>-2617.06</v>
      </c>
      <c r="F3879">
        <v>-1.2</v>
      </c>
      <c r="G3879" t="s">
        <v>12</v>
      </c>
      <c r="I3879" t="s">
        <v>1428</v>
      </c>
    </row>
    <row r="3880" spans="1:9" hidden="1" x14ac:dyDescent="0.25">
      <c r="A3880" t="s">
        <v>3140</v>
      </c>
      <c r="B3880" t="s">
        <v>118</v>
      </c>
      <c r="C3880" s="2">
        <f>HYPERLINK("https://cao.dolgi.msk.ru/account/1080241537/", 1080241537)</f>
        <v>1080241537</v>
      </c>
      <c r="D3880" t="s">
        <v>3186</v>
      </c>
      <c r="E3880">
        <v>-7551.85</v>
      </c>
      <c r="F3880">
        <v>-1.1200000000000001</v>
      </c>
      <c r="G3880" t="s">
        <v>12</v>
      </c>
      <c r="I3880" t="s">
        <v>1428</v>
      </c>
    </row>
    <row r="3881" spans="1:9" hidden="1" x14ac:dyDescent="0.25">
      <c r="A3881" t="s">
        <v>3140</v>
      </c>
      <c r="B3881" t="s">
        <v>120</v>
      </c>
      <c r="C3881" s="2">
        <f>HYPERLINK("https://cao.dolgi.msk.ru/account/1080241545/", 1080241545)</f>
        <v>1080241545</v>
      </c>
      <c r="D3881" t="s">
        <v>3187</v>
      </c>
      <c r="E3881">
        <v>3783.21</v>
      </c>
      <c r="F3881">
        <v>1</v>
      </c>
      <c r="G3881" t="s">
        <v>12</v>
      </c>
      <c r="I3881" t="s">
        <v>1428</v>
      </c>
    </row>
    <row r="3882" spans="1:9" hidden="1" x14ac:dyDescent="0.25">
      <c r="A3882" t="s">
        <v>3140</v>
      </c>
      <c r="B3882" t="s">
        <v>122</v>
      </c>
      <c r="C3882" s="2">
        <f>HYPERLINK("https://cao.dolgi.msk.ru/account/1080241553/", 1080241553)</f>
        <v>1080241553</v>
      </c>
      <c r="D3882" t="s">
        <v>3188</v>
      </c>
      <c r="E3882">
        <v>-5119.5</v>
      </c>
      <c r="F3882">
        <v>-1.1100000000000001</v>
      </c>
      <c r="G3882" t="s">
        <v>12</v>
      </c>
      <c r="I3882" t="s">
        <v>1428</v>
      </c>
    </row>
    <row r="3883" spans="1:9" hidden="1" x14ac:dyDescent="0.25">
      <c r="A3883" t="s">
        <v>3140</v>
      </c>
      <c r="B3883" t="s">
        <v>124</v>
      </c>
      <c r="C3883" s="2">
        <f>HYPERLINK("https://cao.dolgi.msk.ru/account/1080241561/", 1080241561)</f>
        <v>1080241561</v>
      </c>
      <c r="D3883" t="s">
        <v>3189</v>
      </c>
      <c r="E3883">
        <v>-6028.9</v>
      </c>
      <c r="F3883">
        <v>-1.0900000000000001</v>
      </c>
      <c r="G3883" t="s">
        <v>12</v>
      </c>
      <c r="I3883" t="s">
        <v>1428</v>
      </c>
    </row>
    <row r="3884" spans="1:9" hidden="1" x14ac:dyDescent="0.25">
      <c r="A3884" t="s">
        <v>3140</v>
      </c>
      <c r="B3884" t="s">
        <v>126</v>
      </c>
      <c r="C3884" s="2">
        <f>HYPERLINK("https://cao.dolgi.msk.ru/account/1080241588/", 1080241588)</f>
        <v>1080241588</v>
      </c>
      <c r="D3884" t="s">
        <v>3190</v>
      </c>
      <c r="E3884">
        <v>-8409.65</v>
      </c>
      <c r="F3884">
        <v>-1.24</v>
      </c>
      <c r="G3884" t="s">
        <v>12</v>
      </c>
      <c r="I3884" t="s">
        <v>1428</v>
      </c>
    </row>
    <row r="3885" spans="1:9" hidden="1" x14ac:dyDescent="0.25">
      <c r="A3885" t="s">
        <v>3140</v>
      </c>
      <c r="B3885" t="s">
        <v>128</v>
      </c>
      <c r="C3885" s="2">
        <f>HYPERLINK("https://cao.dolgi.msk.ru/account/1080241596/", 1080241596)</f>
        <v>1080241596</v>
      </c>
      <c r="D3885" t="s">
        <v>3191</v>
      </c>
      <c r="E3885">
        <v>-4304.0200000000004</v>
      </c>
      <c r="F3885">
        <v>-1.1200000000000001</v>
      </c>
      <c r="G3885" t="s">
        <v>12</v>
      </c>
      <c r="I3885" t="s">
        <v>1428</v>
      </c>
    </row>
    <row r="3886" spans="1:9" hidden="1" x14ac:dyDescent="0.25">
      <c r="A3886" t="s">
        <v>3140</v>
      </c>
      <c r="B3886" t="s">
        <v>130</v>
      </c>
      <c r="C3886" s="2">
        <f>HYPERLINK("https://cao.dolgi.msk.ru/account/1080241609/", 1080241609)</f>
        <v>1080241609</v>
      </c>
      <c r="D3886" t="s">
        <v>3192</v>
      </c>
      <c r="E3886">
        <v>0</v>
      </c>
      <c r="F3886">
        <v>0</v>
      </c>
      <c r="G3886" t="s">
        <v>12</v>
      </c>
      <c r="I3886" t="s">
        <v>1428</v>
      </c>
    </row>
    <row r="3887" spans="1:9" x14ac:dyDescent="0.25">
      <c r="A3887" t="s">
        <v>3140</v>
      </c>
      <c r="B3887" t="s">
        <v>132</v>
      </c>
      <c r="C3887" s="2">
        <f>HYPERLINK("https://cao.dolgi.msk.ru/account/1080241617/", 1080241617)</f>
        <v>1080241617</v>
      </c>
      <c r="D3887" t="s">
        <v>3193</v>
      </c>
      <c r="E3887">
        <v>11403.83</v>
      </c>
      <c r="F3887">
        <v>1.71</v>
      </c>
      <c r="G3887" t="s">
        <v>12</v>
      </c>
      <c r="I3887" t="s">
        <v>1428</v>
      </c>
    </row>
    <row r="3888" spans="1:9" hidden="1" x14ac:dyDescent="0.25">
      <c r="A3888" t="s">
        <v>3140</v>
      </c>
      <c r="B3888" t="s">
        <v>133</v>
      </c>
      <c r="C3888" s="2">
        <f>HYPERLINK("https://cao.dolgi.msk.ru/account/1080241625/", 1080241625)</f>
        <v>1080241625</v>
      </c>
      <c r="D3888" t="s">
        <v>3194</v>
      </c>
      <c r="E3888">
        <v>-5701.04</v>
      </c>
      <c r="F3888">
        <v>-1.19</v>
      </c>
      <c r="G3888" t="s">
        <v>12</v>
      </c>
      <c r="I3888" t="s">
        <v>1428</v>
      </c>
    </row>
    <row r="3889" spans="1:9" hidden="1" x14ac:dyDescent="0.25">
      <c r="A3889" t="s">
        <v>3140</v>
      </c>
      <c r="B3889" t="s">
        <v>135</v>
      </c>
      <c r="C3889" s="2">
        <f>HYPERLINK("https://cao.dolgi.msk.ru/account/1080241633/", 1080241633)</f>
        <v>1080241633</v>
      </c>
      <c r="D3889" t="s">
        <v>3195</v>
      </c>
      <c r="E3889">
        <v>-6589.73</v>
      </c>
      <c r="F3889">
        <v>-1.0900000000000001</v>
      </c>
      <c r="G3889" t="s">
        <v>12</v>
      </c>
      <c r="I3889" t="s">
        <v>1428</v>
      </c>
    </row>
    <row r="3890" spans="1:9" hidden="1" x14ac:dyDescent="0.25">
      <c r="A3890" t="s">
        <v>3140</v>
      </c>
      <c r="B3890" t="s">
        <v>137</v>
      </c>
      <c r="C3890" s="2">
        <f>HYPERLINK("https://cao.dolgi.msk.ru/account/1080241641/", 1080241641)</f>
        <v>1080241641</v>
      </c>
      <c r="D3890" t="s">
        <v>3196</v>
      </c>
      <c r="E3890">
        <v>-5935.45</v>
      </c>
      <c r="F3890">
        <v>-1.1399999999999999</v>
      </c>
      <c r="G3890" t="s">
        <v>12</v>
      </c>
      <c r="I3890" t="s">
        <v>1428</v>
      </c>
    </row>
    <row r="3891" spans="1:9" hidden="1" x14ac:dyDescent="0.25">
      <c r="A3891" t="s">
        <v>3140</v>
      </c>
      <c r="B3891" t="s">
        <v>139</v>
      </c>
      <c r="C3891" s="2">
        <f>HYPERLINK("https://cao.dolgi.msk.ru/account/1080241668/", 1080241668)</f>
        <v>1080241668</v>
      </c>
      <c r="D3891" t="s">
        <v>3197</v>
      </c>
      <c r="E3891">
        <v>-7298.98</v>
      </c>
      <c r="F3891">
        <v>-1.21</v>
      </c>
      <c r="G3891" t="s">
        <v>12</v>
      </c>
      <c r="I3891" t="s">
        <v>1428</v>
      </c>
    </row>
    <row r="3892" spans="1:9" hidden="1" x14ac:dyDescent="0.25">
      <c r="A3892" t="s">
        <v>3140</v>
      </c>
      <c r="B3892" t="s">
        <v>141</v>
      </c>
      <c r="C3892" s="2">
        <f>HYPERLINK("https://cao.dolgi.msk.ru/account/1080241676/", 1080241676)</f>
        <v>1080241676</v>
      </c>
      <c r="D3892" t="s">
        <v>3198</v>
      </c>
      <c r="E3892">
        <v>-5637.02</v>
      </c>
      <c r="F3892">
        <v>-1.17</v>
      </c>
      <c r="G3892" t="s">
        <v>12</v>
      </c>
      <c r="I3892" t="s">
        <v>1428</v>
      </c>
    </row>
    <row r="3893" spans="1:9" hidden="1" x14ac:dyDescent="0.25">
      <c r="A3893" t="s">
        <v>3140</v>
      </c>
      <c r="B3893" t="s">
        <v>143</v>
      </c>
      <c r="C3893" s="2">
        <f>HYPERLINK("https://cao.dolgi.msk.ru/account/1080241684/", 1080241684)</f>
        <v>1080241684</v>
      </c>
      <c r="D3893" t="s">
        <v>3199</v>
      </c>
      <c r="E3893">
        <v>-584.16</v>
      </c>
      <c r="F3893">
        <v>-0.17</v>
      </c>
      <c r="G3893" t="s">
        <v>12</v>
      </c>
      <c r="I3893" t="s">
        <v>1428</v>
      </c>
    </row>
    <row r="3894" spans="1:9" hidden="1" x14ac:dyDescent="0.25">
      <c r="A3894" t="s">
        <v>3140</v>
      </c>
      <c r="B3894" t="s">
        <v>145</v>
      </c>
      <c r="C3894" s="2">
        <f>HYPERLINK("https://cao.dolgi.msk.ru/account/1080241692/", 1080241692)</f>
        <v>1080241692</v>
      </c>
      <c r="D3894" t="s">
        <v>3200</v>
      </c>
      <c r="E3894">
        <v>-7257.8</v>
      </c>
      <c r="F3894">
        <v>-1.96</v>
      </c>
      <c r="G3894" t="s">
        <v>12</v>
      </c>
      <c r="I3894" t="s">
        <v>1428</v>
      </c>
    </row>
    <row r="3895" spans="1:9" hidden="1" x14ac:dyDescent="0.25">
      <c r="A3895" t="s">
        <v>3140</v>
      </c>
      <c r="B3895" t="s">
        <v>147</v>
      </c>
      <c r="C3895" s="2">
        <f>HYPERLINK("https://cao.dolgi.msk.ru/account/1080241705/", 1080241705)</f>
        <v>1080241705</v>
      </c>
      <c r="D3895" t="s">
        <v>3201</v>
      </c>
      <c r="E3895">
        <v>-4939.08</v>
      </c>
      <c r="F3895">
        <v>-1.1200000000000001</v>
      </c>
      <c r="G3895" t="s">
        <v>12</v>
      </c>
      <c r="I3895" t="s">
        <v>1428</v>
      </c>
    </row>
    <row r="3896" spans="1:9" hidden="1" x14ac:dyDescent="0.25">
      <c r="A3896" t="s">
        <v>3140</v>
      </c>
      <c r="B3896" t="s">
        <v>149</v>
      </c>
      <c r="C3896" s="2">
        <f>HYPERLINK("https://cao.dolgi.msk.ru/account/1080241713/", 1080241713)</f>
        <v>1080241713</v>
      </c>
      <c r="D3896" t="s">
        <v>15</v>
      </c>
      <c r="E3896">
        <v>-77.599999999999994</v>
      </c>
      <c r="F3896">
        <v>-0.02</v>
      </c>
      <c r="G3896" t="s">
        <v>12</v>
      </c>
      <c r="I3896" t="s">
        <v>1428</v>
      </c>
    </row>
    <row r="3897" spans="1:9" hidden="1" x14ac:dyDescent="0.25">
      <c r="A3897" t="s">
        <v>3140</v>
      </c>
      <c r="B3897" t="s">
        <v>151</v>
      </c>
      <c r="C3897" s="2">
        <f>HYPERLINK("https://cao.dolgi.msk.ru/account/1080241721/", 1080241721)</f>
        <v>1080241721</v>
      </c>
      <c r="D3897" t="s">
        <v>3202</v>
      </c>
      <c r="E3897">
        <v>-6038.07</v>
      </c>
      <c r="F3897">
        <v>-1.1599999999999999</v>
      </c>
      <c r="G3897" t="s">
        <v>12</v>
      </c>
      <c r="I3897" t="s">
        <v>1428</v>
      </c>
    </row>
    <row r="3898" spans="1:9" hidden="1" x14ac:dyDescent="0.25">
      <c r="A3898" t="s">
        <v>3140</v>
      </c>
      <c r="B3898" t="s">
        <v>153</v>
      </c>
      <c r="C3898" s="2">
        <f>HYPERLINK("https://cao.dolgi.msk.ru/account/1080241748/", 1080241748)</f>
        <v>1080241748</v>
      </c>
      <c r="D3898" t="s">
        <v>3203</v>
      </c>
      <c r="E3898">
        <v>-2851.15</v>
      </c>
      <c r="F3898">
        <v>-1.07</v>
      </c>
      <c r="G3898" t="s">
        <v>12</v>
      </c>
      <c r="I3898" t="s">
        <v>1428</v>
      </c>
    </row>
    <row r="3899" spans="1:9" hidden="1" x14ac:dyDescent="0.25">
      <c r="A3899" t="s">
        <v>3140</v>
      </c>
      <c r="B3899" t="s">
        <v>155</v>
      </c>
      <c r="C3899" s="2">
        <f>HYPERLINK("https://cao.dolgi.msk.ru/account/1080241756/", 1080241756)</f>
        <v>1080241756</v>
      </c>
      <c r="D3899" t="s">
        <v>3204</v>
      </c>
      <c r="E3899">
        <v>-4097.76</v>
      </c>
      <c r="F3899">
        <v>-1.21</v>
      </c>
      <c r="G3899" t="s">
        <v>12</v>
      </c>
      <c r="I3899" t="s">
        <v>1428</v>
      </c>
    </row>
    <row r="3900" spans="1:9" hidden="1" x14ac:dyDescent="0.25">
      <c r="A3900" t="s">
        <v>3140</v>
      </c>
      <c r="B3900" t="s">
        <v>157</v>
      </c>
      <c r="C3900" s="2">
        <f>HYPERLINK("https://cao.dolgi.msk.ru/account/1080241764/", 1080241764)</f>
        <v>1080241764</v>
      </c>
      <c r="D3900" t="s">
        <v>3205</v>
      </c>
      <c r="E3900">
        <v>188.18</v>
      </c>
      <c r="F3900">
        <v>0.04</v>
      </c>
      <c r="G3900" t="s">
        <v>12</v>
      </c>
      <c r="I3900" t="s">
        <v>1428</v>
      </c>
    </row>
    <row r="3901" spans="1:9" hidden="1" x14ac:dyDescent="0.25">
      <c r="A3901" t="s">
        <v>3140</v>
      </c>
      <c r="B3901" t="s">
        <v>159</v>
      </c>
      <c r="C3901" s="2">
        <f>HYPERLINK("https://cao.dolgi.msk.ru/account/1080241772/", 1080241772)</f>
        <v>1080241772</v>
      </c>
      <c r="D3901" t="s">
        <v>3206</v>
      </c>
      <c r="E3901">
        <v>-2760.3</v>
      </c>
      <c r="F3901">
        <v>-1.3</v>
      </c>
      <c r="G3901" t="s">
        <v>12</v>
      </c>
      <c r="I3901" t="s">
        <v>1428</v>
      </c>
    </row>
    <row r="3902" spans="1:9" hidden="1" x14ac:dyDescent="0.25">
      <c r="A3902" t="s">
        <v>3140</v>
      </c>
      <c r="B3902" t="s">
        <v>161</v>
      </c>
      <c r="C3902" s="2">
        <f>HYPERLINK("https://cao.dolgi.msk.ru/account/1080241799/", 1080241799)</f>
        <v>1080241799</v>
      </c>
      <c r="D3902" t="s">
        <v>3207</v>
      </c>
      <c r="E3902">
        <v>-4801.82</v>
      </c>
      <c r="F3902">
        <v>-1.22</v>
      </c>
      <c r="G3902" t="s">
        <v>12</v>
      </c>
      <c r="I3902" t="s">
        <v>1428</v>
      </c>
    </row>
    <row r="3903" spans="1:9" hidden="1" x14ac:dyDescent="0.25">
      <c r="A3903" t="s">
        <v>3140</v>
      </c>
      <c r="B3903" t="s">
        <v>163</v>
      </c>
      <c r="C3903" s="2">
        <f>HYPERLINK("https://cao.dolgi.msk.ru/account/1080241801/", 1080241801)</f>
        <v>1080241801</v>
      </c>
      <c r="D3903" t="s">
        <v>15</v>
      </c>
      <c r="E3903">
        <v>-6062.87</v>
      </c>
      <c r="F3903">
        <v>-1.24</v>
      </c>
      <c r="G3903" t="s">
        <v>12</v>
      </c>
      <c r="I3903" t="s">
        <v>1428</v>
      </c>
    </row>
    <row r="3904" spans="1:9" hidden="1" x14ac:dyDescent="0.25">
      <c r="A3904" t="s">
        <v>3140</v>
      </c>
      <c r="B3904" t="s">
        <v>571</v>
      </c>
      <c r="C3904" s="2">
        <f>HYPERLINK("https://cao.dolgi.msk.ru/account/1080241828/", 1080241828)</f>
        <v>1080241828</v>
      </c>
      <c r="D3904" t="s">
        <v>3208</v>
      </c>
      <c r="E3904">
        <v>-5424.58</v>
      </c>
      <c r="F3904">
        <v>-1.23</v>
      </c>
      <c r="G3904" t="s">
        <v>12</v>
      </c>
      <c r="I3904" t="s">
        <v>1428</v>
      </c>
    </row>
    <row r="3905" spans="1:9" hidden="1" x14ac:dyDescent="0.25">
      <c r="A3905" t="s">
        <v>3140</v>
      </c>
      <c r="B3905" t="s">
        <v>682</v>
      </c>
      <c r="C3905" s="2">
        <f>HYPERLINK("https://cao.dolgi.msk.ru/account/1080241836/", 1080241836)</f>
        <v>1080241836</v>
      </c>
      <c r="D3905" t="s">
        <v>3209</v>
      </c>
      <c r="E3905">
        <v>-1532.91</v>
      </c>
      <c r="F3905">
        <v>-0.47</v>
      </c>
      <c r="G3905" t="s">
        <v>12</v>
      </c>
      <c r="I3905" t="s">
        <v>1428</v>
      </c>
    </row>
    <row r="3906" spans="1:9" x14ac:dyDescent="0.25">
      <c r="A3906" t="s">
        <v>3140</v>
      </c>
      <c r="B3906" t="s">
        <v>578</v>
      </c>
      <c r="C3906" s="2">
        <f>HYPERLINK("https://cao.dolgi.msk.ru/account/1080241844/", 1080241844)</f>
        <v>1080241844</v>
      </c>
      <c r="D3906" t="s">
        <v>3210</v>
      </c>
      <c r="E3906">
        <v>17924.32</v>
      </c>
      <c r="F3906">
        <v>2.86</v>
      </c>
      <c r="G3906" t="s">
        <v>12</v>
      </c>
      <c r="I3906" t="s">
        <v>1428</v>
      </c>
    </row>
    <row r="3907" spans="1:9" hidden="1" x14ac:dyDescent="0.25">
      <c r="A3907" t="s">
        <v>3140</v>
      </c>
      <c r="B3907" t="s">
        <v>580</v>
      </c>
      <c r="C3907" s="2">
        <f>HYPERLINK("https://cao.dolgi.msk.ru/account/1080241852/", 1080241852)</f>
        <v>1080241852</v>
      </c>
      <c r="D3907" t="s">
        <v>3211</v>
      </c>
      <c r="E3907">
        <v>-4092.92</v>
      </c>
      <c r="F3907">
        <v>-1.0900000000000001</v>
      </c>
      <c r="G3907" t="s">
        <v>12</v>
      </c>
      <c r="I3907" t="s">
        <v>1428</v>
      </c>
    </row>
    <row r="3908" spans="1:9" hidden="1" x14ac:dyDescent="0.25">
      <c r="A3908" t="s">
        <v>3140</v>
      </c>
      <c r="B3908" t="s">
        <v>686</v>
      </c>
      <c r="C3908" s="2">
        <f>HYPERLINK("https://cao.dolgi.msk.ru/account/1080241879/", 1080241879)</f>
        <v>1080241879</v>
      </c>
      <c r="D3908" t="s">
        <v>3212</v>
      </c>
      <c r="E3908">
        <v>0</v>
      </c>
      <c r="F3908">
        <v>0</v>
      </c>
      <c r="G3908" t="s">
        <v>12</v>
      </c>
      <c r="I3908" t="s">
        <v>1428</v>
      </c>
    </row>
    <row r="3909" spans="1:9" hidden="1" x14ac:dyDescent="0.25">
      <c r="A3909" t="s">
        <v>3140</v>
      </c>
      <c r="B3909" t="s">
        <v>582</v>
      </c>
      <c r="C3909" s="2">
        <f>HYPERLINK("https://cao.dolgi.msk.ru/account/1080241887/", 1080241887)</f>
        <v>1080241887</v>
      </c>
      <c r="D3909" t="s">
        <v>3213</v>
      </c>
      <c r="E3909">
        <v>-4548.5</v>
      </c>
      <c r="F3909">
        <v>-1.1399999999999999</v>
      </c>
      <c r="G3909" t="s">
        <v>12</v>
      </c>
      <c r="I3909" t="s">
        <v>1428</v>
      </c>
    </row>
    <row r="3910" spans="1:9" hidden="1" x14ac:dyDescent="0.25">
      <c r="A3910" t="s">
        <v>3140</v>
      </c>
      <c r="B3910" t="s">
        <v>584</v>
      </c>
      <c r="C3910" s="2">
        <f>HYPERLINK("https://cao.dolgi.msk.ru/account/1080241895/", 1080241895)</f>
        <v>1080241895</v>
      </c>
      <c r="D3910" t="s">
        <v>3214</v>
      </c>
      <c r="E3910">
        <v>-7593.61</v>
      </c>
      <c r="F3910">
        <v>-1.2</v>
      </c>
      <c r="G3910" t="s">
        <v>12</v>
      </c>
      <c r="I3910" t="s">
        <v>1428</v>
      </c>
    </row>
    <row r="3911" spans="1:9" hidden="1" x14ac:dyDescent="0.25">
      <c r="A3911" t="s">
        <v>3140</v>
      </c>
      <c r="B3911" t="s">
        <v>586</v>
      </c>
      <c r="C3911" s="2">
        <f>HYPERLINK("https://cao.dolgi.msk.ru/account/1080241908/", 1080241908)</f>
        <v>1080241908</v>
      </c>
      <c r="D3911" t="s">
        <v>3215</v>
      </c>
      <c r="E3911">
        <v>-66.73</v>
      </c>
      <c r="F3911">
        <v>-0.01</v>
      </c>
      <c r="G3911" t="s">
        <v>12</v>
      </c>
      <c r="I3911" t="s">
        <v>1428</v>
      </c>
    </row>
    <row r="3912" spans="1:9" hidden="1" x14ac:dyDescent="0.25">
      <c r="A3912" t="s">
        <v>3140</v>
      </c>
      <c r="B3912" t="s">
        <v>588</v>
      </c>
      <c r="C3912" s="2">
        <f>HYPERLINK("https://cao.dolgi.msk.ru/account/1080241916/", 1080241916)</f>
        <v>1080241916</v>
      </c>
      <c r="D3912" t="s">
        <v>3216</v>
      </c>
      <c r="E3912">
        <v>-5369.51</v>
      </c>
      <c r="F3912">
        <v>-1.18</v>
      </c>
      <c r="G3912" t="s">
        <v>12</v>
      </c>
      <c r="I3912" t="s">
        <v>1428</v>
      </c>
    </row>
    <row r="3913" spans="1:9" hidden="1" x14ac:dyDescent="0.25">
      <c r="A3913" t="s">
        <v>3140</v>
      </c>
      <c r="B3913" t="s">
        <v>590</v>
      </c>
      <c r="C3913" s="2">
        <f>HYPERLINK("https://cao.dolgi.msk.ru/account/1080241924/", 1080241924)</f>
        <v>1080241924</v>
      </c>
      <c r="D3913" t="s">
        <v>3217</v>
      </c>
      <c r="E3913">
        <v>-8313.85</v>
      </c>
      <c r="F3913">
        <v>-1.06</v>
      </c>
      <c r="G3913" t="s">
        <v>12</v>
      </c>
      <c r="I3913" t="s">
        <v>1428</v>
      </c>
    </row>
    <row r="3914" spans="1:9" hidden="1" x14ac:dyDescent="0.25">
      <c r="A3914" t="s">
        <v>3140</v>
      </c>
      <c r="B3914" t="s">
        <v>693</v>
      </c>
      <c r="C3914" s="2">
        <f>HYPERLINK("https://cao.dolgi.msk.ru/account/1080241932/", 1080241932)</f>
        <v>1080241932</v>
      </c>
      <c r="D3914" t="s">
        <v>15</v>
      </c>
      <c r="E3914">
        <v>-5339.67</v>
      </c>
      <c r="F3914">
        <v>-1.08</v>
      </c>
      <c r="G3914" t="s">
        <v>12</v>
      </c>
      <c r="I3914" t="s">
        <v>1428</v>
      </c>
    </row>
    <row r="3915" spans="1:9" hidden="1" x14ac:dyDescent="0.25">
      <c r="A3915" t="s">
        <v>3140</v>
      </c>
      <c r="B3915" t="s">
        <v>694</v>
      </c>
      <c r="C3915" s="2">
        <f>HYPERLINK("https://cao.dolgi.msk.ru/account/1080241959/", 1080241959)</f>
        <v>1080241959</v>
      </c>
      <c r="D3915" t="s">
        <v>3218</v>
      </c>
      <c r="E3915">
        <v>-6005.1</v>
      </c>
      <c r="F3915">
        <v>-1.28</v>
      </c>
      <c r="G3915" t="s">
        <v>12</v>
      </c>
      <c r="I3915" t="s">
        <v>1428</v>
      </c>
    </row>
    <row r="3916" spans="1:9" hidden="1" x14ac:dyDescent="0.25">
      <c r="A3916" t="s">
        <v>3140</v>
      </c>
      <c r="B3916" t="s">
        <v>696</v>
      </c>
      <c r="C3916" s="2">
        <f>HYPERLINK("https://cao.dolgi.msk.ru/account/1080241967/", 1080241967)</f>
        <v>1080241967</v>
      </c>
      <c r="D3916" t="s">
        <v>3219</v>
      </c>
      <c r="E3916">
        <v>-5968.23</v>
      </c>
      <c r="F3916">
        <v>-1.23</v>
      </c>
      <c r="G3916" t="s">
        <v>12</v>
      </c>
      <c r="I3916" t="s">
        <v>1428</v>
      </c>
    </row>
    <row r="3917" spans="1:9" hidden="1" x14ac:dyDescent="0.25">
      <c r="A3917" t="s">
        <v>3140</v>
      </c>
      <c r="B3917" t="s">
        <v>698</v>
      </c>
      <c r="C3917" s="2">
        <f>HYPERLINK("https://cao.dolgi.msk.ru/account/1080241975/", 1080241975)</f>
        <v>1080241975</v>
      </c>
      <c r="D3917" t="s">
        <v>3220</v>
      </c>
      <c r="E3917">
        <v>-3595.95</v>
      </c>
      <c r="F3917">
        <v>-0.92</v>
      </c>
      <c r="G3917" t="s">
        <v>12</v>
      </c>
      <c r="I3917" t="s">
        <v>1428</v>
      </c>
    </row>
    <row r="3918" spans="1:9" hidden="1" x14ac:dyDescent="0.25">
      <c r="A3918" t="s">
        <v>3140</v>
      </c>
      <c r="B3918" t="s">
        <v>700</v>
      </c>
      <c r="C3918" s="2">
        <f>HYPERLINK("https://cao.dolgi.msk.ru/account/1080241983/", 1080241983)</f>
        <v>1080241983</v>
      </c>
      <c r="D3918" t="s">
        <v>3221</v>
      </c>
      <c r="E3918">
        <v>-1431.73</v>
      </c>
      <c r="F3918">
        <v>-0.39</v>
      </c>
      <c r="G3918" t="s">
        <v>12</v>
      </c>
      <c r="I3918" t="s">
        <v>1428</v>
      </c>
    </row>
    <row r="3919" spans="1:9" hidden="1" x14ac:dyDescent="0.25">
      <c r="A3919" t="s">
        <v>3140</v>
      </c>
      <c r="B3919" t="s">
        <v>702</v>
      </c>
      <c r="C3919" s="2">
        <f>HYPERLINK("https://cao.dolgi.msk.ru/account/1080241991/", 1080241991)</f>
        <v>1080241991</v>
      </c>
      <c r="D3919" t="s">
        <v>3222</v>
      </c>
      <c r="E3919">
        <v>-5030.5600000000004</v>
      </c>
      <c r="F3919">
        <v>-1.2</v>
      </c>
      <c r="G3919" t="s">
        <v>12</v>
      </c>
      <c r="I3919" t="s">
        <v>1428</v>
      </c>
    </row>
    <row r="3920" spans="1:9" hidden="1" x14ac:dyDescent="0.25">
      <c r="A3920" t="s">
        <v>3140</v>
      </c>
      <c r="B3920" t="s">
        <v>705</v>
      </c>
      <c r="C3920" s="2">
        <f>HYPERLINK("https://cao.dolgi.msk.ru/account/1080242011/", 1080242011)</f>
        <v>1080242011</v>
      </c>
      <c r="D3920" t="s">
        <v>3223</v>
      </c>
      <c r="E3920">
        <v>-3033.98</v>
      </c>
      <c r="F3920">
        <v>-1.48</v>
      </c>
      <c r="G3920" t="s">
        <v>12</v>
      </c>
      <c r="I3920" t="s">
        <v>1428</v>
      </c>
    </row>
    <row r="3921" spans="1:9" hidden="1" x14ac:dyDescent="0.25">
      <c r="A3921" t="s">
        <v>3140</v>
      </c>
      <c r="B3921" t="s">
        <v>707</v>
      </c>
      <c r="C3921" s="2">
        <f>HYPERLINK("https://cao.dolgi.msk.ru/account/1080242038/", 1080242038)</f>
        <v>1080242038</v>
      </c>
      <c r="D3921" t="s">
        <v>3224</v>
      </c>
      <c r="E3921">
        <v>-4413.55</v>
      </c>
      <c r="F3921">
        <v>-1.18</v>
      </c>
      <c r="G3921" t="s">
        <v>12</v>
      </c>
      <c r="I3921" t="s">
        <v>1428</v>
      </c>
    </row>
    <row r="3922" spans="1:9" hidden="1" x14ac:dyDescent="0.25">
      <c r="A3922" t="s">
        <v>3140</v>
      </c>
      <c r="B3922" t="s">
        <v>709</v>
      </c>
      <c r="C3922" s="2">
        <f>HYPERLINK("https://cao.dolgi.msk.ru/account/1080242046/", 1080242046)</f>
        <v>1080242046</v>
      </c>
      <c r="D3922" t="s">
        <v>3225</v>
      </c>
      <c r="E3922">
        <v>-3264.69</v>
      </c>
      <c r="F3922">
        <v>-1.1200000000000001</v>
      </c>
      <c r="G3922" t="s">
        <v>12</v>
      </c>
      <c r="I3922" t="s">
        <v>1428</v>
      </c>
    </row>
    <row r="3923" spans="1:9" hidden="1" x14ac:dyDescent="0.25">
      <c r="A3923" t="s">
        <v>3140</v>
      </c>
      <c r="B3923" t="s">
        <v>711</v>
      </c>
      <c r="C3923" s="2">
        <f>HYPERLINK("https://cao.dolgi.msk.ru/account/1080242054/", 1080242054)</f>
        <v>1080242054</v>
      </c>
      <c r="D3923" t="s">
        <v>3226</v>
      </c>
      <c r="E3923">
        <v>-6366.93</v>
      </c>
      <c r="F3923">
        <v>-1.1200000000000001</v>
      </c>
      <c r="G3923" t="s">
        <v>12</v>
      </c>
      <c r="I3923" t="s">
        <v>1428</v>
      </c>
    </row>
    <row r="3924" spans="1:9" hidden="1" x14ac:dyDescent="0.25">
      <c r="A3924" t="s">
        <v>3140</v>
      </c>
      <c r="B3924" t="s">
        <v>713</v>
      </c>
      <c r="C3924" s="2">
        <f>HYPERLINK("https://cao.dolgi.msk.ru/account/1080242062/", 1080242062)</f>
        <v>1080242062</v>
      </c>
      <c r="D3924" t="s">
        <v>3227</v>
      </c>
      <c r="E3924">
        <v>1469.88</v>
      </c>
      <c r="F3924">
        <v>0.7</v>
      </c>
      <c r="G3924" t="s">
        <v>12</v>
      </c>
      <c r="I3924" t="s">
        <v>1428</v>
      </c>
    </row>
    <row r="3925" spans="1:9" x14ac:dyDescent="0.25">
      <c r="A3925" t="s">
        <v>3140</v>
      </c>
      <c r="B3925" t="s">
        <v>528</v>
      </c>
      <c r="C3925" s="2">
        <f>HYPERLINK("https://cao.dolgi.msk.ru/account/1080242089/", 1080242089)</f>
        <v>1080242089</v>
      </c>
      <c r="D3925" t="s">
        <v>3228</v>
      </c>
      <c r="E3925">
        <v>251465.49</v>
      </c>
      <c r="F3925">
        <v>30.82</v>
      </c>
      <c r="G3925" t="s">
        <v>12</v>
      </c>
      <c r="I3925" t="s">
        <v>1428</v>
      </c>
    </row>
    <row r="3926" spans="1:9" x14ac:dyDescent="0.25">
      <c r="A3926" t="s">
        <v>3140</v>
      </c>
      <c r="B3926" t="s">
        <v>530</v>
      </c>
      <c r="C3926" s="2">
        <f>HYPERLINK("https://cao.dolgi.msk.ru/account/1080242097/", 1080242097)</f>
        <v>1080242097</v>
      </c>
      <c r="D3926" t="s">
        <v>3229</v>
      </c>
      <c r="E3926">
        <v>17247.189999999999</v>
      </c>
      <c r="F3926">
        <v>4.32</v>
      </c>
      <c r="G3926" t="s">
        <v>12</v>
      </c>
      <c r="I3926" t="s">
        <v>1428</v>
      </c>
    </row>
    <row r="3927" spans="1:9" hidden="1" x14ac:dyDescent="0.25">
      <c r="A3927" t="s">
        <v>3140</v>
      </c>
      <c r="B3927" t="s">
        <v>532</v>
      </c>
      <c r="C3927" s="2">
        <f>HYPERLINK("https://cao.dolgi.msk.ru/account/1080242118/", 1080242118)</f>
        <v>1080242118</v>
      </c>
      <c r="D3927" t="s">
        <v>3230</v>
      </c>
      <c r="E3927">
        <v>-263.72000000000003</v>
      </c>
      <c r="F3927">
        <v>-0.04</v>
      </c>
      <c r="G3927" t="s">
        <v>12</v>
      </c>
      <c r="I3927" t="s">
        <v>1428</v>
      </c>
    </row>
    <row r="3928" spans="1:9" hidden="1" x14ac:dyDescent="0.25">
      <c r="A3928" t="s">
        <v>3140</v>
      </c>
      <c r="B3928" t="s">
        <v>534</v>
      </c>
      <c r="C3928" s="2">
        <f>HYPERLINK("https://cao.dolgi.msk.ru/account/1080242126/", 1080242126)</f>
        <v>1080242126</v>
      </c>
      <c r="D3928" t="s">
        <v>3231</v>
      </c>
      <c r="E3928">
        <v>-5342.49</v>
      </c>
      <c r="F3928">
        <v>-0.97</v>
      </c>
      <c r="G3928" t="s">
        <v>12</v>
      </c>
      <c r="I3928" t="s">
        <v>1428</v>
      </c>
    </row>
    <row r="3929" spans="1:9" hidden="1" x14ac:dyDescent="0.25">
      <c r="A3929" t="s">
        <v>3140</v>
      </c>
      <c r="B3929" t="s">
        <v>536</v>
      </c>
      <c r="C3929" s="2">
        <f>HYPERLINK("https://cao.dolgi.msk.ru/account/1080242134/", 1080242134)</f>
        <v>1080242134</v>
      </c>
      <c r="D3929" t="s">
        <v>3232</v>
      </c>
      <c r="E3929">
        <v>-3798.71</v>
      </c>
      <c r="F3929">
        <v>-1.07</v>
      </c>
      <c r="G3929" t="s">
        <v>12</v>
      </c>
      <c r="I3929" t="s">
        <v>1428</v>
      </c>
    </row>
    <row r="3930" spans="1:9" hidden="1" x14ac:dyDescent="0.25">
      <c r="A3930" t="s">
        <v>3140</v>
      </c>
      <c r="B3930" t="s">
        <v>538</v>
      </c>
      <c r="C3930" s="2">
        <f>HYPERLINK("https://cao.dolgi.msk.ru/account/1080242142/", 1080242142)</f>
        <v>1080242142</v>
      </c>
      <c r="D3930" t="s">
        <v>3233</v>
      </c>
      <c r="E3930">
        <v>-1260.1600000000001</v>
      </c>
      <c r="F3930">
        <v>-0.19</v>
      </c>
      <c r="G3930" t="s">
        <v>12</v>
      </c>
      <c r="I3930" t="s">
        <v>1428</v>
      </c>
    </row>
    <row r="3931" spans="1:9" hidden="1" x14ac:dyDescent="0.25">
      <c r="A3931" t="s">
        <v>3140</v>
      </c>
      <c r="B3931" t="s">
        <v>539</v>
      </c>
      <c r="C3931" s="2">
        <f>HYPERLINK("https://cao.dolgi.msk.ru/account/1080242169/", 1080242169)</f>
        <v>1080242169</v>
      </c>
      <c r="D3931" t="s">
        <v>3234</v>
      </c>
      <c r="E3931">
        <v>-4035.53</v>
      </c>
      <c r="F3931">
        <v>-1.19</v>
      </c>
      <c r="G3931" t="s">
        <v>12</v>
      </c>
      <c r="I3931" t="s">
        <v>1428</v>
      </c>
    </row>
    <row r="3932" spans="1:9" hidden="1" x14ac:dyDescent="0.25">
      <c r="A3932" t="s">
        <v>3140</v>
      </c>
      <c r="B3932" t="s">
        <v>541</v>
      </c>
      <c r="C3932" s="2">
        <f>HYPERLINK("https://cao.dolgi.msk.ru/account/1080242177/", 1080242177)</f>
        <v>1080242177</v>
      </c>
      <c r="D3932" t="s">
        <v>3235</v>
      </c>
      <c r="E3932">
        <v>-4834.37</v>
      </c>
      <c r="F3932">
        <v>-1.1599999999999999</v>
      </c>
      <c r="G3932" t="s">
        <v>12</v>
      </c>
      <c r="I3932" t="s">
        <v>1428</v>
      </c>
    </row>
    <row r="3933" spans="1:9" hidden="1" x14ac:dyDescent="0.25">
      <c r="A3933" t="s">
        <v>3140</v>
      </c>
      <c r="B3933" t="s">
        <v>543</v>
      </c>
      <c r="C3933" s="2">
        <f>HYPERLINK("https://cao.dolgi.msk.ru/account/1080242185/", 1080242185)</f>
        <v>1080242185</v>
      </c>
      <c r="D3933" t="s">
        <v>3236</v>
      </c>
      <c r="E3933">
        <v>-7599.11</v>
      </c>
      <c r="F3933">
        <v>-1.1100000000000001</v>
      </c>
      <c r="G3933" t="s">
        <v>12</v>
      </c>
      <c r="I3933" t="s">
        <v>1428</v>
      </c>
    </row>
    <row r="3934" spans="1:9" hidden="1" x14ac:dyDescent="0.25">
      <c r="A3934" t="s">
        <v>3140</v>
      </c>
      <c r="B3934" t="s">
        <v>545</v>
      </c>
      <c r="C3934" s="2">
        <f>HYPERLINK("https://cao.dolgi.msk.ru/account/1080242193/", 1080242193)</f>
        <v>1080242193</v>
      </c>
      <c r="D3934" t="s">
        <v>3237</v>
      </c>
      <c r="E3934">
        <v>66.3</v>
      </c>
      <c r="F3934">
        <v>0.02</v>
      </c>
      <c r="G3934" t="s">
        <v>12</v>
      </c>
      <c r="I3934" t="s">
        <v>1428</v>
      </c>
    </row>
    <row r="3935" spans="1:9" hidden="1" x14ac:dyDescent="0.25">
      <c r="A3935" t="s">
        <v>3140</v>
      </c>
      <c r="B3935" t="s">
        <v>546</v>
      </c>
      <c r="C3935" s="2">
        <f>HYPERLINK("https://cao.dolgi.msk.ru/account/1080242206/", 1080242206)</f>
        <v>1080242206</v>
      </c>
      <c r="D3935" t="s">
        <v>3238</v>
      </c>
      <c r="E3935">
        <v>-5306.69</v>
      </c>
      <c r="F3935">
        <v>-1.1200000000000001</v>
      </c>
      <c r="G3935" t="s">
        <v>12</v>
      </c>
      <c r="I3935" t="s">
        <v>1428</v>
      </c>
    </row>
    <row r="3936" spans="1:9" hidden="1" x14ac:dyDescent="0.25">
      <c r="A3936" t="s">
        <v>3140</v>
      </c>
      <c r="B3936" t="s">
        <v>548</v>
      </c>
      <c r="C3936" s="2">
        <f>HYPERLINK("https://cao.dolgi.msk.ru/account/1080242214/", 1080242214)</f>
        <v>1080242214</v>
      </c>
      <c r="D3936" t="s">
        <v>3239</v>
      </c>
      <c r="E3936">
        <v>-5357.11</v>
      </c>
      <c r="F3936">
        <v>-1.1299999999999999</v>
      </c>
      <c r="G3936" t="s">
        <v>12</v>
      </c>
      <c r="I3936" t="s">
        <v>1428</v>
      </c>
    </row>
    <row r="3937" spans="1:9" hidden="1" x14ac:dyDescent="0.25">
      <c r="A3937" t="s">
        <v>3140</v>
      </c>
      <c r="B3937" t="s">
        <v>727</v>
      </c>
      <c r="C3937" s="2">
        <f>HYPERLINK("https://cao.dolgi.msk.ru/account/1080242222/", 1080242222)</f>
        <v>1080242222</v>
      </c>
      <c r="D3937" t="s">
        <v>3240</v>
      </c>
      <c r="E3937">
        <v>-5098.95</v>
      </c>
      <c r="F3937">
        <v>-1.1399999999999999</v>
      </c>
      <c r="G3937" t="s">
        <v>12</v>
      </c>
      <c r="I3937" t="s">
        <v>1428</v>
      </c>
    </row>
    <row r="3938" spans="1:9" hidden="1" x14ac:dyDescent="0.25">
      <c r="A3938" t="s">
        <v>3140</v>
      </c>
      <c r="B3938" t="s">
        <v>551</v>
      </c>
      <c r="C3938" s="2">
        <f>HYPERLINK("https://cao.dolgi.msk.ru/account/1080242249/", 1080242249)</f>
        <v>1080242249</v>
      </c>
      <c r="D3938" t="s">
        <v>3241</v>
      </c>
      <c r="E3938">
        <v>-7543.98</v>
      </c>
      <c r="F3938">
        <v>-1.2</v>
      </c>
      <c r="G3938" t="s">
        <v>12</v>
      </c>
      <c r="I3938" t="s">
        <v>1428</v>
      </c>
    </row>
    <row r="3939" spans="1:9" hidden="1" x14ac:dyDescent="0.25">
      <c r="A3939" t="s">
        <v>3140</v>
      </c>
      <c r="B3939" t="s">
        <v>730</v>
      </c>
      <c r="C3939" s="2">
        <f>HYPERLINK("https://cao.dolgi.msk.ru/account/1080242257/", 1080242257)</f>
        <v>1080242257</v>
      </c>
      <c r="D3939" t="s">
        <v>3242</v>
      </c>
      <c r="E3939">
        <v>-9929.66</v>
      </c>
      <c r="F3939">
        <v>-2.89</v>
      </c>
      <c r="G3939" t="s">
        <v>12</v>
      </c>
      <c r="I3939" t="s">
        <v>1428</v>
      </c>
    </row>
    <row r="3940" spans="1:9" hidden="1" x14ac:dyDescent="0.25">
      <c r="A3940" t="s">
        <v>3140</v>
      </c>
      <c r="B3940" t="s">
        <v>732</v>
      </c>
      <c r="C3940" s="2">
        <f>HYPERLINK("https://cao.dolgi.msk.ru/account/1080242265/", 1080242265)</f>
        <v>1080242265</v>
      </c>
      <c r="D3940" t="s">
        <v>3243</v>
      </c>
      <c r="E3940">
        <v>-1083.3399999999999</v>
      </c>
      <c r="F3940">
        <v>-0.36</v>
      </c>
      <c r="G3940" t="s">
        <v>12</v>
      </c>
      <c r="I3940" t="s">
        <v>1428</v>
      </c>
    </row>
    <row r="3941" spans="1:9" hidden="1" x14ac:dyDescent="0.25">
      <c r="A3941" t="s">
        <v>3140</v>
      </c>
      <c r="B3941" t="s">
        <v>553</v>
      </c>
      <c r="C3941" s="2">
        <f>HYPERLINK("https://cao.dolgi.msk.ru/account/1080242273/", 1080242273)</f>
        <v>1080242273</v>
      </c>
      <c r="D3941" t="s">
        <v>3244</v>
      </c>
      <c r="E3941">
        <v>-7415.02</v>
      </c>
      <c r="F3941">
        <v>-1.61</v>
      </c>
      <c r="G3941" t="s">
        <v>12</v>
      </c>
      <c r="I3941" t="s">
        <v>1428</v>
      </c>
    </row>
    <row r="3942" spans="1:9" hidden="1" x14ac:dyDescent="0.25">
      <c r="A3942" t="s">
        <v>3140</v>
      </c>
      <c r="B3942" t="s">
        <v>555</v>
      </c>
      <c r="C3942" s="2">
        <f>HYPERLINK("https://cao.dolgi.msk.ru/account/1080242281/", 1080242281)</f>
        <v>1080242281</v>
      </c>
      <c r="D3942" t="s">
        <v>3245</v>
      </c>
      <c r="E3942">
        <v>-4793.76</v>
      </c>
      <c r="F3942">
        <v>-1.23</v>
      </c>
      <c r="G3942" t="s">
        <v>12</v>
      </c>
      <c r="I3942" t="s">
        <v>1428</v>
      </c>
    </row>
    <row r="3943" spans="1:9" hidden="1" x14ac:dyDescent="0.25">
      <c r="A3943" t="s">
        <v>3140</v>
      </c>
      <c r="B3943" t="s">
        <v>736</v>
      </c>
      <c r="C3943" s="2">
        <f>HYPERLINK("https://cao.dolgi.msk.ru/account/1080242302/", 1080242302)</f>
        <v>1080242302</v>
      </c>
      <c r="D3943" t="s">
        <v>3246</v>
      </c>
      <c r="E3943">
        <v>-6204.17</v>
      </c>
      <c r="F3943">
        <v>-1.2</v>
      </c>
      <c r="G3943" t="s">
        <v>12</v>
      </c>
      <c r="I3943" t="s">
        <v>1428</v>
      </c>
    </row>
    <row r="3944" spans="1:9" hidden="1" x14ac:dyDescent="0.25">
      <c r="A3944" t="s">
        <v>3140</v>
      </c>
      <c r="B3944" t="s">
        <v>738</v>
      </c>
      <c r="C3944" s="2">
        <f>HYPERLINK("https://cao.dolgi.msk.ru/account/1080242329/", 1080242329)</f>
        <v>1080242329</v>
      </c>
      <c r="D3944" t="s">
        <v>3247</v>
      </c>
      <c r="E3944">
        <v>-3065.13</v>
      </c>
      <c r="F3944">
        <v>-1.1599999999999999</v>
      </c>
      <c r="G3944" t="s">
        <v>12</v>
      </c>
      <c r="I3944" t="s">
        <v>1428</v>
      </c>
    </row>
    <row r="3945" spans="1:9" hidden="1" x14ac:dyDescent="0.25">
      <c r="A3945" t="s">
        <v>3140</v>
      </c>
      <c r="B3945" t="s">
        <v>740</v>
      </c>
      <c r="C3945" s="2">
        <f>HYPERLINK("https://cao.dolgi.msk.ru/account/1080242337/", 1080242337)</f>
        <v>1080242337</v>
      </c>
      <c r="D3945" t="s">
        <v>3248</v>
      </c>
      <c r="E3945">
        <v>-3984.84</v>
      </c>
      <c r="F3945">
        <v>-1.43</v>
      </c>
      <c r="G3945" t="s">
        <v>12</v>
      </c>
      <c r="I3945" t="s">
        <v>1428</v>
      </c>
    </row>
    <row r="3946" spans="1:9" hidden="1" x14ac:dyDescent="0.25">
      <c r="A3946" t="s">
        <v>3140</v>
      </c>
      <c r="B3946" t="s">
        <v>742</v>
      </c>
      <c r="C3946" s="2">
        <f>HYPERLINK("https://cao.dolgi.msk.ru/account/1080242345/", 1080242345)</f>
        <v>1080242345</v>
      </c>
      <c r="D3946" t="s">
        <v>3249</v>
      </c>
      <c r="E3946">
        <v>-88.5</v>
      </c>
      <c r="F3946">
        <v>-0.02</v>
      </c>
      <c r="G3946" t="s">
        <v>12</v>
      </c>
      <c r="I3946" t="s">
        <v>1428</v>
      </c>
    </row>
    <row r="3947" spans="1:9" hidden="1" x14ac:dyDescent="0.25">
      <c r="A3947" t="s">
        <v>3140</v>
      </c>
      <c r="B3947" t="s">
        <v>557</v>
      </c>
      <c r="C3947" s="2">
        <f>HYPERLINK("https://cao.dolgi.msk.ru/account/1080242353/", 1080242353)</f>
        <v>1080242353</v>
      </c>
      <c r="D3947" t="s">
        <v>3250</v>
      </c>
      <c r="E3947">
        <v>-5301.43</v>
      </c>
      <c r="F3947">
        <v>-1.17</v>
      </c>
      <c r="G3947" t="s">
        <v>12</v>
      </c>
      <c r="I3947" t="s">
        <v>1428</v>
      </c>
    </row>
    <row r="3948" spans="1:9" hidden="1" x14ac:dyDescent="0.25">
      <c r="A3948" t="s">
        <v>3140</v>
      </c>
      <c r="B3948" t="s">
        <v>558</v>
      </c>
      <c r="C3948" s="2">
        <f>HYPERLINK("https://cao.dolgi.msk.ru/account/1080242361/", 1080242361)</f>
        <v>1080242361</v>
      </c>
      <c r="D3948" t="s">
        <v>3251</v>
      </c>
      <c r="E3948">
        <v>-6708.65</v>
      </c>
      <c r="F3948">
        <v>-1.33</v>
      </c>
      <c r="G3948" t="s">
        <v>12</v>
      </c>
      <c r="I3948" t="s">
        <v>1428</v>
      </c>
    </row>
    <row r="3949" spans="1:9" hidden="1" x14ac:dyDescent="0.25">
      <c r="A3949" t="s">
        <v>3140</v>
      </c>
      <c r="B3949" t="s">
        <v>746</v>
      </c>
      <c r="C3949" s="2">
        <f>HYPERLINK("https://cao.dolgi.msk.ru/account/1080242388/", 1080242388)</f>
        <v>1080242388</v>
      </c>
      <c r="D3949" t="s">
        <v>3252</v>
      </c>
      <c r="E3949">
        <v>-3060.09</v>
      </c>
      <c r="F3949">
        <v>-1.44</v>
      </c>
      <c r="G3949" t="s">
        <v>12</v>
      </c>
      <c r="I3949" t="s">
        <v>1428</v>
      </c>
    </row>
    <row r="3950" spans="1:9" hidden="1" x14ac:dyDescent="0.25">
      <c r="A3950" t="s">
        <v>3140</v>
      </c>
      <c r="B3950" t="s">
        <v>748</v>
      </c>
      <c r="C3950" s="2">
        <f>HYPERLINK("https://cao.dolgi.msk.ru/account/1080242396/", 1080242396)</f>
        <v>1080242396</v>
      </c>
      <c r="D3950" t="s">
        <v>3253</v>
      </c>
      <c r="E3950">
        <v>-3779.52</v>
      </c>
      <c r="F3950">
        <v>-1.04</v>
      </c>
      <c r="G3950" t="s">
        <v>12</v>
      </c>
      <c r="I3950" t="s">
        <v>1428</v>
      </c>
    </row>
    <row r="3951" spans="1:9" hidden="1" x14ac:dyDescent="0.25">
      <c r="A3951" t="s">
        <v>3140</v>
      </c>
      <c r="B3951" t="s">
        <v>750</v>
      </c>
      <c r="C3951" s="2">
        <f>HYPERLINK("https://cao.dolgi.msk.ru/account/1080242409/", 1080242409)</f>
        <v>1080242409</v>
      </c>
      <c r="D3951" t="s">
        <v>3254</v>
      </c>
      <c r="E3951">
        <v>-7711.03</v>
      </c>
      <c r="F3951">
        <v>-0.96</v>
      </c>
      <c r="G3951" t="s">
        <v>12</v>
      </c>
      <c r="I3951" t="s">
        <v>1428</v>
      </c>
    </row>
    <row r="3952" spans="1:9" hidden="1" x14ac:dyDescent="0.25">
      <c r="A3952" t="s">
        <v>3140</v>
      </c>
      <c r="B3952" t="s">
        <v>752</v>
      </c>
      <c r="C3952" s="2">
        <f>HYPERLINK("https://cao.dolgi.msk.ru/account/1080242417/", 1080242417)</f>
        <v>1080242417</v>
      </c>
      <c r="D3952" t="s">
        <v>3255</v>
      </c>
      <c r="E3952">
        <v>-3209.4</v>
      </c>
      <c r="F3952">
        <v>-1.1100000000000001</v>
      </c>
      <c r="G3952" t="s">
        <v>12</v>
      </c>
      <c r="I3952" t="s">
        <v>1428</v>
      </c>
    </row>
    <row r="3953" spans="1:9" hidden="1" x14ac:dyDescent="0.25">
      <c r="A3953" t="s">
        <v>3140</v>
      </c>
      <c r="B3953" t="s">
        <v>754</v>
      </c>
      <c r="C3953" s="2">
        <f>HYPERLINK("https://cao.dolgi.msk.ru/account/1080242425/", 1080242425)</f>
        <v>1080242425</v>
      </c>
      <c r="D3953" t="s">
        <v>3256</v>
      </c>
      <c r="E3953">
        <v>-8163.06</v>
      </c>
      <c r="F3953">
        <v>-0.98</v>
      </c>
      <c r="G3953" t="s">
        <v>12</v>
      </c>
      <c r="I3953" t="s">
        <v>1428</v>
      </c>
    </row>
    <row r="3954" spans="1:9" hidden="1" x14ac:dyDescent="0.25">
      <c r="A3954" t="s">
        <v>3140</v>
      </c>
      <c r="B3954" t="s">
        <v>756</v>
      </c>
      <c r="C3954" s="2">
        <f>HYPERLINK("https://cao.dolgi.msk.ru/account/1080242433/", 1080242433)</f>
        <v>1080242433</v>
      </c>
      <c r="D3954" t="s">
        <v>3257</v>
      </c>
      <c r="E3954">
        <v>-4639.08</v>
      </c>
      <c r="F3954">
        <v>-1.64</v>
      </c>
      <c r="G3954" t="s">
        <v>12</v>
      </c>
      <c r="I3954" t="s">
        <v>1428</v>
      </c>
    </row>
    <row r="3955" spans="1:9" hidden="1" x14ac:dyDescent="0.25">
      <c r="A3955" t="s">
        <v>3140</v>
      </c>
      <c r="B3955" t="s">
        <v>758</v>
      </c>
      <c r="C3955" s="2">
        <f>HYPERLINK("https://cao.dolgi.msk.ru/account/1080242441/", 1080242441)</f>
        <v>1080242441</v>
      </c>
      <c r="D3955" t="s">
        <v>3258</v>
      </c>
      <c r="E3955">
        <v>-6754.59</v>
      </c>
      <c r="F3955">
        <v>-1.1599999999999999</v>
      </c>
      <c r="G3955" t="s">
        <v>12</v>
      </c>
      <c r="I3955" t="s">
        <v>1428</v>
      </c>
    </row>
    <row r="3956" spans="1:9" hidden="1" x14ac:dyDescent="0.25">
      <c r="A3956" t="s">
        <v>3140</v>
      </c>
      <c r="B3956" t="s">
        <v>760</v>
      </c>
      <c r="C3956" s="2">
        <f>HYPERLINK("https://cao.dolgi.msk.ru/account/1080242468/", 1080242468)</f>
        <v>1080242468</v>
      </c>
      <c r="D3956" t="s">
        <v>3259</v>
      </c>
      <c r="E3956">
        <v>-4055.23</v>
      </c>
      <c r="F3956">
        <v>-1.1100000000000001</v>
      </c>
      <c r="G3956" t="s">
        <v>12</v>
      </c>
      <c r="I3956" t="s">
        <v>1428</v>
      </c>
    </row>
    <row r="3957" spans="1:9" hidden="1" x14ac:dyDescent="0.25">
      <c r="A3957" t="s">
        <v>3140</v>
      </c>
      <c r="B3957" t="s">
        <v>762</v>
      </c>
      <c r="C3957" s="2">
        <f>HYPERLINK("https://cao.dolgi.msk.ru/account/1080242476/", 1080242476)</f>
        <v>1080242476</v>
      </c>
      <c r="D3957" t="s">
        <v>3260</v>
      </c>
      <c r="E3957">
        <v>-238</v>
      </c>
      <c r="F3957">
        <v>-0.12</v>
      </c>
      <c r="G3957" t="s">
        <v>12</v>
      </c>
      <c r="I3957" t="s">
        <v>1428</v>
      </c>
    </row>
    <row r="3958" spans="1:9" hidden="1" x14ac:dyDescent="0.25">
      <c r="A3958" t="s">
        <v>3140</v>
      </c>
      <c r="B3958" t="s">
        <v>764</v>
      </c>
      <c r="C3958" s="2">
        <f>HYPERLINK("https://cao.dolgi.msk.ru/account/1080242484/", 1080242484)</f>
        <v>1080242484</v>
      </c>
      <c r="D3958" t="s">
        <v>3261</v>
      </c>
      <c r="E3958">
        <v>-3874.83</v>
      </c>
      <c r="F3958">
        <v>-1.25</v>
      </c>
      <c r="G3958" t="s">
        <v>12</v>
      </c>
      <c r="I3958" t="s">
        <v>1428</v>
      </c>
    </row>
    <row r="3959" spans="1:9" hidden="1" x14ac:dyDescent="0.25">
      <c r="A3959" t="s">
        <v>3140</v>
      </c>
      <c r="B3959" t="s">
        <v>766</v>
      </c>
      <c r="C3959" s="2">
        <f>HYPERLINK("https://cao.dolgi.msk.ru/account/1080242492/", 1080242492)</f>
        <v>1080242492</v>
      </c>
      <c r="D3959" t="s">
        <v>3262</v>
      </c>
      <c r="E3959">
        <v>-6857.94</v>
      </c>
      <c r="F3959">
        <v>-0.89</v>
      </c>
      <c r="G3959" t="s">
        <v>12</v>
      </c>
      <c r="I3959" t="s">
        <v>1428</v>
      </c>
    </row>
    <row r="3960" spans="1:9" hidden="1" x14ac:dyDescent="0.25">
      <c r="A3960" t="s">
        <v>3140</v>
      </c>
      <c r="B3960" t="s">
        <v>768</v>
      </c>
      <c r="C3960" s="2">
        <f>HYPERLINK("https://cao.dolgi.msk.ru/account/1080242505/", 1080242505)</f>
        <v>1080242505</v>
      </c>
      <c r="D3960" t="s">
        <v>3263</v>
      </c>
      <c r="E3960">
        <v>-4354.22</v>
      </c>
      <c r="F3960">
        <v>-1.23</v>
      </c>
      <c r="G3960" t="s">
        <v>12</v>
      </c>
      <c r="I3960" t="s">
        <v>1428</v>
      </c>
    </row>
    <row r="3961" spans="1:9" hidden="1" x14ac:dyDescent="0.25">
      <c r="A3961" t="s">
        <v>3140</v>
      </c>
      <c r="B3961" t="s">
        <v>770</v>
      </c>
      <c r="C3961" s="2">
        <f>HYPERLINK("https://cao.dolgi.msk.ru/account/1080242513/", 1080242513)</f>
        <v>1080242513</v>
      </c>
      <c r="D3961" t="s">
        <v>3264</v>
      </c>
      <c r="E3961">
        <v>-3817.76</v>
      </c>
      <c r="F3961">
        <v>-1.18</v>
      </c>
      <c r="G3961" t="s">
        <v>12</v>
      </c>
      <c r="I3961" t="s">
        <v>1428</v>
      </c>
    </row>
    <row r="3962" spans="1:9" hidden="1" x14ac:dyDescent="0.25">
      <c r="A3962" t="s">
        <v>3140</v>
      </c>
      <c r="B3962" t="s">
        <v>772</v>
      </c>
      <c r="C3962" s="2">
        <f>HYPERLINK("https://cao.dolgi.msk.ru/account/1080242521/", 1080242521)</f>
        <v>1080242521</v>
      </c>
      <c r="D3962" t="s">
        <v>3265</v>
      </c>
      <c r="E3962">
        <v>-19.399999999999999</v>
      </c>
      <c r="F3962">
        <v>-0.01</v>
      </c>
      <c r="G3962" t="s">
        <v>12</v>
      </c>
      <c r="I3962" t="s">
        <v>1428</v>
      </c>
    </row>
    <row r="3963" spans="1:9" hidden="1" x14ac:dyDescent="0.25">
      <c r="A3963" t="s">
        <v>3140</v>
      </c>
      <c r="B3963" t="s">
        <v>774</v>
      </c>
      <c r="C3963" s="2">
        <f>HYPERLINK("https://cao.dolgi.msk.ru/account/1080242548/", 1080242548)</f>
        <v>1080242548</v>
      </c>
      <c r="D3963" t="s">
        <v>3266</v>
      </c>
      <c r="E3963">
        <v>0</v>
      </c>
      <c r="F3963">
        <v>0</v>
      </c>
      <c r="G3963" t="s">
        <v>12</v>
      </c>
      <c r="I3963" t="s">
        <v>1428</v>
      </c>
    </row>
    <row r="3964" spans="1:9" hidden="1" x14ac:dyDescent="0.25">
      <c r="A3964" t="s">
        <v>3140</v>
      </c>
      <c r="B3964" t="s">
        <v>776</v>
      </c>
      <c r="C3964" s="2">
        <f>HYPERLINK("https://cao.dolgi.msk.ru/account/1080242556/", 1080242556)</f>
        <v>1080242556</v>
      </c>
      <c r="D3964" t="s">
        <v>3267</v>
      </c>
      <c r="E3964">
        <v>0</v>
      </c>
      <c r="F3964">
        <v>0</v>
      </c>
      <c r="G3964" t="s">
        <v>12</v>
      </c>
      <c r="I3964" t="s">
        <v>1428</v>
      </c>
    </row>
    <row r="3965" spans="1:9" hidden="1" x14ac:dyDescent="0.25">
      <c r="A3965" t="s">
        <v>3140</v>
      </c>
      <c r="B3965" t="s">
        <v>778</v>
      </c>
      <c r="C3965" s="2">
        <f>HYPERLINK("https://cao.dolgi.msk.ru/account/1080242564/", 1080242564)</f>
        <v>1080242564</v>
      </c>
      <c r="D3965" t="s">
        <v>3268</v>
      </c>
      <c r="E3965">
        <v>-5400.15</v>
      </c>
      <c r="F3965">
        <v>-1.4</v>
      </c>
      <c r="G3965" t="s">
        <v>12</v>
      </c>
      <c r="I3965" t="s">
        <v>1428</v>
      </c>
    </row>
    <row r="3966" spans="1:9" hidden="1" x14ac:dyDescent="0.25">
      <c r="A3966" t="s">
        <v>3140</v>
      </c>
      <c r="B3966" t="s">
        <v>780</v>
      </c>
      <c r="C3966" s="2">
        <f>HYPERLINK("https://cao.dolgi.msk.ru/account/1080242572/", 1080242572)</f>
        <v>1080242572</v>
      </c>
      <c r="D3966" t="s">
        <v>3269</v>
      </c>
      <c r="E3966">
        <v>-103.35</v>
      </c>
      <c r="F3966">
        <v>-0.03</v>
      </c>
      <c r="G3966" t="s">
        <v>12</v>
      </c>
      <c r="I3966" t="s">
        <v>1428</v>
      </c>
    </row>
    <row r="3967" spans="1:9" hidden="1" x14ac:dyDescent="0.25">
      <c r="A3967" t="s">
        <v>3140</v>
      </c>
      <c r="B3967" t="s">
        <v>781</v>
      </c>
      <c r="C3967" s="2">
        <f>HYPERLINK("https://cao.dolgi.msk.ru/account/1080242599/", 1080242599)</f>
        <v>1080242599</v>
      </c>
      <c r="D3967" t="s">
        <v>3270</v>
      </c>
      <c r="E3967">
        <v>-8647.9</v>
      </c>
      <c r="F3967">
        <v>-1.2</v>
      </c>
      <c r="G3967" t="s">
        <v>12</v>
      </c>
      <c r="I3967" t="s">
        <v>1428</v>
      </c>
    </row>
    <row r="3968" spans="1:9" hidden="1" x14ac:dyDescent="0.25">
      <c r="A3968" t="s">
        <v>3140</v>
      </c>
      <c r="B3968" t="s">
        <v>782</v>
      </c>
      <c r="C3968" s="2">
        <f>HYPERLINK("https://cao.dolgi.msk.ru/account/1080242601/", 1080242601)</f>
        <v>1080242601</v>
      </c>
      <c r="D3968" t="s">
        <v>3271</v>
      </c>
      <c r="E3968">
        <v>-2690.81</v>
      </c>
      <c r="F3968">
        <v>-0.84</v>
      </c>
      <c r="G3968" t="s">
        <v>12</v>
      </c>
      <c r="I3968" t="s">
        <v>1428</v>
      </c>
    </row>
    <row r="3969" spans="1:9" hidden="1" x14ac:dyDescent="0.25">
      <c r="A3969" t="s">
        <v>3140</v>
      </c>
      <c r="B3969" t="s">
        <v>784</v>
      </c>
      <c r="C3969" s="2">
        <f>HYPERLINK("https://cao.dolgi.msk.ru/account/1080242628/", 1080242628)</f>
        <v>1080242628</v>
      </c>
      <c r="D3969" t="s">
        <v>3272</v>
      </c>
      <c r="E3969">
        <v>-4540.72</v>
      </c>
      <c r="F3969">
        <v>-1.1299999999999999</v>
      </c>
      <c r="G3969" t="s">
        <v>12</v>
      </c>
      <c r="I3969" t="s">
        <v>1428</v>
      </c>
    </row>
    <row r="3970" spans="1:9" x14ac:dyDescent="0.25">
      <c r="A3970" t="s">
        <v>3140</v>
      </c>
      <c r="B3970" t="s">
        <v>786</v>
      </c>
      <c r="C3970" s="2">
        <f>HYPERLINK("https://cao.dolgi.msk.ru/account/1080242636/", 1080242636)</f>
        <v>1080242636</v>
      </c>
      <c r="D3970" t="s">
        <v>3273</v>
      </c>
      <c r="E3970">
        <v>11924.57</v>
      </c>
      <c r="F3970">
        <v>7.86</v>
      </c>
      <c r="G3970" t="s">
        <v>12</v>
      </c>
      <c r="I3970" t="s">
        <v>1428</v>
      </c>
    </row>
    <row r="3971" spans="1:9" x14ac:dyDescent="0.25">
      <c r="A3971" t="s">
        <v>3140</v>
      </c>
      <c r="B3971" t="s">
        <v>786</v>
      </c>
      <c r="C3971" s="2">
        <f>HYPERLINK("https://cao.dolgi.msk.ru/account/1083274297/", 1083274297)</f>
        <v>1083274297</v>
      </c>
      <c r="D3971" t="s">
        <v>15</v>
      </c>
      <c r="E3971">
        <v>4186.6400000000003</v>
      </c>
      <c r="F3971">
        <v>3.11</v>
      </c>
      <c r="G3971" t="s">
        <v>12</v>
      </c>
      <c r="I3971" t="s">
        <v>1428</v>
      </c>
    </row>
    <row r="3972" spans="1:9" hidden="1" x14ac:dyDescent="0.25">
      <c r="A3972" t="s">
        <v>3140</v>
      </c>
      <c r="B3972" t="s">
        <v>788</v>
      </c>
      <c r="C3972" s="2">
        <f>HYPERLINK("https://cao.dolgi.msk.ru/account/1080242652/", 1080242652)</f>
        <v>1080242652</v>
      </c>
      <c r="D3972" t="s">
        <v>3274</v>
      </c>
      <c r="E3972">
        <v>-6559.32</v>
      </c>
      <c r="F3972">
        <v>-1.1100000000000001</v>
      </c>
      <c r="G3972" t="s">
        <v>12</v>
      </c>
      <c r="I3972" t="s">
        <v>1428</v>
      </c>
    </row>
    <row r="3973" spans="1:9" hidden="1" x14ac:dyDescent="0.25">
      <c r="A3973" t="s">
        <v>3140</v>
      </c>
      <c r="B3973" t="s">
        <v>789</v>
      </c>
      <c r="C3973" s="2">
        <f>HYPERLINK("https://cao.dolgi.msk.ru/account/1080242679/", 1080242679)</f>
        <v>1080242679</v>
      </c>
      <c r="D3973" t="s">
        <v>3275</v>
      </c>
      <c r="E3973">
        <v>-5307.29</v>
      </c>
      <c r="F3973">
        <v>-1.47</v>
      </c>
      <c r="G3973" t="s">
        <v>12</v>
      </c>
      <c r="I3973" t="s">
        <v>1428</v>
      </c>
    </row>
    <row r="3974" spans="1:9" hidden="1" x14ac:dyDescent="0.25">
      <c r="A3974" t="s">
        <v>3276</v>
      </c>
      <c r="B3974" t="s">
        <v>10</v>
      </c>
      <c r="C3974" s="2">
        <f>HYPERLINK("https://cao.dolgi.msk.ru/account/1083274975/", 1083274975)</f>
        <v>1083274975</v>
      </c>
      <c r="D3974" t="s">
        <v>3277</v>
      </c>
      <c r="E3974">
        <v>-19.760000000000002</v>
      </c>
      <c r="F3974">
        <v>0</v>
      </c>
      <c r="G3974" t="s">
        <v>12</v>
      </c>
      <c r="I3974" t="s">
        <v>1428</v>
      </c>
    </row>
    <row r="3975" spans="1:9" hidden="1" x14ac:dyDescent="0.25">
      <c r="A3975" t="s">
        <v>3276</v>
      </c>
      <c r="B3975" t="s">
        <v>16</v>
      </c>
      <c r="C3975" s="2">
        <f>HYPERLINK("https://cao.dolgi.msk.ru/account/1083275062/", 1083275062)</f>
        <v>1083275062</v>
      </c>
      <c r="D3975" t="s">
        <v>3277</v>
      </c>
      <c r="E3975">
        <v>-6.59</v>
      </c>
      <c r="F3975">
        <v>0</v>
      </c>
      <c r="G3975" t="s">
        <v>12</v>
      </c>
      <c r="I3975" t="s">
        <v>1428</v>
      </c>
    </row>
    <row r="3976" spans="1:9" hidden="1" x14ac:dyDescent="0.25">
      <c r="A3976" t="s">
        <v>3276</v>
      </c>
      <c r="B3976" t="s">
        <v>18</v>
      </c>
      <c r="C3976" s="2">
        <f>HYPERLINK("https://cao.dolgi.msk.ru/account/1083275097/", 1083275097)</f>
        <v>1083275097</v>
      </c>
      <c r="D3976" t="s">
        <v>3278</v>
      </c>
      <c r="E3976">
        <v>-5426.03</v>
      </c>
      <c r="F3976">
        <v>-1.02</v>
      </c>
      <c r="G3976" t="s">
        <v>12</v>
      </c>
      <c r="I3976" t="s">
        <v>1428</v>
      </c>
    </row>
    <row r="3977" spans="1:9" hidden="1" x14ac:dyDescent="0.25">
      <c r="A3977" t="s">
        <v>3276</v>
      </c>
      <c r="B3977" t="s">
        <v>20</v>
      </c>
      <c r="C3977" s="2">
        <f>HYPERLINK("https://cao.dolgi.msk.ru/account/1083275134/", 1083275134)</f>
        <v>1083275134</v>
      </c>
      <c r="D3977" t="s">
        <v>3279</v>
      </c>
      <c r="E3977">
        <v>-4168.4399999999996</v>
      </c>
      <c r="F3977">
        <v>-1.03</v>
      </c>
      <c r="G3977" t="s">
        <v>12</v>
      </c>
      <c r="I3977" t="s">
        <v>1428</v>
      </c>
    </row>
    <row r="3978" spans="1:9" hidden="1" x14ac:dyDescent="0.25">
      <c r="A3978" t="s">
        <v>3276</v>
      </c>
      <c r="B3978" t="s">
        <v>21</v>
      </c>
      <c r="C3978" s="2">
        <f>HYPERLINK("https://cao.dolgi.msk.ru/account/1083275169/", 1083275169)</f>
        <v>1083275169</v>
      </c>
      <c r="D3978" t="s">
        <v>3280</v>
      </c>
      <c r="E3978">
        <v>-9083.5300000000007</v>
      </c>
      <c r="F3978">
        <v>-1.02</v>
      </c>
      <c r="G3978" t="s">
        <v>12</v>
      </c>
      <c r="I3978" t="s">
        <v>1428</v>
      </c>
    </row>
    <row r="3979" spans="1:9" hidden="1" x14ac:dyDescent="0.25">
      <c r="A3979" t="s">
        <v>3276</v>
      </c>
      <c r="B3979" t="s">
        <v>22</v>
      </c>
      <c r="C3979" s="2">
        <f>HYPERLINK("https://cao.dolgi.msk.ru/account/1083275177/", 1083275177)</f>
        <v>1083275177</v>
      </c>
      <c r="D3979" t="s">
        <v>3281</v>
      </c>
      <c r="E3979">
        <v>-5945.18</v>
      </c>
      <c r="F3979">
        <v>-1.02</v>
      </c>
      <c r="G3979" t="s">
        <v>12</v>
      </c>
      <c r="I3979" t="s">
        <v>1428</v>
      </c>
    </row>
    <row r="3980" spans="1:9" hidden="1" x14ac:dyDescent="0.25">
      <c r="A3980" t="s">
        <v>3276</v>
      </c>
      <c r="B3980" t="s">
        <v>23</v>
      </c>
      <c r="C3980" s="2">
        <f>HYPERLINK("https://cao.dolgi.msk.ru/account/1083275185/", 1083275185)</f>
        <v>1083275185</v>
      </c>
      <c r="D3980" t="s">
        <v>3282</v>
      </c>
      <c r="E3980">
        <v>-5418.52</v>
      </c>
      <c r="F3980">
        <v>-0.98</v>
      </c>
      <c r="G3980" t="s">
        <v>12</v>
      </c>
      <c r="I3980" t="s">
        <v>1428</v>
      </c>
    </row>
    <row r="3981" spans="1:9" hidden="1" x14ac:dyDescent="0.25">
      <c r="A3981" t="s">
        <v>3276</v>
      </c>
      <c r="B3981" t="s">
        <v>24</v>
      </c>
      <c r="C3981" s="2">
        <f>HYPERLINK("https://cao.dolgi.msk.ru/account/1083275206/", 1083275206)</f>
        <v>1083275206</v>
      </c>
      <c r="D3981" t="s">
        <v>3283</v>
      </c>
      <c r="E3981">
        <v>-5637.99</v>
      </c>
      <c r="F3981">
        <v>-0.86</v>
      </c>
      <c r="G3981" t="s">
        <v>12</v>
      </c>
      <c r="I3981" t="s">
        <v>1428</v>
      </c>
    </row>
    <row r="3982" spans="1:9" hidden="1" x14ac:dyDescent="0.25">
      <c r="A3982" t="s">
        <v>3276</v>
      </c>
      <c r="B3982" t="s">
        <v>27</v>
      </c>
      <c r="C3982" s="2">
        <f>HYPERLINK("https://cao.dolgi.msk.ru/account/1083275222/", 1083275222)</f>
        <v>1083275222</v>
      </c>
      <c r="D3982" t="s">
        <v>3284</v>
      </c>
      <c r="E3982">
        <v>-7520.78</v>
      </c>
      <c r="F3982">
        <v>-1</v>
      </c>
      <c r="G3982" t="s">
        <v>12</v>
      </c>
      <c r="I3982" t="s">
        <v>1428</v>
      </c>
    </row>
    <row r="3983" spans="1:9" hidden="1" x14ac:dyDescent="0.25">
      <c r="A3983" t="s">
        <v>3276</v>
      </c>
      <c r="B3983" t="s">
        <v>29</v>
      </c>
      <c r="C3983" s="2">
        <f>HYPERLINK("https://cao.dolgi.msk.ru/account/1083275249/", 1083275249)</f>
        <v>1083275249</v>
      </c>
      <c r="D3983" t="s">
        <v>3285</v>
      </c>
      <c r="E3983">
        <v>-8152.79</v>
      </c>
      <c r="F3983">
        <v>-1.05</v>
      </c>
      <c r="G3983" t="s">
        <v>12</v>
      </c>
      <c r="I3983" t="s">
        <v>1428</v>
      </c>
    </row>
    <row r="3984" spans="1:9" hidden="1" x14ac:dyDescent="0.25">
      <c r="A3984" t="s">
        <v>3276</v>
      </c>
      <c r="B3984" t="s">
        <v>31</v>
      </c>
      <c r="C3984" s="2">
        <f>HYPERLINK("https://cao.dolgi.msk.ru/account/1083275257/", 1083275257)</f>
        <v>1083275257</v>
      </c>
      <c r="D3984" t="s">
        <v>15</v>
      </c>
      <c r="E3984">
        <v>-6491.09</v>
      </c>
      <c r="F3984">
        <v>-1</v>
      </c>
      <c r="G3984" t="s">
        <v>12</v>
      </c>
      <c r="I3984" t="s">
        <v>1428</v>
      </c>
    </row>
    <row r="3985" spans="1:9" hidden="1" x14ac:dyDescent="0.25">
      <c r="A3985" t="s">
        <v>3276</v>
      </c>
      <c r="B3985" t="s">
        <v>33</v>
      </c>
      <c r="C3985" s="2">
        <f>HYPERLINK("https://cao.dolgi.msk.ru/account/1083275265/", 1083275265)</f>
        <v>1083275265</v>
      </c>
      <c r="D3985" t="s">
        <v>3286</v>
      </c>
      <c r="E3985">
        <v>-6009.61</v>
      </c>
      <c r="F3985">
        <v>-1.04</v>
      </c>
      <c r="G3985" t="s">
        <v>12</v>
      </c>
      <c r="I3985" t="s">
        <v>1428</v>
      </c>
    </row>
    <row r="3986" spans="1:9" hidden="1" x14ac:dyDescent="0.25">
      <c r="A3986" t="s">
        <v>3276</v>
      </c>
      <c r="B3986" t="s">
        <v>34</v>
      </c>
      <c r="C3986" s="2">
        <f>HYPERLINK("https://cao.dolgi.msk.ru/account/1083275273/", 1083275273)</f>
        <v>1083275273</v>
      </c>
      <c r="D3986" t="s">
        <v>3287</v>
      </c>
      <c r="E3986">
        <v>-5778.12</v>
      </c>
      <c r="F3986">
        <v>-1.01</v>
      </c>
      <c r="G3986" t="s">
        <v>12</v>
      </c>
      <c r="I3986" t="s">
        <v>1428</v>
      </c>
    </row>
    <row r="3987" spans="1:9" hidden="1" x14ac:dyDescent="0.25">
      <c r="A3987" t="s">
        <v>3276</v>
      </c>
      <c r="B3987" t="s">
        <v>36</v>
      </c>
      <c r="C3987" s="2">
        <f>HYPERLINK("https://cao.dolgi.msk.ru/account/1083275281/", 1083275281)</f>
        <v>1083275281</v>
      </c>
      <c r="D3987" t="s">
        <v>3288</v>
      </c>
      <c r="E3987">
        <v>-3405.95</v>
      </c>
      <c r="F3987">
        <v>-1.04</v>
      </c>
      <c r="G3987" t="s">
        <v>12</v>
      </c>
      <c r="I3987" t="s">
        <v>1428</v>
      </c>
    </row>
    <row r="3988" spans="1:9" hidden="1" x14ac:dyDescent="0.25">
      <c r="A3988" t="s">
        <v>3276</v>
      </c>
      <c r="B3988" t="s">
        <v>38</v>
      </c>
      <c r="C3988" s="2">
        <f>HYPERLINK("https://cao.dolgi.msk.ru/account/1083275302/", 1083275302)</f>
        <v>1083275302</v>
      </c>
      <c r="D3988" t="s">
        <v>3289</v>
      </c>
      <c r="E3988">
        <v>-5792.6</v>
      </c>
      <c r="F3988">
        <v>-0.88</v>
      </c>
      <c r="G3988" t="s">
        <v>12</v>
      </c>
      <c r="I3988" t="s">
        <v>1428</v>
      </c>
    </row>
    <row r="3989" spans="1:9" hidden="1" x14ac:dyDescent="0.25">
      <c r="A3989" t="s">
        <v>3276</v>
      </c>
      <c r="B3989" t="s">
        <v>39</v>
      </c>
      <c r="C3989" s="2">
        <f>HYPERLINK("https://cao.dolgi.msk.ru/account/1083275329/", 1083275329)</f>
        <v>1083275329</v>
      </c>
      <c r="D3989" t="s">
        <v>3290</v>
      </c>
      <c r="E3989">
        <v>-8981.57</v>
      </c>
      <c r="F3989">
        <v>-1.22</v>
      </c>
      <c r="G3989" t="s">
        <v>12</v>
      </c>
      <c r="I3989" t="s">
        <v>1428</v>
      </c>
    </row>
    <row r="3990" spans="1:9" hidden="1" x14ac:dyDescent="0.25">
      <c r="A3990" t="s">
        <v>3276</v>
      </c>
      <c r="B3990" t="s">
        <v>39</v>
      </c>
      <c r="C3990" s="2">
        <f>HYPERLINK("https://cao.dolgi.msk.ru/account/1083278116/", 1083278116)</f>
        <v>1083278116</v>
      </c>
      <c r="D3990" t="s">
        <v>15</v>
      </c>
      <c r="E3990">
        <v>-3718.18</v>
      </c>
      <c r="F3990">
        <v>-1.07</v>
      </c>
      <c r="G3990" t="s">
        <v>12</v>
      </c>
      <c r="I3990" t="s">
        <v>1428</v>
      </c>
    </row>
    <row r="3991" spans="1:9" hidden="1" x14ac:dyDescent="0.25">
      <c r="A3991" t="s">
        <v>3276</v>
      </c>
      <c r="B3991" t="s">
        <v>40</v>
      </c>
      <c r="C3991" s="2">
        <f>HYPERLINK("https://cao.dolgi.msk.ru/account/1083275337/", 1083275337)</f>
        <v>1083275337</v>
      </c>
      <c r="D3991" t="s">
        <v>3291</v>
      </c>
      <c r="E3991">
        <v>-11666.14</v>
      </c>
      <c r="F3991">
        <v>-0.9</v>
      </c>
      <c r="G3991" t="s">
        <v>12</v>
      </c>
      <c r="I3991" t="s">
        <v>1428</v>
      </c>
    </row>
    <row r="3992" spans="1:9" hidden="1" x14ac:dyDescent="0.25">
      <c r="A3992" t="s">
        <v>3276</v>
      </c>
      <c r="B3992" t="s">
        <v>41</v>
      </c>
      <c r="C3992" s="2">
        <f>HYPERLINK("https://cao.dolgi.msk.ru/account/1083275345/", 1083275345)</f>
        <v>1083275345</v>
      </c>
      <c r="D3992" t="s">
        <v>3292</v>
      </c>
      <c r="E3992">
        <v>-5488.39</v>
      </c>
      <c r="F3992">
        <v>-0.94</v>
      </c>
      <c r="G3992" t="s">
        <v>12</v>
      </c>
      <c r="I3992" t="s">
        <v>1428</v>
      </c>
    </row>
    <row r="3993" spans="1:9" hidden="1" x14ac:dyDescent="0.25">
      <c r="A3993" t="s">
        <v>3276</v>
      </c>
      <c r="B3993" t="s">
        <v>42</v>
      </c>
      <c r="C3993" s="2">
        <f>HYPERLINK("https://cao.dolgi.msk.ru/account/1083275353/", 1083275353)</f>
        <v>1083275353</v>
      </c>
      <c r="D3993" t="s">
        <v>3293</v>
      </c>
      <c r="E3993">
        <v>-7044.41</v>
      </c>
      <c r="F3993">
        <v>-1.31</v>
      </c>
      <c r="G3993" t="s">
        <v>12</v>
      </c>
      <c r="I3993" t="s">
        <v>1428</v>
      </c>
    </row>
    <row r="3994" spans="1:9" hidden="1" x14ac:dyDescent="0.25">
      <c r="A3994" t="s">
        <v>3276</v>
      </c>
      <c r="B3994" t="s">
        <v>44</v>
      </c>
      <c r="C3994" s="2">
        <f>HYPERLINK("https://cao.dolgi.msk.ru/account/1083275388/", 1083275388)</f>
        <v>1083275388</v>
      </c>
      <c r="D3994" t="s">
        <v>3294</v>
      </c>
      <c r="E3994">
        <v>-4980.1899999999996</v>
      </c>
      <c r="F3994">
        <v>-1.04</v>
      </c>
      <c r="G3994" t="s">
        <v>12</v>
      </c>
      <c r="I3994" t="s">
        <v>1428</v>
      </c>
    </row>
    <row r="3995" spans="1:9" hidden="1" x14ac:dyDescent="0.25">
      <c r="A3995" t="s">
        <v>3276</v>
      </c>
      <c r="B3995" t="s">
        <v>66</v>
      </c>
      <c r="C3995" s="2">
        <f>HYPERLINK("https://cao.dolgi.msk.ru/account/1083275409/", 1083275409)</f>
        <v>1083275409</v>
      </c>
      <c r="D3995" t="s">
        <v>3295</v>
      </c>
      <c r="E3995">
        <v>-9687.06</v>
      </c>
      <c r="F3995">
        <v>-1.02</v>
      </c>
      <c r="G3995" t="s">
        <v>12</v>
      </c>
      <c r="I3995" t="s">
        <v>1428</v>
      </c>
    </row>
    <row r="3996" spans="1:9" hidden="1" x14ac:dyDescent="0.25">
      <c r="A3996" t="s">
        <v>3276</v>
      </c>
      <c r="B3996" t="s">
        <v>68</v>
      </c>
      <c r="C3996" s="2">
        <f>HYPERLINK("https://cao.dolgi.msk.ru/account/1083275433/", 1083275433)</f>
        <v>1083275433</v>
      </c>
      <c r="D3996" t="s">
        <v>3296</v>
      </c>
      <c r="E3996">
        <v>-11397.61</v>
      </c>
      <c r="F3996">
        <v>-1.01</v>
      </c>
      <c r="G3996" t="s">
        <v>12</v>
      </c>
      <c r="I3996" t="s">
        <v>1428</v>
      </c>
    </row>
    <row r="3997" spans="1:9" hidden="1" x14ac:dyDescent="0.25">
      <c r="A3997" t="s">
        <v>3276</v>
      </c>
      <c r="B3997" t="s">
        <v>70</v>
      </c>
      <c r="C3997" s="2">
        <f>HYPERLINK("https://cao.dolgi.msk.ru/account/1083275679/", 1083275679)</f>
        <v>1083275679</v>
      </c>
      <c r="D3997" t="s">
        <v>3297</v>
      </c>
      <c r="E3997">
        <v>-7645.92</v>
      </c>
      <c r="F3997">
        <v>-1.05</v>
      </c>
      <c r="G3997" t="s">
        <v>12</v>
      </c>
      <c r="I3997" t="s">
        <v>1428</v>
      </c>
    </row>
    <row r="3998" spans="1:9" hidden="1" x14ac:dyDescent="0.25">
      <c r="A3998" t="s">
        <v>3276</v>
      </c>
      <c r="B3998" t="s">
        <v>72</v>
      </c>
      <c r="C3998" s="2">
        <f>HYPERLINK("https://cao.dolgi.msk.ru/account/1083275687/", 1083275687)</f>
        <v>1083275687</v>
      </c>
      <c r="D3998" t="s">
        <v>3298</v>
      </c>
      <c r="E3998">
        <v>-8406.85</v>
      </c>
      <c r="F3998">
        <v>-1.03</v>
      </c>
      <c r="G3998" t="s">
        <v>12</v>
      </c>
      <c r="I3998" t="s">
        <v>1428</v>
      </c>
    </row>
    <row r="3999" spans="1:9" hidden="1" x14ac:dyDescent="0.25">
      <c r="A3999" t="s">
        <v>3276</v>
      </c>
      <c r="B3999" t="s">
        <v>74</v>
      </c>
      <c r="C3999" s="2">
        <f>HYPERLINK("https://cao.dolgi.msk.ru/account/1083275695/", 1083275695)</f>
        <v>1083275695</v>
      </c>
      <c r="D3999" t="s">
        <v>15</v>
      </c>
      <c r="E3999">
        <v>-5138.8100000000004</v>
      </c>
      <c r="F3999">
        <v>-0.8</v>
      </c>
      <c r="G3999" t="s">
        <v>12</v>
      </c>
      <c r="I3999" t="s">
        <v>1428</v>
      </c>
    </row>
    <row r="4000" spans="1:9" hidden="1" x14ac:dyDescent="0.25">
      <c r="A4000" t="s">
        <v>3276</v>
      </c>
      <c r="B4000" t="s">
        <v>76</v>
      </c>
      <c r="C4000" s="2">
        <f>HYPERLINK("https://cao.dolgi.msk.ru/account/1083275708/", 1083275708)</f>
        <v>1083275708</v>
      </c>
      <c r="D4000" t="s">
        <v>3299</v>
      </c>
      <c r="E4000">
        <v>-5373.71</v>
      </c>
      <c r="F4000">
        <v>-1.01</v>
      </c>
      <c r="G4000" t="s">
        <v>12</v>
      </c>
      <c r="I4000" t="s">
        <v>1428</v>
      </c>
    </row>
    <row r="4001" spans="1:9" hidden="1" x14ac:dyDescent="0.25">
      <c r="A4001" t="s">
        <v>3276</v>
      </c>
      <c r="B4001" t="s">
        <v>78</v>
      </c>
      <c r="C4001" s="2">
        <f>HYPERLINK("https://cao.dolgi.msk.ru/account/1083275716/", 1083275716)</f>
        <v>1083275716</v>
      </c>
      <c r="D4001" t="s">
        <v>3300</v>
      </c>
      <c r="E4001">
        <v>-10009.030000000001</v>
      </c>
      <c r="F4001">
        <v>-1.03</v>
      </c>
      <c r="G4001" t="s">
        <v>12</v>
      </c>
      <c r="I4001" t="s">
        <v>1428</v>
      </c>
    </row>
    <row r="4002" spans="1:9" hidden="1" x14ac:dyDescent="0.25">
      <c r="A4002" t="s">
        <v>3276</v>
      </c>
      <c r="B4002" t="s">
        <v>80</v>
      </c>
      <c r="C4002" s="2">
        <f>HYPERLINK("https://cao.dolgi.msk.ru/account/1083275759/", 1083275759)</f>
        <v>1083275759</v>
      </c>
      <c r="D4002" t="s">
        <v>3301</v>
      </c>
      <c r="E4002">
        <v>-15625.86</v>
      </c>
      <c r="F4002">
        <v>-1.02</v>
      </c>
      <c r="G4002" t="s">
        <v>12</v>
      </c>
      <c r="I4002" t="s">
        <v>1428</v>
      </c>
    </row>
    <row r="4003" spans="1:9" hidden="1" x14ac:dyDescent="0.25">
      <c r="A4003" t="s">
        <v>3276</v>
      </c>
      <c r="B4003" t="s">
        <v>82</v>
      </c>
      <c r="C4003" s="2">
        <f>HYPERLINK("https://cao.dolgi.msk.ru/account/1083275724/", 1083275724)</f>
        <v>1083275724</v>
      </c>
      <c r="D4003" t="s">
        <v>3302</v>
      </c>
      <c r="E4003">
        <v>-3926.37</v>
      </c>
      <c r="G4003" t="s">
        <v>14</v>
      </c>
      <c r="I4003" t="s">
        <v>1428</v>
      </c>
    </row>
    <row r="4004" spans="1:9" hidden="1" x14ac:dyDescent="0.25">
      <c r="A4004" t="s">
        <v>3276</v>
      </c>
      <c r="B4004" t="s">
        <v>82</v>
      </c>
      <c r="C4004" s="2">
        <f>HYPERLINK("https://cao.dolgi.msk.ru/account/1083277711/", 1083277711)</f>
        <v>1083277711</v>
      </c>
      <c r="D4004" t="s">
        <v>3302</v>
      </c>
      <c r="E4004">
        <v>-8237.65</v>
      </c>
      <c r="G4004" t="s">
        <v>14</v>
      </c>
      <c r="I4004" t="s">
        <v>1428</v>
      </c>
    </row>
    <row r="4005" spans="1:9" hidden="1" x14ac:dyDescent="0.25">
      <c r="A4005" t="s">
        <v>3276</v>
      </c>
      <c r="B4005" t="s">
        <v>82</v>
      </c>
      <c r="C4005" s="2">
        <f>HYPERLINK("https://cao.dolgi.msk.ru/account/1083283783/", 1083283783)</f>
        <v>1083283783</v>
      </c>
      <c r="D4005" t="s">
        <v>15</v>
      </c>
      <c r="E4005">
        <v>-8789.36</v>
      </c>
      <c r="F4005">
        <v>-1.02</v>
      </c>
      <c r="G4005" t="s">
        <v>12</v>
      </c>
      <c r="I4005" t="s">
        <v>1428</v>
      </c>
    </row>
    <row r="4006" spans="1:9" hidden="1" x14ac:dyDescent="0.25">
      <c r="A4006" t="s">
        <v>3276</v>
      </c>
      <c r="B4006" t="s">
        <v>84</v>
      </c>
      <c r="C4006" s="2">
        <f>HYPERLINK("https://cao.dolgi.msk.ru/account/1083275732/", 1083275732)</f>
        <v>1083275732</v>
      </c>
      <c r="D4006" t="s">
        <v>3303</v>
      </c>
      <c r="E4006">
        <v>17.32</v>
      </c>
      <c r="F4006">
        <v>0</v>
      </c>
      <c r="G4006" t="s">
        <v>12</v>
      </c>
      <c r="I4006" t="s">
        <v>1428</v>
      </c>
    </row>
    <row r="4007" spans="1:9" hidden="1" x14ac:dyDescent="0.25">
      <c r="A4007" t="s">
        <v>3276</v>
      </c>
      <c r="B4007" t="s">
        <v>86</v>
      </c>
      <c r="C4007" s="2">
        <f>HYPERLINK("https://cao.dolgi.msk.ru/account/1083275767/", 1083275767)</f>
        <v>1083275767</v>
      </c>
      <c r="D4007" t="s">
        <v>3304</v>
      </c>
      <c r="E4007">
        <v>-3202.01</v>
      </c>
      <c r="F4007">
        <v>-0.93</v>
      </c>
      <c r="G4007" t="s">
        <v>12</v>
      </c>
      <c r="I4007" t="s">
        <v>1428</v>
      </c>
    </row>
    <row r="4008" spans="1:9" hidden="1" x14ac:dyDescent="0.25">
      <c r="A4008" t="s">
        <v>3276</v>
      </c>
      <c r="B4008" t="s">
        <v>88</v>
      </c>
      <c r="C4008" s="2">
        <f>HYPERLINK("https://cao.dolgi.msk.ru/account/1083275775/", 1083275775)</f>
        <v>1083275775</v>
      </c>
      <c r="D4008" t="s">
        <v>3305</v>
      </c>
      <c r="E4008">
        <v>141.58000000000001</v>
      </c>
      <c r="F4008">
        <v>0.02</v>
      </c>
      <c r="G4008" t="s">
        <v>12</v>
      </c>
      <c r="I4008" t="s">
        <v>1428</v>
      </c>
    </row>
    <row r="4009" spans="1:9" hidden="1" x14ac:dyDescent="0.25">
      <c r="A4009" t="s">
        <v>3276</v>
      </c>
      <c r="B4009" t="s">
        <v>90</v>
      </c>
      <c r="C4009" s="2">
        <f>HYPERLINK("https://cao.dolgi.msk.ru/account/1083275783/", 1083275783)</f>
        <v>1083275783</v>
      </c>
      <c r="D4009" t="s">
        <v>3306</v>
      </c>
      <c r="E4009">
        <v>-773.26</v>
      </c>
      <c r="F4009">
        <v>-0.09</v>
      </c>
      <c r="G4009" t="s">
        <v>12</v>
      </c>
      <c r="I4009" t="s">
        <v>1428</v>
      </c>
    </row>
    <row r="4010" spans="1:9" hidden="1" x14ac:dyDescent="0.25">
      <c r="A4010" t="s">
        <v>3276</v>
      </c>
      <c r="B4010" t="s">
        <v>92</v>
      </c>
      <c r="C4010" s="2">
        <f>HYPERLINK("https://cao.dolgi.msk.ru/account/1083275791/", 1083275791)</f>
        <v>1083275791</v>
      </c>
      <c r="D4010" t="s">
        <v>3307</v>
      </c>
      <c r="E4010">
        <v>-13772.58</v>
      </c>
      <c r="F4010">
        <v>-1.07</v>
      </c>
      <c r="G4010" t="s">
        <v>12</v>
      </c>
      <c r="I4010" t="s">
        <v>1428</v>
      </c>
    </row>
    <row r="4011" spans="1:9" hidden="1" x14ac:dyDescent="0.25">
      <c r="A4011" t="s">
        <v>3276</v>
      </c>
      <c r="B4011" t="s">
        <v>94</v>
      </c>
      <c r="C4011" s="2">
        <f>HYPERLINK("https://cao.dolgi.msk.ru/account/1083275804/", 1083275804)</f>
        <v>1083275804</v>
      </c>
      <c r="D4011" t="s">
        <v>3308</v>
      </c>
      <c r="E4011">
        <v>-9365.5300000000007</v>
      </c>
      <c r="F4011">
        <v>-1.02</v>
      </c>
      <c r="G4011" t="s">
        <v>12</v>
      </c>
      <c r="I4011" t="s">
        <v>1428</v>
      </c>
    </row>
    <row r="4012" spans="1:9" hidden="1" x14ac:dyDescent="0.25">
      <c r="A4012" t="s">
        <v>3276</v>
      </c>
      <c r="B4012" t="s">
        <v>96</v>
      </c>
      <c r="C4012" s="2">
        <f>HYPERLINK("https://cao.dolgi.msk.ru/account/1083275812/", 1083275812)</f>
        <v>1083275812</v>
      </c>
      <c r="D4012" t="s">
        <v>3309</v>
      </c>
      <c r="E4012">
        <v>-6534.53</v>
      </c>
      <c r="F4012">
        <v>-1.08</v>
      </c>
      <c r="G4012" t="s">
        <v>12</v>
      </c>
      <c r="I4012" t="s">
        <v>1428</v>
      </c>
    </row>
    <row r="4013" spans="1:9" hidden="1" x14ac:dyDescent="0.25">
      <c r="A4013" t="s">
        <v>3276</v>
      </c>
      <c r="B4013" t="s">
        <v>98</v>
      </c>
      <c r="C4013" s="2">
        <f>HYPERLINK("https://cao.dolgi.msk.ru/account/1083275839/", 1083275839)</f>
        <v>1083275839</v>
      </c>
      <c r="D4013" t="s">
        <v>3310</v>
      </c>
      <c r="E4013">
        <v>-7563.19</v>
      </c>
      <c r="F4013">
        <v>-1.03</v>
      </c>
      <c r="G4013" t="s">
        <v>12</v>
      </c>
      <c r="I4013" t="s">
        <v>1428</v>
      </c>
    </row>
    <row r="4014" spans="1:9" hidden="1" x14ac:dyDescent="0.25">
      <c r="A4014" t="s">
        <v>3276</v>
      </c>
      <c r="B4014" t="s">
        <v>100</v>
      </c>
      <c r="C4014" s="2">
        <f>HYPERLINK("https://cao.dolgi.msk.ru/account/1083275847/", 1083275847)</f>
        <v>1083275847</v>
      </c>
      <c r="D4014" t="s">
        <v>3311</v>
      </c>
      <c r="E4014">
        <v>-14454.77</v>
      </c>
      <c r="F4014">
        <v>-3.61</v>
      </c>
      <c r="G4014" t="s">
        <v>12</v>
      </c>
      <c r="I4014" t="s">
        <v>1428</v>
      </c>
    </row>
    <row r="4015" spans="1:9" hidden="1" x14ac:dyDescent="0.25">
      <c r="A4015" t="s">
        <v>3276</v>
      </c>
      <c r="B4015" t="s">
        <v>102</v>
      </c>
      <c r="C4015" s="2">
        <f>HYPERLINK("https://cao.dolgi.msk.ru/account/1083275855/", 1083275855)</f>
        <v>1083275855</v>
      </c>
      <c r="D4015" t="s">
        <v>3312</v>
      </c>
      <c r="E4015">
        <v>-8665.59</v>
      </c>
      <c r="F4015">
        <v>-1.41</v>
      </c>
      <c r="G4015" t="s">
        <v>12</v>
      </c>
      <c r="I4015" t="s">
        <v>1428</v>
      </c>
    </row>
    <row r="4016" spans="1:9" hidden="1" x14ac:dyDescent="0.25">
      <c r="A4016" t="s">
        <v>3276</v>
      </c>
      <c r="B4016" t="s">
        <v>104</v>
      </c>
      <c r="C4016" s="2">
        <f>HYPERLINK("https://cao.dolgi.msk.ru/account/1083275214/", 1083275214)</f>
        <v>1083275214</v>
      </c>
      <c r="D4016" t="s">
        <v>3313</v>
      </c>
      <c r="E4016">
        <v>4818.8100000000004</v>
      </c>
      <c r="F4016">
        <v>0.34</v>
      </c>
      <c r="G4016" t="s">
        <v>12</v>
      </c>
      <c r="I4016" t="s">
        <v>1428</v>
      </c>
    </row>
    <row r="4017" spans="1:9" hidden="1" x14ac:dyDescent="0.25">
      <c r="A4017" t="s">
        <v>3276</v>
      </c>
      <c r="B4017" t="s">
        <v>106</v>
      </c>
      <c r="C4017" s="2">
        <f>HYPERLINK("https://cao.dolgi.msk.ru/account/1083275193/", 1083275193)</f>
        <v>1083275193</v>
      </c>
      <c r="D4017" t="s">
        <v>3314</v>
      </c>
      <c r="E4017">
        <v>-9163.36</v>
      </c>
      <c r="F4017">
        <v>-1.02</v>
      </c>
      <c r="G4017" t="s">
        <v>12</v>
      </c>
      <c r="I4017" t="s">
        <v>1428</v>
      </c>
    </row>
    <row r="4018" spans="1:9" hidden="1" x14ac:dyDescent="0.25">
      <c r="A4018" t="s">
        <v>3276</v>
      </c>
      <c r="B4018" t="s">
        <v>108</v>
      </c>
      <c r="C4018" s="2">
        <f>HYPERLINK("https://cao.dolgi.msk.ru/account/1083275126/", 1083275126)</f>
        <v>1083275126</v>
      </c>
      <c r="D4018" t="s">
        <v>3315</v>
      </c>
      <c r="E4018">
        <v>-3779.74</v>
      </c>
      <c r="F4018">
        <v>-1</v>
      </c>
      <c r="G4018" t="s">
        <v>12</v>
      </c>
      <c r="I4018" t="s">
        <v>1428</v>
      </c>
    </row>
    <row r="4019" spans="1:9" hidden="1" x14ac:dyDescent="0.25">
      <c r="A4019" t="s">
        <v>3276</v>
      </c>
      <c r="B4019" t="s">
        <v>110</v>
      </c>
      <c r="C4019" s="2">
        <f>HYPERLINK("https://cao.dolgi.msk.ru/account/1083275118/", 1083275118)</f>
        <v>1083275118</v>
      </c>
      <c r="D4019" t="s">
        <v>15</v>
      </c>
      <c r="E4019">
        <v>-7380.39</v>
      </c>
      <c r="F4019">
        <v>-1.03</v>
      </c>
      <c r="G4019" t="s">
        <v>12</v>
      </c>
      <c r="I4019" t="s">
        <v>1428</v>
      </c>
    </row>
    <row r="4020" spans="1:9" hidden="1" x14ac:dyDescent="0.25">
      <c r="A4020" t="s">
        <v>3276</v>
      </c>
      <c r="B4020" t="s">
        <v>112</v>
      </c>
      <c r="C4020" s="2">
        <f>HYPERLINK("https://cao.dolgi.msk.ru/account/1083275089/", 1083275089)</f>
        <v>1083275089</v>
      </c>
      <c r="D4020" t="s">
        <v>15</v>
      </c>
      <c r="E4020">
        <v>-6.58</v>
      </c>
      <c r="F4020">
        <v>0</v>
      </c>
      <c r="G4020" t="s">
        <v>12</v>
      </c>
      <c r="I4020" t="s">
        <v>1428</v>
      </c>
    </row>
    <row r="4021" spans="1:9" hidden="1" x14ac:dyDescent="0.25">
      <c r="A4021" t="s">
        <v>3276</v>
      </c>
      <c r="B4021" t="s">
        <v>114</v>
      </c>
      <c r="C4021" s="2">
        <f>HYPERLINK("https://cao.dolgi.msk.ru/account/1083275054/", 1083275054)</f>
        <v>1083275054</v>
      </c>
      <c r="D4021" t="s">
        <v>3316</v>
      </c>
      <c r="E4021">
        <v>-7095.86</v>
      </c>
      <c r="F4021">
        <v>-1.04</v>
      </c>
      <c r="G4021" t="s">
        <v>12</v>
      </c>
      <c r="I4021" t="s">
        <v>1428</v>
      </c>
    </row>
    <row r="4022" spans="1:9" hidden="1" x14ac:dyDescent="0.25">
      <c r="A4022" t="s">
        <v>3276</v>
      </c>
      <c r="B4022" t="s">
        <v>116</v>
      </c>
      <c r="C4022" s="2">
        <f>HYPERLINK("https://cao.dolgi.msk.ru/account/1083275046/", 1083275046)</f>
        <v>1083275046</v>
      </c>
      <c r="D4022" t="s">
        <v>3317</v>
      </c>
      <c r="E4022">
        <v>-21554.23</v>
      </c>
      <c r="F4022">
        <v>-2.13</v>
      </c>
      <c r="G4022" t="s">
        <v>12</v>
      </c>
      <c r="I4022" t="s">
        <v>1428</v>
      </c>
    </row>
    <row r="4023" spans="1:9" hidden="1" x14ac:dyDescent="0.25">
      <c r="A4023" t="s">
        <v>3276</v>
      </c>
      <c r="B4023" t="s">
        <v>118</v>
      </c>
      <c r="C4023" s="2">
        <f>HYPERLINK("https://cao.dolgi.msk.ru/account/1083275038/", 1083275038)</f>
        <v>1083275038</v>
      </c>
      <c r="D4023" t="s">
        <v>3318</v>
      </c>
      <c r="E4023">
        <v>-11634.28</v>
      </c>
      <c r="F4023">
        <v>-0.94</v>
      </c>
      <c r="G4023" t="s">
        <v>12</v>
      </c>
      <c r="I4023" t="s">
        <v>1428</v>
      </c>
    </row>
    <row r="4024" spans="1:9" hidden="1" x14ac:dyDescent="0.25">
      <c r="A4024" t="s">
        <v>3276</v>
      </c>
      <c r="B4024" t="s">
        <v>120</v>
      </c>
      <c r="C4024" s="2">
        <f>HYPERLINK("https://cao.dolgi.msk.ru/account/1083275011/", 1083275011)</f>
        <v>1083275011</v>
      </c>
      <c r="D4024" t="s">
        <v>3319</v>
      </c>
      <c r="E4024">
        <v>-5399.95</v>
      </c>
      <c r="F4024">
        <v>-1.04</v>
      </c>
      <c r="G4024" t="s">
        <v>12</v>
      </c>
      <c r="I4024" t="s">
        <v>1428</v>
      </c>
    </row>
    <row r="4025" spans="1:9" hidden="1" x14ac:dyDescent="0.25">
      <c r="A4025" t="s">
        <v>3276</v>
      </c>
      <c r="B4025" t="s">
        <v>122</v>
      </c>
      <c r="C4025" s="2">
        <f>HYPERLINK("https://cao.dolgi.msk.ru/account/1083275003/", 1083275003)</f>
        <v>1083275003</v>
      </c>
      <c r="D4025" t="s">
        <v>3320</v>
      </c>
      <c r="E4025">
        <v>-4390.99</v>
      </c>
      <c r="F4025">
        <v>-1.08</v>
      </c>
      <c r="G4025" t="s">
        <v>12</v>
      </c>
      <c r="I4025" t="s">
        <v>1428</v>
      </c>
    </row>
    <row r="4026" spans="1:9" hidden="1" x14ac:dyDescent="0.25">
      <c r="A4026" t="s">
        <v>3276</v>
      </c>
      <c r="B4026" t="s">
        <v>124</v>
      </c>
      <c r="C4026" s="2">
        <f>HYPERLINK("https://cao.dolgi.msk.ru/account/1083274844/", 1083274844)</f>
        <v>1083274844</v>
      </c>
      <c r="D4026" t="s">
        <v>3321</v>
      </c>
      <c r="E4026">
        <v>-6163.14</v>
      </c>
      <c r="F4026">
        <v>-1.01</v>
      </c>
      <c r="G4026" t="s">
        <v>12</v>
      </c>
      <c r="I4026" t="s">
        <v>1428</v>
      </c>
    </row>
    <row r="4027" spans="1:9" hidden="1" x14ac:dyDescent="0.25">
      <c r="A4027" t="s">
        <v>3276</v>
      </c>
      <c r="B4027" t="s">
        <v>126</v>
      </c>
      <c r="C4027" s="2">
        <f>HYPERLINK("https://cao.dolgi.msk.ru/account/1083274852/", 1083274852)</f>
        <v>1083274852</v>
      </c>
      <c r="D4027" t="s">
        <v>3322</v>
      </c>
      <c r="E4027">
        <v>0</v>
      </c>
      <c r="F4027">
        <v>0</v>
      </c>
      <c r="G4027" t="s">
        <v>12</v>
      </c>
      <c r="I4027" t="s">
        <v>1428</v>
      </c>
    </row>
    <row r="4028" spans="1:9" hidden="1" x14ac:dyDescent="0.25">
      <c r="A4028" t="s">
        <v>3276</v>
      </c>
      <c r="B4028" t="s">
        <v>128</v>
      </c>
      <c r="C4028" s="2">
        <f>HYPERLINK("https://cao.dolgi.msk.ru/account/1083274879/", 1083274879)</f>
        <v>1083274879</v>
      </c>
      <c r="D4028" t="s">
        <v>3323</v>
      </c>
      <c r="E4028">
        <v>-13502.18</v>
      </c>
      <c r="F4028">
        <v>-1.28</v>
      </c>
      <c r="G4028" t="s">
        <v>12</v>
      </c>
      <c r="I4028" t="s">
        <v>1428</v>
      </c>
    </row>
    <row r="4029" spans="1:9" hidden="1" x14ac:dyDescent="0.25">
      <c r="A4029" t="s">
        <v>3276</v>
      </c>
      <c r="B4029" t="s">
        <v>130</v>
      </c>
      <c r="C4029" s="2">
        <f>HYPERLINK("https://cao.dolgi.msk.ru/account/1083274895/", 1083274895)</f>
        <v>1083274895</v>
      </c>
      <c r="D4029" t="s">
        <v>3324</v>
      </c>
      <c r="E4029">
        <v>33.29</v>
      </c>
      <c r="F4029">
        <v>0</v>
      </c>
      <c r="G4029" t="s">
        <v>12</v>
      </c>
      <c r="I4029" t="s">
        <v>1428</v>
      </c>
    </row>
    <row r="4030" spans="1:9" hidden="1" x14ac:dyDescent="0.25">
      <c r="A4030" t="s">
        <v>3276</v>
      </c>
      <c r="B4030" t="s">
        <v>132</v>
      </c>
      <c r="C4030" s="2">
        <f>HYPERLINK("https://cao.dolgi.msk.ru/account/1083274908/", 1083274908)</f>
        <v>1083274908</v>
      </c>
      <c r="D4030" t="s">
        <v>15</v>
      </c>
      <c r="E4030">
        <v>-5693.51</v>
      </c>
      <c r="F4030">
        <v>-1.1599999999999999</v>
      </c>
      <c r="G4030" t="s">
        <v>12</v>
      </c>
      <c r="I4030" t="s">
        <v>1428</v>
      </c>
    </row>
    <row r="4031" spans="1:9" hidden="1" x14ac:dyDescent="0.25">
      <c r="A4031" t="s">
        <v>3276</v>
      </c>
      <c r="B4031" t="s">
        <v>133</v>
      </c>
      <c r="C4031" s="2">
        <f>HYPERLINK("https://cao.dolgi.msk.ru/account/1083274916/", 1083274916)</f>
        <v>1083274916</v>
      </c>
      <c r="D4031" t="s">
        <v>3325</v>
      </c>
      <c r="E4031">
        <v>-23448.15</v>
      </c>
      <c r="F4031">
        <v>-6.17</v>
      </c>
      <c r="G4031" t="s">
        <v>12</v>
      </c>
      <c r="I4031" t="s">
        <v>1428</v>
      </c>
    </row>
    <row r="4032" spans="1:9" hidden="1" x14ac:dyDescent="0.25">
      <c r="A4032" t="s">
        <v>3276</v>
      </c>
      <c r="B4032" t="s">
        <v>135</v>
      </c>
      <c r="C4032" s="2">
        <f>HYPERLINK("https://cao.dolgi.msk.ru/account/1083274924/", 1083274924)</f>
        <v>1083274924</v>
      </c>
      <c r="D4032" t="s">
        <v>3326</v>
      </c>
      <c r="E4032">
        <v>-7568.17</v>
      </c>
      <c r="F4032">
        <v>-1.03</v>
      </c>
      <c r="G4032" t="s">
        <v>12</v>
      </c>
      <c r="I4032" t="s">
        <v>1428</v>
      </c>
    </row>
    <row r="4033" spans="1:9" hidden="1" x14ac:dyDescent="0.25">
      <c r="A4033" t="s">
        <v>3276</v>
      </c>
      <c r="B4033" t="s">
        <v>137</v>
      </c>
      <c r="C4033" s="2">
        <f>HYPERLINK("https://cao.dolgi.msk.ru/account/1083274932/", 1083274932)</f>
        <v>1083274932</v>
      </c>
      <c r="D4033" t="s">
        <v>3327</v>
      </c>
      <c r="E4033">
        <v>-19536.849999999999</v>
      </c>
      <c r="F4033">
        <v>-2.4300000000000002</v>
      </c>
      <c r="G4033" t="s">
        <v>12</v>
      </c>
      <c r="I4033" t="s">
        <v>1428</v>
      </c>
    </row>
    <row r="4034" spans="1:9" hidden="1" x14ac:dyDescent="0.25">
      <c r="A4034" t="s">
        <v>3276</v>
      </c>
      <c r="B4034" t="s">
        <v>139</v>
      </c>
      <c r="C4034" s="2">
        <f>HYPERLINK("https://cao.dolgi.msk.ru/account/1083274959/", 1083274959)</f>
        <v>1083274959</v>
      </c>
      <c r="D4034" t="s">
        <v>15</v>
      </c>
      <c r="E4034">
        <v>0</v>
      </c>
      <c r="F4034">
        <v>0</v>
      </c>
      <c r="G4034" t="s">
        <v>12</v>
      </c>
      <c r="I4034" t="s">
        <v>1428</v>
      </c>
    </row>
    <row r="4035" spans="1:9" hidden="1" x14ac:dyDescent="0.25">
      <c r="A4035" t="s">
        <v>3276</v>
      </c>
      <c r="B4035" t="s">
        <v>141</v>
      </c>
      <c r="C4035" s="2">
        <f>HYPERLINK("https://cao.dolgi.msk.ru/account/1083274967/", 1083274967)</f>
        <v>1083274967</v>
      </c>
      <c r="D4035" t="s">
        <v>3328</v>
      </c>
      <c r="E4035">
        <v>0</v>
      </c>
      <c r="F4035">
        <v>0</v>
      </c>
      <c r="G4035" t="s">
        <v>12</v>
      </c>
      <c r="I4035" t="s">
        <v>1428</v>
      </c>
    </row>
    <row r="4036" spans="1:9" hidden="1" x14ac:dyDescent="0.25">
      <c r="A4036" t="s">
        <v>3276</v>
      </c>
      <c r="B4036" t="s">
        <v>143</v>
      </c>
      <c r="C4036" s="2">
        <f>HYPERLINK("https://cao.dolgi.msk.ru/account/1083274991/", 1083274991)</f>
        <v>1083274991</v>
      </c>
      <c r="D4036" t="s">
        <v>3329</v>
      </c>
      <c r="E4036">
        <v>-5505.57</v>
      </c>
      <c r="F4036">
        <v>-1.05</v>
      </c>
      <c r="G4036" t="s">
        <v>12</v>
      </c>
      <c r="I4036" t="s">
        <v>1428</v>
      </c>
    </row>
    <row r="4037" spans="1:9" hidden="1" x14ac:dyDescent="0.25">
      <c r="A4037" t="s">
        <v>3276</v>
      </c>
      <c r="B4037" t="s">
        <v>145</v>
      </c>
      <c r="C4037" s="2">
        <f>HYPERLINK("https://cao.dolgi.msk.ru/account/1083275361/", 1083275361)</f>
        <v>1083275361</v>
      </c>
      <c r="D4037" t="s">
        <v>3330</v>
      </c>
      <c r="E4037">
        <v>-5635.88</v>
      </c>
      <c r="F4037">
        <v>-0.98</v>
      </c>
      <c r="G4037" t="s">
        <v>12</v>
      </c>
      <c r="I4037" t="s">
        <v>1428</v>
      </c>
    </row>
    <row r="4038" spans="1:9" hidden="1" x14ac:dyDescent="0.25">
      <c r="A4038" t="s">
        <v>3276</v>
      </c>
      <c r="B4038" t="s">
        <v>147</v>
      </c>
      <c r="C4038" s="2">
        <f>HYPERLINK("https://cao.dolgi.msk.ru/account/1083275396/", 1083275396)</f>
        <v>1083275396</v>
      </c>
      <c r="D4038" t="s">
        <v>3331</v>
      </c>
      <c r="E4038">
        <v>-5398.69</v>
      </c>
      <c r="F4038">
        <v>-1.01</v>
      </c>
      <c r="G4038" t="s">
        <v>12</v>
      </c>
      <c r="I4038" t="s">
        <v>1428</v>
      </c>
    </row>
    <row r="4039" spans="1:9" hidden="1" x14ac:dyDescent="0.25">
      <c r="A4039" t="s">
        <v>3276</v>
      </c>
      <c r="B4039" t="s">
        <v>149</v>
      </c>
      <c r="C4039" s="2">
        <f>HYPERLINK("https://cao.dolgi.msk.ru/account/1083275417/", 1083275417)</f>
        <v>1083275417</v>
      </c>
      <c r="D4039" t="s">
        <v>3332</v>
      </c>
      <c r="E4039">
        <v>0</v>
      </c>
      <c r="F4039">
        <v>0</v>
      </c>
      <c r="G4039" t="s">
        <v>12</v>
      </c>
      <c r="I4039" t="s">
        <v>1428</v>
      </c>
    </row>
    <row r="4040" spans="1:9" hidden="1" x14ac:dyDescent="0.25">
      <c r="A4040" t="s">
        <v>3276</v>
      </c>
      <c r="B4040" t="s">
        <v>151</v>
      </c>
      <c r="C4040" s="2">
        <f>HYPERLINK("https://cao.dolgi.msk.ru/account/1083275425/", 1083275425)</f>
        <v>1083275425</v>
      </c>
      <c r="D4040" t="s">
        <v>3333</v>
      </c>
      <c r="E4040">
        <v>-5036.6000000000004</v>
      </c>
      <c r="F4040">
        <v>-1.03</v>
      </c>
      <c r="G4040" t="s">
        <v>12</v>
      </c>
      <c r="I4040" t="s">
        <v>1428</v>
      </c>
    </row>
    <row r="4041" spans="1:9" hidden="1" x14ac:dyDescent="0.25">
      <c r="A4041" t="s">
        <v>3276</v>
      </c>
      <c r="B4041" t="s">
        <v>153</v>
      </c>
      <c r="C4041" s="2">
        <f>HYPERLINK("https://cao.dolgi.msk.ru/account/1083275441/", 1083275441)</f>
        <v>1083275441</v>
      </c>
      <c r="D4041" t="s">
        <v>3334</v>
      </c>
      <c r="E4041">
        <v>-4564.57</v>
      </c>
      <c r="F4041">
        <v>-1.02</v>
      </c>
      <c r="G4041" t="s">
        <v>12</v>
      </c>
      <c r="I4041" t="s">
        <v>1428</v>
      </c>
    </row>
    <row r="4042" spans="1:9" hidden="1" x14ac:dyDescent="0.25">
      <c r="A4042" t="s">
        <v>3276</v>
      </c>
      <c r="B4042" t="s">
        <v>155</v>
      </c>
      <c r="C4042" s="2">
        <f>HYPERLINK("https://cao.dolgi.msk.ru/account/1083275468/", 1083275468)</f>
        <v>1083275468</v>
      </c>
      <c r="D4042" t="s">
        <v>3335</v>
      </c>
      <c r="E4042">
        <v>-8983.23</v>
      </c>
      <c r="F4042">
        <v>-1.5</v>
      </c>
      <c r="G4042" t="s">
        <v>12</v>
      </c>
      <c r="I4042" t="s">
        <v>1428</v>
      </c>
    </row>
    <row r="4043" spans="1:9" hidden="1" x14ac:dyDescent="0.25">
      <c r="A4043" t="s">
        <v>3276</v>
      </c>
      <c r="B4043" t="s">
        <v>157</v>
      </c>
      <c r="C4043" s="2">
        <f>HYPERLINK("https://cao.dolgi.msk.ru/account/1083275476/", 1083275476)</f>
        <v>1083275476</v>
      </c>
      <c r="D4043" t="s">
        <v>3336</v>
      </c>
      <c r="E4043">
        <v>-10750.92</v>
      </c>
      <c r="F4043">
        <v>-1.03</v>
      </c>
      <c r="G4043" t="s">
        <v>12</v>
      </c>
      <c r="I4043" t="s">
        <v>1428</v>
      </c>
    </row>
    <row r="4044" spans="1:9" hidden="1" x14ac:dyDescent="0.25">
      <c r="A4044" t="s">
        <v>3276</v>
      </c>
      <c r="B4044" t="s">
        <v>159</v>
      </c>
      <c r="C4044" s="2">
        <f>HYPERLINK("https://cao.dolgi.msk.ru/account/1083275484/", 1083275484)</f>
        <v>1083275484</v>
      </c>
      <c r="D4044" t="s">
        <v>3337</v>
      </c>
      <c r="E4044">
        <v>-6875.6</v>
      </c>
      <c r="F4044">
        <v>-1.05</v>
      </c>
      <c r="G4044" t="s">
        <v>12</v>
      </c>
      <c r="I4044" t="s">
        <v>1428</v>
      </c>
    </row>
    <row r="4045" spans="1:9" hidden="1" x14ac:dyDescent="0.25">
      <c r="A4045" t="s">
        <v>3276</v>
      </c>
      <c r="B4045" t="s">
        <v>161</v>
      </c>
      <c r="C4045" s="2">
        <f>HYPERLINK("https://cao.dolgi.msk.ru/account/1083275492/", 1083275492)</f>
        <v>1083275492</v>
      </c>
      <c r="D4045" t="s">
        <v>3338</v>
      </c>
      <c r="E4045">
        <v>-1234.1400000000001</v>
      </c>
      <c r="F4045">
        <v>-0.13</v>
      </c>
      <c r="G4045" t="s">
        <v>12</v>
      </c>
      <c r="I4045" t="s">
        <v>1428</v>
      </c>
    </row>
    <row r="4046" spans="1:9" hidden="1" x14ac:dyDescent="0.25">
      <c r="A4046" t="s">
        <v>3276</v>
      </c>
      <c r="B4046" t="s">
        <v>163</v>
      </c>
      <c r="C4046" s="2">
        <f>HYPERLINK("https://cao.dolgi.msk.ru/account/1083275505/", 1083275505)</f>
        <v>1083275505</v>
      </c>
      <c r="D4046" t="s">
        <v>15</v>
      </c>
      <c r="E4046">
        <v>-4139.97</v>
      </c>
      <c r="F4046">
        <v>-1.02</v>
      </c>
      <c r="G4046" t="s">
        <v>12</v>
      </c>
      <c r="I4046" t="s">
        <v>1428</v>
      </c>
    </row>
    <row r="4047" spans="1:9" hidden="1" x14ac:dyDescent="0.25">
      <c r="A4047" t="s">
        <v>3276</v>
      </c>
      <c r="B4047" t="s">
        <v>571</v>
      </c>
      <c r="C4047" s="2">
        <f>HYPERLINK("https://cao.dolgi.msk.ru/account/1083275521/", 1083275521)</f>
        <v>1083275521</v>
      </c>
      <c r="D4047" t="s">
        <v>3339</v>
      </c>
      <c r="E4047">
        <v>-5985.75</v>
      </c>
      <c r="F4047">
        <v>-1.01</v>
      </c>
      <c r="G4047" t="s">
        <v>12</v>
      </c>
      <c r="I4047" t="s">
        <v>1428</v>
      </c>
    </row>
    <row r="4048" spans="1:9" hidden="1" x14ac:dyDescent="0.25">
      <c r="A4048" t="s">
        <v>3276</v>
      </c>
      <c r="B4048" t="s">
        <v>682</v>
      </c>
      <c r="C4048" s="2">
        <f>HYPERLINK("https://cao.dolgi.msk.ru/account/1083275548/", 1083275548)</f>
        <v>1083275548</v>
      </c>
      <c r="D4048" t="s">
        <v>3340</v>
      </c>
      <c r="E4048">
        <v>-5702.43</v>
      </c>
      <c r="F4048">
        <v>-0.97</v>
      </c>
      <c r="G4048" t="s">
        <v>12</v>
      </c>
      <c r="I4048" t="s">
        <v>1428</v>
      </c>
    </row>
    <row r="4049" spans="1:9" hidden="1" x14ac:dyDescent="0.25">
      <c r="A4049" t="s">
        <v>3276</v>
      </c>
      <c r="B4049" t="s">
        <v>578</v>
      </c>
      <c r="C4049" s="2">
        <f>HYPERLINK("https://cao.dolgi.msk.ru/account/1083275556/", 1083275556)</f>
        <v>1083275556</v>
      </c>
      <c r="D4049" t="s">
        <v>3341</v>
      </c>
      <c r="E4049">
        <v>-6665.66</v>
      </c>
      <c r="F4049">
        <v>-1.04</v>
      </c>
      <c r="G4049" t="s">
        <v>12</v>
      </c>
      <c r="I4049" t="s">
        <v>1428</v>
      </c>
    </row>
    <row r="4050" spans="1:9" hidden="1" x14ac:dyDescent="0.25">
      <c r="A4050" t="s">
        <v>3276</v>
      </c>
      <c r="B4050" t="s">
        <v>580</v>
      </c>
      <c r="C4050" s="2">
        <f>HYPERLINK("https://cao.dolgi.msk.ru/account/1083275564/", 1083275564)</f>
        <v>1083275564</v>
      </c>
      <c r="D4050" t="s">
        <v>3342</v>
      </c>
      <c r="E4050">
        <v>-8707.82</v>
      </c>
      <c r="F4050">
        <v>-1.08</v>
      </c>
      <c r="G4050" t="s">
        <v>12</v>
      </c>
      <c r="I4050" t="s">
        <v>1428</v>
      </c>
    </row>
    <row r="4051" spans="1:9" hidden="1" x14ac:dyDescent="0.25">
      <c r="A4051" t="s">
        <v>3276</v>
      </c>
      <c r="B4051" t="s">
        <v>686</v>
      </c>
      <c r="C4051" s="2">
        <f>HYPERLINK("https://cao.dolgi.msk.ru/account/1083275572/", 1083275572)</f>
        <v>1083275572</v>
      </c>
      <c r="D4051" t="s">
        <v>3343</v>
      </c>
      <c r="E4051">
        <v>-8026.98</v>
      </c>
      <c r="F4051">
        <v>-0.99</v>
      </c>
      <c r="G4051" t="s">
        <v>12</v>
      </c>
      <c r="I4051" t="s">
        <v>1428</v>
      </c>
    </row>
    <row r="4052" spans="1:9" hidden="1" x14ac:dyDescent="0.25">
      <c r="A4052" t="s">
        <v>3276</v>
      </c>
      <c r="B4052" t="s">
        <v>582</v>
      </c>
      <c r="C4052" s="2">
        <f>HYPERLINK("https://cao.dolgi.msk.ru/account/1083275599/", 1083275599)</f>
        <v>1083275599</v>
      </c>
      <c r="D4052" t="s">
        <v>3344</v>
      </c>
      <c r="E4052">
        <v>-4762.25</v>
      </c>
      <c r="F4052">
        <v>-0.94</v>
      </c>
      <c r="G4052" t="s">
        <v>12</v>
      </c>
      <c r="I4052" t="s">
        <v>1428</v>
      </c>
    </row>
    <row r="4053" spans="1:9" hidden="1" x14ac:dyDescent="0.25">
      <c r="A4053" t="s">
        <v>3276</v>
      </c>
      <c r="B4053" t="s">
        <v>584</v>
      </c>
      <c r="C4053" s="2">
        <f>HYPERLINK("https://cao.dolgi.msk.ru/account/1083275601/", 1083275601)</f>
        <v>1083275601</v>
      </c>
      <c r="D4053" t="s">
        <v>15</v>
      </c>
      <c r="E4053">
        <v>-5717.48</v>
      </c>
      <c r="F4053">
        <v>-1.03</v>
      </c>
      <c r="G4053" t="s">
        <v>12</v>
      </c>
      <c r="I4053" t="s">
        <v>1428</v>
      </c>
    </row>
    <row r="4054" spans="1:9" hidden="1" x14ac:dyDescent="0.25">
      <c r="A4054" t="s">
        <v>3276</v>
      </c>
      <c r="B4054" t="s">
        <v>586</v>
      </c>
      <c r="C4054" s="2">
        <f>HYPERLINK("https://cao.dolgi.msk.ru/account/1083275628/", 1083275628)</f>
        <v>1083275628</v>
      </c>
      <c r="D4054" t="s">
        <v>15</v>
      </c>
      <c r="E4054">
        <v>-5779.94</v>
      </c>
      <c r="F4054">
        <v>-1.1200000000000001</v>
      </c>
      <c r="G4054" t="s">
        <v>12</v>
      </c>
      <c r="I4054" t="s">
        <v>1428</v>
      </c>
    </row>
    <row r="4055" spans="1:9" hidden="1" x14ac:dyDescent="0.25">
      <c r="A4055" t="s">
        <v>3276</v>
      </c>
      <c r="B4055" t="s">
        <v>590</v>
      </c>
      <c r="C4055" s="2">
        <f>HYPERLINK("https://cao.dolgi.msk.ru/account/1083275644/", 1083275644)</f>
        <v>1083275644</v>
      </c>
      <c r="D4055" t="s">
        <v>3345</v>
      </c>
      <c r="E4055">
        <v>0</v>
      </c>
      <c r="F4055">
        <v>0</v>
      </c>
      <c r="G4055" t="s">
        <v>12</v>
      </c>
      <c r="I4055" t="s">
        <v>1428</v>
      </c>
    </row>
    <row r="4056" spans="1:9" hidden="1" x14ac:dyDescent="0.25">
      <c r="A4056" t="s">
        <v>3276</v>
      </c>
      <c r="B4056" t="s">
        <v>693</v>
      </c>
      <c r="C4056" s="2">
        <f>HYPERLINK("https://cao.dolgi.msk.ru/account/1083276727/", 1083276727)</f>
        <v>1083276727</v>
      </c>
      <c r="D4056" t="s">
        <v>3346</v>
      </c>
      <c r="E4056">
        <v>-8232.44</v>
      </c>
      <c r="F4056">
        <v>-1.04</v>
      </c>
      <c r="G4056" t="s">
        <v>12</v>
      </c>
      <c r="I4056" t="s">
        <v>1428</v>
      </c>
    </row>
    <row r="4057" spans="1:9" hidden="1" x14ac:dyDescent="0.25">
      <c r="A4057" t="s">
        <v>3276</v>
      </c>
      <c r="B4057" t="s">
        <v>694</v>
      </c>
      <c r="C4057" s="2">
        <f>HYPERLINK("https://cao.dolgi.msk.ru/account/1083276735/", 1083276735)</f>
        <v>1083276735</v>
      </c>
      <c r="D4057" t="s">
        <v>3347</v>
      </c>
      <c r="E4057">
        <v>-3758.65</v>
      </c>
      <c r="F4057">
        <v>-1.01</v>
      </c>
      <c r="G4057" t="s">
        <v>12</v>
      </c>
      <c r="I4057" t="s">
        <v>1428</v>
      </c>
    </row>
    <row r="4058" spans="1:9" hidden="1" x14ac:dyDescent="0.25">
      <c r="A4058" t="s">
        <v>3276</v>
      </c>
      <c r="B4058" t="s">
        <v>696</v>
      </c>
      <c r="C4058" s="2">
        <f>HYPERLINK("https://cao.dolgi.msk.ru/account/1083276743/", 1083276743)</f>
        <v>1083276743</v>
      </c>
      <c r="D4058" t="s">
        <v>3348</v>
      </c>
      <c r="E4058">
        <v>-3777.27</v>
      </c>
      <c r="F4058">
        <v>-1.01</v>
      </c>
      <c r="G4058" t="s">
        <v>12</v>
      </c>
      <c r="I4058" t="s">
        <v>1428</v>
      </c>
    </row>
    <row r="4059" spans="1:9" hidden="1" x14ac:dyDescent="0.25">
      <c r="A4059" t="s">
        <v>3276</v>
      </c>
      <c r="B4059" t="s">
        <v>698</v>
      </c>
      <c r="C4059" s="2">
        <f>HYPERLINK("https://cao.dolgi.msk.ru/account/1083276751/", 1083276751)</f>
        <v>1083276751</v>
      </c>
      <c r="D4059" t="s">
        <v>3349</v>
      </c>
      <c r="E4059">
        <v>-4847.05</v>
      </c>
      <c r="F4059">
        <v>-0.49</v>
      </c>
      <c r="G4059" t="s">
        <v>12</v>
      </c>
      <c r="I4059" t="s">
        <v>1428</v>
      </c>
    </row>
    <row r="4060" spans="1:9" hidden="1" x14ac:dyDescent="0.25">
      <c r="A4060" t="s">
        <v>3276</v>
      </c>
      <c r="B4060" t="s">
        <v>700</v>
      </c>
      <c r="C4060" s="2">
        <f>HYPERLINK("https://cao.dolgi.msk.ru/account/1083276778/", 1083276778)</f>
        <v>1083276778</v>
      </c>
      <c r="D4060" t="s">
        <v>3350</v>
      </c>
      <c r="E4060">
        <v>0</v>
      </c>
      <c r="F4060">
        <v>0</v>
      </c>
      <c r="G4060" t="s">
        <v>12</v>
      </c>
      <c r="I4060" t="s">
        <v>1428</v>
      </c>
    </row>
    <row r="4061" spans="1:9" hidden="1" x14ac:dyDescent="0.25">
      <c r="A4061" t="s">
        <v>3276</v>
      </c>
      <c r="B4061" t="s">
        <v>702</v>
      </c>
      <c r="C4061" s="2">
        <f>HYPERLINK("https://cao.dolgi.msk.ru/account/1083276786/", 1083276786)</f>
        <v>1083276786</v>
      </c>
      <c r="D4061" t="s">
        <v>3351</v>
      </c>
      <c r="E4061">
        <v>-11087.5</v>
      </c>
      <c r="F4061">
        <v>-1.04</v>
      </c>
      <c r="G4061" t="s">
        <v>12</v>
      </c>
      <c r="I4061" t="s">
        <v>1428</v>
      </c>
    </row>
    <row r="4062" spans="1:9" hidden="1" x14ac:dyDescent="0.25">
      <c r="A4062" t="s">
        <v>3276</v>
      </c>
      <c r="B4062" t="s">
        <v>703</v>
      </c>
      <c r="C4062" s="2">
        <f>HYPERLINK("https://cao.dolgi.msk.ru/account/1083276794/", 1083276794)</f>
        <v>1083276794</v>
      </c>
      <c r="D4062" t="s">
        <v>3352</v>
      </c>
      <c r="E4062">
        <v>0</v>
      </c>
      <c r="F4062">
        <v>0</v>
      </c>
      <c r="G4062" t="s">
        <v>12</v>
      </c>
      <c r="I4062" t="s">
        <v>1428</v>
      </c>
    </row>
    <row r="4063" spans="1:9" hidden="1" x14ac:dyDescent="0.25">
      <c r="A4063" t="s">
        <v>3276</v>
      </c>
      <c r="B4063" t="s">
        <v>705</v>
      </c>
      <c r="C4063" s="2">
        <f>HYPERLINK("https://cao.dolgi.msk.ru/account/1083276831/", 1083276831)</f>
        <v>1083276831</v>
      </c>
      <c r="D4063" t="s">
        <v>15</v>
      </c>
      <c r="E4063">
        <v>-517.63</v>
      </c>
      <c r="F4063">
        <v>-0.09</v>
      </c>
      <c r="G4063" t="s">
        <v>12</v>
      </c>
      <c r="I4063" t="s">
        <v>1428</v>
      </c>
    </row>
    <row r="4064" spans="1:9" hidden="1" x14ac:dyDescent="0.25">
      <c r="A4064" t="s">
        <v>3276</v>
      </c>
      <c r="B4064" t="s">
        <v>707</v>
      </c>
      <c r="C4064" s="2">
        <f>HYPERLINK("https://cao.dolgi.msk.ru/account/1083276874/", 1083276874)</f>
        <v>1083276874</v>
      </c>
      <c r="D4064" t="s">
        <v>3353</v>
      </c>
      <c r="E4064">
        <v>-5570.96</v>
      </c>
      <c r="F4064">
        <v>-1.1000000000000001</v>
      </c>
      <c r="G4064" t="s">
        <v>12</v>
      </c>
      <c r="I4064" t="s">
        <v>1428</v>
      </c>
    </row>
    <row r="4065" spans="1:9" hidden="1" x14ac:dyDescent="0.25">
      <c r="A4065" t="s">
        <v>3276</v>
      </c>
      <c r="B4065" t="s">
        <v>709</v>
      </c>
      <c r="C4065" s="2">
        <f>HYPERLINK("https://cao.dolgi.msk.ru/account/1083276903/", 1083276903)</f>
        <v>1083276903</v>
      </c>
      <c r="D4065" t="s">
        <v>3354</v>
      </c>
      <c r="E4065">
        <v>-8020.31</v>
      </c>
      <c r="F4065">
        <v>-1.75</v>
      </c>
      <c r="G4065" t="s">
        <v>12</v>
      </c>
      <c r="I4065" t="s">
        <v>1428</v>
      </c>
    </row>
    <row r="4066" spans="1:9" hidden="1" x14ac:dyDescent="0.25">
      <c r="A4066" t="s">
        <v>3276</v>
      </c>
      <c r="B4066" t="s">
        <v>711</v>
      </c>
      <c r="C4066" s="2">
        <f>HYPERLINK("https://cao.dolgi.msk.ru/account/1083276938/", 1083276938)</f>
        <v>1083276938</v>
      </c>
      <c r="D4066" t="s">
        <v>3355</v>
      </c>
      <c r="E4066">
        <v>-7805.44</v>
      </c>
      <c r="F4066">
        <v>-1.04</v>
      </c>
      <c r="G4066" t="s">
        <v>12</v>
      </c>
      <c r="I4066" t="s">
        <v>1428</v>
      </c>
    </row>
    <row r="4067" spans="1:9" hidden="1" x14ac:dyDescent="0.25">
      <c r="A4067" t="s">
        <v>3276</v>
      </c>
      <c r="B4067" t="s">
        <v>713</v>
      </c>
      <c r="C4067" s="2">
        <f>HYPERLINK("https://cao.dolgi.msk.ru/account/1083276954/", 1083276954)</f>
        <v>1083276954</v>
      </c>
      <c r="D4067" t="s">
        <v>3356</v>
      </c>
      <c r="E4067">
        <v>0</v>
      </c>
      <c r="F4067">
        <v>0</v>
      </c>
      <c r="G4067" t="s">
        <v>12</v>
      </c>
      <c r="I4067" t="s">
        <v>1428</v>
      </c>
    </row>
    <row r="4068" spans="1:9" hidden="1" x14ac:dyDescent="0.25">
      <c r="A4068" t="s">
        <v>3276</v>
      </c>
      <c r="B4068" t="s">
        <v>528</v>
      </c>
      <c r="C4068" s="2">
        <f>HYPERLINK("https://cao.dolgi.msk.ru/account/1083276989/", 1083276989)</f>
        <v>1083276989</v>
      </c>
      <c r="D4068" t="s">
        <v>3357</v>
      </c>
      <c r="E4068">
        <v>-9499.17</v>
      </c>
      <c r="F4068">
        <v>-0.99</v>
      </c>
      <c r="G4068" t="s">
        <v>12</v>
      </c>
      <c r="I4068" t="s">
        <v>1428</v>
      </c>
    </row>
    <row r="4069" spans="1:9" hidden="1" x14ac:dyDescent="0.25">
      <c r="A4069" t="s">
        <v>3276</v>
      </c>
      <c r="B4069" t="s">
        <v>530</v>
      </c>
      <c r="C4069" s="2">
        <f>HYPERLINK("https://cao.dolgi.msk.ru/account/1083277009/", 1083277009)</f>
        <v>1083277009</v>
      </c>
      <c r="D4069" t="s">
        <v>3358</v>
      </c>
      <c r="E4069">
        <v>-7544.58</v>
      </c>
      <c r="F4069">
        <v>-1.03</v>
      </c>
      <c r="G4069" t="s">
        <v>12</v>
      </c>
      <c r="I4069" t="s">
        <v>1428</v>
      </c>
    </row>
    <row r="4070" spans="1:9" hidden="1" x14ac:dyDescent="0.25">
      <c r="A4070" t="s">
        <v>3276</v>
      </c>
      <c r="B4070" t="s">
        <v>532</v>
      </c>
      <c r="C4070" s="2">
        <f>HYPERLINK("https://cao.dolgi.msk.ru/account/1083277017/", 1083277017)</f>
        <v>1083277017</v>
      </c>
      <c r="D4070" t="s">
        <v>3359</v>
      </c>
      <c r="E4070">
        <v>-3856.58</v>
      </c>
      <c r="F4070">
        <v>-1.03</v>
      </c>
      <c r="G4070" t="s">
        <v>12</v>
      </c>
      <c r="I4070" t="s">
        <v>1428</v>
      </c>
    </row>
    <row r="4071" spans="1:9" hidden="1" x14ac:dyDescent="0.25">
      <c r="A4071" t="s">
        <v>3276</v>
      </c>
      <c r="B4071" t="s">
        <v>534</v>
      </c>
      <c r="C4071" s="2">
        <f>HYPERLINK("https://cao.dolgi.msk.ru/account/1083277025/", 1083277025)</f>
        <v>1083277025</v>
      </c>
      <c r="D4071" t="s">
        <v>3360</v>
      </c>
      <c r="E4071">
        <v>0</v>
      </c>
      <c r="F4071">
        <v>0</v>
      </c>
      <c r="G4071" t="s">
        <v>12</v>
      </c>
      <c r="I4071" t="s">
        <v>1428</v>
      </c>
    </row>
    <row r="4072" spans="1:9" hidden="1" x14ac:dyDescent="0.25">
      <c r="A4072" t="s">
        <v>3276</v>
      </c>
      <c r="B4072" t="s">
        <v>536</v>
      </c>
      <c r="C4072" s="2">
        <f>HYPERLINK("https://cao.dolgi.msk.ru/account/1083277033/", 1083277033)</f>
        <v>1083277033</v>
      </c>
      <c r="D4072" t="s">
        <v>3361</v>
      </c>
      <c r="E4072">
        <v>0</v>
      </c>
      <c r="F4072">
        <v>0</v>
      </c>
      <c r="G4072" t="s">
        <v>12</v>
      </c>
      <c r="I4072" t="s">
        <v>1428</v>
      </c>
    </row>
    <row r="4073" spans="1:9" x14ac:dyDescent="0.25">
      <c r="A4073" t="s">
        <v>3276</v>
      </c>
      <c r="B4073" t="s">
        <v>538</v>
      </c>
      <c r="C4073" s="2">
        <f>HYPERLINK("https://cao.dolgi.msk.ru/account/1083277041/", 1083277041)</f>
        <v>1083277041</v>
      </c>
      <c r="D4073" t="s">
        <v>3362</v>
      </c>
      <c r="E4073">
        <v>35231.519999999997</v>
      </c>
      <c r="F4073">
        <v>2.0099999999999998</v>
      </c>
      <c r="G4073" t="s">
        <v>12</v>
      </c>
      <c r="I4073" t="s">
        <v>1428</v>
      </c>
    </row>
    <row r="4074" spans="1:9" hidden="1" x14ac:dyDescent="0.25">
      <c r="A4074" t="s">
        <v>3276</v>
      </c>
      <c r="B4074" t="s">
        <v>539</v>
      </c>
      <c r="C4074" s="2">
        <f>HYPERLINK("https://cao.dolgi.msk.ru/account/1083277068/", 1083277068)</f>
        <v>1083277068</v>
      </c>
      <c r="D4074" t="s">
        <v>3363</v>
      </c>
      <c r="E4074">
        <v>-7870.87</v>
      </c>
      <c r="F4074">
        <v>-1.04</v>
      </c>
      <c r="G4074" t="s">
        <v>12</v>
      </c>
      <c r="I4074" t="s">
        <v>1428</v>
      </c>
    </row>
    <row r="4075" spans="1:9" hidden="1" x14ac:dyDescent="0.25">
      <c r="A4075" t="s">
        <v>3276</v>
      </c>
      <c r="B4075" t="s">
        <v>541</v>
      </c>
      <c r="C4075" s="2">
        <f>HYPERLINK("https://cao.dolgi.msk.ru/account/1083275863/", 1083275863)</f>
        <v>1083275863</v>
      </c>
      <c r="D4075" t="s">
        <v>3364</v>
      </c>
      <c r="E4075">
        <v>-7889.09</v>
      </c>
      <c r="F4075">
        <v>-1.03</v>
      </c>
      <c r="G4075" t="s">
        <v>12</v>
      </c>
      <c r="I4075" t="s">
        <v>1428</v>
      </c>
    </row>
    <row r="4076" spans="1:9" hidden="1" x14ac:dyDescent="0.25">
      <c r="A4076" t="s">
        <v>3276</v>
      </c>
      <c r="B4076" t="s">
        <v>543</v>
      </c>
      <c r="C4076" s="2">
        <f>HYPERLINK("https://cao.dolgi.msk.ru/account/1083275871/", 1083275871)</f>
        <v>1083275871</v>
      </c>
      <c r="D4076" t="s">
        <v>3365</v>
      </c>
      <c r="E4076">
        <v>-4582.3599999999997</v>
      </c>
      <c r="F4076">
        <v>-0.78</v>
      </c>
      <c r="G4076" t="s">
        <v>12</v>
      </c>
      <c r="I4076" t="s">
        <v>1428</v>
      </c>
    </row>
    <row r="4077" spans="1:9" hidden="1" x14ac:dyDescent="0.25">
      <c r="A4077" t="s">
        <v>3276</v>
      </c>
      <c r="B4077" t="s">
        <v>545</v>
      </c>
      <c r="C4077" s="2">
        <f>HYPERLINK("https://cao.dolgi.msk.ru/account/1083275898/", 1083275898)</f>
        <v>1083275898</v>
      </c>
      <c r="D4077" t="s">
        <v>3366</v>
      </c>
      <c r="E4077">
        <v>-6553.62</v>
      </c>
      <c r="F4077">
        <v>-0.9</v>
      </c>
      <c r="G4077" t="s">
        <v>12</v>
      </c>
      <c r="I4077" t="s">
        <v>1428</v>
      </c>
    </row>
    <row r="4078" spans="1:9" hidden="1" x14ac:dyDescent="0.25">
      <c r="A4078" t="s">
        <v>3276</v>
      </c>
      <c r="B4078" t="s">
        <v>546</v>
      </c>
      <c r="C4078" s="2">
        <f>HYPERLINK("https://cao.dolgi.msk.ru/account/1083275919/", 1083275919)</f>
        <v>1083275919</v>
      </c>
      <c r="D4078" t="s">
        <v>3367</v>
      </c>
      <c r="E4078">
        <v>0</v>
      </c>
      <c r="F4078">
        <v>0</v>
      </c>
      <c r="G4078" t="s">
        <v>12</v>
      </c>
      <c r="I4078" t="s">
        <v>1428</v>
      </c>
    </row>
    <row r="4079" spans="1:9" hidden="1" x14ac:dyDescent="0.25">
      <c r="A4079" t="s">
        <v>3276</v>
      </c>
      <c r="B4079" t="s">
        <v>548</v>
      </c>
      <c r="C4079" s="2">
        <f>HYPERLINK("https://cao.dolgi.msk.ru/account/1083275927/", 1083275927)</f>
        <v>1083275927</v>
      </c>
      <c r="D4079" t="s">
        <v>3368</v>
      </c>
      <c r="E4079">
        <v>-9423.24</v>
      </c>
      <c r="F4079">
        <v>-0.68</v>
      </c>
      <c r="G4079" t="s">
        <v>12</v>
      </c>
      <c r="I4079" t="s">
        <v>1428</v>
      </c>
    </row>
    <row r="4080" spans="1:9" hidden="1" x14ac:dyDescent="0.25">
      <c r="A4080" t="s">
        <v>3276</v>
      </c>
      <c r="B4080" t="s">
        <v>727</v>
      </c>
      <c r="C4080" s="2">
        <f>HYPERLINK("https://cao.dolgi.msk.ru/account/1083275935/", 1083275935)</f>
        <v>1083275935</v>
      </c>
      <c r="D4080" t="s">
        <v>3369</v>
      </c>
      <c r="E4080">
        <v>0</v>
      </c>
      <c r="F4080">
        <v>0</v>
      </c>
      <c r="G4080" t="s">
        <v>12</v>
      </c>
      <c r="I4080" t="s">
        <v>1428</v>
      </c>
    </row>
    <row r="4081" spans="1:9" hidden="1" x14ac:dyDescent="0.25">
      <c r="A4081" t="s">
        <v>3276</v>
      </c>
      <c r="B4081" t="s">
        <v>551</v>
      </c>
      <c r="C4081" s="2">
        <f>HYPERLINK("https://cao.dolgi.msk.ru/account/1083275943/", 1083275943)</f>
        <v>1083275943</v>
      </c>
      <c r="D4081" t="s">
        <v>3370</v>
      </c>
      <c r="E4081">
        <v>-5947.17</v>
      </c>
      <c r="F4081">
        <v>-0.99</v>
      </c>
      <c r="G4081" t="s">
        <v>12</v>
      </c>
      <c r="I4081" t="s">
        <v>1428</v>
      </c>
    </row>
    <row r="4082" spans="1:9" hidden="1" x14ac:dyDescent="0.25">
      <c r="A4082" t="s">
        <v>3276</v>
      </c>
      <c r="B4082" t="s">
        <v>730</v>
      </c>
      <c r="C4082" s="2">
        <f>HYPERLINK("https://cao.dolgi.msk.ru/account/1083275951/", 1083275951)</f>
        <v>1083275951</v>
      </c>
      <c r="D4082" t="s">
        <v>3371</v>
      </c>
      <c r="E4082">
        <v>-4114.51</v>
      </c>
      <c r="F4082">
        <v>-1.1000000000000001</v>
      </c>
      <c r="G4082" t="s">
        <v>12</v>
      </c>
      <c r="I4082" t="s">
        <v>1428</v>
      </c>
    </row>
    <row r="4083" spans="1:9" x14ac:dyDescent="0.25">
      <c r="A4083" t="s">
        <v>3276</v>
      </c>
      <c r="B4083" t="s">
        <v>732</v>
      </c>
      <c r="C4083" s="2">
        <f>HYPERLINK("https://cao.dolgi.msk.ru/account/1083275978/", 1083275978)</f>
        <v>1083275978</v>
      </c>
      <c r="D4083" t="s">
        <v>3372</v>
      </c>
      <c r="E4083">
        <v>14533.53</v>
      </c>
      <c r="F4083">
        <v>2</v>
      </c>
      <c r="G4083" t="s">
        <v>12</v>
      </c>
      <c r="I4083" t="s">
        <v>1428</v>
      </c>
    </row>
    <row r="4084" spans="1:9" hidden="1" x14ac:dyDescent="0.25">
      <c r="A4084" t="s">
        <v>3276</v>
      </c>
      <c r="B4084" t="s">
        <v>553</v>
      </c>
      <c r="C4084" s="2">
        <f>HYPERLINK("https://cao.dolgi.msk.ru/account/1083275986/", 1083275986)</f>
        <v>1083275986</v>
      </c>
      <c r="D4084" t="s">
        <v>3373</v>
      </c>
      <c r="E4084">
        <v>-7400.22</v>
      </c>
      <c r="F4084">
        <v>-1.04</v>
      </c>
      <c r="G4084" t="s">
        <v>12</v>
      </c>
      <c r="I4084" t="s">
        <v>1428</v>
      </c>
    </row>
    <row r="4085" spans="1:9" hidden="1" x14ac:dyDescent="0.25">
      <c r="A4085" t="s">
        <v>3276</v>
      </c>
      <c r="B4085" t="s">
        <v>555</v>
      </c>
      <c r="C4085" s="2">
        <f>HYPERLINK("https://cao.dolgi.msk.ru/account/1083275994/", 1083275994)</f>
        <v>1083275994</v>
      </c>
      <c r="D4085" t="s">
        <v>3374</v>
      </c>
      <c r="E4085">
        <v>-14316.52</v>
      </c>
      <c r="F4085">
        <v>-1.03</v>
      </c>
      <c r="G4085" t="s">
        <v>12</v>
      </c>
      <c r="I4085" t="s">
        <v>1428</v>
      </c>
    </row>
    <row r="4086" spans="1:9" hidden="1" x14ac:dyDescent="0.25">
      <c r="A4086" t="s">
        <v>3276</v>
      </c>
      <c r="B4086" t="s">
        <v>736</v>
      </c>
      <c r="C4086" s="2">
        <f>HYPERLINK("https://cao.dolgi.msk.ru/account/1083276006/", 1083276006)</f>
        <v>1083276006</v>
      </c>
      <c r="D4086" t="s">
        <v>3375</v>
      </c>
      <c r="E4086">
        <v>-219.53</v>
      </c>
      <c r="F4086">
        <v>-0.02</v>
      </c>
      <c r="G4086" t="s">
        <v>12</v>
      </c>
      <c r="I4086" t="s">
        <v>1428</v>
      </c>
    </row>
    <row r="4087" spans="1:9" hidden="1" x14ac:dyDescent="0.25">
      <c r="A4087" t="s">
        <v>3276</v>
      </c>
      <c r="B4087" t="s">
        <v>738</v>
      </c>
      <c r="C4087" s="2">
        <f>HYPERLINK("https://cao.dolgi.msk.ru/account/1083276014/", 1083276014)</f>
        <v>1083276014</v>
      </c>
      <c r="D4087" t="s">
        <v>3376</v>
      </c>
      <c r="E4087">
        <v>-73.930000000000007</v>
      </c>
      <c r="F4087">
        <v>-0.01</v>
      </c>
      <c r="G4087" t="s">
        <v>12</v>
      </c>
      <c r="I4087" t="s">
        <v>1428</v>
      </c>
    </row>
    <row r="4088" spans="1:9" hidden="1" x14ac:dyDescent="0.25">
      <c r="A4088" t="s">
        <v>3276</v>
      </c>
      <c r="B4088" t="s">
        <v>740</v>
      </c>
      <c r="C4088" s="2">
        <f>HYPERLINK("https://cao.dolgi.msk.ru/account/1083276022/", 1083276022)</f>
        <v>1083276022</v>
      </c>
      <c r="D4088" t="s">
        <v>3377</v>
      </c>
      <c r="E4088">
        <v>6956.13</v>
      </c>
      <c r="F4088">
        <v>1</v>
      </c>
      <c r="G4088" t="s">
        <v>12</v>
      </c>
      <c r="I4088" t="s">
        <v>1428</v>
      </c>
    </row>
    <row r="4089" spans="1:9" hidden="1" x14ac:dyDescent="0.25">
      <c r="A4089" t="s">
        <v>3276</v>
      </c>
      <c r="B4089" t="s">
        <v>742</v>
      </c>
      <c r="C4089" s="2">
        <f>HYPERLINK("https://cao.dolgi.msk.ru/account/1083276049/", 1083276049)</f>
        <v>1083276049</v>
      </c>
      <c r="D4089" t="s">
        <v>3378</v>
      </c>
      <c r="E4089">
        <v>0</v>
      </c>
      <c r="G4089" t="s">
        <v>14</v>
      </c>
      <c r="I4089" t="s">
        <v>1428</v>
      </c>
    </row>
    <row r="4090" spans="1:9" hidden="1" x14ac:dyDescent="0.25">
      <c r="A4090" t="s">
        <v>3276</v>
      </c>
      <c r="B4090" t="s">
        <v>557</v>
      </c>
      <c r="C4090" s="2">
        <f>HYPERLINK("https://cao.dolgi.msk.ru/account/1083276057/", 1083276057)</f>
        <v>1083276057</v>
      </c>
      <c r="D4090" t="s">
        <v>3379</v>
      </c>
      <c r="E4090">
        <v>10569.34</v>
      </c>
      <c r="F4090">
        <v>0.45</v>
      </c>
      <c r="G4090" t="s">
        <v>12</v>
      </c>
      <c r="I4090" t="s">
        <v>1428</v>
      </c>
    </row>
    <row r="4091" spans="1:9" hidden="1" x14ac:dyDescent="0.25">
      <c r="A4091" t="s">
        <v>3276</v>
      </c>
      <c r="B4091" t="s">
        <v>558</v>
      </c>
      <c r="C4091" s="2">
        <f>HYPERLINK("https://cao.dolgi.msk.ru/account/1083276065/", 1083276065)</f>
        <v>1083276065</v>
      </c>
      <c r="D4091" t="s">
        <v>3380</v>
      </c>
      <c r="E4091">
        <v>-13272.24</v>
      </c>
      <c r="F4091">
        <v>-1.05</v>
      </c>
      <c r="G4091" t="s">
        <v>12</v>
      </c>
      <c r="I4091" t="s">
        <v>1428</v>
      </c>
    </row>
    <row r="4092" spans="1:9" hidden="1" x14ac:dyDescent="0.25">
      <c r="A4092" t="s">
        <v>3276</v>
      </c>
      <c r="B4092" t="s">
        <v>746</v>
      </c>
      <c r="C4092" s="2">
        <f>HYPERLINK("https://cao.dolgi.msk.ru/account/1083276073/", 1083276073)</f>
        <v>1083276073</v>
      </c>
      <c r="D4092" t="s">
        <v>15</v>
      </c>
      <c r="E4092">
        <v>-4834.37</v>
      </c>
      <c r="F4092">
        <v>-1.03</v>
      </c>
      <c r="G4092" t="s">
        <v>12</v>
      </c>
      <c r="I4092" t="s">
        <v>1428</v>
      </c>
    </row>
    <row r="4093" spans="1:9" hidden="1" x14ac:dyDescent="0.25">
      <c r="A4093" t="s">
        <v>3276</v>
      </c>
      <c r="B4093" t="s">
        <v>748</v>
      </c>
      <c r="C4093" s="2">
        <f>HYPERLINK("https://cao.dolgi.msk.ru/account/1083276081/", 1083276081)</f>
        <v>1083276081</v>
      </c>
      <c r="D4093" t="s">
        <v>15</v>
      </c>
      <c r="E4093">
        <v>0</v>
      </c>
      <c r="F4093">
        <v>0</v>
      </c>
      <c r="G4093" t="s">
        <v>12</v>
      </c>
      <c r="I4093" t="s">
        <v>1428</v>
      </c>
    </row>
    <row r="4094" spans="1:9" hidden="1" x14ac:dyDescent="0.25">
      <c r="A4094" t="s">
        <v>3276</v>
      </c>
      <c r="B4094" t="s">
        <v>750</v>
      </c>
      <c r="C4094" s="2">
        <f>HYPERLINK("https://cao.dolgi.msk.ru/account/1083276102/", 1083276102)</f>
        <v>1083276102</v>
      </c>
      <c r="D4094" t="s">
        <v>3381</v>
      </c>
      <c r="E4094">
        <v>-3511.36</v>
      </c>
      <c r="F4094">
        <v>-1</v>
      </c>
      <c r="G4094" t="s">
        <v>12</v>
      </c>
      <c r="I4094" t="s">
        <v>1428</v>
      </c>
    </row>
    <row r="4095" spans="1:9" hidden="1" x14ac:dyDescent="0.25">
      <c r="A4095" t="s">
        <v>3276</v>
      </c>
      <c r="B4095" t="s">
        <v>752</v>
      </c>
      <c r="C4095" s="2">
        <f>HYPERLINK("https://cao.dolgi.msk.ru/account/1083276129/", 1083276129)</f>
        <v>1083276129</v>
      </c>
      <c r="D4095" t="s">
        <v>3382</v>
      </c>
      <c r="E4095">
        <v>-10187.67</v>
      </c>
      <c r="F4095">
        <v>-1.03</v>
      </c>
      <c r="G4095" t="s">
        <v>12</v>
      </c>
      <c r="I4095" t="s">
        <v>1428</v>
      </c>
    </row>
    <row r="4096" spans="1:9" hidden="1" x14ac:dyDescent="0.25">
      <c r="A4096" t="s">
        <v>3276</v>
      </c>
      <c r="B4096" t="s">
        <v>754</v>
      </c>
      <c r="C4096" s="2">
        <f>HYPERLINK("https://cao.dolgi.msk.ru/account/1083276137/", 1083276137)</f>
        <v>1083276137</v>
      </c>
      <c r="D4096" t="s">
        <v>3383</v>
      </c>
      <c r="E4096">
        <v>-6797.25</v>
      </c>
      <c r="F4096">
        <v>-1.1299999999999999</v>
      </c>
      <c r="G4096" t="s">
        <v>12</v>
      </c>
      <c r="I4096" t="s">
        <v>1428</v>
      </c>
    </row>
    <row r="4097" spans="1:9" hidden="1" x14ac:dyDescent="0.25">
      <c r="A4097" t="s">
        <v>3276</v>
      </c>
      <c r="B4097" t="s">
        <v>756</v>
      </c>
      <c r="C4097" s="2">
        <f>HYPERLINK("https://cao.dolgi.msk.ru/account/1083276145/", 1083276145)</f>
        <v>1083276145</v>
      </c>
      <c r="D4097" t="s">
        <v>3384</v>
      </c>
      <c r="E4097">
        <v>-4164.09</v>
      </c>
      <c r="F4097">
        <v>-1.02</v>
      </c>
      <c r="G4097" t="s">
        <v>12</v>
      </c>
      <c r="I4097" t="s">
        <v>1428</v>
      </c>
    </row>
    <row r="4098" spans="1:9" hidden="1" x14ac:dyDescent="0.25">
      <c r="A4098" t="s">
        <v>3276</v>
      </c>
      <c r="B4098" t="s">
        <v>758</v>
      </c>
      <c r="C4098" s="2">
        <f>HYPERLINK("https://cao.dolgi.msk.ru/account/1083276153/", 1083276153)</f>
        <v>1083276153</v>
      </c>
      <c r="D4098" t="s">
        <v>3385</v>
      </c>
      <c r="E4098">
        <v>-6990.15</v>
      </c>
      <c r="F4098">
        <v>-1.02</v>
      </c>
      <c r="G4098" t="s">
        <v>12</v>
      </c>
      <c r="I4098" t="s">
        <v>1428</v>
      </c>
    </row>
    <row r="4099" spans="1:9" hidden="1" x14ac:dyDescent="0.25">
      <c r="A4099" t="s">
        <v>3276</v>
      </c>
      <c r="B4099" t="s">
        <v>760</v>
      </c>
      <c r="C4099" s="2">
        <f>HYPERLINK("https://cao.dolgi.msk.ru/account/1083276161/", 1083276161)</f>
        <v>1083276161</v>
      </c>
      <c r="D4099" t="s">
        <v>3386</v>
      </c>
      <c r="E4099">
        <v>0</v>
      </c>
      <c r="F4099">
        <v>0</v>
      </c>
      <c r="G4099" t="s">
        <v>12</v>
      </c>
      <c r="I4099" t="s">
        <v>1428</v>
      </c>
    </row>
    <row r="4100" spans="1:9" hidden="1" x14ac:dyDescent="0.25">
      <c r="A4100" t="s">
        <v>3276</v>
      </c>
      <c r="B4100" t="s">
        <v>762</v>
      </c>
      <c r="C4100" s="2">
        <f>HYPERLINK("https://cao.dolgi.msk.ru/account/1083276188/", 1083276188)</f>
        <v>1083276188</v>
      </c>
      <c r="D4100" t="s">
        <v>3387</v>
      </c>
      <c r="E4100">
        <v>-5680.82</v>
      </c>
      <c r="F4100">
        <v>-1.01</v>
      </c>
      <c r="G4100" t="s">
        <v>12</v>
      </c>
      <c r="I4100" t="s">
        <v>1428</v>
      </c>
    </row>
    <row r="4101" spans="1:9" hidden="1" x14ac:dyDescent="0.25">
      <c r="A4101" t="s">
        <v>3276</v>
      </c>
      <c r="B4101" t="s">
        <v>764</v>
      </c>
      <c r="C4101" s="2">
        <f>HYPERLINK("https://cao.dolgi.msk.ru/account/1083276196/", 1083276196)</f>
        <v>1083276196</v>
      </c>
      <c r="D4101" t="s">
        <v>3388</v>
      </c>
      <c r="E4101">
        <v>-9478.34</v>
      </c>
      <c r="F4101">
        <v>-1.04</v>
      </c>
      <c r="G4101" t="s">
        <v>12</v>
      </c>
      <c r="I4101" t="s">
        <v>1428</v>
      </c>
    </row>
    <row r="4102" spans="1:9" hidden="1" x14ac:dyDescent="0.25">
      <c r="A4102" t="s">
        <v>3276</v>
      </c>
      <c r="B4102" t="s">
        <v>766</v>
      </c>
      <c r="C4102" s="2">
        <f>HYPERLINK("https://cao.dolgi.msk.ru/account/1083276209/", 1083276209)</f>
        <v>1083276209</v>
      </c>
      <c r="D4102" t="s">
        <v>3389</v>
      </c>
      <c r="E4102">
        <v>-6072.48</v>
      </c>
      <c r="F4102">
        <v>-1.03</v>
      </c>
      <c r="G4102" t="s">
        <v>12</v>
      </c>
      <c r="I4102" t="s">
        <v>1428</v>
      </c>
    </row>
    <row r="4103" spans="1:9" hidden="1" x14ac:dyDescent="0.25">
      <c r="A4103" t="s">
        <v>3276</v>
      </c>
      <c r="B4103" t="s">
        <v>768</v>
      </c>
      <c r="C4103" s="2">
        <f>HYPERLINK("https://cao.dolgi.msk.ru/account/1083276217/", 1083276217)</f>
        <v>1083276217</v>
      </c>
      <c r="D4103" t="s">
        <v>3390</v>
      </c>
      <c r="E4103">
        <v>-5517.3</v>
      </c>
      <c r="F4103">
        <v>-1.02</v>
      </c>
      <c r="G4103" t="s">
        <v>12</v>
      </c>
      <c r="I4103" t="s">
        <v>1428</v>
      </c>
    </row>
    <row r="4104" spans="1:9" hidden="1" x14ac:dyDescent="0.25">
      <c r="A4104" t="s">
        <v>3276</v>
      </c>
      <c r="B4104" t="s">
        <v>770</v>
      </c>
      <c r="C4104" s="2">
        <f>HYPERLINK("https://cao.dolgi.msk.ru/account/1083276225/", 1083276225)</f>
        <v>1083276225</v>
      </c>
      <c r="D4104" t="s">
        <v>3390</v>
      </c>
      <c r="E4104">
        <v>-112.28</v>
      </c>
      <c r="F4104">
        <v>-0.01</v>
      </c>
      <c r="G4104" t="s">
        <v>12</v>
      </c>
      <c r="I4104" t="s">
        <v>1428</v>
      </c>
    </row>
    <row r="4105" spans="1:9" hidden="1" x14ac:dyDescent="0.25">
      <c r="A4105" t="s">
        <v>3276</v>
      </c>
      <c r="B4105" t="s">
        <v>772</v>
      </c>
      <c r="C4105" s="2">
        <f>HYPERLINK("https://cao.dolgi.msk.ru/account/1083276233/", 1083276233)</f>
        <v>1083276233</v>
      </c>
      <c r="D4105" t="s">
        <v>3391</v>
      </c>
      <c r="E4105">
        <v>-2951.27</v>
      </c>
      <c r="F4105">
        <v>-1.01</v>
      </c>
      <c r="G4105" t="s">
        <v>12</v>
      </c>
      <c r="H4105" t="s">
        <v>7</v>
      </c>
      <c r="I4105" t="s">
        <v>1428</v>
      </c>
    </row>
    <row r="4106" spans="1:9" hidden="1" x14ac:dyDescent="0.25">
      <c r="A4106" t="s">
        <v>3276</v>
      </c>
      <c r="B4106" t="s">
        <v>772</v>
      </c>
      <c r="C4106" s="2">
        <f>HYPERLINK("https://cao.dolgi.msk.ru/account/1083277738/", 1083277738)</f>
        <v>1083277738</v>
      </c>
      <c r="D4106" t="s">
        <v>3391</v>
      </c>
      <c r="E4106">
        <v>-3601.23</v>
      </c>
      <c r="F4106">
        <v>-1</v>
      </c>
      <c r="G4106" t="s">
        <v>12</v>
      </c>
      <c r="H4106" t="s">
        <v>7</v>
      </c>
      <c r="I4106" t="s">
        <v>1428</v>
      </c>
    </row>
    <row r="4107" spans="1:9" hidden="1" x14ac:dyDescent="0.25">
      <c r="A4107" t="s">
        <v>3276</v>
      </c>
      <c r="B4107" t="s">
        <v>774</v>
      </c>
      <c r="C4107" s="2">
        <f>HYPERLINK("https://cao.dolgi.msk.ru/account/1083276241/", 1083276241)</f>
        <v>1083276241</v>
      </c>
      <c r="D4107" t="s">
        <v>3392</v>
      </c>
      <c r="E4107">
        <v>260.58999999999997</v>
      </c>
      <c r="F4107">
        <v>0.03</v>
      </c>
      <c r="G4107" t="s">
        <v>12</v>
      </c>
      <c r="I4107" t="s">
        <v>1428</v>
      </c>
    </row>
    <row r="4108" spans="1:9" hidden="1" x14ac:dyDescent="0.25">
      <c r="A4108" t="s">
        <v>3276</v>
      </c>
      <c r="B4108" t="s">
        <v>776</v>
      </c>
      <c r="C4108" s="2">
        <f>HYPERLINK("https://cao.dolgi.msk.ru/account/1083276268/", 1083276268)</f>
        <v>1083276268</v>
      </c>
      <c r="D4108" t="s">
        <v>3393</v>
      </c>
      <c r="E4108">
        <v>-9065.93</v>
      </c>
      <c r="F4108">
        <v>-0.99</v>
      </c>
      <c r="G4108" t="s">
        <v>12</v>
      </c>
      <c r="I4108" t="s">
        <v>1428</v>
      </c>
    </row>
    <row r="4109" spans="1:9" hidden="1" x14ac:dyDescent="0.25">
      <c r="A4109" t="s">
        <v>3276</v>
      </c>
      <c r="B4109" t="s">
        <v>778</v>
      </c>
      <c r="C4109" s="2">
        <f>HYPERLINK("https://cao.dolgi.msk.ru/account/1083276276/", 1083276276)</f>
        <v>1083276276</v>
      </c>
      <c r="D4109" t="s">
        <v>3394</v>
      </c>
      <c r="E4109">
        <v>-3990.67</v>
      </c>
      <c r="F4109">
        <v>-1.02</v>
      </c>
      <c r="G4109" t="s">
        <v>12</v>
      </c>
      <c r="I4109" t="s">
        <v>1428</v>
      </c>
    </row>
    <row r="4110" spans="1:9" hidden="1" x14ac:dyDescent="0.25">
      <c r="A4110" t="s">
        <v>3276</v>
      </c>
      <c r="B4110" t="s">
        <v>780</v>
      </c>
      <c r="C4110" s="2">
        <f>HYPERLINK("https://cao.dolgi.msk.ru/account/1083276284/", 1083276284)</f>
        <v>1083276284</v>
      </c>
      <c r="D4110" t="s">
        <v>3395</v>
      </c>
      <c r="E4110">
        <v>-6397.64</v>
      </c>
      <c r="F4110">
        <v>-1.03</v>
      </c>
      <c r="G4110" t="s">
        <v>12</v>
      </c>
      <c r="I4110" t="s">
        <v>1428</v>
      </c>
    </row>
    <row r="4111" spans="1:9" hidden="1" x14ac:dyDescent="0.25">
      <c r="A4111" t="s">
        <v>3276</v>
      </c>
      <c r="B4111" t="s">
        <v>781</v>
      </c>
      <c r="C4111" s="2">
        <f>HYPERLINK("https://cao.dolgi.msk.ru/account/1083276292/", 1083276292)</f>
        <v>1083276292</v>
      </c>
      <c r="D4111" t="s">
        <v>3396</v>
      </c>
      <c r="E4111">
        <v>-6617.63</v>
      </c>
      <c r="F4111">
        <v>-1.1200000000000001</v>
      </c>
      <c r="G4111" t="s">
        <v>12</v>
      </c>
      <c r="I4111" t="s">
        <v>1428</v>
      </c>
    </row>
    <row r="4112" spans="1:9" hidden="1" x14ac:dyDescent="0.25">
      <c r="A4112" t="s">
        <v>3276</v>
      </c>
      <c r="B4112" t="s">
        <v>782</v>
      </c>
      <c r="C4112" s="2">
        <f>HYPERLINK("https://cao.dolgi.msk.ru/account/1083276305/", 1083276305)</f>
        <v>1083276305</v>
      </c>
      <c r="D4112" t="s">
        <v>3397</v>
      </c>
      <c r="E4112">
        <v>-6299.26</v>
      </c>
      <c r="F4112">
        <v>-0.95</v>
      </c>
      <c r="G4112" t="s">
        <v>12</v>
      </c>
      <c r="I4112" t="s">
        <v>1428</v>
      </c>
    </row>
    <row r="4113" spans="1:9" hidden="1" x14ac:dyDescent="0.25">
      <c r="A4113" t="s">
        <v>3276</v>
      </c>
      <c r="B4113" t="s">
        <v>784</v>
      </c>
      <c r="C4113" s="2">
        <f>HYPERLINK("https://cao.dolgi.msk.ru/account/1083276313/", 1083276313)</f>
        <v>1083276313</v>
      </c>
      <c r="D4113" t="s">
        <v>3398</v>
      </c>
      <c r="E4113">
        <v>-5663.05</v>
      </c>
      <c r="F4113">
        <v>-0.96</v>
      </c>
      <c r="G4113" t="s">
        <v>12</v>
      </c>
      <c r="I4113" t="s">
        <v>1428</v>
      </c>
    </row>
    <row r="4114" spans="1:9" hidden="1" x14ac:dyDescent="0.25">
      <c r="A4114" t="s">
        <v>3276</v>
      </c>
      <c r="B4114" t="s">
        <v>786</v>
      </c>
      <c r="C4114" s="2">
        <f>HYPERLINK("https://cao.dolgi.msk.ru/account/1083276321/", 1083276321)</f>
        <v>1083276321</v>
      </c>
      <c r="D4114" t="s">
        <v>3399</v>
      </c>
      <c r="E4114">
        <v>-8490.0400000000009</v>
      </c>
      <c r="F4114">
        <v>-1.05</v>
      </c>
      <c r="G4114" t="s">
        <v>12</v>
      </c>
      <c r="I4114" t="s">
        <v>1428</v>
      </c>
    </row>
    <row r="4115" spans="1:9" hidden="1" x14ac:dyDescent="0.25">
      <c r="A4115" t="s">
        <v>3276</v>
      </c>
      <c r="B4115" t="s">
        <v>788</v>
      </c>
      <c r="C4115" s="2">
        <f>HYPERLINK("https://cao.dolgi.msk.ru/account/1083276348/", 1083276348)</f>
        <v>1083276348</v>
      </c>
      <c r="D4115" t="s">
        <v>3400</v>
      </c>
      <c r="E4115">
        <v>-6292.9</v>
      </c>
      <c r="F4115">
        <v>-1.03</v>
      </c>
      <c r="G4115" t="s">
        <v>12</v>
      </c>
      <c r="I4115" t="s">
        <v>1428</v>
      </c>
    </row>
    <row r="4116" spans="1:9" hidden="1" x14ac:dyDescent="0.25">
      <c r="A4116" t="s">
        <v>3276</v>
      </c>
      <c r="B4116" t="s">
        <v>789</v>
      </c>
      <c r="C4116" s="2">
        <f>HYPERLINK("https://cao.dolgi.msk.ru/account/1083276356/", 1083276356)</f>
        <v>1083276356</v>
      </c>
      <c r="D4116" t="s">
        <v>3401</v>
      </c>
      <c r="E4116">
        <v>0</v>
      </c>
      <c r="F4116">
        <v>0</v>
      </c>
      <c r="G4116" t="s">
        <v>12</v>
      </c>
      <c r="I4116" t="s">
        <v>1428</v>
      </c>
    </row>
    <row r="4117" spans="1:9" hidden="1" x14ac:dyDescent="0.25">
      <c r="A4117" t="s">
        <v>3276</v>
      </c>
      <c r="B4117" t="s">
        <v>790</v>
      </c>
      <c r="C4117" s="2">
        <f>HYPERLINK("https://cao.dolgi.msk.ru/account/1083276364/", 1083276364)</f>
        <v>1083276364</v>
      </c>
      <c r="D4117" t="s">
        <v>3402</v>
      </c>
      <c r="E4117">
        <v>-5172.96</v>
      </c>
      <c r="F4117">
        <v>-1.04</v>
      </c>
      <c r="G4117" t="s">
        <v>12</v>
      </c>
      <c r="I4117" t="s">
        <v>1428</v>
      </c>
    </row>
    <row r="4118" spans="1:9" hidden="1" x14ac:dyDescent="0.25">
      <c r="A4118" t="s">
        <v>3276</v>
      </c>
      <c r="B4118" t="s">
        <v>792</v>
      </c>
      <c r="C4118" s="2">
        <f>HYPERLINK("https://cao.dolgi.msk.ru/account/1083276372/", 1083276372)</f>
        <v>1083276372</v>
      </c>
      <c r="D4118" t="s">
        <v>3403</v>
      </c>
      <c r="E4118">
        <v>-8138.43</v>
      </c>
      <c r="F4118">
        <v>-1.03</v>
      </c>
      <c r="G4118" t="s">
        <v>12</v>
      </c>
      <c r="I4118" t="s">
        <v>1428</v>
      </c>
    </row>
    <row r="4119" spans="1:9" hidden="1" x14ac:dyDescent="0.25">
      <c r="A4119" t="s">
        <v>3276</v>
      </c>
      <c r="B4119" t="s">
        <v>794</v>
      </c>
      <c r="C4119" s="2">
        <f>HYPERLINK("https://cao.dolgi.msk.ru/account/1083276399/", 1083276399)</f>
        <v>1083276399</v>
      </c>
      <c r="D4119" t="s">
        <v>3404</v>
      </c>
      <c r="E4119">
        <v>0</v>
      </c>
      <c r="G4119" t="s">
        <v>14</v>
      </c>
      <c r="I4119" t="s">
        <v>1428</v>
      </c>
    </row>
    <row r="4120" spans="1:9" hidden="1" x14ac:dyDescent="0.25">
      <c r="A4120" t="s">
        <v>3276</v>
      </c>
      <c r="B4120" t="s">
        <v>794</v>
      </c>
      <c r="C4120" s="2">
        <f>HYPERLINK("https://cao.dolgi.msk.ru/account/1083277746/", 1083277746)</f>
        <v>1083277746</v>
      </c>
      <c r="D4120" t="s">
        <v>3404</v>
      </c>
      <c r="E4120">
        <v>-4908.91</v>
      </c>
      <c r="F4120">
        <v>-0.97</v>
      </c>
      <c r="G4120" t="s">
        <v>12</v>
      </c>
      <c r="I4120" t="s">
        <v>1428</v>
      </c>
    </row>
    <row r="4121" spans="1:9" hidden="1" x14ac:dyDescent="0.25">
      <c r="A4121" t="s">
        <v>3276</v>
      </c>
      <c r="B4121" t="s">
        <v>796</v>
      </c>
      <c r="C4121" s="2">
        <f>HYPERLINK("https://cao.dolgi.msk.ru/account/1083276401/", 1083276401)</f>
        <v>1083276401</v>
      </c>
      <c r="D4121" t="s">
        <v>3405</v>
      </c>
      <c r="E4121">
        <v>-10436.459999999999</v>
      </c>
      <c r="F4121">
        <v>-1.05</v>
      </c>
      <c r="G4121" t="s">
        <v>12</v>
      </c>
      <c r="I4121" t="s">
        <v>1428</v>
      </c>
    </row>
    <row r="4122" spans="1:9" hidden="1" x14ac:dyDescent="0.25">
      <c r="A4122" t="s">
        <v>3276</v>
      </c>
      <c r="B4122" t="s">
        <v>798</v>
      </c>
      <c r="C4122" s="2">
        <f>HYPERLINK("https://cao.dolgi.msk.ru/account/1083276428/", 1083276428)</f>
        <v>1083276428</v>
      </c>
      <c r="D4122" t="s">
        <v>15</v>
      </c>
      <c r="E4122">
        <v>-10914.72</v>
      </c>
      <c r="F4122">
        <v>-1.03</v>
      </c>
      <c r="G4122" t="s">
        <v>12</v>
      </c>
      <c r="I4122" t="s">
        <v>1428</v>
      </c>
    </row>
    <row r="4123" spans="1:9" hidden="1" x14ac:dyDescent="0.25">
      <c r="A4123" t="s">
        <v>3276</v>
      </c>
      <c r="B4123" t="s">
        <v>800</v>
      </c>
      <c r="C4123" s="2">
        <f>HYPERLINK("https://cao.dolgi.msk.ru/account/1083276436/", 1083276436)</f>
        <v>1083276436</v>
      </c>
      <c r="D4123" t="s">
        <v>3406</v>
      </c>
      <c r="E4123">
        <v>-7684.5</v>
      </c>
      <c r="F4123">
        <v>-1.76</v>
      </c>
      <c r="G4123" t="s">
        <v>12</v>
      </c>
      <c r="I4123" t="s">
        <v>1428</v>
      </c>
    </row>
    <row r="4124" spans="1:9" hidden="1" x14ac:dyDescent="0.25">
      <c r="A4124" t="s">
        <v>3276</v>
      </c>
      <c r="B4124" t="s">
        <v>802</v>
      </c>
      <c r="C4124" s="2">
        <f>HYPERLINK("https://cao.dolgi.msk.ru/account/1083276444/", 1083276444)</f>
        <v>1083276444</v>
      </c>
      <c r="D4124" t="s">
        <v>3407</v>
      </c>
      <c r="E4124">
        <v>-4435.17</v>
      </c>
      <c r="F4124">
        <v>-1.01</v>
      </c>
      <c r="G4124" t="s">
        <v>12</v>
      </c>
      <c r="I4124" t="s">
        <v>1428</v>
      </c>
    </row>
    <row r="4125" spans="1:9" hidden="1" x14ac:dyDescent="0.25">
      <c r="A4125" t="s">
        <v>3276</v>
      </c>
      <c r="B4125" t="s">
        <v>802</v>
      </c>
      <c r="C4125" s="2">
        <f>HYPERLINK("https://cao.dolgi.msk.ru/account/1083278263/", 1083278263)</f>
        <v>1083278263</v>
      </c>
      <c r="D4125" t="s">
        <v>15</v>
      </c>
      <c r="E4125">
        <v>-2387.15</v>
      </c>
      <c r="F4125">
        <v>-1</v>
      </c>
      <c r="G4125" t="s">
        <v>12</v>
      </c>
      <c r="I4125" t="s">
        <v>1428</v>
      </c>
    </row>
    <row r="4126" spans="1:9" hidden="1" x14ac:dyDescent="0.25">
      <c r="A4126" t="s">
        <v>3276</v>
      </c>
      <c r="B4126" t="s">
        <v>804</v>
      </c>
      <c r="C4126" s="2">
        <f>HYPERLINK("https://cao.dolgi.msk.ru/account/1083276452/", 1083276452)</f>
        <v>1083276452</v>
      </c>
      <c r="D4126" t="s">
        <v>3408</v>
      </c>
      <c r="E4126">
        <v>-7049.67</v>
      </c>
      <c r="F4126">
        <v>-1.01</v>
      </c>
      <c r="G4126" t="s">
        <v>12</v>
      </c>
      <c r="I4126" t="s">
        <v>1428</v>
      </c>
    </row>
    <row r="4127" spans="1:9" hidden="1" x14ac:dyDescent="0.25">
      <c r="A4127" t="s">
        <v>3276</v>
      </c>
      <c r="B4127" t="s">
        <v>806</v>
      </c>
      <c r="C4127" s="2">
        <f>HYPERLINK("https://cao.dolgi.msk.ru/account/1083276479/", 1083276479)</f>
        <v>1083276479</v>
      </c>
      <c r="D4127" t="s">
        <v>3409</v>
      </c>
      <c r="E4127">
        <v>-4259.67</v>
      </c>
      <c r="F4127">
        <v>-1.01</v>
      </c>
      <c r="G4127" t="s">
        <v>12</v>
      </c>
      <c r="I4127" t="s">
        <v>1428</v>
      </c>
    </row>
    <row r="4128" spans="1:9" hidden="1" x14ac:dyDescent="0.25">
      <c r="A4128" t="s">
        <v>3276</v>
      </c>
      <c r="B4128" t="s">
        <v>808</v>
      </c>
      <c r="C4128" s="2">
        <f>HYPERLINK("https://cao.dolgi.msk.ru/account/1083276487/", 1083276487)</f>
        <v>1083276487</v>
      </c>
      <c r="D4128" t="s">
        <v>3410</v>
      </c>
      <c r="E4128">
        <v>-2228.6999999999998</v>
      </c>
      <c r="F4128">
        <v>-0.15</v>
      </c>
      <c r="G4128" t="s">
        <v>12</v>
      </c>
      <c r="I4128" t="s">
        <v>1428</v>
      </c>
    </row>
    <row r="4129" spans="1:9" x14ac:dyDescent="0.25">
      <c r="A4129" t="s">
        <v>3276</v>
      </c>
      <c r="B4129" t="s">
        <v>810</v>
      </c>
      <c r="C4129" s="2">
        <f>HYPERLINK("https://cao.dolgi.msk.ru/account/1083276495/", 1083276495)</f>
        <v>1083276495</v>
      </c>
      <c r="D4129" t="s">
        <v>15</v>
      </c>
      <c r="E4129">
        <v>8321.68</v>
      </c>
      <c r="F4129">
        <v>1.04</v>
      </c>
      <c r="G4129" t="s">
        <v>12</v>
      </c>
      <c r="I4129" t="s">
        <v>1428</v>
      </c>
    </row>
    <row r="4130" spans="1:9" hidden="1" x14ac:dyDescent="0.25">
      <c r="A4130" t="s">
        <v>3276</v>
      </c>
      <c r="B4130" t="s">
        <v>812</v>
      </c>
      <c r="C4130" s="2">
        <f>HYPERLINK("https://cao.dolgi.msk.ru/account/1083276508/", 1083276508)</f>
        <v>1083276508</v>
      </c>
      <c r="D4130" t="s">
        <v>3411</v>
      </c>
      <c r="E4130">
        <v>-3503.72</v>
      </c>
      <c r="F4130">
        <v>-1.02</v>
      </c>
      <c r="G4130" t="s">
        <v>12</v>
      </c>
      <c r="I4130" t="s">
        <v>1428</v>
      </c>
    </row>
    <row r="4131" spans="1:9" hidden="1" x14ac:dyDescent="0.25">
      <c r="A4131" t="s">
        <v>3276</v>
      </c>
      <c r="B4131" t="s">
        <v>814</v>
      </c>
      <c r="C4131" s="2">
        <f>HYPERLINK("https://cao.dolgi.msk.ru/account/1083276516/", 1083276516)</f>
        <v>1083276516</v>
      </c>
      <c r="D4131" t="s">
        <v>3412</v>
      </c>
      <c r="E4131">
        <v>-4555.25</v>
      </c>
      <c r="F4131">
        <v>-0.99</v>
      </c>
      <c r="G4131" t="s">
        <v>12</v>
      </c>
      <c r="I4131" t="s">
        <v>1428</v>
      </c>
    </row>
    <row r="4132" spans="1:9" hidden="1" x14ac:dyDescent="0.25">
      <c r="A4132" t="s">
        <v>3276</v>
      </c>
      <c r="B4132" t="s">
        <v>816</v>
      </c>
      <c r="C4132" s="2">
        <f>HYPERLINK("https://cao.dolgi.msk.ru/account/1083276524/", 1083276524)</f>
        <v>1083276524</v>
      </c>
      <c r="D4132" t="s">
        <v>3413</v>
      </c>
      <c r="E4132">
        <v>8742.56</v>
      </c>
      <c r="F4132">
        <v>1</v>
      </c>
      <c r="G4132" t="s">
        <v>12</v>
      </c>
      <c r="I4132" t="s">
        <v>1428</v>
      </c>
    </row>
    <row r="4133" spans="1:9" hidden="1" x14ac:dyDescent="0.25">
      <c r="A4133" t="s">
        <v>3276</v>
      </c>
      <c r="B4133" t="s">
        <v>818</v>
      </c>
      <c r="C4133" s="2">
        <f>HYPERLINK("https://cao.dolgi.msk.ru/account/1083276532/", 1083276532)</f>
        <v>1083276532</v>
      </c>
      <c r="D4133" t="s">
        <v>15</v>
      </c>
      <c r="E4133">
        <v>-5807.46</v>
      </c>
      <c r="F4133">
        <v>-1.04</v>
      </c>
      <c r="G4133" t="s">
        <v>12</v>
      </c>
      <c r="I4133" t="s">
        <v>1428</v>
      </c>
    </row>
    <row r="4134" spans="1:9" hidden="1" x14ac:dyDescent="0.25">
      <c r="A4134" t="s">
        <v>3276</v>
      </c>
      <c r="B4134" t="s">
        <v>820</v>
      </c>
      <c r="C4134" s="2">
        <f>HYPERLINK("https://cao.dolgi.msk.ru/account/1083276559/", 1083276559)</f>
        <v>1083276559</v>
      </c>
      <c r="D4134" t="s">
        <v>3414</v>
      </c>
      <c r="E4134">
        <v>-9192.8700000000008</v>
      </c>
      <c r="F4134">
        <v>-1.03</v>
      </c>
      <c r="G4134" t="s">
        <v>12</v>
      </c>
      <c r="I4134" t="s">
        <v>1428</v>
      </c>
    </row>
    <row r="4135" spans="1:9" hidden="1" x14ac:dyDescent="0.25">
      <c r="A4135" t="s">
        <v>3276</v>
      </c>
      <c r="B4135" t="s">
        <v>822</v>
      </c>
      <c r="C4135" s="2">
        <f>HYPERLINK("https://cao.dolgi.msk.ru/account/1083276567/", 1083276567)</f>
        <v>1083276567</v>
      </c>
      <c r="D4135" t="s">
        <v>3415</v>
      </c>
      <c r="E4135">
        <v>-10301.85</v>
      </c>
      <c r="F4135">
        <v>-1.03</v>
      </c>
      <c r="G4135" t="s">
        <v>12</v>
      </c>
      <c r="I4135" t="s">
        <v>1428</v>
      </c>
    </row>
    <row r="4136" spans="1:9" x14ac:dyDescent="0.25">
      <c r="A4136" t="s">
        <v>3276</v>
      </c>
      <c r="B4136" t="s">
        <v>824</v>
      </c>
      <c r="C4136" s="2">
        <f>HYPERLINK("https://cao.dolgi.msk.ru/account/1083276575/", 1083276575)</f>
        <v>1083276575</v>
      </c>
      <c r="D4136" t="s">
        <v>3416</v>
      </c>
      <c r="E4136">
        <v>118157.32</v>
      </c>
      <c r="F4136">
        <v>19.39</v>
      </c>
      <c r="G4136" t="s">
        <v>12</v>
      </c>
      <c r="I4136" t="s">
        <v>1428</v>
      </c>
    </row>
    <row r="4137" spans="1:9" hidden="1" x14ac:dyDescent="0.25">
      <c r="A4137" t="s">
        <v>3276</v>
      </c>
      <c r="B4137" t="s">
        <v>826</v>
      </c>
      <c r="C4137" s="2">
        <f>HYPERLINK("https://cao.dolgi.msk.ru/account/1083276583/", 1083276583)</f>
        <v>1083276583</v>
      </c>
      <c r="D4137" t="s">
        <v>3417</v>
      </c>
      <c r="E4137">
        <v>-6831.33</v>
      </c>
      <c r="F4137">
        <v>-1.07</v>
      </c>
      <c r="G4137" t="s">
        <v>12</v>
      </c>
      <c r="I4137" t="s">
        <v>1428</v>
      </c>
    </row>
    <row r="4138" spans="1:9" hidden="1" x14ac:dyDescent="0.25">
      <c r="A4138" t="s">
        <v>3276</v>
      </c>
      <c r="B4138" t="s">
        <v>828</v>
      </c>
      <c r="C4138" s="2">
        <f>HYPERLINK("https://cao.dolgi.msk.ru/account/1083276591/", 1083276591)</f>
        <v>1083276591</v>
      </c>
      <c r="D4138" t="s">
        <v>3418</v>
      </c>
      <c r="E4138">
        <v>0</v>
      </c>
      <c r="F4138">
        <v>0</v>
      </c>
      <c r="G4138" t="s">
        <v>12</v>
      </c>
      <c r="I4138" t="s">
        <v>1428</v>
      </c>
    </row>
    <row r="4139" spans="1:9" hidden="1" x14ac:dyDescent="0.25">
      <c r="A4139" t="s">
        <v>3276</v>
      </c>
      <c r="B4139" t="s">
        <v>830</v>
      </c>
      <c r="C4139" s="2">
        <f>HYPERLINK("https://cao.dolgi.msk.ru/account/1083276604/", 1083276604)</f>
        <v>1083276604</v>
      </c>
      <c r="D4139" t="s">
        <v>3419</v>
      </c>
      <c r="E4139">
        <v>-5593.06</v>
      </c>
      <c r="F4139">
        <v>-1.03</v>
      </c>
      <c r="G4139" t="s">
        <v>12</v>
      </c>
      <c r="I4139" t="s">
        <v>1428</v>
      </c>
    </row>
    <row r="4140" spans="1:9" hidden="1" x14ac:dyDescent="0.25">
      <c r="A4140" t="s">
        <v>3276</v>
      </c>
      <c r="B4140" t="s">
        <v>831</v>
      </c>
      <c r="C4140" s="2">
        <f>HYPERLINK("https://cao.dolgi.msk.ru/account/1083276612/", 1083276612)</f>
        <v>1083276612</v>
      </c>
      <c r="D4140" t="s">
        <v>3420</v>
      </c>
      <c r="E4140">
        <v>-10975.9</v>
      </c>
      <c r="F4140">
        <v>-1.03</v>
      </c>
      <c r="G4140" t="s">
        <v>12</v>
      </c>
      <c r="I4140" t="s">
        <v>1428</v>
      </c>
    </row>
    <row r="4141" spans="1:9" hidden="1" x14ac:dyDescent="0.25">
      <c r="A4141" t="s">
        <v>3276</v>
      </c>
      <c r="B4141" t="s">
        <v>833</v>
      </c>
      <c r="C4141" s="2">
        <f>HYPERLINK("https://cao.dolgi.msk.ru/account/1083276639/", 1083276639)</f>
        <v>1083276639</v>
      </c>
      <c r="D4141" t="s">
        <v>3421</v>
      </c>
      <c r="E4141">
        <v>-8599.98</v>
      </c>
      <c r="F4141">
        <v>-1.07</v>
      </c>
      <c r="G4141" t="s">
        <v>12</v>
      </c>
      <c r="I4141" t="s">
        <v>1428</v>
      </c>
    </row>
    <row r="4142" spans="1:9" hidden="1" x14ac:dyDescent="0.25">
      <c r="A4142" t="s">
        <v>3276</v>
      </c>
      <c r="B4142" t="s">
        <v>835</v>
      </c>
      <c r="C4142" s="2">
        <f>HYPERLINK("https://cao.dolgi.msk.ru/account/1083276647/", 1083276647)</f>
        <v>1083276647</v>
      </c>
      <c r="D4142" t="s">
        <v>15</v>
      </c>
      <c r="E4142">
        <v>-885.68</v>
      </c>
      <c r="F4142">
        <v>-0.22</v>
      </c>
      <c r="G4142" t="s">
        <v>12</v>
      </c>
      <c r="I4142" t="s">
        <v>1428</v>
      </c>
    </row>
    <row r="4143" spans="1:9" hidden="1" x14ac:dyDescent="0.25">
      <c r="A4143" t="s">
        <v>3276</v>
      </c>
      <c r="B4143" t="s">
        <v>837</v>
      </c>
      <c r="C4143" s="2">
        <f>HYPERLINK("https://cao.dolgi.msk.ru/account/1083276655/", 1083276655)</f>
        <v>1083276655</v>
      </c>
      <c r="D4143" t="s">
        <v>3422</v>
      </c>
      <c r="E4143">
        <v>-20609.66</v>
      </c>
      <c r="F4143">
        <v>-3.35</v>
      </c>
      <c r="G4143" t="s">
        <v>12</v>
      </c>
      <c r="I4143" t="s">
        <v>1428</v>
      </c>
    </row>
    <row r="4144" spans="1:9" hidden="1" x14ac:dyDescent="0.25">
      <c r="A4144" t="s">
        <v>3276</v>
      </c>
      <c r="B4144" t="s">
        <v>838</v>
      </c>
      <c r="C4144" s="2">
        <f>HYPERLINK("https://cao.dolgi.msk.ru/account/1083276663/", 1083276663)</f>
        <v>1083276663</v>
      </c>
      <c r="D4144" t="s">
        <v>15</v>
      </c>
      <c r="E4144">
        <v>-6579.71</v>
      </c>
      <c r="F4144">
        <v>-1.02</v>
      </c>
      <c r="G4144" t="s">
        <v>12</v>
      </c>
      <c r="I4144" t="s">
        <v>1428</v>
      </c>
    </row>
    <row r="4145" spans="1:9" hidden="1" x14ac:dyDescent="0.25">
      <c r="A4145" t="s">
        <v>3276</v>
      </c>
      <c r="B4145" t="s">
        <v>840</v>
      </c>
      <c r="C4145" s="2">
        <f>HYPERLINK("https://cao.dolgi.msk.ru/account/1083276671/", 1083276671)</f>
        <v>1083276671</v>
      </c>
      <c r="D4145" t="s">
        <v>3423</v>
      </c>
      <c r="E4145">
        <v>-4392.03</v>
      </c>
      <c r="F4145">
        <v>-1.07</v>
      </c>
      <c r="G4145" t="s">
        <v>12</v>
      </c>
      <c r="I4145" t="s">
        <v>1428</v>
      </c>
    </row>
    <row r="4146" spans="1:9" hidden="1" x14ac:dyDescent="0.25">
      <c r="A4146" t="s">
        <v>3276</v>
      </c>
      <c r="B4146" t="s">
        <v>842</v>
      </c>
      <c r="C4146" s="2">
        <f>HYPERLINK("https://cao.dolgi.msk.ru/account/1083276698/", 1083276698)</f>
        <v>1083276698</v>
      </c>
      <c r="D4146" t="s">
        <v>3424</v>
      </c>
      <c r="E4146">
        <v>-12007.26</v>
      </c>
      <c r="F4146">
        <v>-1.0900000000000001</v>
      </c>
      <c r="G4146" t="s">
        <v>12</v>
      </c>
      <c r="I4146" t="s">
        <v>1428</v>
      </c>
    </row>
    <row r="4147" spans="1:9" hidden="1" x14ac:dyDescent="0.25">
      <c r="A4147" t="s">
        <v>3276</v>
      </c>
      <c r="B4147" t="s">
        <v>846</v>
      </c>
      <c r="C4147" s="2">
        <f>HYPERLINK("https://cao.dolgi.msk.ru/account/1083276719/", 1083276719)</f>
        <v>1083276719</v>
      </c>
      <c r="D4147" t="s">
        <v>15</v>
      </c>
      <c r="E4147">
        <v>81.3</v>
      </c>
      <c r="F4147">
        <v>0.01</v>
      </c>
      <c r="G4147" t="s">
        <v>12</v>
      </c>
      <c r="I4147" t="s">
        <v>1428</v>
      </c>
    </row>
    <row r="4148" spans="1:9" x14ac:dyDescent="0.25">
      <c r="A4148" t="s">
        <v>3276</v>
      </c>
      <c r="B4148" t="s">
        <v>848</v>
      </c>
      <c r="C4148" s="2">
        <f>HYPERLINK("https://cao.dolgi.msk.ru/account/1083276807/", 1083276807)</f>
        <v>1083276807</v>
      </c>
      <c r="D4148" t="s">
        <v>3425</v>
      </c>
      <c r="E4148">
        <v>33747.19</v>
      </c>
      <c r="F4148">
        <v>4.01</v>
      </c>
      <c r="G4148" t="s">
        <v>12</v>
      </c>
      <c r="I4148" t="s">
        <v>1428</v>
      </c>
    </row>
    <row r="4149" spans="1:9" hidden="1" x14ac:dyDescent="0.25">
      <c r="A4149" t="s">
        <v>3276</v>
      </c>
      <c r="B4149" t="s">
        <v>850</v>
      </c>
      <c r="C4149" s="2">
        <f>HYPERLINK("https://cao.dolgi.msk.ru/account/1083276815/", 1083276815)</f>
        <v>1083276815</v>
      </c>
      <c r="D4149" t="s">
        <v>3426</v>
      </c>
      <c r="E4149">
        <v>-160.19999999999999</v>
      </c>
      <c r="F4149">
        <v>-0.03</v>
      </c>
      <c r="G4149" t="s">
        <v>12</v>
      </c>
      <c r="I4149" t="s">
        <v>1428</v>
      </c>
    </row>
    <row r="4150" spans="1:9" hidden="1" x14ac:dyDescent="0.25">
      <c r="A4150" t="s">
        <v>3276</v>
      </c>
      <c r="B4150" t="s">
        <v>852</v>
      </c>
      <c r="C4150" s="2">
        <f>HYPERLINK("https://cao.dolgi.msk.ru/account/1083276823/", 1083276823)</f>
        <v>1083276823</v>
      </c>
      <c r="D4150" t="s">
        <v>3427</v>
      </c>
      <c r="E4150">
        <v>7771.54</v>
      </c>
      <c r="F4150">
        <v>1</v>
      </c>
      <c r="G4150" t="s">
        <v>12</v>
      </c>
      <c r="I4150" t="s">
        <v>1428</v>
      </c>
    </row>
    <row r="4151" spans="1:9" hidden="1" x14ac:dyDescent="0.25">
      <c r="A4151" t="s">
        <v>3276</v>
      </c>
      <c r="B4151" t="s">
        <v>854</v>
      </c>
      <c r="C4151" s="2">
        <f>HYPERLINK("https://cao.dolgi.msk.ru/account/1083276866/", 1083276866)</f>
        <v>1083276866</v>
      </c>
      <c r="D4151" t="s">
        <v>3428</v>
      </c>
      <c r="E4151">
        <v>-9783.59</v>
      </c>
      <c r="F4151">
        <v>-0.96</v>
      </c>
      <c r="G4151" t="s">
        <v>12</v>
      </c>
      <c r="I4151" t="s">
        <v>1428</v>
      </c>
    </row>
    <row r="4152" spans="1:9" hidden="1" x14ac:dyDescent="0.25">
      <c r="A4152" t="s">
        <v>3276</v>
      </c>
      <c r="B4152" t="s">
        <v>856</v>
      </c>
      <c r="C4152" s="2">
        <f>HYPERLINK("https://cao.dolgi.msk.ru/account/1083276882/", 1083276882)</f>
        <v>1083276882</v>
      </c>
      <c r="D4152" t="s">
        <v>15</v>
      </c>
      <c r="E4152">
        <v>-8088.23</v>
      </c>
      <c r="F4152">
        <v>-0.98</v>
      </c>
      <c r="G4152" t="s">
        <v>12</v>
      </c>
      <c r="I4152" t="s">
        <v>1428</v>
      </c>
    </row>
    <row r="4153" spans="1:9" hidden="1" x14ac:dyDescent="0.25">
      <c r="A4153" t="s">
        <v>3276</v>
      </c>
      <c r="B4153" t="s">
        <v>858</v>
      </c>
      <c r="C4153" s="2">
        <f>HYPERLINK("https://cao.dolgi.msk.ru/account/1083276911/", 1083276911)</f>
        <v>1083276911</v>
      </c>
      <c r="D4153" t="s">
        <v>3429</v>
      </c>
      <c r="E4153">
        <v>-4387.59</v>
      </c>
      <c r="F4153">
        <v>-0.94</v>
      </c>
      <c r="G4153" t="s">
        <v>12</v>
      </c>
      <c r="I4153" t="s">
        <v>1428</v>
      </c>
    </row>
    <row r="4154" spans="1:9" hidden="1" x14ac:dyDescent="0.25">
      <c r="A4154" t="s">
        <v>3276</v>
      </c>
      <c r="B4154" t="s">
        <v>860</v>
      </c>
      <c r="C4154" s="2">
        <f>HYPERLINK("https://cao.dolgi.msk.ru/account/1083276946/", 1083276946)</f>
        <v>1083276946</v>
      </c>
      <c r="D4154" t="s">
        <v>3430</v>
      </c>
      <c r="E4154">
        <v>-4481.2700000000004</v>
      </c>
      <c r="F4154">
        <v>-1.02</v>
      </c>
      <c r="G4154" t="s">
        <v>12</v>
      </c>
      <c r="I4154" t="s">
        <v>1428</v>
      </c>
    </row>
    <row r="4155" spans="1:9" hidden="1" x14ac:dyDescent="0.25">
      <c r="A4155" t="s">
        <v>3276</v>
      </c>
      <c r="B4155" t="s">
        <v>862</v>
      </c>
      <c r="C4155" s="2">
        <f>HYPERLINK("https://cao.dolgi.msk.ru/account/1083276962/", 1083276962)</f>
        <v>1083276962</v>
      </c>
      <c r="D4155" t="s">
        <v>3431</v>
      </c>
      <c r="E4155">
        <v>-3.28</v>
      </c>
      <c r="F4155">
        <v>0</v>
      </c>
      <c r="G4155" t="s">
        <v>12</v>
      </c>
      <c r="I4155" t="s">
        <v>1428</v>
      </c>
    </row>
    <row r="4156" spans="1:9" hidden="1" x14ac:dyDescent="0.25">
      <c r="A4156" t="s">
        <v>3276</v>
      </c>
      <c r="B4156" t="s">
        <v>864</v>
      </c>
      <c r="C4156" s="2">
        <f>HYPERLINK("https://cao.dolgi.msk.ru/account/1083276997/", 1083276997)</f>
        <v>1083276997</v>
      </c>
      <c r="D4156" t="s">
        <v>3432</v>
      </c>
      <c r="E4156">
        <v>-9669.61</v>
      </c>
      <c r="F4156">
        <v>-1.03</v>
      </c>
      <c r="G4156" t="s">
        <v>12</v>
      </c>
      <c r="I4156" t="s">
        <v>1428</v>
      </c>
    </row>
    <row r="4157" spans="1:9" hidden="1" x14ac:dyDescent="0.25">
      <c r="A4157" t="s">
        <v>3276</v>
      </c>
      <c r="B4157" t="s">
        <v>866</v>
      </c>
      <c r="C4157" s="2">
        <f>HYPERLINK("https://cao.dolgi.msk.ru/account/1083277172/", 1083277172)</f>
        <v>1083277172</v>
      </c>
      <c r="D4157" t="s">
        <v>3433</v>
      </c>
      <c r="E4157">
        <v>-5511.63</v>
      </c>
      <c r="F4157">
        <v>-1.03</v>
      </c>
      <c r="G4157" t="s">
        <v>12</v>
      </c>
      <c r="H4157" t="s">
        <v>7</v>
      </c>
      <c r="I4157" t="s">
        <v>1428</v>
      </c>
    </row>
    <row r="4158" spans="1:9" hidden="1" x14ac:dyDescent="0.25">
      <c r="A4158" t="s">
        <v>3276</v>
      </c>
      <c r="B4158" t="s">
        <v>866</v>
      </c>
      <c r="C4158" s="2">
        <f>HYPERLINK("https://cao.dolgi.msk.ru/account/1083277762/", 1083277762)</f>
        <v>1083277762</v>
      </c>
      <c r="D4158" t="s">
        <v>3433</v>
      </c>
      <c r="E4158">
        <v>-13.17</v>
      </c>
      <c r="F4158">
        <v>0</v>
      </c>
      <c r="G4158" t="s">
        <v>12</v>
      </c>
      <c r="H4158" t="s">
        <v>7</v>
      </c>
      <c r="I4158" t="s">
        <v>1428</v>
      </c>
    </row>
    <row r="4159" spans="1:9" hidden="1" x14ac:dyDescent="0.25">
      <c r="A4159" t="s">
        <v>3276</v>
      </c>
      <c r="B4159" t="s">
        <v>868</v>
      </c>
      <c r="C4159" s="2">
        <f>HYPERLINK("https://cao.dolgi.msk.ru/account/1083277199/", 1083277199)</f>
        <v>1083277199</v>
      </c>
      <c r="D4159" t="s">
        <v>3434</v>
      </c>
      <c r="E4159">
        <v>-8638.2800000000007</v>
      </c>
      <c r="F4159">
        <v>-1.03</v>
      </c>
      <c r="G4159" t="s">
        <v>12</v>
      </c>
      <c r="I4159" t="s">
        <v>1428</v>
      </c>
    </row>
    <row r="4160" spans="1:9" hidden="1" x14ac:dyDescent="0.25">
      <c r="A4160" t="s">
        <v>3276</v>
      </c>
      <c r="B4160" t="s">
        <v>3435</v>
      </c>
      <c r="C4160" s="2">
        <f>HYPERLINK("https://cao.dolgi.msk.ru/account/1083277228/", 1083277228)</f>
        <v>1083277228</v>
      </c>
      <c r="D4160" t="s">
        <v>3436</v>
      </c>
      <c r="E4160">
        <v>-13918.13</v>
      </c>
      <c r="F4160">
        <v>-1.02</v>
      </c>
      <c r="G4160" t="s">
        <v>12</v>
      </c>
      <c r="I4160" t="s">
        <v>1428</v>
      </c>
    </row>
    <row r="4161" spans="1:9" hidden="1" x14ac:dyDescent="0.25">
      <c r="A4161" t="s">
        <v>3276</v>
      </c>
      <c r="B4161" t="s">
        <v>874</v>
      </c>
      <c r="C4161" s="2">
        <f>HYPERLINK("https://cao.dolgi.msk.ru/account/1083277279/", 1083277279)</f>
        <v>1083277279</v>
      </c>
      <c r="D4161" t="s">
        <v>3437</v>
      </c>
      <c r="E4161">
        <v>-8279.51</v>
      </c>
      <c r="F4161">
        <v>-1.02</v>
      </c>
      <c r="G4161" t="s">
        <v>12</v>
      </c>
      <c r="I4161" t="s">
        <v>1428</v>
      </c>
    </row>
    <row r="4162" spans="1:9" hidden="1" x14ac:dyDescent="0.25">
      <c r="A4162" t="s">
        <v>3276</v>
      </c>
      <c r="B4162" t="s">
        <v>875</v>
      </c>
      <c r="C4162" s="2">
        <f>HYPERLINK("https://cao.dolgi.msk.ru/account/1083277295/", 1083277295)</f>
        <v>1083277295</v>
      </c>
      <c r="D4162" t="s">
        <v>3438</v>
      </c>
      <c r="E4162">
        <v>-7308.66</v>
      </c>
      <c r="F4162">
        <v>-0.97</v>
      </c>
      <c r="G4162" t="s">
        <v>12</v>
      </c>
      <c r="I4162" t="s">
        <v>1428</v>
      </c>
    </row>
    <row r="4163" spans="1:9" hidden="1" x14ac:dyDescent="0.25">
      <c r="A4163" t="s">
        <v>3276</v>
      </c>
      <c r="B4163" t="s">
        <v>877</v>
      </c>
      <c r="C4163" s="2">
        <f>HYPERLINK("https://cao.dolgi.msk.ru/account/1083277308/", 1083277308)</f>
        <v>1083277308</v>
      </c>
      <c r="D4163" t="s">
        <v>3439</v>
      </c>
      <c r="E4163">
        <v>-5190.78</v>
      </c>
      <c r="F4163">
        <v>-1.08</v>
      </c>
      <c r="G4163" t="s">
        <v>12</v>
      </c>
      <c r="I4163" t="s">
        <v>1428</v>
      </c>
    </row>
    <row r="4164" spans="1:9" hidden="1" x14ac:dyDescent="0.25">
      <c r="A4164" t="s">
        <v>3276</v>
      </c>
      <c r="B4164" t="s">
        <v>879</v>
      </c>
      <c r="C4164" s="2">
        <f>HYPERLINK("https://cao.dolgi.msk.ru/account/1083277316/", 1083277316)</f>
        <v>1083277316</v>
      </c>
      <c r="D4164" t="s">
        <v>3440</v>
      </c>
      <c r="E4164">
        <v>2758.23</v>
      </c>
      <c r="F4164">
        <v>0.3</v>
      </c>
      <c r="G4164" t="s">
        <v>12</v>
      </c>
      <c r="I4164" t="s">
        <v>1428</v>
      </c>
    </row>
    <row r="4165" spans="1:9" x14ac:dyDescent="0.25">
      <c r="A4165" t="s">
        <v>3276</v>
      </c>
      <c r="B4165" t="s">
        <v>881</v>
      </c>
      <c r="C4165" s="2">
        <f>HYPERLINK("https://cao.dolgi.msk.ru/account/1083277375/", 1083277375)</f>
        <v>1083277375</v>
      </c>
      <c r="D4165" t="s">
        <v>3441</v>
      </c>
      <c r="E4165">
        <v>16122.23</v>
      </c>
      <c r="F4165">
        <v>2.0499999999999998</v>
      </c>
      <c r="G4165" t="s">
        <v>12</v>
      </c>
      <c r="I4165" t="s">
        <v>1428</v>
      </c>
    </row>
    <row r="4166" spans="1:9" hidden="1" x14ac:dyDescent="0.25">
      <c r="A4166" t="s">
        <v>3276</v>
      </c>
      <c r="B4166" t="s">
        <v>883</v>
      </c>
      <c r="C4166" s="2">
        <f>HYPERLINK("https://cao.dolgi.msk.ru/account/1083277391/", 1083277391)</f>
        <v>1083277391</v>
      </c>
      <c r="D4166" t="s">
        <v>3442</v>
      </c>
      <c r="E4166">
        <v>0</v>
      </c>
      <c r="F4166">
        <v>0</v>
      </c>
      <c r="G4166" t="s">
        <v>12</v>
      </c>
      <c r="I4166" t="s">
        <v>1428</v>
      </c>
    </row>
    <row r="4167" spans="1:9" hidden="1" x14ac:dyDescent="0.25">
      <c r="A4167" t="s">
        <v>3276</v>
      </c>
      <c r="B4167" t="s">
        <v>3443</v>
      </c>
      <c r="C4167" s="2">
        <f>HYPERLINK("https://cao.dolgi.msk.ru/account/1083277439/", 1083277439)</f>
        <v>1083277439</v>
      </c>
      <c r="D4167" t="s">
        <v>3444</v>
      </c>
      <c r="E4167">
        <v>-9944.73</v>
      </c>
      <c r="F4167">
        <v>-1.03</v>
      </c>
      <c r="G4167" t="s">
        <v>12</v>
      </c>
      <c r="I4167" t="s">
        <v>1428</v>
      </c>
    </row>
    <row r="4168" spans="1:9" hidden="1" x14ac:dyDescent="0.25">
      <c r="A4168" t="s">
        <v>3276</v>
      </c>
      <c r="B4168" t="s">
        <v>3445</v>
      </c>
      <c r="C4168" s="2">
        <f>HYPERLINK("https://cao.dolgi.msk.ru/account/1083277463/", 1083277463)</f>
        <v>1083277463</v>
      </c>
      <c r="D4168" t="s">
        <v>3446</v>
      </c>
      <c r="E4168">
        <v>-5488.18</v>
      </c>
      <c r="F4168">
        <v>-1.05</v>
      </c>
      <c r="G4168" t="s">
        <v>12</v>
      </c>
      <c r="I4168" t="s">
        <v>1428</v>
      </c>
    </row>
    <row r="4169" spans="1:9" hidden="1" x14ac:dyDescent="0.25">
      <c r="A4169" t="s">
        <v>3276</v>
      </c>
      <c r="B4169" t="s">
        <v>3447</v>
      </c>
      <c r="C4169" s="2">
        <f>HYPERLINK("https://cao.dolgi.msk.ru/account/1083277498/", 1083277498)</f>
        <v>1083277498</v>
      </c>
      <c r="D4169" t="s">
        <v>3448</v>
      </c>
      <c r="E4169">
        <v>-7511.32</v>
      </c>
      <c r="F4169">
        <v>-1.06</v>
      </c>
      <c r="G4169" t="s">
        <v>12</v>
      </c>
      <c r="I4169" t="s">
        <v>1428</v>
      </c>
    </row>
    <row r="4170" spans="1:9" hidden="1" x14ac:dyDescent="0.25">
      <c r="A4170" t="s">
        <v>3276</v>
      </c>
      <c r="B4170" t="s">
        <v>3449</v>
      </c>
      <c r="C4170" s="2">
        <f>HYPERLINK("https://cao.dolgi.msk.ru/account/1083277527/", 1083277527)</f>
        <v>1083277527</v>
      </c>
      <c r="D4170" t="s">
        <v>3450</v>
      </c>
      <c r="E4170">
        <v>-9659.42</v>
      </c>
      <c r="F4170">
        <v>-1.05</v>
      </c>
      <c r="G4170" t="s">
        <v>12</v>
      </c>
      <c r="I4170" t="s">
        <v>1428</v>
      </c>
    </row>
    <row r="4171" spans="1:9" hidden="1" x14ac:dyDescent="0.25">
      <c r="A4171" t="s">
        <v>3276</v>
      </c>
      <c r="B4171" t="s">
        <v>3451</v>
      </c>
      <c r="C4171" s="2">
        <f>HYPERLINK("https://cao.dolgi.msk.ru/account/1083277543/", 1083277543)</f>
        <v>1083277543</v>
      </c>
      <c r="D4171" t="s">
        <v>15</v>
      </c>
      <c r="E4171">
        <v>-6638.48</v>
      </c>
      <c r="F4171">
        <v>-0.73</v>
      </c>
      <c r="G4171" t="s">
        <v>12</v>
      </c>
      <c r="I4171" t="s">
        <v>1428</v>
      </c>
    </row>
    <row r="4172" spans="1:9" hidden="1" x14ac:dyDescent="0.25">
      <c r="A4172" t="s">
        <v>3276</v>
      </c>
      <c r="B4172" t="s">
        <v>3452</v>
      </c>
      <c r="C4172" s="2">
        <f>HYPERLINK("https://cao.dolgi.msk.ru/account/1083277586/", 1083277586)</f>
        <v>1083277586</v>
      </c>
      <c r="D4172" t="s">
        <v>3453</v>
      </c>
      <c r="E4172">
        <v>-3319.52</v>
      </c>
      <c r="F4172">
        <v>-1.06</v>
      </c>
      <c r="G4172" t="s">
        <v>12</v>
      </c>
      <c r="I4172" t="s">
        <v>1428</v>
      </c>
    </row>
    <row r="4173" spans="1:9" hidden="1" x14ac:dyDescent="0.25">
      <c r="A4173" t="s">
        <v>3276</v>
      </c>
      <c r="B4173" t="s">
        <v>3454</v>
      </c>
      <c r="C4173" s="2">
        <f>HYPERLINK("https://cao.dolgi.msk.ru/account/1083277607/", 1083277607)</f>
        <v>1083277607</v>
      </c>
      <c r="D4173" t="s">
        <v>3455</v>
      </c>
      <c r="E4173">
        <v>-10606.86</v>
      </c>
      <c r="F4173">
        <v>-0.73</v>
      </c>
      <c r="G4173" t="s">
        <v>12</v>
      </c>
      <c r="I4173" t="s">
        <v>1428</v>
      </c>
    </row>
    <row r="4174" spans="1:9" hidden="1" x14ac:dyDescent="0.25">
      <c r="A4174" t="s">
        <v>3276</v>
      </c>
      <c r="B4174" t="s">
        <v>3456</v>
      </c>
      <c r="C4174" s="2">
        <f>HYPERLINK("https://cao.dolgi.msk.ru/account/1083277623/", 1083277623)</f>
        <v>1083277623</v>
      </c>
      <c r="D4174" t="s">
        <v>3457</v>
      </c>
      <c r="E4174">
        <v>-5243.76</v>
      </c>
      <c r="F4174">
        <v>-1.01</v>
      </c>
      <c r="G4174" t="s">
        <v>12</v>
      </c>
      <c r="I4174" t="s">
        <v>1428</v>
      </c>
    </row>
    <row r="4175" spans="1:9" hidden="1" x14ac:dyDescent="0.25">
      <c r="A4175" t="s">
        <v>3276</v>
      </c>
      <c r="B4175" t="s">
        <v>3458</v>
      </c>
      <c r="C4175" s="2">
        <f>HYPERLINK("https://cao.dolgi.msk.ru/account/1083277658/", 1083277658)</f>
        <v>1083277658</v>
      </c>
      <c r="D4175" t="s">
        <v>3459</v>
      </c>
      <c r="E4175">
        <v>0</v>
      </c>
      <c r="F4175">
        <v>0</v>
      </c>
      <c r="G4175" t="s">
        <v>12</v>
      </c>
      <c r="I4175" t="s">
        <v>1428</v>
      </c>
    </row>
    <row r="4176" spans="1:9" hidden="1" x14ac:dyDescent="0.25">
      <c r="A4176" t="s">
        <v>3276</v>
      </c>
      <c r="B4176" t="s">
        <v>3460</v>
      </c>
      <c r="C4176" s="2">
        <f>HYPERLINK("https://cao.dolgi.msk.ru/account/1083277674/", 1083277674)</f>
        <v>1083277674</v>
      </c>
      <c r="D4176" t="s">
        <v>3461</v>
      </c>
      <c r="E4176">
        <v>-10162.040000000001</v>
      </c>
      <c r="F4176">
        <v>-1.05</v>
      </c>
      <c r="G4176" t="s">
        <v>12</v>
      </c>
      <c r="I4176" t="s">
        <v>1428</v>
      </c>
    </row>
    <row r="4177" spans="1:9" hidden="1" x14ac:dyDescent="0.25">
      <c r="A4177" t="s">
        <v>3276</v>
      </c>
      <c r="B4177" t="s">
        <v>3462</v>
      </c>
      <c r="C4177" s="2">
        <f>HYPERLINK("https://cao.dolgi.msk.ru/account/1083277703/", 1083277703)</f>
        <v>1083277703</v>
      </c>
      <c r="D4177" t="s">
        <v>15</v>
      </c>
      <c r="E4177">
        <v>-520.59</v>
      </c>
      <c r="F4177">
        <v>-7.0000000000000007E-2</v>
      </c>
      <c r="G4177" t="s">
        <v>12</v>
      </c>
      <c r="I4177" t="s">
        <v>1428</v>
      </c>
    </row>
    <row r="4178" spans="1:9" x14ac:dyDescent="0.25">
      <c r="A4178" t="s">
        <v>3276</v>
      </c>
      <c r="B4178" t="s">
        <v>3463</v>
      </c>
      <c r="C4178" s="2">
        <f>HYPERLINK("https://cao.dolgi.msk.ru/account/1083277682/", 1083277682)</f>
        <v>1083277682</v>
      </c>
      <c r="D4178" t="s">
        <v>3464</v>
      </c>
      <c r="E4178">
        <v>155715.5</v>
      </c>
      <c r="F4178">
        <v>30.46</v>
      </c>
      <c r="G4178" t="s">
        <v>12</v>
      </c>
      <c r="I4178" t="s">
        <v>1428</v>
      </c>
    </row>
    <row r="4179" spans="1:9" hidden="1" x14ac:dyDescent="0.25">
      <c r="A4179" t="s">
        <v>3276</v>
      </c>
      <c r="B4179" t="s">
        <v>1791</v>
      </c>
      <c r="C4179" s="2">
        <f>HYPERLINK("https://cao.dolgi.msk.ru/account/1083277666/", 1083277666)</f>
        <v>1083277666</v>
      </c>
      <c r="D4179" t="s">
        <v>3465</v>
      </c>
      <c r="E4179">
        <v>-8301.6200000000008</v>
      </c>
      <c r="F4179">
        <v>-1.08</v>
      </c>
      <c r="G4179" t="s">
        <v>12</v>
      </c>
      <c r="I4179" t="s">
        <v>1428</v>
      </c>
    </row>
    <row r="4180" spans="1:9" hidden="1" x14ac:dyDescent="0.25">
      <c r="A4180" t="s">
        <v>3276</v>
      </c>
      <c r="B4180" t="s">
        <v>3466</v>
      </c>
      <c r="C4180" s="2">
        <f>HYPERLINK("https://cao.dolgi.msk.ru/account/1083277631/", 1083277631)</f>
        <v>1083277631</v>
      </c>
      <c r="D4180" t="s">
        <v>3467</v>
      </c>
      <c r="E4180">
        <v>-9083.06</v>
      </c>
      <c r="F4180">
        <v>-1.04</v>
      </c>
      <c r="G4180" t="s">
        <v>12</v>
      </c>
      <c r="I4180" t="s">
        <v>1428</v>
      </c>
    </row>
    <row r="4181" spans="1:9" hidden="1" x14ac:dyDescent="0.25">
      <c r="A4181" t="s">
        <v>3276</v>
      </c>
      <c r="B4181" t="s">
        <v>1792</v>
      </c>
      <c r="C4181" s="2">
        <f>HYPERLINK("https://cao.dolgi.msk.ru/account/1083277615/", 1083277615)</f>
        <v>1083277615</v>
      </c>
      <c r="D4181" t="s">
        <v>3468</v>
      </c>
      <c r="E4181">
        <v>-8622.64</v>
      </c>
      <c r="F4181">
        <v>-1.03</v>
      </c>
      <c r="G4181" t="s">
        <v>12</v>
      </c>
      <c r="I4181" t="s">
        <v>1428</v>
      </c>
    </row>
    <row r="4182" spans="1:9" hidden="1" x14ac:dyDescent="0.25">
      <c r="A4182" t="s">
        <v>3276</v>
      </c>
      <c r="B4182" t="s">
        <v>3469</v>
      </c>
      <c r="C4182" s="2">
        <f>HYPERLINK("https://cao.dolgi.msk.ru/account/1083277594/", 1083277594)</f>
        <v>1083277594</v>
      </c>
      <c r="D4182" t="s">
        <v>3470</v>
      </c>
      <c r="E4182">
        <v>-5456.49</v>
      </c>
      <c r="F4182">
        <v>-1.02</v>
      </c>
      <c r="G4182" t="s">
        <v>12</v>
      </c>
      <c r="I4182" t="s">
        <v>1428</v>
      </c>
    </row>
    <row r="4183" spans="1:9" hidden="1" x14ac:dyDescent="0.25">
      <c r="A4183" t="s">
        <v>3276</v>
      </c>
      <c r="B4183" t="s">
        <v>1793</v>
      </c>
      <c r="C4183" s="2">
        <f>HYPERLINK("https://cao.dolgi.msk.ru/account/1083277578/", 1083277578)</f>
        <v>1083277578</v>
      </c>
      <c r="D4183" t="s">
        <v>3471</v>
      </c>
      <c r="E4183">
        <v>-3490.89</v>
      </c>
      <c r="F4183">
        <v>-2.4900000000000002</v>
      </c>
      <c r="G4183" t="s">
        <v>12</v>
      </c>
      <c r="I4183" t="s">
        <v>1428</v>
      </c>
    </row>
    <row r="4184" spans="1:9" hidden="1" x14ac:dyDescent="0.25">
      <c r="A4184" t="s">
        <v>3276</v>
      </c>
      <c r="B4184" t="s">
        <v>3472</v>
      </c>
      <c r="C4184" s="2">
        <f>HYPERLINK("https://cao.dolgi.msk.ru/account/1083277551/", 1083277551)</f>
        <v>1083277551</v>
      </c>
      <c r="D4184" t="s">
        <v>3473</v>
      </c>
      <c r="E4184">
        <v>-7782.27</v>
      </c>
      <c r="F4184">
        <v>-1.25</v>
      </c>
      <c r="G4184" t="s">
        <v>12</v>
      </c>
      <c r="I4184" t="s">
        <v>1428</v>
      </c>
    </row>
    <row r="4185" spans="1:9" hidden="1" x14ac:dyDescent="0.25">
      <c r="A4185" t="s">
        <v>3276</v>
      </c>
      <c r="B4185" t="s">
        <v>3474</v>
      </c>
      <c r="C4185" s="2">
        <f>HYPERLINK("https://cao.dolgi.msk.ru/account/1083277535/", 1083277535)</f>
        <v>1083277535</v>
      </c>
      <c r="D4185" t="s">
        <v>3475</v>
      </c>
      <c r="E4185">
        <v>-6526.48</v>
      </c>
      <c r="F4185">
        <v>-1.02</v>
      </c>
      <c r="G4185" t="s">
        <v>12</v>
      </c>
      <c r="I4185" t="s">
        <v>1428</v>
      </c>
    </row>
    <row r="4186" spans="1:9" hidden="1" x14ac:dyDescent="0.25">
      <c r="A4186" t="s">
        <v>3276</v>
      </c>
      <c r="B4186" t="s">
        <v>1794</v>
      </c>
      <c r="C4186" s="2">
        <f>HYPERLINK("https://cao.dolgi.msk.ru/account/1083277519/", 1083277519)</f>
        <v>1083277519</v>
      </c>
      <c r="D4186" t="s">
        <v>3476</v>
      </c>
      <c r="E4186">
        <v>0</v>
      </c>
      <c r="F4186">
        <v>0</v>
      </c>
      <c r="G4186" t="s">
        <v>12</v>
      </c>
      <c r="I4186" t="s">
        <v>1428</v>
      </c>
    </row>
    <row r="4187" spans="1:9" x14ac:dyDescent="0.25">
      <c r="A4187" t="s">
        <v>3276</v>
      </c>
      <c r="B4187" t="s">
        <v>3477</v>
      </c>
      <c r="C4187" s="2">
        <f>HYPERLINK("https://cao.dolgi.msk.ru/account/1083277471/", 1083277471)</f>
        <v>1083277471</v>
      </c>
      <c r="D4187" t="s">
        <v>3478</v>
      </c>
      <c r="E4187">
        <v>56445.82</v>
      </c>
      <c r="F4187">
        <v>16.68</v>
      </c>
      <c r="G4187" t="s">
        <v>12</v>
      </c>
      <c r="I4187" t="s">
        <v>1428</v>
      </c>
    </row>
    <row r="4188" spans="1:9" hidden="1" x14ac:dyDescent="0.25">
      <c r="A4188" t="s">
        <v>3276</v>
      </c>
      <c r="B4188" t="s">
        <v>1795</v>
      </c>
      <c r="C4188" s="2">
        <f>HYPERLINK("https://cao.dolgi.msk.ru/account/1083277455/", 1083277455)</f>
        <v>1083277455</v>
      </c>
      <c r="D4188" t="s">
        <v>3479</v>
      </c>
      <c r="E4188">
        <v>-788.69</v>
      </c>
      <c r="F4188">
        <v>-0.14000000000000001</v>
      </c>
      <c r="G4188" t="s">
        <v>12</v>
      </c>
      <c r="I4188" t="s">
        <v>1428</v>
      </c>
    </row>
    <row r="4189" spans="1:9" hidden="1" x14ac:dyDescent="0.25">
      <c r="A4189" t="s">
        <v>3276</v>
      </c>
      <c r="B4189" t="s">
        <v>3480</v>
      </c>
      <c r="C4189" s="2">
        <f>HYPERLINK("https://cao.dolgi.msk.ru/account/1083277447/", 1083277447)</f>
        <v>1083277447</v>
      </c>
      <c r="D4189" t="s">
        <v>3481</v>
      </c>
      <c r="E4189">
        <v>-13109.52</v>
      </c>
      <c r="F4189">
        <v>-1.1399999999999999</v>
      </c>
      <c r="G4189" t="s">
        <v>12</v>
      </c>
      <c r="I4189" t="s">
        <v>1428</v>
      </c>
    </row>
    <row r="4190" spans="1:9" hidden="1" x14ac:dyDescent="0.25">
      <c r="A4190" t="s">
        <v>3276</v>
      </c>
      <c r="B4190" t="s">
        <v>1797</v>
      </c>
      <c r="C4190" s="2">
        <f>HYPERLINK("https://cao.dolgi.msk.ru/account/1083277412/", 1083277412)</f>
        <v>1083277412</v>
      </c>
      <c r="D4190" t="s">
        <v>15</v>
      </c>
      <c r="E4190">
        <v>-8306.49</v>
      </c>
      <c r="F4190">
        <v>-1.03</v>
      </c>
      <c r="G4190" t="s">
        <v>12</v>
      </c>
      <c r="I4190" t="s">
        <v>1428</v>
      </c>
    </row>
    <row r="4191" spans="1:9" hidden="1" x14ac:dyDescent="0.25">
      <c r="A4191" t="s">
        <v>3276</v>
      </c>
      <c r="B4191" t="s">
        <v>1798</v>
      </c>
      <c r="C4191" s="2">
        <f>HYPERLINK("https://cao.dolgi.msk.ru/account/1083277404/", 1083277404)</f>
        <v>1083277404</v>
      </c>
      <c r="D4191" t="s">
        <v>3482</v>
      </c>
      <c r="E4191">
        <v>-9564.4500000000007</v>
      </c>
      <c r="F4191">
        <v>-1.1100000000000001</v>
      </c>
      <c r="G4191" t="s">
        <v>12</v>
      </c>
      <c r="I4191" t="s">
        <v>1428</v>
      </c>
    </row>
    <row r="4192" spans="1:9" hidden="1" x14ac:dyDescent="0.25">
      <c r="A4192" t="s">
        <v>3276</v>
      </c>
      <c r="B4192" t="s">
        <v>1800</v>
      </c>
      <c r="C4192" s="2">
        <f>HYPERLINK("https://cao.dolgi.msk.ru/account/1083277383/", 1083277383)</f>
        <v>1083277383</v>
      </c>
      <c r="D4192" t="s">
        <v>3483</v>
      </c>
      <c r="E4192">
        <v>-11924.9</v>
      </c>
      <c r="F4192">
        <v>-1.04</v>
      </c>
      <c r="G4192" t="s">
        <v>12</v>
      </c>
      <c r="I4192" t="s">
        <v>1428</v>
      </c>
    </row>
    <row r="4193" spans="1:9" hidden="1" x14ac:dyDescent="0.25">
      <c r="A4193" t="s">
        <v>3276</v>
      </c>
      <c r="B4193" t="s">
        <v>3484</v>
      </c>
      <c r="C4193" s="2">
        <f>HYPERLINK("https://cao.dolgi.msk.ru/account/1083277367/", 1083277367)</f>
        <v>1083277367</v>
      </c>
      <c r="D4193" t="s">
        <v>3485</v>
      </c>
      <c r="E4193">
        <v>-5692.45</v>
      </c>
      <c r="F4193">
        <v>-1.05</v>
      </c>
      <c r="G4193" t="s">
        <v>12</v>
      </c>
      <c r="I4193" t="s">
        <v>1428</v>
      </c>
    </row>
    <row r="4194" spans="1:9" hidden="1" x14ac:dyDescent="0.25">
      <c r="A4194" t="s">
        <v>3276</v>
      </c>
      <c r="B4194" t="s">
        <v>3486</v>
      </c>
      <c r="C4194" s="2">
        <f>HYPERLINK("https://cao.dolgi.msk.ru/account/1083277359/", 1083277359)</f>
        <v>1083277359</v>
      </c>
      <c r="D4194" t="s">
        <v>3487</v>
      </c>
      <c r="E4194">
        <v>0</v>
      </c>
      <c r="F4194">
        <v>0</v>
      </c>
      <c r="G4194" t="s">
        <v>12</v>
      </c>
      <c r="I4194" t="s">
        <v>1428</v>
      </c>
    </row>
    <row r="4195" spans="1:9" hidden="1" x14ac:dyDescent="0.25">
      <c r="A4195" t="s">
        <v>3276</v>
      </c>
      <c r="B4195" t="s">
        <v>3488</v>
      </c>
      <c r="C4195" s="2">
        <f>HYPERLINK("https://cao.dolgi.msk.ru/account/1083277332/", 1083277332)</f>
        <v>1083277332</v>
      </c>
      <c r="D4195" t="s">
        <v>3489</v>
      </c>
      <c r="E4195">
        <v>-11577.2</v>
      </c>
      <c r="F4195">
        <v>-1.03</v>
      </c>
      <c r="G4195" t="s">
        <v>12</v>
      </c>
      <c r="I4195" t="s">
        <v>1428</v>
      </c>
    </row>
    <row r="4196" spans="1:9" hidden="1" x14ac:dyDescent="0.25">
      <c r="A4196" t="s">
        <v>3276</v>
      </c>
      <c r="B4196" t="s">
        <v>1802</v>
      </c>
      <c r="C4196" s="2">
        <f>HYPERLINK("https://cao.dolgi.msk.ru/account/1083277324/", 1083277324)</f>
        <v>1083277324</v>
      </c>
      <c r="D4196" t="s">
        <v>3490</v>
      </c>
      <c r="E4196">
        <v>-6881.53</v>
      </c>
      <c r="F4196">
        <v>-0.92</v>
      </c>
      <c r="G4196" t="s">
        <v>12</v>
      </c>
      <c r="I4196" t="s">
        <v>1428</v>
      </c>
    </row>
    <row r="4197" spans="1:9" hidden="1" x14ac:dyDescent="0.25">
      <c r="A4197" t="s">
        <v>3276</v>
      </c>
      <c r="B4197" t="s">
        <v>1804</v>
      </c>
      <c r="C4197" s="2">
        <f>HYPERLINK("https://cao.dolgi.msk.ru/account/1083277287/", 1083277287)</f>
        <v>1083277287</v>
      </c>
      <c r="D4197" t="s">
        <v>3491</v>
      </c>
      <c r="E4197">
        <v>-4814.83</v>
      </c>
      <c r="F4197">
        <v>-0.3</v>
      </c>
      <c r="G4197" t="s">
        <v>12</v>
      </c>
      <c r="I4197" t="s">
        <v>1428</v>
      </c>
    </row>
    <row r="4198" spans="1:9" hidden="1" x14ac:dyDescent="0.25">
      <c r="A4198" t="s">
        <v>3276</v>
      </c>
      <c r="B4198" t="s">
        <v>1805</v>
      </c>
      <c r="C4198" s="2">
        <f>HYPERLINK("https://cao.dolgi.msk.ru/account/1083277252/", 1083277252)</f>
        <v>1083277252</v>
      </c>
      <c r="D4198" t="s">
        <v>3492</v>
      </c>
      <c r="E4198">
        <v>0</v>
      </c>
      <c r="F4198">
        <v>0</v>
      </c>
      <c r="G4198" t="s">
        <v>12</v>
      </c>
      <c r="I4198" t="s">
        <v>1428</v>
      </c>
    </row>
    <row r="4199" spans="1:9" hidden="1" x14ac:dyDescent="0.25">
      <c r="A4199" t="s">
        <v>3276</v>
      </c>
      <c r="B4199" t="s">
        <v>1807</v>
      </c>
      <c r="C4199" s="2">
        <f>HYPERLINK("https://cao.dolgi.msk.ru/account/1083277244/", 1083277244)</f>
        <v>1083277244</v>
      </c>
      <c r="D4199" t="s">
        <v>3493</v>
      </c>
      <c r="E4199">
        <v>-5617.3</v>
      </c>
      <c r="F4199">
        <v>-1.02</v>
      </c>
      <c r="G4199" t="s">
        <v>12</v>
      </c>
      <c r="I4199" t="s">
        <v>1428</v>
      </c>
    </row>
    <row r="4200" spans="1:9" hidden="1" x14ac:dyDescent="0.25">
      <c r="A4200" t="s">
        <v>3276</v>
      </c>
      <c r="B4200" t="s">
        <v>3494</v>
      </c>
      <c r="C4200" s="2">
        <f>HYPERLINK("https://cao.dolgi.msk.ru/account/1083277236/", 1083277236)</f>
        <v>1083277236</v>
      </c>
      <c r="D4200" t="s">
        <v>3495</v>
      </c>
      <c r="E4200">
        <v>-5211.74</v>
      </c>
      <c r="F4200">
        <v>-1.26</v>
      </c>
      <c r="G4200" t="s">
        <v>12</v>
      </c>
      <c r="I4200" t="s">
        <v>1428</v>
      </c>
    </row>
    <row r="4201" spans="1:9" hidden="1" x14ac:dyDescent="0.25">
      <c r="A4201" t="s">
        <v>3276</v>
      </c>
      <c r="B4201" t="s">
        <v>3496</v>
      </c>
      <c r="C4201" s="2">
        <f>HYPERLINK("https://cao.dolgi.msk.ru/account/1083277201/", 1083277201)</f>
        <v>1083277201</v>
      </c>
      <c r="D4201" t="s">
        <v>3497</v>
      </c>
      <c r="E4201">
        <v>-12752.86</v>
      </c>
      <c r="F4201">
        <v>-1.01</v>
      </c>
      <c r="G4201" t="s">
        <v>12</v>
      </c>
      <c r="I4201" t="s">
        <v>1428</v>
      </c>
    </row>
    <row r="4202" spans="1:9" hidden="1" x14ac:dyDescent="0.25">
      <c r="A4202" t="s">
        <v>3276</v>
      </c>
      <c r="B4202" t="s">
        <v>3498</v>
      </c>
      <c r="C4202" s="2">
        <f>HYPERLINK("https://cao.dolgi.msk.ru/account/1083277164/", 1083277164)</f>
        <v>1083277164</v>
      </c>
      <c r="D4202" t="s">
        <v>3499</v>
      </c>
      <c r="E4202">
        <v>-9001.24</v>
      </c>
      <c r="F4202">
        <v>-1.06</v>
      </c>
      <c r="G4202" t="s">
        <v>12</v>
      </c>
      <c r="I4202" t="s">
        <v>1428</v>
      </c>
    </row>
    <row r="4203" spans="1:9" hidden="1" x14ac:dyDescent="0.25">
      <c r="A4203" t="s">
        <v>3276</v>
      </c>
      <c r="B4203" t="s">
        <v>3500</v>
      </c>
      <c r="C4203" s="2">
        <f>HYPERLINK("https://cao.dolgi.msk.ru/account/1083277156/", 1083277156)</f>
        <v>1083277156</v>
      </c>
      <c r="D4203" t="s">
        <v>3501</v>
      </c>
      <c r="E4203">
        <v>-8869.2099999999991</v>
      </c>
      <c r="F4203">
        <v>-0.86</v>
      </c>
      <c r="G4203" t="s">
        <v>12</v>
      </c>
      <c r="I4203" t="s">
        <v>1428</v>
      </c>
    </row>
    <row r="4204" spans="1:9" hidden="1" x14ac:dyDescent="0.25">
      <c r="A4204" t="s">
        <v>3276</v>
      </c>
      <c r="B4204" t="s">
        <v>1809</v>
      </c>
      <c r="C4204" s="2">
        <f>HYPERLINK("https://cao.dolgi.msk.ru/account/1083277148/", 1083277148)</f>
        <v>1083277148</v>
      </c>
      <c r="D4204" t="s">
        <v>3502</v>
      </c>
      <c r="E4204">
        <v>-11054.05</v>
      </c>
      <c r="F4204">
        <v>-1.03</v>
      </c>
      <c r="G4204" t="s">
        <v>12</v>
      </c>
      <c r="I4204" t="s">
        <v>1428</v>
      </c>
    </row>
    <row r="4205" spans="1:9" x14ac:dyDescent="0.25">
      <c r="A4205" t="s">
        <v>3276</v>
      </c>
      <c r="B4205" t="s">
        <v>3503</v>
      </c>
      <c r="C4205" s="2">
        <f>HYPERLINK("https://cao.dolgi.msk.ru/account/1083277121/", 1083277121)</f>
        <v>1083277121</v>
      </c>
      <c r="D4205" t="s">
        <v>3504</v>
      </c>
      <c r="E4205">
        <v>22196.75</v>
      </c>
      <c r="F4205">
        <v>2.6</v>
      </c>
      <c r="G4205" t="s">
        <v>12</v>
      </c>
      <c r="I4205" t="s">
        <v>1428</v>
      </c>
    </row>
    <row r="4206" spans="1:9" hidden="1" x14ac:dyDescent="0.25">
      <c r="A4206" t="s">
        <v>3276</v>
      </c>
      <c r="B4206" t="s">
        <v>1810</v>
      </c>
      <c r="C4206" s="2">
        <f>HYPERLINK("https://cao.dolgi.msk.ru/account/1083277113/", 1083277113)</f>
        <v>1083277113</v>
      </c>
      <c r="D4206" t="s">
        <v>3505</v>
      </c>
      <c r="E4206">
        <v>-6616.25</v>
      </c>
      <c r="F4206">
        <v>-1.01</v>
      </c>
      <c r="G4206" t="s">
        <v>12</v>
      </c>
      <c r="I4206" t="s">
        <v>1428</v>
      </c>
    </row>
    <row r="4207" spans="1:9" hidden="1" x14ac:dyDescent="0.25">
      <c r="A4207" t="s">
        <v>3276</v>
      </c>
      <c r="B4207" t="s">
        <v>3506</v>
      </c>
      <c r="C4207" s="2">
        <f>HYPERLINK("https://cao.dolgi.msk.ru/account/1083277105/", 1083277105)</f>
        <v>1083277105</v>
      </c>
      <c r="D4207" t="s">
        <v>3507</v>
      </c>
      <c r="E4207">
        <v>-366</v>
      </c>
      <c r="F4207">
        <v>-0.04</v>
      </c>
      <c r="G4207" t="s">
        <v>12</v>
      </c>
      <c r="I4207" t="s">
        <v>1428</v>
      </c>
    </row>
    <row r="4208" spans="1:9" hidden="1" x14ac:dyDescent="0.25">
      <c r="A4208" t="s">
        <v>3276</v>
      </c>
      <c r="B4208" t="s">
        <v>3508</v>
      </c>
      <c r="C4208" s="2">
        <f>HYPERLINK("https://cao.dolgi.msk.ru/account/1083277092/", 1083277092)</f>
        <v>1083277092</v>
      </c>
      <c r="D4208" t="s">
        <v>3509</v>
      </c>
      <c r="E4208">
        <v>-7657.47</v>
      </c>
      <c r="F4208">
        <v>-1.01</v>
      </c>
      <c r="G4208" t="s">
        <v>12</v>
      </c>
      <c r="I4208" t="s">
        <v>1428</v>
      </c>
    </row>
    <row r="4209" spans="1:9" hidden="1" x14ac:dyDescent="0.25">
      <c r="A4209" t="s">
        <v>3276</v>
      </c>
      <c r="B4209" t="s">
        <v>3510</v>
      </c>
      <c r="C4209" s="2">
        <f>HYPERLINK("https://cao.dolgi.msk.ru/account/1083277084/", 1083277084)</f>
        <v>1083277084</v>
      </c>
      <c r="D4209" t="s">
        <v>3509</v>
      </c>
      <c r="E4209">
        <v>5869.31</v>
      </c>
      <c r="F4209">
        <v>0.76</v>
      </c>
      <c r="G4209" t="s">
        <v>12</v>
      </c>
      <c r="I4209" t="s">
        <v>1428</v>
      </c>
    </row>
    <row r="4210" spans="1:9" hidden="1" x14ac:dyDescent="0.25">
      <c r="A4210" t="s">
        <v>3276</v>
      </c>
      <c r="B4210" t="s">
        <v>3511</v>
      </c>
      <c r="C4210" s="2">
        <f>HYPERLINK("https://cao.dolgi.msk.ru/account/1083277076/", 1083277076)</f>
        <v>1083277076</v>
      </c>
      <c r="D4210" t="s">
        <v>3512</v>
      </c>
      <c r="E4210">
        <v>-13162.04</v>
      </c>
      <c r="F4210">
        <v>-0.98</v>
      </c>
      <c r="G4210" t="s">
        <v>12</v>
      </c>
      <c r="I4210" t="s">
        <v>1428</v>
      </c>
    </row>
    <row r="4211" spans="1:9" hidden="1" x14ac:dyDescent="0.25">
      <c r="A4211" t="s">
        <v>3513</v>
      </c>
      <c r="B4211" t="s">
        <v>10</v>
      </c>
      <c r="C4211" s="2">
        <f>HYPERLINK("https://cao.dolgi.msk.ru/account/1080321385/", 1080321385)</f>
        <v>1080321385</v>
      </c>
      <c r="D4211" t="s">
        <v>3514</v>
      </c>
      <c r="E4211">
        <v>-601.41999999999996</v>
      </c>
      <c r="F4211">
        <v>-0.12</v>
      </c>
      <c r="G4211" t="s">
        <v>12</v>
      </c>
      <c r="I4211" t="s">
        <v>1428</v>
      </c>
    </row>
    <row r="4212" spans="1:9" hidden="1" x14ac:dyDescent="0.25">
      <c r="A4212" t="s">
        <v>3513</v>
      </c>
      <c r="B4212" t="s">
        <v>16</v>
      </c>
      <c r="C4212" s="2">
        <f>HYPERLINK("https://cao.dolgi.msk.ru/account/1080237589/", 1080237589)</f>
        <v>1080237589</v>
      </c>
      <c r="D4212" t="s">
        <v>3515</v>
      </c>
      <c r="E4212">
        <v>-118.68</v>
      </c>
      <c r="G4212" t="s">
        <v>14</v>
      </c>
      <c r="I4212" t="s">
        <v>1428</v>
      </c>
    </row>
    <row r="4213" spans="1:9" hidden="1" x14ac:dyDescent="0.25">
      <c r="A4213" t="s">
        <v>3513</v>
      </c>
      <c r="B4213" t="s">
        <v>18</v>
      </c>
      <c r="C4213" s="2">
        <f>HYPERLINK("https://cao.dolgi.msk.ru/account/1080237618/", 1080237618)</f>
        <v>1080237618</v>
      </c>
      <c r="D4213" t="s">
        <v>3516</v>
      </c>
      <c r="E4213">
        <v>1611.48</v>
      </c>
      <c r="F4213">
        <v>0.22</v>
      </c>
      <c r="G4213" t="s">
        <v>12</v>
      </c>
      <c r="I4213" t="s">
        <v>1428</v>
      </c>
    </row>
    <row r="4214" spans="1:9" hidden="1" x14ac:dyDescent="0.25">
      <c r="A4214" t="s">
        <v>3513</v>
      </c>
      <c r="B4214" t="s">
        <v>20</v>
      </c>
      <c r="C4214" s="2">
        <f>HYPERLINK("https://cao.dolgi.msk.ru/account/1080237626/", 1080237626)</f>
        <v>1080237626</v>
      </c>
      <c r="D4214" t="s">
        <v>3517</v>
      </c>
      <c r="E4214">
        <v>-5349.54</v>
      </c>
      <c r="F4214">
        <v>-1.07</v>
      </c>
      <c r="G4214" t="s">
        <v>12</v>
      </c>
      <c r="I4214" t="s">
        <v>1428</v>
      </c>
    </row>
    <row r="4215" spans="1:9" hidden="1" x14ac:dyDescent="0.25">
      <c r="A4215" t="s">
        <v>3513</v>
      </c>
      <c r="B4215" t="s">
        <v>21</v>
      </c>
      <c r="C4215" s="2">
        <f>HYPERLINK("https://cao.dolgi.msk.ru/account/1080237634/", 1080237634)</f>
        <v>1080237634</v>
      </c>
      <c r="D4215" t="s">
        <v>3518</v>
      </c>
      <c r="E4215">
        <v>-676.11</v>
      </c>
      <c r="F4215">
        <v>-0.24</v>
      </c>
      <c r="G4215" t="s">
        <v>12</v>
      </c>
      <c r="I4215" t="s">
        <v>1428</v>
      </c>
    </row>
    <row r="4216" spans="1:9" x14ac:dyDescent="0.25">
      <c r="A4216" t="s">
        <v>3513</v>
      </c>
      <c r="B4216" t="s">
        <v>22</v>
      </c>
      <c r="C4216" s="2">
        <f>HYPERLINK("https://cao.dolgi.msk.ru/account/1080237642/", 1080237642)</f>
        <v>1080237642</v>
      </c>
      <c r="D4216" t="s">
        <v>3519</v>
      </c>
      <c r="E4216">
        <v>53821.81</v>
      </c>
      <c r="F4216">
        <v>6.34</v>
      </c>
      <c r="G4216" t="s">
        <v>12</v>
      </c>
      <c r="I4216" t="s">
        <v>1428</v>
      </c>
    </row>
    <row r="4217" spans="1:9" hidden="1" x14ac:dyDescent="0.25">
      <c r="A4217" t="s">
        <v>3513</v>
      </c>
      <c r="B4217" t="s">
        <v>23</v>
      </c>
      <c r="C4217" s="2">
        <f>HYPERLINK("https://cao.dolgi.msk.ru/account/1080237669/", 1080237669)</f>
        <v>1080237669</v>
      </c>
      <c r="D4217" t="s">
        <v>3520</v>
      </c>
      <c r="E4217">
        <v>-10494.28</v>
      </c>
      <c r="F4217">
        <v>-1.33</v>
      </c>
      <c r="G4217" t="s">
        <v>12</v>
      </c>
      <c r="I4217" t="s">
        <v>1428</v>
      </c>
    </row>
    <row r="4218" spans="1:9" hidden="1" x14ac:dyDescent="0.25">
      <c r="A4218" t="s">
        <v>3513</v>
      </c>
      <c r="B4218" t="s">
        <v>24</v>
      </c>
      <c r="C4218" s="2">
        <f>HYPERLINK("https://cao.dolgi.msk.ru/account/1080237677/", 1080237677)</f>
        <v>1080237677</v>
      </c>
      <c r="D4218" t="s">
        <v>3521</v>
      </c>
      <c r="E4218">
        <v>-6587.05</v>
      </c>
      <c r="F4218">
        <v>-1.1200000000000001</v>
      </c>
      <c r="G4218" t="s">
        <v>12</v>
      </c>
      <c r="I4218" t="s">
        <v>1428</v>
      </c>
    </row>
    <row r="4219" spans="1:9" hidden="1" x14ac:dyDescent="0.25">
      <c r="A4219" t="s">
        <v>3513</v>
      </c>
      <c r="B4219" t="s">
        <v>27</v>
      </c>
      <c r="C4219" s="2">
        <f>HYPERLINK("https://cao.dolgi.msk.ru/account/1080237685/", 1080237685)</f>
        <v>1080237685</v>
      </c>
      <c r="D4219" t="s">
        <v>3522</v>
      </c>
      <c r="E4219">
        <v>-269.68</v>
      </c>
      <c r="F4219">
        <v>-0.06</v>
      </c>
      <c r="G4219" t="s">
        <v>12</v>
      </c>
      <c r="I4219" t="s">
        <v>1428</v>
      </c>
    </row>
    <row r="4220" spans="1:9" hidden="1" x14ac:dyDescent="0.25">
      <c r="A4220" t="s">
        <v>3513</v>
      </c>
      <c r="B4220" t="s">
        <v>29</v>
      </c>
      <c r="C4220" s="2">
        <f>HYPERLINK("https://cao.dolgi.msk.ru/account/1080237693/", 1080237693)</f>
        <v>1080237693</v>
      </c>
      <c r="D4220" t="s">
        <v>3523</v>
      </c>
      <c r="E4220">
        <v>20908.22</v>
      </c>
      <c r="F4220">
        <v>12.12</v>
      </c>
      <c r="G4220" t="s">
        <v>14</v>
      </c>
      <c r="I4220" t="s">
        <v>1428</v>
      </c>
    </row>
    <row r="4221" spans="1:9" hidden="1" x14ac:dyDescent="0.25">
      <c r="A4221" t="s">
        <v>3513</v>
      </c>
      <c r="B4221" t="s">
        <v>29</v>
      </c>
      <c r="C4221" s="2">
        <f>HYPERLINK("https://cao.dolgi.msk.ru/account/1080237706/", 1080237706)</f>
        <v>1080237706</v>
      </c>
      <c r="D4221" t="s">
        <v>3523</v>
      </c>
      <c r="E4221">
        <v>0</v>
      </c>
      <c r="F4221">
        <v>0</v>
      </c>
      <c r="G4221" t="s">
        <v>12</v>
      </c>
      <c r="I4221" t="s">
        <v>1428</v>
      </c>
    </row>
    <row r="4222" spans="1:9" hidden="1" x14ac:dyDescent="0.25">
      <c r="A4222" t="s">
        <v>3513</v>
      </c>
      <c r="B4222" t="s">
        <v>29</v>
      </c>
      <c r="C4222" s="2">
        <f>HYPERLINK("https://cao.dolgi.msk.ru/account/1080237714/", 1080237714)</f>
        <v>1080237714</v>
      </c>
      <c r="D4222" t="s">
        <v>3523</v>
      </c>
      <c r="E4222">
        <v>-3765.36</v>
      </c>
      <c r="F4222">
        <v>-0.91</v>
      </c>
      <c r="G4222" t="s">
        <v>12</v>
      </c>
      <c r="I4222" t="s">
        <v>1428</v>
      </c>
    </row>
    <row r="4223" spans="1:9" hidden="1" x14ac:dyDescent="0.25">
      <c r="A4223" t="s">
        <v>3513</v>
      </c>
      <c r="B4223" t="s">
        <v>29</v>
      </c>
      <c r="C4223" s="2">
        <f>HYPERLINK("https://cao.dolgi.msk.ru/account/1083399612/", 1083399612)</f>
        <v>1083399612</v>
      </c>
      <c r="D4223" t="s">
        <v>189</v>
      </c>
      <c r="E4223">
        <v>-13262.41</v>
      </c>
      <c r="G4223" t="s">
        <v>12</v>
      </c>
      <c r="I4223" t="s">
        <v>1428</v>
      </c>
    </row>
    <row r="4224" spans="1:9" hidden="1" x14ac:dyDescent="0.25">
      <c r="A4224" t="s">
        <v>3513</v>
      </c>
      <c r="B4224" t="s">
        <v>31</v>
      </c>
      <c r="C4224" s="2">
        <f>HYPERLINK("https://cao.dolgi.msk.ru/account/1080237722/", 1080237722)</f>
        <v>1080237722</v>
      </c>
      <c r="D4224" t="s">
        <v>3524</v>
      </c>
      <c r="E4224">
        <v>-9688.83</v>
      </c>
      <c r="F4224">
        <v>-1.68</v>
      </c>
      <c r="G4224" t="s">
        <v>12</v>
      </c>
      <c r="I4224" t="s">
        <v>1428</v>
      </c>
    </row>
    <row r="4225" spans="1:9" hidden="1" x14ac:dyDescent="0.25">
      <c r="A4225" t="s">
        <v>3513</v>
      </c>
      <c r="B4225" t="s">
        <v>33</v>
      </c>
      <c r="C4225" s="2">
        <f>HYPERLINK("https://cao.dolgi.msk.ru/account/1080237749/", 1080237749)</f>
        <v>1080237749</v>
      </c>
      <c r="D4225" t="s">
        <v>3525</v>
      </c>
      <c r="E4225">
        <v>-5192.84</v>
      </c>
      <c r="F4225">
        <v>-1.17</v>
      </c>
      <c r="G4225" t="s">
        <v>12</v>
      </c>
      <c r="I4225" t="s">
        <v>1428</v>
      </c>
    </row>
    <row r="4226" spans="1:9" hidden="1" x14ac:dyDescent="0.25">
      <c r="A4226" t="s">
        <v>3513</v>
      </c>
      <c r="B4226" t="s">
        <v>34</v>
      </c>
      <c r="C4226" s="2">
        <f>HYPERLINK("https://cao.dolgi.msk.ru/account/1080237757/", 1080237757)</f>
        <v>1080237757</v>
      </c>
      <c r="D4226" t="s">
        <v>3526</v>
      </c>
      <c r="E4226">
        <v>0</v>
      </c>
      <c r="F4226">
        <v>0</v>
      </c>
      <c r="G4226" t="s">
        <v>12</v>
      </c>
      <c r="I4226" t="s">
        <v>1428</v>
      </c>
    </row>
    <row r="4227" spans="1:9" hidden="1" x14ac:dyDescent="0.25">
      <c r="A4227" t="s">
        <v>3513</v>
      </c>
      <c r="B4227" t="s">
        <v>36</v>
      </c>
      <c r="C4227" s="2">
        <f>HYPERLINK("https://cao.dolgi.msk.ru/account/1080237765/", 1080237765)</f>
        <v>1080237765</v>
      </c>
      <c r="D4227" t="s">
        <v>3527</v>
      </c>
      <c r="E4227">
        <v>5303.2</v>
      </c>
      <c r="F4227">
        <v>1</v>
      </c>
      <c r="G4227" t="s">
        <v>12</v>
      </c>
      <c r="I4227" t="s">
        <v>1428</v>
      </c>
    </row>
    <row r="4228" spans="1:9" hidden="1" x14ac:dyDescent="0.25">
      <c r="A4228" t="s">
        <v>3513</v>
      </c>
      <c r="B4228" t="s">
        <v>38</v>
      </c>
      <c r="C4228" s="2">
        <f>HYPERLINK("https://cao.dolgi.msk.ru/account/1080237773/", 1080237773)</f>
        <v>1080237773</v>
      </c>
      <c r="D4228" t="s">
        <v>3528</v>
      </c>
      <c r="E4228">
        <v>-9835.49</v>
      </c>
      <c r="F4228">
        <v>-1.43</v>
      </c>
      <c r="G4228" t="s">
        <v>12</v>
      </c>
      <c r="I4228" t="s">
        <v>1428</v>
      </c>
    </row>
    <row r="4229" spans="1:9" hidden="1" x14ac:dyDescent="0.25">
      <c r="A4229" t="s">
        <v>3513</v>
      </c>
      <c r="B4229" t="s">
        <v>39</v>
      </c>
      <c r="C4229" s="2">
        <f>HYPERLINK("https://cao.dolgi.msk.ru/account/1080237781/", 1080237781)</f>
        <v>1080237781</v>
      </c>
      <c r="D4229" t="s">
        <v>3529</v>
      </c>
      <c r="E4229">
        <v>-4990.57</v>
      </c>
      <c r="F4229">
        <v>-1.1200000000000001</v>
      </c>
      <c r="G4229" t="s">
        <v>12</v>
      </c>
      <c r="I4229" t="s">
        <v>1428</v>
      </c>
    </row>
    <row r="4230" spans="1:9" hidden="1" x14ac:dyDescent="0.25">
      <c r="A4230" t="s">
        <v>3513</v>
      </c>
      <c r="B4230" t="s">
        <v>40</v>
      </c>
      <c r="C4230" s="2">
        <f>HYPERLINK("https://cao.dolgi.msk.ru/account/1080237802/", 1080237802)</f>
        <v>1080237802</v>
      </c>
      <c r="D4230" t="s">
        <v>3530</v>
      </c>
      <c r="E4230">
        <v>-9041.02</v>
      </c>
      <c r="F4230">
        <v>-1.93</v>
      </c>
      <c r="G4230" t="s">
        <v>12</v>
      </c>
      <c r="H4230" t="s">
        <v>7</v>
      </c>
      <c r="I4230" t="s">
        <v>1428</v>
      </c>
    </row>
    <row r="4231" spans="1:9" hidden="1" x14ac:dyDescent="0.25">
      <c r="A4231" t="s">
        <v>3513</v>
      </c>
      <c r="B4231" t="s">
        <v>40</v>
      </c>
      <c r="C4231" s="2">
        <f>HYPERLINK("https://cao.dolgi.msk.ru/account/1080237829/", 1080237829)</f>
        <v>1080237829</v>
      </c>
      <c r="D4231" t="s">
        <v>1082</v>
      </c>
      <c r="E4231">
        <v>-2300.83</v>
      </c>
      <c r="F4231">
        <v>-1.54</v>
      </c>
      <c r="G4231" t="s">
        <v>12</v>
      </c>
      <c r="H4231" t="s">
        <v>7</v>
      </c>
      <c r="I4231" t="s">
        <v>1428</v>
      </c>
    </row>
    <row r="4232" spans="1:9" hidden="1" x14ac:dyDescent="0.25">
      <c r="A4232" t="s">
        <v>3513</v>
      </c>
      <c r="B4232" t="s">
        <v>41</v>
      </c>
      <c r="C4232" s="2">
        <f>HYPERLINK("https://cao.dolgi.msk.ru/account/1080237837/", 1080237837)</f>
        <v>1080237837</v>
      </c>
      <c r="D4232" t="s">
        <v>3531</v>
      </c>
      <c r="E4232">
        <v>-7129.11</v>
      </c>
      <c r="F4232">
        <v>-1.32</v>
      </c>
      <c r="G4232" t="s">
        <v>12</v>
      </c>
      <c r="I4232" t="s">
        <v>1428</v>
      </c>
    </row>
    <row r="4233" spans="1:9" hidden="1" x14ac:dyDescent="0.25">
      <c r="A4233" t="s">
        <v>3513</v>
      </c>
      <c r="B4233" t="s">
        <v>42</v>
      </c>
      <c r="C4233" s="2">
        <f>HYPERLINK("https://cao.dolgi.msk.ru/account/1080237845/", 1080237845)</f>
        <v>1080237845</v>
      </c>
      <c r="D4233" t="s">
        <v>3532</v>
      </c>
      <c r="E4233">
        <v>-7448.65</v>
      </c>
      <c r="F4233">
        <v>-1.1299999999999999</v>
      </c>
      <c r="G4233" t="s">
        <v>12</v>
      </c>
      <c r="I4233" t="s">
        <v>1428</v>
      </c>
    </row>
    <row r="4234" spans="1:9" hidden="1" x14ac:dyDescent="0.25">
      <c r="A4234" t="s">
        <v>3513</v>
      </c>
      <c r="B4234" t="s">
        <v>44</v>
      </c>
      <c r="C4234" s="2">
        <f>HYPERLINK("https://cao.dolgi.msk.ru/account/1080237853/", 1080237853)</f>
        <v>1080237853</v>
      </c>
      <c r="D4234" t="s">
        <v>3533</v>
      </c>
      <c r="E4234">
        <v>-13900.75</v>
      </c>
      <c r="F4234">
        <v>-2.25</v>
      </c>
      <c r="G4234" t="s">
        <v>12</v>
      </c>
      <c r="I4234" t="s">
        <v>1428</v>
      </c>
    </row>
    <row r="4235" spans="1:9" hidden="1" x14ac:dyDescent="0.25">
      <c r="A4235" t="s">
        <v>3513</v>
      </c>
      <c r="B4235" t="s">
        <v>66</v>
      </c>
      <c r="C4235" s="2">
        <f>HYPERLINK("https://cao.dolgi.msk.ru/account/1080237861/", 1080237861)</f>
        <v>1080237861</v>
      </c>
      <c r="D4235" t="s">
        <v>3534</v>
      </c>
      <c r="E4235">
        <v>-3695.25</v>
      </c>
      <c r="F4235">
        <v>-1.37</v>
      </c>
      <c r="G4235" t="s">
        <v>12</v>
      </c>
      <c r="I4235" t="s">
        <v>1428</v>
      </c>
    </row>
    <row r="4236" spans="1:9" hidden="1" x14ac:dyDescent="0.25">
      <c r="A4236" t="s">
        <v>3513</v>
      </c>
      <c r="B4236" t="s">
        <v>68</v>
      </c>
      <c r="C4236" s="2">
        <f>HYPERLINK("https://cao.dolgi.msk.ru/account/1080237888/", 1080237888)</f>
        <v>1080237888</v>
      </c>
      <c r="D4236" t="s">
        <v>3535</v>
      </c>
      <c r="E4236">
        <v>-210.04</v>
      </c>
      <c r="F4236">
        <v>-0.04</v>
      </c>
      <c r="G4236" t="s">
        <v>12</v>
      </c>
      <c r="I4236" t="s">
        <v>1428</v>
      </c>
    </row>
    <row r="4237" spans="1:9" x14ac:dyDescent="0.25">
      <c r="A4237" t="s">
        <v>3513</v>
      </c>
      <c r="B4237" t="s">
        <v>70</v>
      </c>
      <c r="C4237" s="2">
        <f>HYPERLINK("https://cao.dolgi.msk.ru/account/1080237896/", 1080237896)</f>
        <v>1080237896</v>
      </c>
      <c r="D4237" t="s">
        <v>3536</v>
      </c>
      <c r="E4237">
        <v>7345.65</v>
      </c>
      <c r="F4237">
        <v>1.04</v>
      </c>
      <c r="G4237" t="s">
        <v>12</v>
      </c>
      <c r="I4237" t="s">
        <v>1428</v>
      </c>
    </row>
    <row r="4238" spans="1:9" hidden="1" x14ac:dyDescent="0.25">
      <c r="A4238" t="s">
        <v>3513</v>
      </c>
      <c r="B4238" t="s">
        <v>72</v>
      </c>
      <c r="C4238" s="2">
        <f>HYPERLINK("https://cao.dolgi.msk.ru/account/1080237909/", 1080237909)</f>
        <v>1080237909</v>
      </c>
      <c r="D4238" t="s">
        <v>3537</v>
      </c>
      <c r="E4238">
        <v>-4741.82</v>
      </c>
      <c r="F4238">
        <v>-1.78</v>
      </c>
      <c r="G4238" t="s">
        <v>12</v>
      </c>
      <c r="I4238" t="s">
        <v>1428</v>
      </c>
    </row>
    <row r="4239" spans="1:9" hidden="1" x14ac:dyDescent="0.25">
      <c r="A4239" t="s">
        <v>3513</v>
      </c>
      <c r="B4239" t="s">
        <v>74</v>
      </c>
      <c r="C4239" s="2">
        <f>HYPERLINK("https://cao.dolgi.msk.ru/account/1080237917/", 1080237917)</f>
        <v>1080237917</v>
      </c>
      <c r="D4239" t="s">
        <v>3538</v>
      </c>
      <c r="E4239">
        <v>-3610.21</v>
      </c>
      <c r="F4239">
        <v>-0.98</v>
      </c>
      <c r="G4239" t="s">
        <v>12</v>
      </c>
      <c r="I4239" t="s">
        <v>1428</v>
      </c>
    </row>
    <row r="4240" spans="1:9" hidden="1" x14ac:dyDescent="0.25">
      <c r="A4240" t="s">
        <v>3513</v>
      </c>
      <c r="B4240" t="s">
        <v>76</v>
      </c>
      <c r="C4240" s="2">
        <f>HYPERLINK("https://cao.dolgi.msk.ru/account/1080237925/", 1080237925)</f>
        <v>1080237925</v>
      </c>
      <c r="D4240" t="s">
        <v>3539</v>
      </c>
      <c r="E4240">
        <v>-7325.02</v>
      </c>
      <c r="F4240">
        <v>-1.26</v>
      </c>
      <c r="G4240" t="s">
        <v>12</v>
      </c>
      <c r="I4240" t="s">
        <v>1428</v>
      </c>
    </row>
    <row r="4241" spans="1:9" hidden="1" x14ac:dyDescent="0.25">
      <c r="A4241" t="s">
        <v>3513</v>
      </c>
      <c r="B4241" t="s">
        <v>78</v>
      </c>
      <c r="C4241" s="2">
        <f>HYPERLINK("https://cao.dolgi.msk.ru/account/1080237933/", 1080237933)</f>
        <v>1080237933</v>
      </c>
      <c r="D4241" t="s">
        <v>3540</v>
      </c>
      <c r="E4241">
        <v>-6873.54</v>
      </c>
      <c r="F4241">
        <v>-1.1399999999999999</v>
      </c>
      <c r="G4241" t="s">
        <v>12</v>
      </c>
      <c r="I4241" t="s">
        <v>1428</v>
      </c>
    </row>
    <row r="4242" spans="1:9" hidden="1" x14ac:dyDescent="0.25">
      <c r="A4242" t="s">
        <v>3513</v>
      </c>
      <c r="B4242" t="s">
        <v>80</v>
      </c>
      <c r="C4242" s="2">
        <f>HYPERLINK("https://cao.dolgi.msk.ru/account/1080237941/", 1080237941)</f>
        <v>1080237941</v>
      </c>
      <c r="D4242" t="s">
        <v>3541</v>
      </c>
      <c r="E4242">
        <v>-6573.41</v>
      </c>
      <c r="F4242">
        <v>-1.1399999999999999</v>
      </c>
      <c r="G4242" t="s">
        <v>12</v>
      </c>
      <c r="I4242" t="s">
        <v>1428</v>
      </c>
    </row>
    <row r="4243" spans="1:9" hidden="1" x14ac:dyDescent="0.25">
      <c r="A4243" t="s">
        <v>3513</v>
      </c>
      <c r="B4243" t="s">
        <v>82</v>
      </c>
      <c r="C4243" s="2">
        <f>HYPERLINK("https://cao.dolgi.msk.ru/account/1080237968/", 1080237968)</f>
        <v>1080237968</v>
      </c>
      <c r="D4243" t="s">
        <v>3542</v>
      </c>
      <c r="E4243">
        <v>-6108.19</v>
      </c>
      <c r="F4243">
        <v>-1.1000000000000001</v>
      </c>
      <c r="G4243" t="s">
        <v>12</v>
      </c>
      <c r="I4243" t="s">
        <v>1428</v>
      </c>
    </row>
    <row r="4244" spans="1:9" hidden="1" x14ac:dyDescent="0.25">
      <c r="A4244" t="s">
        <v>3513</v>
      </c>
      <c r="B4244" t="s">
        <v>84</v>
      </c>
      <c r="C4244" s="2">
        <f>HYPERLINK("https://cao.dolgi.msk.ru/account/1080237976/", 1080237976)</f>
        <v>1080237976</v>
      </c>
      <c r="D4244" t="s">
        <v>3543</v>
      </c>
      <c r="E4244">
        <v>-1839.42</v>
      </c>
      <c r="F4244">
        <v>-1.06</v>
      </c>
      <c r="G4244" t="s">
        <v>12</v>
      </c>
      <c r="I4244" t="s">
        <v>1428</v>
      </c>
    </row>
    <row r="4245" spans="1:9" hidden="1" x14ac:dyDescent="0.25">
      <c r="A4245" t="s">
        <v>3513</v>
      </c>
      <c r="B4245" t="s">
        <v>84</v>
      </c>
      <c r="C4245" s="2">
        <f>HYPERLINK("https://cao.dolgi.msk.ru/account/1089123705/", 1089123705)</f>
        <v>1089123705</v>
      </c>
      <c r="D4245" t="s">
        <v>15</v>
      </c>
      <c r="E4245">
        <v>-3142.13</v>
      </c>
      <c r="F4245">
        <v>-1.17</v>
      </c>
      <c r="G4245" t="s">
        <v>14</v>
      </c>
      <c r="I4245" t="s">
        <v>1428</v>
      </c>
    </row>
    <row r="4246" spans="1:9" hidden="1" x14ac:dyDescent="0.25">
      <c r="A4246" t="s">
        <v>3513</v>
      </c>
      <c r="B4246" t="s">
        <v>86</v>
      </c>
      <c r="C4246" s="2">
        <f>HYPERLINK("https://cao.dolgi.msk.ru/account/1080237984/", 1080237984)</f>
        <v>1080237984</v>
      </c>
      <c r="D4246" t="s">
        <v>15</v>
      </c>
      <c r="E4246">
        <v>-12284.68</v>
      </c>
      <c r="F4246">
        <v>-1.07</v>
      </c>
      <c r="G4246" t="s">
        <v>12</v>
      </c>
      <c r="I4246" t="s">
        <v>1428</v>
      </c>
    </row>
    <row r="4247" spans="1:9" hidden="1" x14ac:dyDescent="0.25">
      <c r="A4247" t="s">
        <v>3513</v>
      </c>
      <c r="B4247" t="s">
        <v>88</v>
      </c>
      <c r="C4247" s="2">
        <f>HYPERLINK("https://cao.dolgi.msk.ru/account/1080237992/", 1080237992)</f>
        <v>1080237992</v>
      </c>
      <c r="D4247" t="s">
        <v>3544</v>
      </c>
      <c r="E4247">
        <v>-7430</v>
      </c>
      <c r="F4247">
        <v>-0.85</v>
      </c>
      <c r="G4247" t="s">
        <v>12</v>
      </c>
      <c r="I4247" t="s">
        <v>1428</v>
      </c>
    </row>
    <row r="4248" spans="1:9" hidden="1" x14ac:dyDescent="0.25">
      <c r="A4248" t="s">
        <v>3513</v>
      </c>
      <c r="B4248" t="s">
        <v>90</v>
      </c>
      <c r="C4248" s="2">
        <f>HYPERLINK("https://cao.dolgi.msk.ru/account/1080238004/", 1080238004)</f>
        <v>1080238004</v>
      </c>
      <c r="D4248" t="s">
        <v>3545</v>
      </c>
      <c r="E4248">
        <v>-5672.34</v>
      </c>
      <c r="F4248">
        <v>-1.17</v>
      </c>
      <c r="G4248" t="s">
        <v>12</v>
      </c>
      <c r="I4248" t="s">
        <v>1428</v>
      </c>
    </row>
    <row r="4249" spans="1:9" hidden="1" x14ac:dyDescent="0.25">
      <c r="A4249" t="s">
        <v>3513</v>
      </c>
      <c r="B4249" t="s">
        <v>92</v>
      </c>
      <c r="C4249" s="2">
        <f>HYPERLINK("https://cao.dolgi.msk.ru/account/1080238012/", 1080238012)</f>
        <v>1080238012</v>
      </c>
      <c r="D4249" t="s">
        <v>3546</v>
      </c>
      <c r="E4249">
        <v>-8099.34</v>
      </c>
      <c r="F4249">
        <v>-1.1100000000000001</v>
      </c>
      <c r="G4249" t="s">
        <v>12</v>
      </c>
      <c r="I4249" t="s">
        <v>1428</v>
      </c>
    </row>
    <row r="4250" spans="1:9" hidden="1" x14ac:dyDescent="0.25">
      <c r="A4250" t="s">
        <v>3513</v>
      </c>
      <c r="B4250" t="s">
        <v>94</v>
      </c>
      <c r="C4250" s="2">
        <f>HYPERLINK("https://cao.dolgi.msk.ru/account/1080238039/", 1080238039)</f>
        <v>1080238039</v>
      </c>
      <c r="D4250" t="s">
        <v>3547</v>
      </c>
      <c r="E4250">
        <v>-5259.92</v>
      </c>
      <c r="F4250">
        <v>-1.1100000000000001</v>
      </c>
      <c r="G4250" t="s">
        <v>12</v>
      </c>
      <c r="I4250" t="s">
        <v>1428</v>
      </c>
    </row>
    <row r="4251" spans="1:9" hidden="1" x14ac:dyDescent="0.25">
      <c r="A4251" t="s">
        <v>3513</v>
      </c>
      <c r="B4251" t="s">
        <v>96</v>
      </c>
      <c r="C4251" s="2">
        <f>HYPERLINK("https://cao.dolgi.msk.ru/account/1080238047/", 1080238047)</f>
        <v>1080238047</v>
      </c>
      <c r="D4251" t="s">
        <v>3548</v>
      </c>
      <c r="E4251">
        <v>-5256.58</v>
      </c>
      <c r="F4251">
        <v>-1.1000000000000001</v>
      </c>
      <c r="G4251" t="s">
        <v>12</v>
      </c>
      <c r="I4251" t="s">
        <v>1428</v>
      </c>
    </row>
    <row r="4252" spans="1:9" hidden="1" x14ac:dyDescent="0.25">
      <c r="A4252" t="s">
        <v>3513</v>
      </c>
      <c r="B4252" t="s">
        <v>98</v>
      </c>
      <c r="C4252" s="2">
        <f>HYPERLINK("https://cao.dolgi.msk.ru/account/1080238055/", 1080238055)</f>
        <v>1080238055</v>
      </c>
      <c r="D4252" t="s">
        <v>3549</v>
      </c>
      <c r="E4252">
        <v>-3574.05</v>
      </c>
      <c r="F4252">
        <v>-1.03</v>
      </c>
      <c r="G4252" t="s">
        <v>12</v>
      </c>
      <c r="I4252" t="s">
        <v>1428</v>
      </c>
    </row>
    <row r="4253" spans="1:9" hidden="1" x14ac:dyDescent="0.25">
      <c r="A4253" t="s">
        <v>3513</v>
      </c>
      <c r="B4253" t="s">
        <v>100</v>
      </c>
      <c r="C4253" s="2">
        <f>HYPERLINK("https://cao.dolgi.msk.ru/account/1080238063/", 1080238063)</f>
        <v>1080238063</v>
      </c>
      <c r="D4253" t="s">
        <v>3550</v>
      </c>
      <c r="E4253">
        <v>-5976.62</v>
      </c>
      <c r="F4253">
        <v>-1.1200000000000001</v>
      </c>
      <c r="G4253" t="s">
        <v>12</v>
      </c>
      <c r="I4253" t="s">
        <v>1428</v>
      </c>
    </row>
    <row r="4254" spans="1:9" hidden="1" x14ac:dyDescent="0.25">
      <c r="A4254" t="s">
        <v>3513</v>
      </c>
      <c r="B4254" t="s">
        <v>102</v>
      </c>
      <c r="C4254" s="2">
        <f>HYPERLINK("https://cao.dolgi.msk.ru/account/1080238071/", 1080238071)</f>
        <v>1080238071</v>
      </c>
      <c r="D4254" t="s">
        <v>3551</v>
      </c>
      <c r="E4254">
        <v>-7769.61</v>
      </c>
      <c r="F4254">
        <v>-1.1599999999999999</v>
      </c>
      <c r="G4254" t="s">
        <v>12</v>
      </c>
      <c r="I4254" t="s">
        <v>1428</v>
      </c>
    </row>
    <row r="4255" spans="1:9" hidden="1" x14ac:dyDescent="0.25">
      <c r="A4255" t="s">
        <v>3513</v>
      </c>
      <c r="B4255" t="s">
        <v>104</v>
      </c>
      <c r="C4255" s="2">
        <f>HYPERLINK("https://cao.dolgi.msk.ru/account/1080238098/", 1080238098)</f>
        <v>1080238098</v>
      </c>
      <c r="D4255" t="s">
        <v>3552</v>
      </c>
      <c r="E4255">
        <v>-99.12</v>
      </c>
      <c r="F4255">
        <v>-0.02</v>
      </c>
      <c r="G4255" t="s">
        <v>12</v>
      </c>
      <c r="I4255" t="s">
        <v>1428</v>
      </c>
    </row>
    <row r="4256" spans="1:9" hidden="1" x14ac:dyDescent="0.25">
      <c r="A4256" t="s">
        <v>3513</v>
      </c>
      <c r="B4256" t="s">
        <v>106</v>
      </c>
      <c r="C4256" s="2">
        <f>HYPERLINK("https://cao.dolgi.msk.ru/account/1080238119/", 1080238119)</f>
        <v>1080238119</v>
      </c>
      <c r="D4256" t="s">
        <v>15</v>
      </c>
      <c r="E4256">
        <v>0</v>
      </c>
      <c r="F4256">
        <v>0</v>
      </c>
      <c r="G4256" t="s">
        <v>12</v>
      </c>
      <c r="I4256" t="s">
        <v>1428</v>
      </c>
    </row>
    <row r="4257" spans="1:9" hidden="1" x14ac:dyDescent="0.25">
      <c r="A4257" t="s">
        <v>3513</v>
      </c>
      <c r="B4257" t="s">
        <v>108</v>
      </c>
      <c r="C4257" s="2">
        <f>HYPERLINK("https://cao.dolgi.msk.ru/account/1080238127/", 1080238127)</f>
        <v>1080238127</v>
      </c>
      <c r="D4257" t="s">
        <v>3553</v>
      </c>
      <c r="E4257">
        <v>-5886.59</v>
      </c>
      <c r="F4257">
        <v>-1.1499999999999999</v>
      </c>
      <c r="G4257" t="s">
        <v>12</v>
      </c>
      <c r="I4257" t="s">
        <v>1428</v>
      </c>
    </row>
    <row r="4258" spans="1:9" hidden="1" x14ac:dyDescent="0.25">
      <c r="A4258" t="s">
        <v>3513</v>
      </c>
      <c r="B4258" t="s">
        <v>110</v>
      </c>
      <c r="C4258" s="2">
        <f>HYPERLINK("https://cao.dolgi.msk.ru/account/1080238135/", 1080238135)</f>
        <v>1080238135</v>
      </c>
      <c r="D4258" t="s">
        <v>3554</v>
      </c>
      <c r="E4258">
        <v>-7478.36</v>
      </c>
      <c r="F4258">
        <v>-1.1200000000000001</v>
      </c>
      <c r="G4258" t="s">
        <v>12</v>
      </c>
      <c r="I4258" t="s">
        <v>1428</v>
      </c>
    </row>
    <row r="4259" spans="1:9" hidden="1" x14ac:dyDescent="0.25">
      <c r="A4259" t="s">
        <v>3513</v>
      </c>
      <c r="B4259" t="s">
        <v>112</v>
      </c>
      <c r="C4259" s="2">
        <f>HYPERLINK("https://cao.dolgi.msk.ru/account/1080238143/", 1080238143)</f>
        <v>1080238143</v>
      </c>
      <c r="D4259" t="s">
        <v>3555</v>
      </c>
      <c r="E4259">
        <v>-8216.74</v>
      </c>
      <c r="F4259">
        <v>-1.74</v>
      </c>
      <c r="G4259" t="s">
        <v>12</v>
      </c>
      <c r="I4259" t="s">
        <v>1428</v>
      </c>
    </row>
    <row r="4260" spans="1:9" hidden="1" x14ac:dyDescent="0.25">
      <c r="A4260" t="s">
        <v>3513</v>
      </c>
      <c r="B4260" t="s">
        <v>114</v>
      </c>
      <c r="C4260" s="2">
        <f>HYPERLINK("https://cao.dolgi.msk.ru/account/1080238151/", 1080238151)</f>
        <v>1080238151</v>
      </c>
      <c r="D4260" t="s">
        <v>3556</v>
      </c>
      <c r="E4260">
        <v>-6436.18</v>
      </c>
      <c r="F4260">
        <v>-1.24</v>
      </c>
      <c r="G4260" t="s">
        <v>12</v>
      </c>
      <c r="I4260" t="s">
        <v>1428</v>
      </c>
    </row>
    <row r="4261" spans="1:9" hidden="1" x14ac:dyDescent="0.25">
      <c r="A4261" t="s">
        <v>3513</v>
      </c>
      <c r="B4261" t="s">
        <v>116</v>
      </c>
      <c r="C4261" s="2">
        <f>HYPERLINK("https://cao.dolgi.msk.ru/account/1080238178/", 1080238178)</f>
        <v>1080238178</v>
      </c>
      <c r="D4261" t="s">
        <v>3557</v>
      </c>
      <c r="E4261">
        <v>-8827.17</v>
      </c>
      <c r="F4261">
        <v>-0.86</v>
      </c>
      <c r="G4261" t="s">
        <v>12</v>
      </c>
      <c r="I4261" t="s">
        <v>1428</v>
      </c>
    </row>
    <row r="4262" spans="1:9" hidden="1" x14ac:dyDescent="0.25">
      <c r="A4262" t="s">
        <v>3513</v>
      </c>
      <c r="B4262" t="s">
        <v>118</v>
      </c>
      <c r="C4262" s="2">
        <f>HYPERLINK("https://cao.dolgi.msk.ru/account/1080238186/", 1080238186)</f>
        <v>1080238186</v>
      </c>
      <c r="D4262" t="s">
        <v>3558</v>
      </c>
      <c r="E4262">
        <v>-195.3</v>
      </c>
      <c r="F4262">
        <v>-0.02</v>
      </c>
      <c r="G4262" t="s">
        <v>12</v>
      </c>
      <c r="I4262" t="s">
        <v>1428</v>
      </c>
    </row>
    <row r="4263" spans="1:9" hidden="1" x14ac:dyDescent="0.25">
      <c r="A4263" t="s">
        <v>3513</v>
      </c>
      <c r="B4263" t="s">
        <v>120</v>
      </c>
      <c r="C4263" s="2">
        <f>HYPERLINK("https://cao.dolgi.msk.ru/account/1080238194/", 1080238194)</f>
        <v>1080238194</v>
      </c>
      <c r="D4263" t="s">
        <v>3559</v>
      </c>
      <c r="E4263">
        <v>-1526.85</v>
      </c>
      <c r="F4263">
        <v>-0.28999999999999998</v>
      </c>
      <c r="G4263" t="s">
        <v>12</v>
      </c>
      <c r="I4263" t="s">
        <v>1428</v>
      </c>
    </row>
    <row r="4264" spans="1:9" hidden="1" x14ac:dyDescent="0.25">
      <c r="A4264" t="s">
        <v>3513</v>
      </c>
      <c r="B4264" t="s">
        <v>122</v>
      </c>
      <c r="C4264" s="2">
        <f>HYPERLINK("https://cao.dolgi.msk.ru/account/1080238207/", 1080238207)</f>
        <v>1080238207</v>
      </c>
      <c r="D4264" t="s">
        <v>3560</v>
      </c>
      <c r="E4264">
        <v>-5851.44</v>
      </c>
      <c r="F4264">
        <v>-1.36</v>
      </c>
      <c r="G4264" t="s">
        <v>12</v>
      </c>
      <c r="I4264" t="s">
        <v>1428</v>
      </c>
    </row>
    <row r="4265" spans="1:9" hidden="1" x14ac:dyDescent="0.25">
      <c r="A4265" t="s">
        <v>3513</v>
      </c>
      <c r="B4265" t="s">
        <v>124</v>
      </c>
      <c r="C4265" s="2">
        <f>HYPERLINK("https://cao.dolgi.msk.ru/account/1080238215/", 1080238215)</f>
        <v>1080238215</v>
      </c>
      <c r="D4265" t="s">
        <v>3561</v>
      </c>
      <c r="E4265">
        <v>-8086.24</v>
      </c>
      <c r="F4265">
        <v>-0.98</v>
      </c>
      <c r="G4265" t="s">
        <v>12</v>
      </c>
      <c r="I4265" t="s">
        <v>1428</v>
      </c>
    </row>
    <row r="4266" spans="1:9" hidden="1" x14ac:dyDescent="0.25">
      <c r="A4266" t="s">
        <v>3513</v>
      </c>
      <c r="B4266" t="s">
        <v>126</v>
      </c>
      <c r="C4266" s="2">
        <f>HYPERLINK("https://cao.dolgi.msk.ru/account/1080238223/", 1080238223)</f>
        <v>1080238223</v>
      </c>
      <c r="D4266" t="s">
        <v>3562</v>
      </c>
      <c r="E4266">
        <v>-9252.2999999999993</v>
      </c>
      <c r="F4266">
        <v>-1.32</v>
      </c>
      <c r="G4266" t="s">
        <v>12</v>
      </c>
      <c r="I4266" t="s">
        <v>1428</v>
      </c>
    </row>
    <row r="4267" spans="1:9" hidden="1" x14ac:dyDescent="0.25">
      <c r="A4267" t="s">
        <v>3513</v>
      </c>
      <c r="B4267" t="s">
        <v>128</v>
      </c>
      <c r="C4267" s="2">
        <f>HYPERLINK("https://cao.dolgi.msk.ru/account/1080238231/", 1080238231)</f>
        <v>1080238231</v>
      </c>
      <c r="D4267" t="s">
        <v>3563</v>
      </c>
      <c r="E4267">
        <v>-4362.88</v>
      </c>
      <c r="F4267">
        <v>-1.17</v>
      </c>
      <c r="G4267" t="s">
        <v>12</v>
      </c>
      <c r="I4267" t="s">
        <v>1428</v>
      </c>
    </row>
    <row r="4268" spans="1:9" hidden="1" x14ac:dyDescent="0.25">
      <c r="A4268" t="s">
        <v>3513</v>
      </c>
      <c r="B4268" t="s">
        <v>130</v>
      </c>
      <c r="C4268" s="2">
        <f>HYPERLINK("https://cao.dolgi.msk.ru/account/1080238258/", 1080238258)</f>
        <v>1080238258</v>
      </c>
      <c r="D4268" t="s">
        <v>3564</v>
      </c>
      <c r="E4268">
        <v>-3705.03</v>
      </c>
      <c r="F4268">
        <v>-1.03</v>
      </c>
      <c r="G4268" t="s">
        <v>12</v>
      </c>
      <c r="I4268" t="s">
        <v>1428</v>
      </c>
    </row>
    <row r="4269" spans="1:9" hidden="1" x14ac:dyDescent="0.25">
      <c r="A4269" t="s">
        <v>3513</v>
      </c>
      <c r="B4269" t="s">
        <v>132</v>
      </c>
      <c r="C4269" s="2">
        <f>HYPERLINK("https://cao.dolgi.msk.ru/account/1080238282/", 1080238282)</f>
        <v>1080238282</v>
      </c>
      <c r="D4269" t="s">
        <v>3565</v>
      </c>
      <c r="E4269">
        <v>-9601.98</v>
      </c>
      <c r="F4269">
        <v>-1.1200000000000001</v>
      </c>
      <c r="G4269" t="s">
        <v>12</v>
      </c>
      <c r="I4269" t="s">
        <v>1428</v>
      </c>
    </row>
    <row r="4270" spans="1:9" hidden="1" x14ac:dyDescent="0.25">
      <c r="A4270" t="s">
        <v>3513</v>
      </c>
      <c r="B4270" t="s">
        <v>133</v>
      </c>
      <c r="C4270" s="2">
        <f>HYPERLINK("https://cao.dolgi.msk.ru/account/1080238303/", 1080238303)</f>
        <v>1080238303</v>
      </c>
      <c r="D4270" t="s">
        <v>3566</v>
      </c>
      <c r="E4270">
        <v>-9619.74</v>
      </c>
      <c r="F4270">
        <v>-1</v>
      </c>
      <c r="G4270" t="s">
        <v>12</v>
      </c>
      <c r="I4270" t="s">
        <v>1428</v>
      </c>
    </row>
    <row r="4271" spans="1:9" hidden="1" x14ac:dyDescent="0.25">
      <c r="A4271" t="s">
        <v>3513</v>
      </c>
      <c r="B4271" t="s">
        <v>135</v>
      </c>
      <c r="C4271" s="2">
        <f>HYPERLINK("https://cao.dolgi.msk.ru/account/1080237597/", 1080237597)</f>
        <v>1080237597</v>
      </c>
      <c r="D4271" t="s">
        <v>3567</v>
      </c>
      <c r="E4271">
        <v>-94.52</v>
      </c>
      <c r="F4271">
        <v>-0.02</v>
      </c>
      <c r="G4271" t="s">
        <v>12</v>
      </c>
      <c r="I4271" t="s">
        <v>1428</v>
      </c>
    </row>
    <row r="4272" spans="1:9" hidden="1" x14ac:dyDescent="0.25">
      <c r="A4272" t="s">
        <v>3513</v>
      </c>
      <c r="B4272" t="s">
        <v>137</v>
      </c>
      <c r="C4272" s="2">
        <f>HYPERLINK("https://cao.dolgi.msk.ru/account/1080238311/", 1080238311)</f>
        <v>1080238311</v>
      </c>
      <c r="D4272" t="s">
        <v>3568</v>
      </c>
      <c r="E4272">
        <v>-2823.69</v>
      </c>
      <c r="F4272">
        <v>-1.17</v>
      </c>
      <c r="G4272" t="s">
        <v>12</v>
      </c>
      <c r="I4272" t="s">
        <v>1428</v>
      </c>
    </row>
    <row r="4273" spans="1:9" hidden="1" x14ac:dyDescent="0.25">
      <c r="A4273" t="s">
        <v>3513</v>
      </c>
      <c r="B4273" t="s">
        <v>139</v>
      </c>
      <c r="C4273" s="2">
        <f>HYPERLINK("https://cao.dolgi.msk.ru/account/1080238338/", 1080238338)</f>
        <v>1080238338</v>
      </c>
      <c r="D4273" t="s">
        <v>3569</v>
      </c>
      <c r="E4273">
        <v>5773.75</v>
      </c>
      <c r="F4273">
        <v>0.76</v>
      </c>
      <c r="G4273" t="s">
        <v>12</v>
      </c>
      <c r="I4273" t="s">
        <v>1428</v>
      </c>
    </row>
    <row r="4274" spans="1:9" x14ac:dyDescent="0.25">
      <c r="A4274" t="s">
        <v>3513</v>
      </c>
      <c r="B4274" t="s">
        <v>141</v>
      </c>
      <c r="C4274" s="2">
        <f>HYPERLINK("https://cao.dolgi.msk.ru/account/1080238346/", 1080238346)</f>
        <v>1080238346</v>
      </c>
      <c r="D4274" t="s">
        <v>3570</v>
      </c>
      <c r="E4274">
        <v>23319.57</v>
      </c>
      <c r="F4274">
        <v>3.23</v>
      </c>
      <c r="G4274" t="s">
        <v>12</v>
      </c>
      <c r="I4274" t="s">
        <v>1428</v>
      </c>
    </row>
    <row r="4275" spans="1:9" x14ac:dyDescent="0.25">
      <c r="A4275" t="s">
        <v>3513</v>
      </c>
      <c r="B4275" t="s">
        <v>143</v>
      </c>
      <c r="C4275" s="2">
        <f>HYPERLINK("https://cao.dolgi.msk.ru/account/1080238354/", 1080238354)</f>
        <v>1080238354</v>
      </c>
      <c r="D4275" t="s">
        <v>3571</v>
      </c>
      <c r="E4275">
        <v>19572.68</v>
      </c>
      <c r="F4275">
        <v>3.96</v>
      </c>
      <c r="G4275" t="s">
        <v>12</v>
      </c>
      <c r="I4275" t="s">
        <v>1428</v>
      </c>
    </row>
    <row r="4276" spans="1:9" hidden="1" x14ac:dyDescent="0.25">
      <c r="A4276" t="s">
        <v>3513</v>
      </c>
      <c r="B4276" t="s">
        <v>145</v>
      </c>
      <c r="C4276" s="2">
        <f>HYPERLINK("https://cao.dolgi.msk.ru/account/1080238362/", 1080238362)</f>
        <v>1080238362</v>
      </c>
      <c r="D4276" t="s">
        <v>3572</v>
      </c>
      <c r="E4276">
        <v>-7062.88</v>
      </c>
      <c r="F4276">
        <v>-1.1200000000000001</v>
      </c>
      <c r="G4276" t="s">
        <v>12</v>
      </c>
      <c r="I4276" t="s">
        <v>1428</v>
      </c>
    </row>
    <row r="4277" spans="1:9" hidden="1" x14ac:dyDescent="0.25">
      <c r="A4277" t="s">
        <v>3513</v>
      </c>
      <c r="B4277" t="s">
        <v>147</v>
      </c>
      <c r="C4277" s="2">
        <f>HYPERLINK("https://cao.dolgi.msk.ru/account/1080238389/", 1080238389)</f>
        <v>1080238389</v>
      </c>
      <c r="D4277" t="s">
        <v>3573</v>
      </c>
      <c r="E4277">
        <v>-238.51</v>
      </c>
      <c r="F4277">
        <v>-0.03</v>
      </c>
      <c r="G4277" t="s">
        <v>12</v>
      </c>
      <c r="I4277" t="s">
        <v>1428</v>
      </c>
    </row>
    <row r="4278" spans="1:9" hidden="1" x14ac:dyDescent="0.25">
      <c r="A4278" t="s">
        <v>3513</v>
      </c>
      <c r="B4278" t="s">
        <v>149</v>
      </c>
      <c r="C4278" s="2">
        <f>HYPERLINK("https://cao.dolgi.msk.ru/account/1080238397/", 1080238397)</f>
        <v>1080238397</v>
      </c>
      <c r="D4278" t="s">
        <v>3574</v>
      </c>
      <c r="E4278">
        <v>-8944.11</v>
      </c>
      <c r="F4278">
        <v>-1.1399999999999999</v>
      </c>
      <c r="G4278" t="s">
        <v>12</v>
      </c>
      <c r="I4278" t="s">
        <v>1428</v>
      </c>
    </row>
    <row r="4279" spans="1:9" hidden="1" x14ac:dyDescent="0.25">
      <c r="A4279" t="s">
        <v>3513</v>
      </c>
      <c r="B4279" t="s">
        <v>151</v>
      </c>
      <c r="C4279" s="2">
        <f>HYPERLINK("https://cao.dolgi.msk.ru/account/1080238418/", 1080238418)</f>
        <v>1080238418</v>
      </c>
      <c r="D4279" t="s">
        <v>3575</v>
      </c>
      <c r="E4279">
        <v>-5996.68</v>
      </c>
      <c r="F4279">
        <v>-1.0900000000000001</v>
      </c>
      <c r="G4279" t="s">
        <v>12</v>
      </c>
      <c r="I4279" t="s">
        <v>1428</v>
      </c>
    </row>
    <row r="4280" spans="1:9" x14ac:dyDescent="0.25">
      <c r="A4280" t="s">
        <v>3513</v>
      </c>
      <c r="B4280" t="s">
        <v>153</v>
      </c>
      <c r="C4280" s="2">
        <f>HYPERLINK("https://cao.dolgi.msk.ru/account/1080238426/", 1080238426)</f>
        <v>1080238426</v>
      </c>
      <c r="D4280" t="s">
        <v>3576</v>
      </c>
      <c r="E4280">
        <v>9697.4</v>
      </c>
      <c r="F4280">
        <v>1.55</v>
      </c>
      <c r="G4280" t="s">
        <v>12</v>
      </c>
      <c r="I4280" t="s">
        <v>1428</v>
      </c>
    </row>
    <row r="4281" spans="1:9" hidden="1" x14ac:dyDescent="0.25">
      <c r="A4281" t="s">
        <v>3513</v>
      </c>
      <c r="B4281" t="s">
        <v>155</v>
      </c>
      <c r="C4281" s="2">
        <f>HYPERLINK("https://cao.dolgi.msk.ru/account/1080238434/", 1080238434)</f>
        <v>1080238434</v>
      </c>
      <c r="D4281" t="s">
        <v>3577</v>
      </c>
      <c r="E4281">
        <v>563.09</v>
      </c>
      <c r="F4281">
        <v>0.08</v>
      </c>
      <c r="G4281" t="s">
        <v>12</v>
      </c>
      <c r="I4281" t="s">
        <v>1428</v>
      </c>
    </row>
    <row r="4282" spans="1:9" hidden="1" x14ac:dyDescent="0.25">
      <c r="A4282" t="s">
        <v>3513</v>
      </c>
      <c r="B4282" t="s">
        <v>157</v>
      </c>
      <c r="C4282" s="2">
        <f>HYPERLINK("https://cao.dolgi.msk.ru/account/1080238442/", 1080238442)</f>
        <v>1080238442</v>
      </c>
      <c r="D4282" t="s">
        <v>3578</v>
      </c>
      <c r="E4282">
        <v>48.6</v>
      </c>
      <c r="F4282">
        <v>0.01</v>
      </c>
      <c r="G4282" t="s">
        <v>12</v>
      </c>
      <c r="I4282" t="s">
        <v>1428</v>
      </c>
    </row>
    <row r="4283" spans="1:9" hidden="1" x14ac:dyDescent="0.25">
      <c r="A4283" t="s">
        <v>3513</v>
      </c>
      <c r="B4283" t="s">
        <v>159</v>
      </c>
      <c r="C4283" s="2">
        <f>HYPERLINK("https://cao.dolgi.msk.ru/account/1080238469/", 1080238469)</f>
        <v>1080238469</v>
      </c>
      <c r="D4283" t="s">
        <v>3579</v>
      </c>
      <c r="E4283">
        <v>17.38</v>
      </c>
      <c r="F4283">
        <v>0</v>
      </c>
      <c r="G4283" t="s">
        <v>12</v>
      </c>
      <c r="I4283" t="s">
        <v>1428</v>
      </c>
    </row>
    <row r="4284" spans="1:9" hidden="1" x14ac:dyDescent="0.25">
      <c r="A4284" t="s">
        <v>3513</v>
      </c>
      <c r="B4284" t="s">
        <v>161</v>
      </c>
      <c r="C4284" s="2">
        <f>HYPERLINK("https://cao.dolgi.msk.ru/account/1080238477/", 1080238477)</f>
        <v>1080238477</v>
      </c>
      <c r="D4284" t="s">
        <v>3580</v>
      </c>
      <c r="E4284">
        <v>-89.36</v>
      </c>
      <c r="F4284">
        <v>-0.03</v>
      </c>
      <c r="G4284" t="s">
        <v>12</v>
      </c>
      <c r="I4284" t="s">
        <v>1428</v>
      </c>
    </row>
    <row r="4285" spans="1:9" hidden="1" x14ac:dyDescent="0.25">
      <c r="A4285" t="s">
        <v>3513</v>
      </c>
      <c r="B4285" t="s">
        <v>163</v>
      </c>
      <c r="C4285" s="2">
        <f>HYPERLINK("https://cao.dolgi.msk.ru/account/1080238485/", 1080238485)</f>
        <v>1080238485</v>
      </c>
      <c r="D4285" t="s">
        <v>3581</v>
      </c>
      <c r="E4285">
        <v>-5792.08</v>
      </c>
      <c r="F4285">
        <v>-0.83</v>
      </c>
      <c r="G4285" t="s">
        <v>12</v>
      </c>
      <c r="I4285" t="s">
        <v>1428</v>
      </c>
    </row>
    <row r="4286" spans="1:9" hidden="1" x14ac:dyDescent="0.25">
      <c r="A4286" t="s">
        <v>3513</v>
      </c>
      <c r="B4286" t="s">
        <v>571</v>
      </c>
      <c r="C4286" s="2">
        <f>HYPERLINK("https://cao.dolgi.msk.ru/account/1080238493/", 1080238493)</f>
        <v>1080238493</v>
      </c>
      <c r="D4286" t="s">
        <v>3582</v>
      </c>
      <c r="E4286">
        <v>-6714.67</v>
      </c>
      <c r="F4286">
        <v>-1.1100000000000001</v>
      </c>
      <c r="G4286" t="s">
        <v>12</v>
      </c>
      <c r="I4286" t="s">
        <v>1428</v>
      </c>
    </row>
    <row r="4287" spans="1:9" hidden="1" x14ac:dyDescent="0.25">
      <c r="A4287" t="s">
        <v>3513</v>
      </c>
      <c r="B4287" t="s">
        <v>682</v>
      </c>
      <c r="C4287" s="2">
        <f>HYPERLINK("https://cao.dolgi.msk.ru/account/1080238506/", 1080238506)</f>
        <v>1080238506</v>
      </c>
      <c r="D4287" t="s">
        <v>15</v>
      </c>
      <c r="E4287">
        <v>-8240.42</v>
      </c>
      <c r="F4287">
        <v>-1.53</v>
      </c>
      <c r="G4287" t="s">
        <v>12</v>
      </c>
      <c r="I4287" t="s">
        <v>1428</v>
      </c>
    </row>
    <row r="4288" spans="1:9" hidden="1" x14ac:dyDescent="0.25">
      <c r="A4288" t="s">
        <v>3513</v>
      </c>
      <c r="B4288" t="s">
        <v>578</v>
      </c>
      <c r="C4288" s="2">
        <f>HYPERLINK("https://cao.dolgi.msk.ru/account/1080238514/", 1080238514)</f>
        <v>1080238514</v>
      </c>
      <c r="D4288" t="s">
        <v>3583</v>
      </c>
      <c r="E4288">
        <v>-4605.18</v>
      </c>
      <c r="F4288">
        <v>-0.64</v>
      </c>
      <c r="G4288" t="s">
        <v>12</v>
      </c>
      <c r="I4288" t="s">
        <v>1428</v>
      </c>
    </row>
    <row r="4289" spans="1:9" hidden="1" x14ac:dyDescent="0.25">
      <c r="A4289" t="s">
        <v>3513</v>
      </c>
      <c r="B4289" t="s">
        <v>580</v>
      </c>
      <c r="C4289" s="2">
        <f>HYPERLINK("https://cao.dolgi.msk.ru/account/1080238522/", 1080238522)</f>
        <v>1080238522</v>
      </c>
      <c r="D4289" t="s">
        <v>3584</v>
      </c>
      <c r="E4289">
        <v>-4342.37</v>
      </c>
      <c r="F4289">
        <v>-1.1499999999999999</v>
      </c>
      <c r="G4289" t="s">
        <v>12</v>
      </c>
      <c r="I4289" t="s">
        <v>1428</v>
      </c>
    </row>
    <row r="4290" spans="1:9" hidden="1" x14ac:dyDescent="0.25">
      <c r="A4290" t="s">
        <v>3513</v>
      </c>
      <c r="B4290" t="s">
        <v>686</v>
      </c>
      <c r="C4290" s="2">
        <f>HYPERLINK("https://cao.dolgi.msk.ru/account/1080238549/", 1080238549)</f>
        <v>1080238549</v>
      </c>
      <c r="D4290" t="s">
        <v>3585</v>
      </c>
      <c r="E4290">
        <v>-8757.9599999999991</v>
      </c>
      <c r="F4290">
        <v>-1.19</v>
      </c>
      <c r="G4290" t="s">
        <v>12</v>
      </c>
      <c r="I4290" t="s">
        <v>1428</v>
      </c>
    </row>
    <row r="4291" spans="1:9" hidden="1" x14ac:dyDescent="0.25">
      <c r="A4291" t="s">
        <v>3513</v>
      </c>
      <c r="B4291" t="s">
        <v>582</v>
      </c>
      <c r="C4291" s="2">
        <f>HYPERLINK("https://cao.dolgi.msk.ru/account/1080238557/", 1080238557)</f>
        <v>1080238557</v>
      </c>
      <c r="D4291" t="s">
        <v>3586</v>
      </c>
      <c r="E4291">
        <v>-4530.1099999999997</v>
      </c>
      <c r="F4291">
        <v>-1.1399999999999999</v>
      </c>
      <c r="G4291" t="s">
        <v>12</v>
      </c>
      <c r="I4291" t="s">
        <v>1428</v>
      </c>
    </row>
    <row r="4292" spans="1:9" hidden="1" x14ac:dyDescent="0.25">
      <c r="A4292" t="s">
        <v>3513</v>
      </c>
      <c r="B4292" t="s">
        <v>3587</v>
      </c>
      <c r="C4292" s="2">
        <f>HYPERLINK("https://cao.dolgi.msk.ru/account/1080238565/", 1080238565)</f>
        <v>1080238565</v>
      </c>
      <c r="D4292" t="s">
        <v>3588</v>
      </c>
      <c r="E4292">
        <v>-10681.01</v>
      </c>
      <c r="F4292">
        <v>-1.05</v>
      </c>
      <c r="G4292" t="s">
        <v>12</v>
      </c>
      <c r="I4292" t="s">
        <v>1428</v>
      </c>
    </row>
    <row r="4293" spans="1:9" hidden="1" x14ac:dyDescent="0.25">
      <c r="A4293" t="s">
        <v>3513</v>
      </c>
      <c r="B4293" t="s">
        <v>588</v>
      </c>
      <c r="C4293" s="2">
        <f>HYPERLINK("https://cao.dolgi.msk.ru/account/1080238573/", 1080238573)</f>
        <v>1080238573</v>
      </c>
      <c r="D4293" t="s">
        <v>3589</v>
      </c>
      <c r="E4293">
        <v>-6981.4</v>
      </c>
      <c r="F4293">
        <v>-1.04</v>
      </c>
      <c r="G4293" t="s">
        <v>12</v>
      </c>
      <c r="I4293" t="s">
        <v>1428</v>
      </c>
    </row>
    <row r="4294" spans="1:9" hidden="1" x14ac:dyDescent="0.25">
      <c r="A4294" t="s">
        <v>3513</v>
      </c>
      <c r="B4294" t="s">
        <v>590</v>
      </c>
      <c r="C4294" s="2">
        <f>HYPERLINK("https://cao.dolgi.msk.ru/account/1080238581/", 1080238581)</f>
        <v>1080238581</v>
      </c>
      <c r="D4294" t="s">
        <v>3590</v>
      </c>
      <c r="E4294">
        <v>658.32</v>
      </c>
      <c r="F4294">
        <v>0.11</v>
      </c>
      <c r="G4294" t="s">
        <v>12</v>
      </c>
      <c r="I4294" t="s">
        <v>1428</v>
      </c>
    </row>
    <row r="4295" spans="1:9" hidden="1" x14ac:dyDescent="0.25">
      <c r="A4295" t="s">
        <v>3513</v>
      </c>
      <c r="B4295" t="s">
        <v>693</v>
      </c>
      <c r="C4295" s="2">
        <f>HYPERLINK("https://cao.dolgi.msk.ru/account/1080238602/", 1080238602)</f>
        <v>1080238602</v>
      </c>
      <c r="D4295" t="s">
        <v>3591</v>
      </c>
      <c r="E4295">
        <v>-4.3499999999999996</v>
      </c>
      <c r="F4295">
        <v>0</v>
      </c>
      <c r="G4295" t="s">
        <v>12</v>
      </c>
      <c r="I4295" t="s">
        <v>1428</v>
      </c>
    </row>
    <row r="4296" spans="1:9" x14ac:dyDescent="0.25">
      <c r="A4296" t="s">
        <v>3513</v>
      </c>
      <c r="B4296" t="s">
        <v>694</v>
      </c>
      <c r="C4296" s="2">
        <f>HYPERLINK("https://cao.dolgi.msk.ru/account/1080238629/", 1080238629)</f>
        <v>1080238629</v>
      </c>
      <c r="D4296" t="s">
        <v>3592</v>
      </c>
      <c r="E4296">
        <v>3766.48</v>
      </c>
      <c r="F4296">
        <v>1.67</v>
      </c>
      <c r="G4296" t="s">
        <v>12</v>
      </c>
      <c r="H4296" t="s">
        <v>7</v>
      </c>
      <c r="I4296" t="s">
        <v>1428</v>
      </c>
    </row>
    <row r="4297" spans="1:9" x14ac:dyDescent="0.25">
      <c r="A4297" t="s">
        <v>3513</v>
      </c>
      <c r="B4297" t="s">
        <v>694</v>
      </c>
      <c r="C4297" s="2">
        <f>HYPERLINK("https://cao.dolgi.msk.ru/account/1080238637/", 1080238637)</f>
        <v>1080238637</v>
      </c>
      <c r="D4297" t="s">
        <v>3593</v>
      </c>
      <c r="E4297">
        <v>32298.09</v>
      </c>
      <c r="F4297">
        <v>7.27</v>
      </c>
      <c r="G4297" t="s">
        <v>12</v>
      </c>
      <c r="H4297" t="s">
        <v>7</v>
      </c>
      <c r="I4297" t="s">
        <v>1428</v>
      </c>
    </row>
    <row r="4298" spans="1:9" hidden="1" x14ac:dyDescent="0.25">
      <c r="A4298" t="s">
        <v>3513</v>
      </c>
      <c r="B4298" t="s">
        <v>694</v>
      </c>
      <c r="C4298" s="2">
        <f>HYPERLINK("https://cao.dolgi.msk.ru/account/1080238645/", 1080238645)</f>
        <v>1080238645</v>
      </c>
      <c r="D4298" t="s">
        <v>3594</v>
      </c>
      <c r="E4298">
        <v>-7250.24</v>
      </c>
      <c r="F4298">
        <v>-1.64</v>
      </c>
      <c r="G4298" t="s">
        <v>12</v>
      </c>
      <c r="H4298" t="s">
        <v>7</v>
      </c>
      <c r="I4298" t="s">
        <v>1428</v>
      </c>
    </row>
    <row r="4299" spans="1:9" hidden="1" x14ac:dyDescent="0.25">
      <c r="A4299" t="s">
        <v>3513</v>
      </c>
      <c r="B4299" t="s">
        <v>696</v>
      </c>
      <c r="C4299" s="2">
        <f>HYPERLINK("https://cao.dolgi.msk.ru/account/1080238653/", 1080238653)</f>
        <v>1080238653</v>
      </c>
      <c r="D4299" t="s">
        <v>3595</v>
      </c>
      <c r="E4299">
        <v>-6390.87</v>
      </c>
      <c r="F4299">
        <v>-0.98</v>
      </c>
      <c r="G4299" t="s">
        <v>12</v>
      </c>
      <c r="I4299" t="s">
        <v>1428</v>
      </c>
    </row>
    <row r="4300" spans="1:9" hidden="1" x14ac:dyDescent="0.25">
      <c r="A4300" t="s">
        <v>3513</v>
      </c>
      <c r="B4300" t="s">
        <v>698</v>
      </c>
      <c r="C4300" s="2">
        <f>HYPERLINK("https://cao.dolgi.msk.ru/account/1080238661/", 1080238661)</f>
        <v>1080238661</v>
      </c>
      <c r="D4300" t="s">
        <v>3596</v>
      </c>
      <c r="E4300">
        <v>-3243.01</v>
      </c>
      <c r="F4300">
        <v>-1.1599999999999999</v>
      </c>
      <c r="G4300" t="s">
        <v>12</v>
      </c>
      <c r="I4300" t="s">
        <v>1428</v>
      </c>
    </row>
    <row r="4301" spans="1:9" hidden="1" x14ac:dyDescent="0.25">
      <c r="A4301" t="s">
        <v>3513</v>
      </c>
      <c r="B4301" t="s">
        <v>700</v>
      </c>
      <c r="C4301" s="2">
        <f>HYPERLINK("https://cao.dolgi.msk.ru/account/1080238688/", 1080238688)</f>
        <v>1080238688</v>
      </c>
      <c r="D4301" t="s">
        <v>3597</v>
      </c>
      <c r="E4301">
        <v>4514.3999999999996</v>
      </c>
      <c r="F4301">
        <v>0.99</v>
      </c>
      <c r="G4301" t="s">
        <v>12</v>
      </c>
      <c r="I4301" t="s">
        <v>1428</v>
      </c>
    </row>
    <row r="4302" spans="1:9" x14ac:dyDescent="0.25">
      <c r="A4302" t="s">
        <v>3513</v>
      </c>
      <c r="B4302" t="s">
        <v>702</v>
      </c>
      <c r="C4302" s="2">
        <f>HYPERLINK("https://cao.dolgi.msk.ru/account/1080238696/", 1080238696)</f>
        <v>1080238696</v>
      </c>
      <c r="D4302" t="s">
        <v>3598</v>
      </c>
      <c r="E4302">
        <v>14871.54</v>
      </c>
      <c r="F4302">
        <v>2</v>
      </c>
      <c r="G4302" t="s">
        <v>12</v>
      </c>
      <c r="I4302" t="s">
        <v>1428</v>
      </c>
    </row>
    <row r="4303" spans="1:9" hidden="1" x14ac:dyDescent="0.25">
      <c r="A4303" t="s">
        <v>3513</v>
      </c>
      <c r="B4303" t="s">
        <v>703</v>
      </c>
      <c r="C4303" s="2">
        <f>HYPERLINK("https://cao.dolgi.msk.ru/account/1080238709/", 1080238709)</f>
        <v>1080238709</v>
      </c>
      <c r="D4303" t="s">
        <v>3599</v>
      </c>
      <c r="E4303">
        <v>-6032.03</v>
      </c>
      <c r="F4303">
        <v>-1.35</v>
      </c>
      <c r="G4303" t="s">
        <v>12</v>
      </c>
      <c r="I4303" t="s">
        <v>1428</v>
      </c>
    </row>
    <row r="4304" spans="1:9" hidden="1" x14ac:dyDescent="0.25">
      <c r="A4304" t="s">
        <v>3513</v>
      </c>
      <c r="B4304" t="s">
        <v>705</v>
      </c>
      <c r="C4304" s="2">
        <f>HYPERLINK("https://cao.dolgi.msk.ru/account/1080238717/", 1080238717)</f>
        <v>1080238717</v>
      </c>
      <c r="D4304" t="s">
        <v>3600</v>
      </c>
      <c r="E4304">
        <v>0</v>
      </c>
      <c r="G4304" t="s">
        <v>14</v>
      </c>
      <c r="I4304" t="s">
        <v>1428</v>
      </c>
    </row>
    <row r="4305" spans="1:9" hidden="1" x14ac:dyDescent="0.25">
      <c r="A4305" t="s">
        <v>3513</v>
      </c>
      <c r="B4305" t="s">
        <v>705</v>
      </c>
      <c r="C4305" s="2">
        <f>HYPERLINK("https://cao.dolgi.msk.ru/account/1089129963/", 1089129963)</f>
        <v>1089129963</v>
      </c>
      <c r="D4305" t="s">
        <v>3601</v>
      </c>
      <c r="E4305">
        <v>261.64</v>
      </c>
      <c r="F4305">
        <v>0.05</v>
      </c>
      <c r="G4305" t="s">
        <v>12</v>
      </c>
      <c r="I4305" t="s">
        <v>1428</v>
      </c>
    </row>
    <row r="4306" spans="1:9" hidden="1" x14ac:dyDescent="0.25">
      <c r="A4306" t="s">
        <v>3513</v>
      </c>
      <c r="B4306" t="s">
        <v>707</v>
      </c>
      <c r="C4306" s="2">
        <f>HYPERLINK("https://cao.dolgi.msk.ru/account/1080238725/", 1080238725)</f>
        <v>1080238725</v>
      </c>
      <c r="D4306" t="s">
        <v>3602</v>
      </c>
      <c r="E4306">
        <v>-4825.7</v>
      </c>
      <c r="F4306">
        <v>-1.42</v>
      </c>
      <c r="G4306" t="s">
        <v>12</v>
      </c>
      <c r="I4306" t="s">
        <v>1428</v>
      </c>
    </row>
    <row r="4307" spans="1:9" hidden="1" x14ac:dyDescent="0.25">
      <c r="A4307" t="s">
        <v>3513</v>
      </c>
      <c r="B4307" t="s">
        <v>709</v>
      </c>
      <c r="C4307" s="2">
        <f>HYPERLINK("https://cao.dolgi.msk.ru/account/1080238733/", 1080238733)</f>
        <v>1080238733</v>
      </c>
      <c r="D4307" t="s">
        <v>3603</v>
      </c>
      <c r="E4307">
        <v>-7407.81</v>
      </c>
      <c r="F4307">
        <v>-1.17</v>
      </c>
      <c r="G4307" t="s">
        <v>12</v>
      </c>
      <c r="I4307" t="s">
        <v>1428</v>
      </c>
    </row>
    <row r="4308" spans="1:9" hidden="1" x14ac:dyDescent="0.25">
      <c r="A4308" t="s">
        <v>3513</v>
      </c>
      <c r="B4308" t="s">
        <v>711</v>
      </c>
      <c r="C4308" s="2">
        <f>HYPERLINK("https://cao.dolgi.msk.ru/account/1080238741/", 1080238741)</f>
        <v>1080238741</v>
      </c>
      <c r="D4308" t="s">
        <v>3604</v>
      </c>
      <c r="E4308">
        <v>0</v>
      </c>
      <c r="F4308">
        <v>0</v>
      </c>
      <c r="G4308" t="s">
        <v>12</v>
      </c>
      <c r="I4308" t="s">
        <v>1428</v>
      </c>
    </row>
    <row r="4309" spans="1:9" hidden="1" x14ac:dyDescent="0.25">
      <c r="A4309" t="s">
        <v>3513</v>
      </c>
      <c r="B4309" t="s">
        <v>713</v>
      </c>
      <c r="C4309" s="2">
        <f>HYPERLINK("https://cao.dolgi.msk.ru/account/1080238768/", 1080238768)</f>
        <v>1080238768</v>
      </c>
      <c r="D4309" t="s">
        <v>3605</v>
      </c>
      <c r="E4309">
        <v>-7072.19</v>
      </c>
      <c r="F4309">
        <v>-1.07</v>
      </c>
      <c r="G4309" t="s">
        <v>12</v>
      </c>
      <c r="I4309" t="s">
        <v>1428</v>
      </c>
    </row>
    <row r="4310" spans="1:9" hidden="1" x14ac:dyDescent="0.25">
      <c r="A4310" t="s">
        <v>3513</v>
      </c>
      <c r="B4310" t="s">
        <v>528</v>
      </c>
      <c r="C4310" s="2">
        <f>HYPERLINK("https://cao.dolgi.msk.ru/account/1080238776/", 1080238776)</f>
        <v>1080238776</v>
      </c>
      <c r="D4310" t="s">
        <v>3606</v>
      </c>
      <c r="E4310">
        <v>3201.84</v>
      </c>
      <c r="F4310">
        <v>0.6</v>
      </c>
      <c r="G4310" t="s">
        <v>12</v>
      </c>
      <c r="I4310" t="s">
        <v>1428</v>
      </c>
    </row>
    <row r="4311" spans="1:9" hidden="1" x14ac:dyDescent="0.25">
      <c r="A4311" t="s">
        <v>3513</v>
      </c>
      <c r="B4311" t="s">
        <v>530</v>
      </c>
      <c r="C4311" s="2">
        <f>HYPERLINK("https://cao.dolgi.msk.ru/account/1080238784/", 1080238784)</f>
        <v>1080238784</v>
      </c>
      <c r="D4311" t="s">
        <v>3607</v>
      </c>
      <c r="E4311">
        <v>5385.74</v>
      </c>
      <c r="F4311">
        <v>0.6</v>
      </c>
      <c r="G4311" t="s">
        <v>12</v>
      </c>
      <c r="I4311" t="s">
        <v>1428</v>
      </c>
    </row>
    <row r="4312" spans="1:9" hidden="1" x14ac:dyDescent="0.25">
      <c r="A4312" t="s">
        <v>3513</v>
      </c>
      <c r="B4312" t="s">
        <v>532</v>
      </c>
      <c r="C4312" s="2">
        <f>HYPERLINK("https://cao.dolgi.msk.ru/account/1080238792/", 1080238792)</f>
        <v>1080238792</v>
      </c>
      <c r="D4312" t="s">
        <v>3608</v>
      </c>
      <c r="E4312">
        <v>-4739.9799999999996</v>
      </c>
      <c r="F4312">
        <v>-1.17</v>
      </c>
      <c r="G4312" t="s">
        <v>12</v>
      </c>
      <c r="I4312" t="s">
        <v>1428</v>
      </c>
    </row>
    <row r="4313" spans="1:9" hidden="1" x14ac:dyDescent="0.25">
      <c r="A4313" t="s">
        <v>3513</v>
      </c>
      <c r="B4313" t="s">
        <v>534</v>
      </c>
      <c r="C4313" s="2">
        <f>HYPERLINK("https://cao.dolgi.msk.ru/account/1080238805/", 1080238805)</f>
        <v>1080238805</v>
      </c>
      <c r="D4313" t="s">
        <v>3609</v>
      </c>
      <c r="E4313">
        <v>-3169.92</v>
      </c>
      <c r="F4313">
        <v>-1.1299999999999999</v>
      </c>
      <c r="G4313" t="s">
        <v>12</v>
      </c>
      <c r="I4313" t="s">
        <v>1428</v>
      </c>
    </row>
    <row r="4314" spans="1:9" hidden="1" x14ac:dyDescent="0.25">
      <c r="A4314" t="s">
        <v>3513</v>
      </c>
      <c r="B4314" t="s">
        <v>536</v>
      </c>
      <c r="C4314" s="2">
        <f>HYPERLINK("https://cao.dolgi.msk.ru/account/1080238813/", 1080238813)</f>
        <v>1080238813</v>
      </c>
      <c r="D4314" t="s">
        <v>3610</v>
      </c>
      <c r="E4314">
        <v>-1940.7</v>
      </c>
      <c r="F4314">
        <v>-1.08</v>
      </c>
      <c r="G4314" t="s">
        <v>12</v>
      </c>
      <c r="I4314" t="s">
        <v>1428</v>
      </c>
    </row>
    <row r="4315" spans="1:9" x14ac:dyDescent="0.25">
      <c r="A4315" t="s">
        <v>3513</v>
      </c>
      <c r="B4315" t="s">
        <v>536</v>
      </c>
      <c r="C4315" s="2">
        <f>HYPERLINK("https://cao.dolgi.msk.ru/account/1080238864/", 1080238864)</f>
        <v>1080238864</v>
      </c>
      <c r="D4315" t="s">
        <v>15</v>
      </c>
      <c r="E4315">
        <v>30611.93</v>
      </c>
      <c r="F4315">
        <v>8.52</v>
      </c>
      <c r="G4315" t="s">
        <v>12</v>
      </c>
      <c r="I4315" t="s">
        <v>1428</v>
      </c>
    </row>
    <row r="4316" spans="1:9" hidden="1" x14ac:dyDescent="0.25">
      <c r="A4316" t="s">
        <v>3513</v>
      </c>
      <c r="B4316" t="s">
        <v>538</v>
      </c>
      <c r="C4316" s="2">
        <f>HYPERLINK("https://cao.dolgi.msk.ru/account/1080238821/", 1080238821)</f>
        <v>1080238821</v>
      </c>
      <c r="D4316" t="s">
        <v>3611</v>
      </c>
      <c r="E4316">
        <v>7451.51</v>
      </c>
      <c r="F4316">
        <v>1</v>
      </c>
      <c r="G4316" t="s">
        <v>12</v>
      </c>
      <c r="I4316" t="s">
        <v>1428</v>
      </c>
    </row>
    <row r="4317" spans="1:9" hidden="1" x14ac:dyDescent="0.25">
      <c r="A4317" t="s">
        <v>3513</v>
      </c>
      <c r="B4317" t="s">
        <v>539</v>
      </c>
      <c r="C4317" s="2">
        <f>HYPERLINK("https://cao.dolgi.msk.ru/account/1080238856/", 1080238856)</f>
        <v>1080238856</v>
      </c>
      <c r="D4317" t="s">
        <v>3612</v>
      </c>
      <c r="E4317">
        <v>0</v>
      </c>
      <c r="F4317">
        <v>0</v>
      </c>
      <c r="G4317" t="s">
        <v>12</v>
      </c>
      <c r="I4317" t="s">
        <v>1428</v>
      </c>
    </row>
    <row r="4318" spans="1:9" hidden="1" x14ac:dyDescent="0.25">
      <c r="A4318" t="s">
        <v>3513</v>
      </c>
      <c r="B4318" t="s">
        <v>541</v>
      </c>
      <c r="C4318" s="2">
        <f>HYPERLINK("https://cao.dolgi.msk.ru/account/1080238872/", 1080238872)</f>
        <v>1080238872</v>
      </c>
      <c r="D4318" t="s">
        <v>3613</v>
      </c>
      <c r="E4318">
        <v>-3142.05</v>
      </c>
      <c r="F4318">
        <v>-1.01</v>
      </c>
      <c r="G4318" t="s">
        <v>12</v>
      </c>
      <c r="I4318" t="s">
        <v>1428</v>
      </c>
    </row>
    <row r="4319" spans="1:9" hidden="1" x14ac:dyDescent="0.25">
      <c r="A4319" t="s">
        <v>3513</v>
      </c>
      <c r="B4319" t="s">
        <v>543</v>
      </c>
      <c r="C4319" s="2">
        <f>HYPERLINK("https://cao.dolgi.msk.ru/account/1080238899/", 1080238899)</f>
        <v>1080238899</v>
      </c>
      <c r="D4319" t="s">
        <v>3614</v>
      </c>
      <c r="E4319">
        <v>-1424.13</v>
      </c>
      <c r="F4319">
        <v>-0.32</v>
      </c>
      <c r="G4319" t="s">
        <v>12</v>
      </c>
      <c r="I4319" t="s">
        <v>1428</v>
      </c>
    </row>
    <row r="4320" spans="1:9" hidden="1" x14ac:dyDescent="0.25">
      <c r="A4320" t="s">
        <v>3513</v>
      </c>
      <c r="B4320" t="s">
        <v>545</v>
      </c>
      <c r="C4320" s="2">
        <f>HYPERLINK("https://cao.dolgi.msk.ru/account/1080238901/", 1080238901)</f>
        <v>1080238901</v>
      </c>
      <c r="D4320" t="s">
        <v>3615</v>
      </c>
      <c r="E4320">
        <v>0</v>
      </c>
      <c r="F4320">
        <v>0</v>
      </c>
      <c r="G4320" t="s">
        <v>12</v>
      </c>
      <c r="I4320" t="s">
        <v>1428</v>
      </c>
    </row>
    <row r="4321" spans="1:9" hidden="1" x14ac:dyDescent="0.25">
      <c r="A4321" t="s">
        <v>3513</v>
      </c>
      <c r="B4321" t="s">
        <v>546</v>
      </c>
      <c r="C4321" s="2">
        <f>HYPERLINK("https://cao.dolgi.msk.ru/account/1080238928/", 1080238928)</f>
        <v>1080238928</v>
      </c>
      <c r="D4321" t="s">
        <v>3616</v>
      </c>
      <c r="E4321">
        <v>-9191.09</v>
      </c>
      <c r="F4321">
        <v>-1.01</v>
      </c>
      <c r="G4321" t="s">
        <v>12</v>
      </c>
      <c r="I4321" t="s">
        <v>1428</v>
      </c>
    </row>
    <row r="4322" spans="1:9" hidden="1" x14ac:dyDescent="0.25">
      <c r="A4322" t="s">
        <v>3513</v>
      </c>
      <c r="B4322" t="s">
        <v>548</v>
      </c>
      <c r="C4322" s="2">
        <f>HYPERLINK("https://cao.dolgi.msk.ru/account/1080238944/", 1080238944)</f>
        <v>1080238944</v>
      </c>
      <c r="D4322" t="s">
        <v>3617</v>
      </c>
      <c r="E4322">
        <v>-9601.83</v>
      </c>
      <c r="F4322">
        <v>-1.77</v>
      </c>
      <c r="G4322" t="s">
        <v>12</v>
      </c>
      <c r="I4322" t="s">
        <v>1428</v>
      </c>
    </row>
    <row r="4323" spans="1:9" hidden="1" x14ac:dyDescent="0.25">
      <c r="A4323" t="s">
        <v>3513</v>
      </c>
      <c r="B4323" t="s">
        <v>727</v>
      </c>
      <c r="C4323" s="2">
        <f>HYPERLINK("https://cao.dolgi.msk.ru/account/1080238952/", 1080238952)</f>
        <v>1080238952</v>
      </c>
      <c r="D4323" t="s">
        <v>3618</v>
      </c>
      <c r="E4323">
        <v>6022.23</v>
      </c>
      <c r="F4323">
        <v>1</v>
      </c>
      <c r="G4323" t="s">
        <v>12</v>
      </c>
      <c r="I4323" t="s">
        <v>1428</v>
      </c>
    </row>
    <row r="4324" spans="1:9" hidden="1" x14ac:dyDescent="0.25">
      <c r="A4324" t="s">
        <v>3513</v>
      </c>
      <c r="B4324" t="s">
        <v>551</v>
      </c>
      <c r="C4324" s="2">
        <f>HYPERLINK("https://cao.dolgi.msk.ru/account/1080238979/", 1080238979)</f>
        <v>1080238979</v>
      </c>
      <c r="D4324" t="s">
        <v>3619</v>
      </c>
      <c r="E4324">
        <v>-4363.78</v>
      </c>
      <c r="F4324">
        <v>-1.1100000000000001</v>
      </c>
      <c r="G4324" t="s">
        <v>12</v>
      </c>
      <c r="I4324" t="s">
        <v>1428</v>
      </c>
    </row>
    <row r="4325" spans="1:9" hidden="1" x14ac:dyDescent="0.25">
      <c r="A4325" t="s">
        <v>3513</v>
      </c>
      <c r="B4325" t="s">
        <v>730</v>
      </c>
      <c r="C4325" s="2">
        <f>HYPERLINK("https://cao.dolgi.msk.ru/account/1080238987/", 1080238987)</f>
        <v>1080238987</v>
      </c>
      <c r="D4325" t="s">
        <v>3620</v>
      </c>
      <c r="E4325">
        <v>-1055.07</v>
      </c>
      <c r="F4325">
        <v>-0.14000000000000001</v>
      </c>
      <c r="G4325" t="s">
        <v>12</v>
      </c>
      <c r="I4325" t="s">
        <v>1428</v>
      </c>
    </row>
    <row r="4326" spans="1:9" hidden="1" x14ac:dyDescent="0.25">
      <c r="A4326" t="s">
        <v>3513</v>
      </c>
      <c r="B4326" t="s">
        <v>732</v>
      </c>
      <c r="C4326" s="2">
        <f>HYPERLINK("https://cao.dolgi.msk.ru/account/1080238995/", 1080238995)</f>
        <v>1080238995</v>
      </c>
      <c r="D4326" t="s">
        <v>3621</v>
      </c>
      <c r="E4326">
        <v>-3933</v>
      </c>
      <c r="F4326">
        <v>-1.3</v>
      </c>
      <c r="G4326" t="s">
        <v>12</v>
      </c>
      <c r="I4326" t="s">
        <v>1428</v>
      </c>
    </row>
    <row r="4327" spans="1:9" hidden="1" x14ac:dyDescent="0.25">
      <c r="A4327" t="s">
        <v>3513</v>
      </c>
      <c r="B4327" t="s">
        <v>553</v>
      </c>
      <c r="C4327" s="2">
        <f>HYPERLINK("https://cao.dolgi.msk.ru/account/1080239015/", 1080239015)</f>
        <v>1080239015</v>
      </c>
      <c r="D4327" t="s">
        <v>3622</v>
      </c>
      <c r="E4327">
        <v>-3454.59</v>
      </c>
      <c r="F4327">
        <v>-0.98</v>
      </c>
      <c r="G4327" t="s">
        <v>12</v>
      </c>
      <c r="I4327" t="s">
        <v>1428</v>
      </c>
    </row>
    <row r="4328" spans="1:9" hidden="1" x14ac:dyDescent="0.25">
      <c r="A4328" t="s">
        <v>3513</v>
      </c>
      <c r="B4328" t="s">
        <v>555</v>
      </c>
      <c r="C4328" s="2">
        <f>HYPERLINK("https://cao.dolgi.msk.ru/account/1080239023/", 1080239023)</f>
        <v>1080239023</v>
      </c>
      <c r="D4328" t="s">
        <v>3623</v>
      </c>
      <c r="E4328">
        <v>-5596.88</v>
      </c>
      <c r="F4328">
        <v>-1.03</v>
      </c>
      <c r="G4328" t="s">
        <v>12</v>
      </c>
      <c r="I4328" t="s">
        <v>1428</v>
      </c>
    </row>
    <row r="4329" spans="1:9" hidden="1" x14ac:dyDescent="0.25">
      <c r="A4329" t="s">
        <v>3513</v>
      </c>
      <c r="B4329" t="s">
        <v>736</v>
      </c>
      <c r="C4329" s="2">
        <f>HYPERLINK("https://cao.dolgi.msk.ru/account/1080239031/", 1080239031)</f>
        <v>1080239031</v>
      </c>
      <c r="D4329" t="s">
        <v>3624</v>
      </c>
      <c r="E4329">
        <v>-4328.4399999999996</v>
      </c>
      <c r="F4329">
        <v>-0.68</v>
      </c>
      <c r="G4329" t="s">
        <v>12</v>
      </c>
      <c r="I4329" t="s">
        <v>1428</v>
      </c>
    </row>
    <row r="4330" spans="1:9" hidden="1" x14ac:dyDescent="0.25">
      <c r="A4330" t="s">
        <v>3513</v>
      </c>
      <c r="B4330" t="s">
        <v>738</v>
      </c>
      <c r="C4330" s="2">
        <f>HYPERLINK("https://cao.dolgi.msk.ru/account/1080239058/", 1080239058)</f>
        <v>1080239058</v>
      </c>
      <c r="D4330" t="s">
        <v>3625</v>
      </c>
      <c r="E4330">
        <v>-3860.17</v>
      </c>
      <c r="F4330">
        <v>-1.21</v>
      </c>
      <c r="G4330" t="s">
        <v>12</v>
      </c>
      <c r="I4330" t="s">
        <v>1428</v>
      </c>
    </row>
    <row r="4331" spans="1:9" hidden="1" x14ac:dyDescent="0.25">
      <c r="A4331" t="s">
        <v>3513</v>
      </c>
      <c r="B4331" t="s">
        <v>740</v>
      </c>
      <c r="C4331" s="2">
        <f>HYPERLINK("https://cao.dolgi.msk.ru/account/1080239066/", 1080239066)</f>
        <v>1080239066</v>
      </c>
      <c r="D4331" t="s">
        <v>3626</v>
      </c>
      <c r="E4331">
        <v>-4010.1</v>
      </c>
      <c r="F4331">
        <v>-1.04</v>
      </c>
      <c r="G4331" t="s">
        <v>12</v>
      </c>
      <c r="I4331" t="s">
        <v>1428</v>
      </c>
    </row>
    <row r="4332" spans="1:9" hidden="1" x14ac:dyDescent="0.25">
      <c r="A4332" t="s">
        <v>3513</v>
      </c>
      <c r="B4332" t="s">
        <v>742</v>
      </c>
      <c r="C4332" s="2">
        <f>HYPERLINK("https://cao.dolgi.msk.ru/account/1080239074/", 1080239074)</f>
        <v>1080239074</v>
      </c>
      <c r="D4332" t="s">
        <v>3627</v>
      </c>
      <c r="E4332">
        <v>6289.45</v>
      </c>
      <c r="F4332">
        <v>0.98</v>
      </c>
      <c r="G4332" t="s">
        <v>12</v>
      </c>
      <c r="I4332" t="s">
        <v>1428</v>
      </c>
    </row>
    <row r="4333" spans="1:9" hidden="1" x14ac:dyDescent="0.25">
      <c r="A4333" t="s">
        <v>3628</v>
      </c>
      <c r="B4333" t="s">
        <v>10</v>
      </c>
      <c r="C4333" s="2">
        <f>HYPERLINK("https://cao.dolgi.msk.ru/account/1083278343/", 1083278343)</f>
        <v>1083278343</v>
      </c>
      <c r="D4333" t="s">
        <v>3629</v>
      </c>
      <c r="E4333">
        <v>-5357.93</v>
      </c>
      <c r="F4333">
        <v>-1.04</v>
      </c>
      <c r="G4333" t="s">
        <v>12</v>
      </c>
      <c r="I4333" t="s">
        <v>1428</v>
      </c>
    </row>
    <row r="4334" spans="1:9" hidden="1" x14ac:dyDescent="0.25">
      <c r="A4334" t="s">
        <v>3628</v>
      </c>
      <c r="B4334" t="s">
        <v>16</v>
      </c>
      <c r="C4334" s="2">
        <f>HYPERLINK("https://cao.dolgi.msk.ru/account/1083278351/", 1083278351)</f>
        <v>1083278351</v>
      </c>
      <c r="D4334" t="s">
        <v>3630</v>
      </c>
      <c r="E4334">
        <v>-9111.1200000000008</v>
      </c>
      <c r="F4334">
        <v>-1.03</v>
      </c>
      <c r="G4334" t="s">
        <v>12</v>
      </c>
      <c r="I4334" t="s">
        <v>1428</v>
      </c>
    </row>
    <row r="4335" spans="1:9" x14ac:dyDescent="0.25">
      <c r="A4335" t="s">
        <v>3628</v>
      </c>
      <c r="B4335" t="s">
        <v>18</v>
      </c>
      <c r="C4335" s="2">
        <f>HYPERLINK("https://cao.dolgi.msk.ru/account/1083278378/", 1083278378)</f>
        <v>1083278378</v>
      </c>
      <c r="D4335" t="s">
        <v>3631</v>
      </c>
      <c r="E4335">
        <v>45426.45</v>
      </c>
      <c r="F4335">
        <v>2.93</v>
      </c>
      <c r="G4335" t="s">
        <v>12</v>
      </c>
      <c r="I4335" t="s">
        <v>1428</v>
      </c>
    </row>
    <row r="4336" spans="1:9" hidden="1" x14ac:dyDescent="0.25">
      <c r="A4336" t="s">
        <v>3628</v>
      </c>
      <c r="B4336" t="s">
        <v>20</v>
      </c>
      <c r="C4336" s="2">
        <f>HYPERLINK("https://cao.dolgi.msk.ru/account/1083278386/", 1083278386)</f>
        <v>1083278386</v>
      </c>
      <c r="D4336" t="s">
        <v>3632</v>
      </c>
      <c r="E4336">
        <v>-7039.96</v>
      </c>
      <c r="F4336">
        <v>-0.83</v>
      </c>
      <c r="G4336" t="s">
        <v>12</v>
      </c>
      <c r="I4336" t="s">
        <v>1428</v>
      </c>
    </row>
    <row r="4337" spans="1:9" hidden="1" x14ac:dyDescent="0.25">
      <c r="A4337" t="s">
        <v>3628</v>
      </c>
      <c r="B4337" t="s">
        <v>21</v>
      </c>
      <c r="C4337" s="2">
        <f>HYPERLINK("https://cao.dolgi.msk.ru/account/1083278394/", 1083278394)</f>
        <v>1083278394</v>
      </c>
      <c r="D4337" t="s">
        <v>3633</v>
      </c>
      <c r="E4337">
        <v>0</v>
      </c>
      <c r="F4337">
        <v>0</v>
      </c>
      <c r="G4337" t="s">
        <v>12</v>
      </c>
      <c r="I4337" t="s">
        <v>1428</v>
      </c>
    </row>
    <row r="4338" spans="1:9" hidden="1" x14ac:dyDescent="0.25">
      <c r="A4338" t="s">
        <v>3628</v>
      </c>
      <c r="B4338" t="s">
        <v>22</v>
      </c>
      <c r="C4338" s="2">
        <f>HYPERLINK("https://cao.dolgi.msk.ru/account/1083278407/", 1083278407)</f>
        <v>1083278407</v>
      </c>
      <c r="D4338" t="s">
        <v>3634</v>
      </c>
      <c r="E4338">
        <v>-40.880000000000003</v>
      </c>
      <c r="F4338">
        <v>0</v>
      </c>
      <c r="G4338" t="s">
        <v>12</v>
      </c>
      <c r="I4338" t="s">
        <v>1428</v>
      </c>
    </row>
    <row r="4339" spans="1:9" hidden="1" x14ac:dyDescent="0.25">
      <c r="A4339" t="s">
        <v>3628</v>
      </c>
      <c r="B4339" t="s">
        <v>23</v>
      </c>
      <c r="C4339" s="2">
        <f>HYPERLINK("https://cao.dolgi.msk.ru/account/1083278415/", 1083278415)</f>
        <v>1083278415</v>
      </c>
      <c r="D4339" t="s">
        <v>3635</v>
      </c>
      <c r="E4339">
        <v>-7129.21</v>
      </c>
      <c r="F4339">
        <v>-1.03</v>
      </c>
      <c r="G4339" t="s">
        <v>12</v>
      </c>
      <c r="I4339" t="s">
        <v>1428</v>
      </c>
    </row>
    <row r="4340" spans="1:9" hidden="1" x14ac:dyDescent="0.25">
      <c r="A4340" t="s">
        <v>3628</v>
      </c>
      <c r="B4340" t="s">
        <v>24</v>
      </c>
      <c r="C4340" s="2">
        <f>HYPERLINK("https://cao.dolgi.msk.ru/account/1083278431/", 1083278431)</f>
        <v>1083278431</v>
      </c>
      <c r="D4340" t="s">
        <v>3636</v>
      </c>
      <c r="E4340">
        <v>-5358.64</v>
      </c>
      <c r="F4340">
        <v>-0.95</v>
      </c>
      <c r="G4340" t="s">
        <v>12</v>
      </c>
      <c r="I4340" t="s">
        <v>1428</v>
      </c>
    </row>
    <row r="4341" spans="1:9" x14ac:dyDescent="0.25">
      <c r="A4341" t="s">
        <v>3628</v>
      </c>
      <c r="B4341" t="s">
        <v>27</v>
      </c>
      <c r="C4341" s="2">
        <f>HYPERLINK("https://cao.dolgi.msk.ru/account/1083278466/", 1083278466)</f>
        <v>1083278466</v>
      </c>
      <c r="D4341" t="s">
        <v>3637</v>
      </c>
      <c r="E4341">
        <v>21681.42</v>
      </c>
      <c r="F4341">
        <v>1.98</v>
      </c>
      <c r="G4341" t="s">
        <v>12</v>
      </c>
      <c r="I4341" t="s">
        <v>1428</v>
      </c>
    </row>
    <row r="4342" spans="1:9" hidden="1" x14ac:dyDescent="0.25">
      <c r="A4342" t="s">
        <v>3628</v>
      </c>
      <c r="B4342" t="s">
        <v>29</v>
      </c>
      <c r="C4342" s="2">
        <f>HYPERLINK("https://cao.dolgi.msk.ru/account/1083278474/", 1083278474)</f>
        <v>1083278474</v>
      </c>
      <c r="D4342" t="s">
        <v>3638</v>
      </c>
      <c r="E4342">
        <v>-164.3</v>
      </c>
      <c r="F4342">
        <v>-0.03</v>
      </c>
      <c r="G4342" t="s">
        <v>12</v>
      </c>
      <c r="I4342" t="s">
        <v>1428</v>
      </c>
    </row>
    <row r="4343" spans="1:9" hidden="1" x14ac:dyDescent="0.25">
      <c r="A4343" t="s">
        <v>3628</v>
      </c>
      <c r="B4343" t="s">
        <v>31</v>
      </c>
      <c r="C4343" s="2">
        <f>HYPERLINK("https://cao.dolgi.msk.ru/account/1083278482/", 1083278482)</f>
        <v>1083278482</v>
      </c>
      <c r="D4343" t="s">
        <v>3639</v>
      </c>
      <c r="E4343">
        <v>-8293.9699999999993</v>
      </c>
      <c r="F4343">
        <v>-1.06</v>
      </c>
      <c r="G4343" t="s">
        <v>12</v>
      </c>
      <c r="I4343" t="s">
        <v>1428</v>
      </c>
    </row>
    <row r="4344" spans="1:9" hidden="1" x14ac:dyDescent="0.25">
      <c r="A4344" t="s">
        <v>3628</v>
      </c>
      <c r="B4344" t="s">
        <v>33</v>
      </c>
      <c r="C4344" s="2">
        <f>HYPERLINK("https://cao.dolgi.msk.ru/account/1083278511/", 1083278511)</f>
        <v>1083278511</v>
      </c>
      <c r="D4344" t="s">
        <v>3640</v>
      </c>
      <c r="E4344">
        <v>-3737.15</v>
      </c>
      <c r="F4344">
        <v>-0.67</v>
      </c>
      <c r="G4344" t="s">
        <v>12</v>
      </c>
      <c r="I4344" t="s">
        <v>1428</v>
      </c>
    </row>
    <row r="4345" spans="1:9" hidden="1" x14ac:dyDescent="0.25">
      <c r="A4345" t="s">
        <v>3628</v>
      </c>
      <c r="B4345" t="s">
        <v>34</v>
      </c>
      <c r="C4345" s="2">
        <f>HYPERLINK("https://cao.dolgi.msk.ru/account/1083278538/", 1083278538)</f>
        <v>1083278538</v>
      </c>
      <c r="D4345" t="s">
        <v>3641</v>
      </c>
      <c r="E4345">
        <v>-5752.72</v>
      </c>
      <c r="F4345">
        <v>-1.03</v>
      </c>
      <c r="G4345" t="s">
        <v>12</v>
      </c>
      <c r="I4345" t="s">
        <v>1428</v>
      </c>
    </row>
    <row r="4346" spans="1:9" hidden="1" x14ac:dyDescent="0.25">
      <c r="A4346" t="s">
        <v>3628</v>
      </c>
      <c r="B4346" t="s">
        <v>36</v>
      </c>
      <c r="C4346" s="2">
        <f>HYPERLINK("https://cao.dolgi.msk.ru/account/1083278669/", 1083278669)</f>
        <v>1083278669</v>
      </c>
      <c r="D4346" t="s">
        <v>3642</v>
      </c>
      <c r="E4346">
        <v>-7407.65</v>
      </c>
      <c r="F4346">
        <v>-1.02</v>
      </c>
      <c r="G4346" t="s">
        <v>12</v>
      </c>
      <c r="I4346" t="s">
        <v>1428</v>
      </c>
    </row>
    <row r="4347" spans="1:9" x14ac:dyDescent="0.25">
      <c r="A4347" t="s">
        <v>3628</v>
      </c>
      <c r="B4347" t="s">
        <v>38</v>
      </c>
      <c r="C4347" s="2">
        <f>HYPERLINK("https://cao.dolgi.msk.ru/account/1083278677/", 1083278677)</f>
        <v>1083278677</v>
      </c>
      <c r="D4347" t="s">
        <v>3643</v>
      </c>
      <c r="E4347">
        <v>28752.080000000002</v>
      </c>
      <c r="F4347">
        <v>4.3899999999999997</v>
      </c>
      <c r="G4347" t="s">
        <v>12</v>
      </c>
      <c r="I4347" t="s">
        <v>1428</v>
      </c>
    </row>
    <row r="4348" spans="1:9" hidden="1" x14ac:dyDescent="0.25">
      <c r="A4348" t="s">
        <v>3628</v>
      </c>
      <c r="B4348" t="s">
        <v>39</v>
      </c>
      <c r="C4348" s="2">
        <f>HYPERLINK("https://cao.dolgi.msk.ru/account/1083278693/", 1083278693)</f>
        <v>1083278693</v>
      </c>
      <c r="D4348" t="s">
        <v>3644</v>
      </c>
      <c r="E4348">
        <v>-7730.3</v>
      </c>
      <c r="F4348">
        <v>-0.98</v>
      </c>
      <c r="G4348" t="s">
        <v>12</v>
      </c>
      <c r="I4348" t="s">
        <v>1428</v>
      </c>
    </row>
    <row r="4349" spans="1:9" hidden="1" x14ac:dyDescent="0.25">
      <c r="A4349" t="s">
        <v>3628</v>
      </c>
      <c r="B4349" t="s">
        <v>40</v>
      </c>
      <c r="C4349" s="2">
        <f>HYPERLINK("https://cao.dolgi.msk.ru/account/1083278837/", 1083278837)</f>
        <v>1083278837</v>
      </c>
      <c r="D4349" t="s">
        <v>3645</v>
      </c>
      <c r="E4349">
        <v>6775.76</v>
      </c>
      <c r="F4349">
        <v>0.89</v>
      </c>
      <c r="G4349" t="s">
        <v>12</v>
      </c>
      <c r="I4349" t="s">
        <v>1428</v>
      </c>
    </row>
    <row r="4350" spans="1:9" hidden="1" x14ac:dyDescent="0.25">
      <c r="A4350" t="s">
        <v>3628</v>
      </c>
      <c r="B4350" t="s">
        <v>41</v>
      </c>
      <c r="C4350" s="2">
        <f>HYPERLINK("https://cao.dolgi.msk.ru/account/1083278896/", 1083278896)</f>
        <v>1083278896</v>
      </c>
      <c r="D4350" t="s">
        <v>3646</v>
      </c>
      <c r="E4350">
        <v>-5569.11</v>
      </c>
      <c r="F4350">
        <v>-1.03</v>
      </c>
      <c r="G4350" t="s">
        <v>12</v>
      </c>
      <c r="I4350" t="s">
        <v>1428</v>
      </c>
    </row>
    <row r="4351" spans="1:9" hidden="1" x14ac:dyDescent="0.25">
      <c r="A4351" t="s">
        <v>3628</v>
      </c>
      <c r="B4351" t="s">
        <v>42</v>
      </c>
      <c r="C4351" s="2">
        <f>HYPERLINK("https://cao.dolgi.msk.ru/account/1083278909/", 1083278909)</f>
        <v>1083278909</v>
      </c>
      <c r="D4351" t="s">
        <v>3647</v>
      </c>
      <c r="E4351">
        <v>-6604.26</v>
      </c>
      <c r="F4351">
        <v>-1</v>
      </c>
      <c r="G4351" t="s">
        <v>12</v>
      </c>
      <c r="I4351" t="s">
        <v>1428</v>
      </c>
    </row>
    <row r="4352" spans="1:9" x14ac:dyDescent="0.25">
      <c r="A4352" t="s">
        <v>3628</v>
      </c>
      <c r="B4352" t="s">
        <v>44</v>
      </c>
      <c r="C4352" s="2">
        <f>HYPERLINK("https://cao.dolgi.msk.ru/account/1083278917/", 1083278917)</f>
        <v>1083278917</v>
      </c>
      <c r="D4352" t="s">
        <v>3648</v>
      </c>
      <c r="E4352">
        <v>30314.23</v>
      </c>
      <c r="F4352">
        <v>4.75</v>
      </c>
      <c r="G4352" t="s">
        <v>12</v>
      </c>
      <c r="I4352" t="s">
        <v>1428</v>
      </c>
    </row>
    <row r="4353" spans="1:9" hidden="1" x14ac:dyDescent="0.25">
      <c r="A4353" t="s">
        <v>3628</v>
      </c>
      <c r="B4353" t="s">
        <v>66</v>
      </c>
      <c r="C4353" s="2">
        <f>HYPERLINK("https://cao.dolgi.msk.ru/account/1083278976/", 1083278976)</f>
        <v>1083278976</v>
      </c>
      <c r="D4353" t="s">
        <v>3649</v>
      </c>
      <c r="E4353">
        <v>-5307.54</v>
      </c>
      <c r="F4353">
        <v>-1.1599999999999999</v>
      </c>
      <c r="G4353" t="s">
        <v>12</v>
      </c>
      <c r="I4353" t="s">
        <v>1428</v>
      </c>
    </row>
    <row r="4354" spans="1:9" hidden="1" x14ac:dyDescent="0.25">
      <c r="A4354" t="s">
        <v>3628</v>
      </c>
      <c r="B4354" t="s">
        <v>68</v>
      </c>
      <c r="C4354" s="2">
        <f>HYPERLINK("https://cao.dolgi.msk.ru/account/1083278984/", 1083278984)</f>
        <v>1083278984</v>
      </c>
      <c r="D4354" t="s">
        <v>3650</v>
      </c>
      <c r="E4354">
        <v>-8215.14</v>
      </c>
      <c r="F4354">
        <v>-1.0900000000000001</v>
      </c>
      <c r="G4354" t="s">
        <v>12</v>
      </c>
      <c r="I4354" t="s">
        <v>1428</v>
      </c>
    </row>
    <row r="4355" spans="1:9" hidden="1" x14ac:dyDescent="0.25">
      <c r="A4355" t="s">
        <v>3628</v>
      </c>
      <c r="B4355" t="s">
        <v>70</v>
      </c>
      <c r="C4355" s="2">
        <f>HYPERLINK("https://cao.dolgi.msk.ru/account/1083278992/", 1083278992)</f>
        <v>1083278992</v>
      </c>
      <c r="D4355" t="s">
        <v>3651</v>
      </c>
      <c r="E4355">
        <v>0</v>
      </c>
      <c r="F4355">
        <v>0</v>
      </c>
      <c r="G4355" t="s">
        <v>12</v>
      </c>
      <c r="I4355" t="s">
        <v>1428</v>
      </c>
    </row>
    <row r="4356" spans="1:9" hidden="1" x14ac:dyDescent="0.25">
      <c r="A4356" t="s">
        <v>3628</v>
      </c>
      <c r="B4356" t="s">
        <v>72</v>
      </c>
      <c r="C4356" s="2">
        <f>HYPERLINK("https://cao.dolgi.msk.ru/account/1083279004/", 1083279004)</f>
        <v>1083279004</v>
      </c>
      <c r="D4356" t="s">
        <v>3652</v>
      </c>
      <c r="E4356">
        <v>-7529.85</v>
      </c>
      <c r="F4356">
        <v>-1.02</v>
      </c>
      <c r="G4356" t="s">
        <v>12</v>
      </c>
      <c r="I4356" t="s">
        <v>1428</v>
      </c>
    </row>
    <row r="4357" spans="1:9" hidden="1" x14ac:dyDescent="0.25">
      <c r="A4357" t="s">
        <v>3628</v>
      </c>
      <c r="B4357" t="s">
        <v>74</v>
      </c>
      <c r="C4357" s="2">
        <f>HYPERLINK("https://cao.dolgi.msk.ru/account/1083279012/", 1083279012)</f>
        <v>1083279012</v>
      </c>
      <c r="D4357" t="s">
        <v>3653</v>
      </c>
      <c r="E4357">
        <v>-5513.88</v>
      </c>
      <c r="F4357">
        <v>-1.03</v>
      </c>
      <c r="G4357" t="s">
        <v>12</v>
      </c>
      <c r="I4357" t="s">
        <v>1428</v>
      </c>
    </row>
    <row r="4358" spans="1:9" hidden="1" x14ac:dyDescent="0.25">
      <c r="A4358" t="s">
        <v>3628</v>
      </c>
      <c r="B4358" t="s">
        <v>76</v>
      </c>
      <c r="C4358" s="2">
        <f>HYPERLINK("https://cao.dolgi.msk.ru/account/1083279039/", 1083279039)</f>
        <v>1083279039</v>
      </c>
      <c r="D4358" t="s">
        <v>3654</v>
      </c>
      <c r="E4358">
        <v>-5166</v>
      </c>
      <c r="F4358">
        <v>-1.01</v>
      </c>
      <c r="G4358" t="s">
        <v>12</v>
      </c>
      <c r="I4358" t="s">
        <v>1428</v>
      </c>
    </row>
    <row r="4359" spans="1:9" hidden="1" x14ac:dyDescent="0.25">
      <c r="A4359" t="s">
        <v>3628</v>
      </c>
      <c r="B4359" t="s">
        <v>78</v>
      </c>
      <c r="C4359" s="2">
        <f>HYPERLINK("https://cao.dolgi.msk.ru/account/1083279047/", 1083279047)</f>
        <v>1083279047</v>
      </c>
      <c r="D4359" t="s">
        <v>3655</v>
      </c>
      <c r="E4359">
        <v>-9801.24</v>
      </c>
      <c r="F4359">
        <v>-0.98</v>
      </c>
      <c r="G4359" t="s">
        <v>12</v>
      </c>
      <c r="I4359" t="s">
        <v>1428</v>
      </c>
    </row>
    <row r="4360" spans="1:9" hidden="1" x14ac:dyDescent="0.25">
      <c r="A4360" t="s">
        <v>3628</v>
      </c>
      <c r="B4360" t="s">
        <v>80</v>
      </c>
      <c r="C4360" s="2">
        <f>HYPERLINK("https://cao.dolgi.msk.ru/account/1083279055/", 1083279055)</f>
        <v>1083279055</v>
      </c>
      <c r="D4360" t="s">
        <v>3656</v>
      </c>
      <c r="E4360">
        <v>-5629.63</v>
      </c>
      <c r="F4360">
        <v>-1.03</v>
      </c>
      <c r="G4360" t="s">
        <v>12</v>
      </c>
      <c r="I4360" t="s">
        <v>1428</v>
      </c>
    </row>
    <row r="4361" spans="1:9" hidden="1" x14ac:dyDescent="0.25">
      <c r="A4361" t="s">
        <v>3628</v>
      </c>
      <c r="B4361" t="s">
        <v>82</v>
      </c>
      <c r="C4361" s="2">
        <f>HYPERLINK("https://cao.dolgi.msk.ru/account/1083279063/", 1083279063)</f>
        <v>1083279063</v>
      </c>
      <c r="D4361" t="s">
        <v>3657</v>
      </c>
      <c r="E4361">
        <v>0</v>
      </c>
      <c r="F4361">
        <v>0</v>
      </c>
      <c r="G4361" t="s">
        <v>12</v>
      </c>
      <c r="I4361" t="s">
        <v>1428</v>
      </c>
    </row>
    <row r="4362" spans="1:9" hidden="1" x14ac:dyDescent="0.25">
      <c r="A4362" t="s">
        <v>3628</v>
      </c>
      <c r="B4362" t="s">
        <v>84</v>
      </c>
      <c r="C4362" s="2">
        <f>HYPERLINK("https://cao.dolgi.msk.ru/account/1083279071/", 1083279071)</f>
        <v>1083279071</v>
      </c>
      <c r="D4362" t="s">
        <v>3658</v>
      </c>
      <c r="E4362">
        <v>-5963.96</v>
      </c>
      <c r="F4362">
        <v>-1.02</v>
      </c>
      <c r="G4362" t="s">
        <v>12</v>
      </c>
      <c r="I4362" t="s">
        <v>1428</v>
      </c>
    </row>
    <row r="4363" spans="1:9" hidden="1" x14ac:dyDescent="0.25">
      <c r="A4363" t="s">
        <v>3628</v>
      </c>
      <c r="B4363" t="s">
        <v>86</v>
      </c>
      <c r="C4363" s="2">
        <f>HYPERLINK("https://cao.dolgi.msk.ru/account/1083279119/", 1083279119)</f>
        <v>1083279119</v>
      </c>
      <c r="D4363" t="s">
        <v>3659</v>
      </c>
      <c r="E4363">
        <v>0</v>
      </c>
      <c r="F4363">
        <v>0</v>
      </c>
      <c r="G4363" t="s">
        <v>12</v>
      </c>
      <c r="I4363" t="s">
        <v>1428</v>
      </c>
    </row>
    <row r="4364" spans="1:9" hidden="1" x14ac:dyDescent="0.25">
      <c r="A4364" t="s">
        <v>3628</v>
      </c>
      <c r="B4364" t="s">
        <v>88</v>
      </c>
      <c r="C4364" s="2">
        <f>HYPERLINK("https://cao.dolgi.msk.ru/account/1083279127/", 1083279127)</f>
        <v>1083279127</v>
      </c>
      <c r="D4364" t="s">
        <v>3660</v>
      </c>
      <c r="E4364">
        <v>-4639.8999999999996</v>
      </c>
      <c r="F4364">
        <v>-1.05</v>
      </c>
      <c r="G4364" t="s">
        <v>12</v>
      </c>
      <c r="I4364" t="s">
        <v>1428</v>
      </c>
    </row>
    <row r="4365" spans="1:9" hidden="1" x14ac:dyDescent="0.25">
      <c r="A4365" t="s">
        <v>3628</v>
      </c>
      <c r="B4365" t="s">
        <v>90</v>
      </c>
      <c r="C4365" s="2">
        <f>HYPERLINK("https://cao.dolgi.msk.ru/account/1083279135/", 1083279135)</f>
        <v>1083279135</v>
      </c>
      <c r="D4365" t="s">
        <v>3661</v>
      </c>
      <c r="E4365">
        <v>-11164.36</v>
      </c>
      <c r="F4365">
        <v>-1</v>
      </c>
      <c r="G4365" t="s">
        <v>12</v>
      </c>
      <c r="I4365" t="s">
        <v>1428</v>
      </c>
    </row>
    <row r="4366" spans="1:9" hidden="1" x14ac:dyDescent="0.25">
      <c r="A4366" t="s">
        <v>3628</v>
      </c>
      <c r="B4366" t="s">
        <v>92</v>
      </c>
      <c r="C4366" s="2">
        <f>HYPERLINK("https://cao.dolgi.msk.ru/account/1083279143/", 1083279143)</f>
        <v>1083279143</v>
      </c>
      <c r="D4366" t="s">
        <v>3662</v>
      </c>
      <c r="E4366">
        <v>7413.03</v>
      </c>
      <c r="F4366">
        <v>0.96</v>
      </c>
      <c r="G4366" t="s">
        <v>12</v>
      </c>
      <c r="I4366" t="s">
        <v>1428</v>
      </c>
    </row>
    <row r="4367" spans="1:9" hidden="1" x14ac:dyDescent="0.25">
      <c r="A4367" t="s">
        <v>3628</v>
      </c>
      <c r="B4367" t="s">
        <v>94</v>
      </c>
      <c r="C4367" s="2">
        <f>HYPERLINK("https://cao.dolgi.msk.ru/account/1083279151/", 1083279151)</f>
        <v>1083279151</v>
      </c>
      <c r="D4367" t="s">
        <v>3663</v>
      </c>
      <c r="E4367">
        <v>-6289.61</v>
      </c>
      <c r="F4367">
        <v>-1.03</v>
      </c>
      <c r="G4367" t="s">
        <v>12</v>
      </c>
      <c r="I4367" t="s">
        <v>1428</v>
      </c>
    </row>
    <row r="4368" spans="1:9" hidden="1" x14ac:dyDescent="0.25">
      <c r="A4368" t="s">
        <v>3628</v>
      </c>
      <c r="B4368" t="s">
        <v>96</v>
      </c>
      <c r="C4368" s="2">
        <f>HYPERLINK("https://cao.dolgi.msk.ru/account/1083279178/", 1083279178)</f>
        <v>1083279178</v>
      </c>
      <c r="D4368" t="s">
        <v>3664</v>
      </c>
      <c r="E4368">
        <v>-4033.4</v>
      </c>
      <c r="F4368">
        <v>-0.95</v>
      </c>
      <c r="G4368" t="s">
        <v>12</v>
      </c>
      <c r="I4368" t="s">
        <v>1428</v>
      </c>
    </row>
    <row r="4369" spans="1:9" hidden="1" x14ac:dyDescent="0.25">
      <c r="A4369" t="s">
        <v>3628</v>
      </c>
      <c r="B4369" t="s">
        <v>98</v>
      </c>
      <c r="C4369" s="2">
        <f>HYPERLINK("https://cao.dolgi.msk.ru/account/1083279186/", 1083279186)</f>
        <v>1083279186</v>
      </c>
      <c r="D4369" t="s">
        <v>3665</v>
      </c>
      <c r="E4369">
        <v>4286.97</v>
      </c>
      <c r="F4369">
        <v>0.61</v>
      </c>
      <c r="G4369" t="s">
        <v>12</v>
      </c>
      <c r="I4369" t="s">
        <v>1428</v>
      </c>
    </row>
    <row r="4370" spans="1:9" hidden="1" x14ac:dyDescent="0.25">
      <c r="A4370" t="s">
        <v>3628</v>
      </c>
      <c r="B4370" t="s">
        <v>100</v>
      </c>
      <c r="C4370" s="2">
        <f>HYPERLINK("https://cao.dolgi.msk.ru/account/1083279194/", 1083279194)</f>
        <v>1083279194</v>
      </c>
      <c r="D4370" t="s">
        <v>3666</v>
      </c>
      <c r="E4370">
        <v>-5296.64</v>
      </c>
      <c r="F4370">
        <v>-1</v>
      </c>
      <c r="G4370" t="s">
        <v>12</v>
      </c>
      <c r="I4370" t="s">
        <v>1428</v>
      </c>
    </row>
    <row r="4371" spans="1:9" hidden="1" x14ac:dyDescent="0.25">
      <c r="A4371" t="s">
        <v>3628</v>
      </c>
      <c r="B4371" t="s">
        <v>102</v>
      </c>
      <c r="C4371" s="2">
        <f>HYPERLINK("https://cao.dolgi.msk.ru/account/1083279207/", 1083279207)</f>
        <v>1083279207</v>
      </c>
      <c r="D4371" t="s">
        <v>15</v>
      </c>
      <c r="E4371">
        <v>-7477.58</v>
      </c>
      <c r="F4371">
        <v>-0.95</v>
      </c>
      <c r="G4371" t="s">
        <v>12</v>
      </c>
      <c r="I4371" t="s">
        <v>1428</v>
      </c>
    </row>
    <row r="4372" spans="1:9" x14ac:dyDescent="0.25">
      <c r="A4372" t="s">
        <v>3628</v>
      </c>
      <c r="B4372" t="s">
        <v>104</v>
      </c>
      <c r="C4372" s="2">
        <f>HYPERLINK("https://cao.dolgi.msk.ru/account/1083279215/", 1083279215)</f>
        <v>1083279215</v>
      </c>
      <c r="D4372" t="s">
        <v>15</v>
      </c>
      <c r="E4372">
        <v>13741.56</v>
      </c>
      <c r="F4372">
        <v>2.0099999999999998</v>
      </c>
      <c r="G4372" t="s">
        <v>12</v>
      </c>
      <c r="I4372" t="s">
        <v>1428</v>
      </c>
    </row>
    <row r="4373" spans="1:9" x14ac:dyDescent="0.25">
      <c r="A4373" t="s">
        <v>3628</v>
      </c>
      <c r="B4373" t="s">
        <v>106</v>
      </c>
      <c r="C4373" s="2">
        <f>HYPERLINK("https://cao.dolgi.msk.ru/account/1083279223/", 1083279223)</f>
        <v>1083279223</v>
      </c>
      <c r="D4373" t="s">
        <v>3667</v>
      </c>
      <c r="E4373">
        <v>15031.39</v>
      </c>
      <c r="F4373">
        <v>2.38</v>
      </c>
      <c r="G4373" t="s">
        <v>12</v>
      </c>
      <c r="I4373" t="s">
        <v>1428</v>
      </c>
    </row>
    <row r="4374" spans="1:9" hidden="1" x14ac:dyDescent="0.25">
      <c r="A4374" t="s">
        <v>3628</v>
      </c>
      <c r="B4374" t="s">
        <v>110</v>
      </c>
      <c r="C4374" s="2">
        <f>HYPERLINK("https://cao.dolgi.msk.ru/account/1083279231/", 1083279231)</f>
        <v>1083279231</v>
      </c>
      <c r="D4374" t="s">
        <v>3668</v>
      </c>
      <c r="E4374">
        <v>-4664.91</v>
      </c>
      <c r="F4374">
        <v>-1</v>
      </c>
      <c r="G4374" t="s">
        <v>12</v>
      </c>
      <c r="I4374" t="s">
        <v>1428</v>
      </c>
    </row>
    <row r="4375" spans="1:9" hidden="1" x14ac:dyDescent="0.25">
      <c r="A4375" t="s">
        <v>3628</v>
      </c>
      <c r="B4375" t="s">
        <v>112</v>
      </c>
      <c r="C4375" s="2">
        <f>HYPERLINK("https://cao.dolgi.msk.ru/account/1083279258/", 1083279258)</f>
        <v>1083279258</v>
      </c>
      <c r="D4375" t="s">
        <v>3669</v>
      </c>
      <c r="E4375">
        <v>-8812.0499999999993</v>
      </c>
      <c r="F4375">
        <v>-0.99</v>
      </c>
      <c r="G4375" t="s">
        <v>12</v>
      </c>
      <c r="I4375" t="s">
        <v>1428</v>
      </c>
    </row>
    <row r="4376" spans="1:9" hidden="1" x14ac:dyDescent="0.25">
      <c r="A4376" t="s">
        <v>3628</v>
      </c>
      <c r="B4376" t="s">
        <v>114</v>
      </c>
      <c r="C4376" s="2">
        <f>HYPERLINK("https://cao.dolgi.msk.ru/account/1083279266/", 1083279266)</f>
        <v>1083279266</v>
      </c>
      <c r="D4376" t="s">
        <v>3670</v>
      </c>
      <c r="E4376">
        <v>-8018.25</v>
      </c>
      <c r="F4376">
        <v>-0.98</v>
      </c>
      <c r="G4376" t="s">
        <v>12</v>
      </c>
      <c r="I4376" t="s">
        <v>1428</v>
      </c>
    </row>
    <row r="4377" spans="1:9" hidden="1" x14ac:dyDescent="0.25">
      <c r="A4377" t="s">
        <v>3628</v>
      </c>
      <c r="B4377" t="s">
        <v>116</v>
      </c>
      <c r="C4377" s="2">
        <f>HYPERLINK("https://cao.dolgi.msk.ru/account/1083279274/", 1083279274)</f>
        <v>1083279274</v>
      </c>
      <c r="D4377" t="s">
        <v>3671</v>
      </c>
      <c r="E4377">
        <v>-8894.2000000000007</v>
      </c>
      <c r="F4377">
        <v>-0.94</v>
      </c>
      <c r="G4377" t="s">
        <v>12</v>
      </c>
      <c r="I4377" t="s">
        <v>1428</v>
      </c>
    </row>
    <row r="4378" spans="1:9" hidden="1" x14ac:dyDescent="0.25">
      <c r="A4378" t="s">
        <v>3628</v>
      </c>
      <c r="B4378" t="s">
        <v>118</v>
      </c>
      <c r="C4378" s="2">
        <f>HYPERLINK("https://cao.dolgi.msk.ru/account/1083279282/", 1083279282)</f>
        <v>1083279282</v>
      </c>
      <c r="D4378" t="s">
        <v>3672</v>
      </c>
      <c r="E4378">
        <v>0</v>
      </c>
      <c r="F4378">
        <v>0</v>
      </c>
      <c r="G4378" t="s">
        <v>12</v>
      </c>
      <c r="I4378" t="s">
        <v>1428</v>
      </c>
    </row>
    <row r="4379" spans="1:9" hidden="1" x14ac:dyDescent="0.25">
      <c r="A4379" t="s">
        <v>3628</v>
      </c>
      <c r="B4379" t="s">
        <v>120</v>
      </c>
      <c r="C4379" s="2">
        <f>HYPERLINK("https://cao.dolgi.msk.ru/account/1083279303/", 1083279303)</f>
        <v>1083279303</v>
      </c>
      <c r="D4379" t="s">
        <v>3673</v>
      </c>
      <c r="E4379">
        <v>-4975.6099999999997</v>
      </c>
      <c r="F4379">
        <v>-1.04</v>
      </c>
      <c r="G4379" t="s">
        <v>12</v>
      </c>
      <c r="I4379" t="s">
        <v>1428</v>
      </c>
    </row>
    <row r="4380" spans="1:9" hidden="1" x14ac:dyDescent="0.25">
      <c r="A4380" t="s">
        <v>3628</v>
      </c>
      <c r="B4380" t="s">
        <v>122</v>
      </c>
      <c r="C4380" s="2">
        <f>HYPERLINK("https://cao.dolgi.msk.ru/account/1083279346/", 1083279346)</f>
        <v>1083279346</v>
      </c>
      <c r="D4380" t="s">
        <v>3674</v>
      </c>
      <c r="E4380">
        <v>0</v>
      </c>
      <c r="F4380">
        <v>0</v>
      </c>
      <c r="G4380" t="s">
        <v>12</v>
      </c>
      <c r="I4380" t="s">
        <v>1428</v>
      </c>
    </row>
    <row r="4381" spans="1:9" hidden="1" x14ac:dyDescent="0.25">
      <c r="A4381" t="s">
        <v>3628</v>
      </c>
      <c r="B4381" t="s">
        <v>124</v>
      </c>
      <c r="C4381" s="2">
        <f>HYPERLINK("https://cao.dolgi.msk.ru/account/1083279354/", 1083279354)</f>
        <v>1083279354</v>
      </c>
      <c r="D4381" t="s">
        <v>3675</v>
      </c>
      <c r="E4381">
        <v>-8023.11</v>
      </c>
      <c r="F4381">
        <v>-1.2</v>
      </c>
      <c r="G4381" t="s">
        <v>12</v>
      </c>
      <c r="I4381" t="s">
        <v>1428</v>
      </c>
    </row>
    <row r="4382" spans="1:9" hidden="1" x14ac:dyDescent="0.25">
      <c r="A4382" t="s">
        <v>3628</v>
      </c>
      <c r="B4382" t="s">
        <v>126</v>
      </c>
      <c r="C4382" s="2">
        <f>HYPERLINK("https://cao.dolgi.msk.ru/account/1083279362/", 1083279362)</f>
        <v>1083279362</v>
      </c>
      <c r="D4382" t="s">
        <v>3676</v>
      </c>
      <c r="E4382">
        <v>-5248.27</v>
      </c>
      <c r="F4382">
        <v>-1</v>
      </c>
      <c r="G4382" t="s">
        <v>12</v>
      </c>
      <c r="I4382" t="s">
        <v>1428</v>
      </c>
    </row>
    <row r="4383" spans="1:9" x14ac:dyDescent="0.25">
      <c r="A4383" t="s">
        <v>3628</v>
      </c>
      <c r="B4383" t="s">
        <v>128</v>
      </c>
      <c r="C4383" s="2">
        <f>HYPERLINK("https://cao.dolgi.msk.ru/account/1083279389/", 1083279389)</f>
        <v>1083279389</v>
      </c>
      <c r="D4383" t="s">
        <v>3677</v>
      </c>
      <c r="E4383">
        <v>15415.31</v>
      </c>
      <c r="F4383">
        <v>2.0099999999999998</v>
      </c>
      <c r="G4383" t="s">
        <v>12</v>
      </c>
      <c r="I4383" t="s">
        <v>1428</v>
      </c>
    </row>
    <row r="4384" spans="1:9" hidden="1" x14ac:dyDescent="0.25">
      <c r="A4384" t="s">
        <v>3628</v>
      </c>
      <c r="B4384" t="s">
        <v>130</v>
      </c>
      <c r="C4384" s="2">
        <f>HYPERLINK("https://cao.dolgi.msk.ru/account/1083279397/", 1083279397)</f>
        <v>1083279397</v>
      </c>
      <c r="D4384" t="s">
        <v>3678</v>
      </c>
      <c r="E4384">
        <v>-1043.04</v>
      </c>
      <c r="F4384">
        <v>-0.12</v>
      </c>
      <c r="G4384" t="s">
        <v>12</v>
      </c>
      <c r="I4384" t="s">
        <v>1428</v>
      </c>
    </row>
    <row r="4385" spans="1:9" hidden="1" x14ac:dyDescent="0.25">
      <c r="A4385" t="s">
        <v>3628</v>
      </c>
      <c r="B4385" t="s">
        <v>132</v>
      </c>
      <c r="C4385" s="2">
        <f>HYPERLINK("https://cao.dolgi.msk.ru/account/1083279418/", 1083279418)</f>
        <v>1083279418</v>
      </c>
      <c r="D4385" t="s">
        <v>3679</v>
      </c>
      <c r="E4385">
        <v>-3300.44</v>
      </c>
      <c r="F4385">
        <v>-1.07</v>
      </c>
      <c r="G4385" t="s">
        <v>12</v>
      </c>
      <c r="I4385" t="s">
        <v>1428</v>
      </c>
    </row>
    <row r="4386" spans="1:9" hidden="1" x14ac:dyDescent="0.25">
      <c r="A4386" t="s">
        <v>3628</v>
      </c>
      <c r="B4386" t="s">
        <v>133</v>
      </c>
      <c r="C4386" s="2">
        <f>HYPERLINK("https://cao.dolgi.msk.ru/account/1083279426/", 1083279426)</f>
        <v>1083279426</v>
      </c>
      <c r="D4386" t="s">
        <v>3680</v>
      </c>
      <c r="E4386">
        <v>-6111.81</v>
      </c>
      <c r="F4386">
        <v>-1.06</v>
      </c>
      <c r="G4386" t="s">
        <v>12</v>
      </c>
      <c r="I4386" t="s">
        <v>1428</v>
      </c>
    </row>
    <row r="4387" spans="1:9" hidden="1" x14ac:dyDescent="0.25">
      <c r="A4387" t="s">
        <v>3628</v>
      </c>
      <c r="B4387" t="s">
        <v>135</v>
      </c>
      <c r="C4387" s="2">
        <f>HYPERLINK("https://cao.dolgi.msk.ru/account/1083279434/", 1083279434)</f>
        <v>1083279434</v>
      </c>
      <c r="D4387" t="s">
        <v>3681</v>
      </c>
      <c r="E4387">
        <v>3234.47</v>
      </c>
      <c r="F4387">
        <v>0.48</v>
      </c>
      <c r="G4387" t="s">
        <v>12</v>
      </c>
      <c r="I4387" t="s">
        <v>1428</v>
      </c>
    </row>
    <row r="4388" spans="1:9" hidden="1" x14ac:dyDescent="0.25">
      <c r="A4388" t="s">
        <v>3628</v>
      </c>
      <c r="B4388" t="s">
        <v>137</v>
      </c>
      <c r="C4388" s="2">
        <f>HYPERLINK("https://cao.dolgi.msk.ru/account/1083279442/", 1083279442)</f>
        <v>1083279442</v>
      </c>
      <c r="D4388" t="s">
        <v>3682</v>
      </c>
      <c r="E4388">
        <v>-10275.33</v>
      </c>
      <c r="F4388">
        <v>-0.99</v>
      </c>
      <c r="G4388" t="s">
        <v>12</v>
      </c>
      <c r="I4388" t="s">
        <v>1428</v>
      </c>
    </row>
    <row r="4389" spans="1:9" hidden="1" x14ac:dyDescent="0.25">
      <c r="A4389" t="s">
        <v>3628</v>
      </c>
      <c r="B4389" t="s">
        <v>139</v>
      </c>
      <c r="C4389" s="2">
        <f>HYPERLINK("https://cao.dolgi.msk.ru/account/1083279469/", 1083279469)</f>
        <v>1083279469</v>
      </c>
      <c r="D4389" t="s">
        <v>3683</v>
      </c>
      <c r="E4389">
        <v>-8657.74</v>
      </c>
      <c r="F4389">
        <v>-1.01</v>
      </c>
      <c r="G4389" t="s">
        <v>12</v>
      </c>
      <c r="I4389" t="s">
        <v>1428</v>
      </c>
    </row>
    <row r="4390" spans="1:9" hidden="1" x14ac:dyDescent="0.25">
      <c r="A4390" t="s">
        <v>3628</v>
      </c>
      <c r="B4390" t="s">
        <v>141</v>
      </c>
      <c r="C4390" s="2">
        <f>HYPERLINK("https://cao.dolgi.msk.ru/account/1083279477/", 1083279477)</f>
        <v>1083279477</v>
      </c>
      <c r="D4390" t="s">
        <v>3684</v>
      </c>
      <c r="E4390">
        <v>-6525.75</v>
      </c>
      <c r="F4390">
        <v>-0.87</v>
      </c>
      <c r="G4390" t="s">
        <v>12</v>
      </c>
      <c r="I4390" t="s">
        <v>1428</v>
      </c>
    </row>
    <row r="4391" spans="1:9" hidden="1" x14ac:dyDescent="0.25">
      <c r="A4391" t="s">
        <v>3628</v>
      </c>
      <c r="B4391" t="s">
        <v>143</v>
      </c>
      <c r="C4391" s="2">
        <f>HYPERLINK("https://cao.dolgi.msk.ru/account/1083279485/", 1083279485)</f>
        <v>1083279485</v>
      </c>
      <c r="D4391" t="s">
        <v>3685</v>
      </c>
      <c r="E4391">
        <v>-1888.87</v>
      </c>
      <c r="F4391">
        <v>-0.15</v>
      </c>
      <c r="G4391" t="s">
        <v>12</v>
      </c>
      <c r="I4391" t="s">
        <v>1428</v>
      </c>
    </row>
    <row r="4392" spans="1:9" hidden="1" x14ac:dyDescent="0.25">
      <c r="A4392" t="s">
        <v>3628</v>
      </c>
      <c r="B4392" t="s">
        <v>145</v>
      </c>
      <c r="C4392" s="2">
        <f>HYPERLINK("https://cao.dolgi.msk.ru/account/1083279493/", 1083279493)</f>
        <v>1083279493</v>
      </c>
      <c r="D4392" t="s">
        <v>3686</v>
      </c>
      <c r="E4392">
        <v>-10257.18</v>
      </c>
      <c r="F4392">
        <v>-0.93</v>
      </c>
      <c r="G4392" t="s">
        <v>12</v>
      </c>
      <c r="I4392" t="s">
        <v>1428</v>
      </c>
    </row>
    <row r="4393" spans="1:9" hidden="1" x14ac:dyDescent="0.25">
      <c r="A4393" t="s">
        <v>3628</v>
      </c>
      <c r="B4393" t="s">
        <v>147</v>
      </c>
      <c r="C4393" s="2">
        <f>HYPERLINK("https://cao.dolgi.msk.ru/account/1083279506/", 1083279506)</f>
        <v>1083279506</v>
      </c>
      <c r="D4393" t="s">
        <v>15</v>
      </c>
      <c r="E4393">
        <v>-8712.7999999999993</v>
      </c>
      <c r="F4393">
        <v>-1.01</v>
      </c>
      <c r="G4393" t="s">
        <v>12</v>
      </c>
      <c r="I4393" t="s">
        <v>1428</v>
      </c>
    </row>
    <row r="4394" spans="1:9" hidden="1" x14ac:dyDescent="0.25">
      <c r="A4394" t="s">
        <v>3628</v>
      </c>
      <c r="B4394" t="s">
        <v>149</v>
      </c>
      <c r="C4394" s="2">
        <f>HYPERLINK("https://cao.dolgi.msk.ru/account/1083279514/", 1083279514)</f>
        <v>1083279514</v>
      </c>
      <c r="D4394" t="s">
        <v>3687</v>
      </c>
      <c r="E4394">
        <v>-8738.64</v>
      </c>
      <c r="F4394">
        <v>-1.1299999999999999</v>
      </c>
      <c r="G4394" t="s">
        <v>12</v>
      </c>
      <c r="I4394" t="s">
        <v>1428</v>
      </c>
    </row>
    <row r="4395" spans="1:9" x14ac:dyDescent="0.25">
      <c r="A4395" t="s">
        <v>3628</v>
      </c>
      <c r="B4395" t="s">
        <v>151</v>
      </c>
      <c r="C4395" s="2">
        <f>HYPERLINK("https://cao.dolgi.msk.ru/account/1083279522/", 1083279522)</f>
        <v>1083279522</v>
      </c>
      <c r="D4395" t="s">
        <v>15</v>
      </c>
      <c r="E4395">
        <v>14436.05</v>
      </c>
      <c r="F4395">
        <v>1.97</v>
      </c>
      <c r="G4395" t="s">
        <v>12</v>
      </c>
      <c r="I4395" t="s">
        <v>1428</v>
      </c>
    </row>
    <row r="4396" spans="1:9" hidden="1" x14ac:dyDescent="0.25">
      <c r="A4396" t="s">
        <v>3628</v>
      </c>
      <c r="B4396" t="s">
        <v>153</v>
      </c>
      <c r="C4396" s="2">
        <f>HYPERLINK("https://cao.dolgi.msk.ru/account/1083279549/", 1083279549)</f>
        <v>1083279549</v>
      </c>
      <c r="D4396" t="s">
        <v>3688</v>
      </c>
      <c r="E4396">
        <v>-5233.92</v>
      </c>
      <c r="F4396">
        <v>-0.99</v>
      </c>
      <c r="G4396" t="s">
        <v>12</v>
      </c>
      <c r="I4396" t="s">
        <v>1428</v>
      </c>
    </row>
    <row r="4397" spans="1:9" hidden="1" x14ac:dyDescent="0.25">
      <c r="A4397" t="s">
        <v>3628</v>
      </c>
      <c r="B4397" t="s">
        <v>155</v>
      </c>
      <c r="C4397" s="2">
        <f>HYPERLINK("https://cao.dolgi.msk.ru/account/1083279557/", 1083279557)</f>
        <v>1083279557</v>
      </c>
      <c r="D4397" t="s">
        <v>3689</v>
      </c>
      <c r="E4397">
        <v>-8722.7199999999993</v>
      </c>
      <c r="F4397">
        <v>-2</v>
      </c>
      <c r="G4397" t="s">
        <v>12</v>
      </c>
      <c r="I4397" t="s">
        <v>1428</v>
      </c>
    </row>
    <row r="4398" spans="1:9" hidden="1" x14ac:dyDescent="0.25">
      <c r="A4398" t="s">
        <v>3628</v>
      </c>
      <c r="B4398" t="s">
        <v>157</v>
      </c>
      <c r="C4398" s="2">
        <f>HYPERLINK("https://cao.dolgi.msk.ru/account/1083279565/", 1083279565)</f>
        <v>1083279565</v>
      </c>
      <c r="D4398" t="s">
        <v>3690</v>
      </c>
      <c r="E4398">
        <v>-7756.66</v>
      </c>
      <c r="F4398">
        <v>-1.43</v>
      </c>
      <c r="G4398" t="s">
        <v>12</v>
      </c>
      <c r="I4398" t="s">
        <v>1428</v>
      </c>
    </row>
    <row r="4399" spans="1:9" hidden="1" x14ac:dyDescent="0.25">
      <c r="A4399" t="s">
        <v>3628</v>
      </c>
      <c r="B4399" t="s">
        <v>159</v>
      </c>
      <c r="C4399" s="2">
        <f>HYPERLINK("https://cao.dolgi.msk.ru/account/1083279573/", 1083279573)</f>
        <v>1083279573</v>
      </c>
      <c r="D4399" t="s">
        <v>3691</v>
      </c>
      <c r="E4399">
        <v>-6317.67</v>
      </c>
      <c r="F4399">
        <v>-1.18</v>
      </c>
      <c r="G4399" t="s">
        <v>12</v>
      </c>
      <c r="I4399" t="s">
        <v>1428</v>
      </c>
    </row>
    <row r="4400" spans="1:9" hidden="1" x14ac:dyDescent="0.25">
      <c r="A4400" t="s">
        <v>3628</v>
      </c>
      <c r="B4400" t="s">
        <v>161</v>
      </c>
      <c r="C4400" s="2">
        <f>HYPERLINK("https://cao.dolgi.msk.ru/account/1083279581/", 1083279581)</f>
        <v>1083279581</v>
      </c>
      <c r="D4400" t="s">
        <v>3692</v>
      </c>
      <c r="E4400">
        <v>-9149.92</v>
      </c>
      <c r="F4400">
        <v>-0.98</v>
      </c>
      <c r="G4400" t="s">
        <v>12</v>
      </c>
      <c r="I4400" t="s">
        <v>1428</v>
      </c>
    </row>
    <row r="4401" spans="1:9" hidden="1" x14ac:dyDescent="0.25">
      <c r="A4401" t="s">
        <v>3628</v>
      </c>
      <c r="B4401" t="s">
        <v>163</v>
      </c>
      <c r="C4401" s="2">
        <f>HYPERLINK("https://cao.dolgi.msk.ru/account/1083279602/", 1083279602)</f>
        <v>1083279602</v>
      </c>
      <c r="D4401" t="s">
        <v>3693</v>
      </c>
      <c r="E4401">
        <v>-4443.1000000000004</v>
      </c>
      <c r="F4401">
        <v>-1</v>
      </c>
      <c r="G4401" t="s">
        <v>12</v>
      </c>
      <c r="I4401" t="s">
        <v>1428</v>
      </c>
    </row>
    <row r="4402" spans="1:9" hidden="1" x14ac:dyDescent="0.25">
      <c r="A4402" t="s">
        <v>3628</v>
      </c>
      <c r="B4402" t="s">
        <v>571</v>
      </c>
      <c r="C4402" s="2">
        <f>HYPERLINK("https://cao.dolgi.msk.ru/account/1083279629/", 1083279629)</f>
        <v>1083279629</v>
      </c>
      <c r="D4402" t="s">
        <v>3694</v>
      </c>
      <c r="E4402">
        <v>-6844.97</v>
      </c>
      <c r="F4402">
        <v>-1.02</v>
      </c>
      <c r="G4402" t="s">
        <v>12</v>
      </c>
      <c r="I4402" t="s">
        <v>1428</v>
      </c>
    </row>
    <row r="4403" spans="1:9" hidden="1" x14ac:dyDescent="0.25">
      <c r="A4403" t="s">
        <v>3628</v>
      </c>
      <c r="B4403" t="s">
        <v>682</v>
      </c>
      <c r="C4403" s="2">
        <f>HYPERLINK("https://cao.dolgi.msk.ru/account/1083279637/", 1083279637)</f>
        <v>1083279637</v>
      </c>
      <c r="D4403" t="s">
        <v>3695</v>
      </c>
      <c r="E4403">
        <v>-7958.99</v>
      </c>
      <c r="F4403">
        <v>-1.01</v>
      </c>
      <c r="G4403" t="s">
        <v>12</v>
      </c>
      <c r="I4403" t="s">
        <v>1428</v>
      </c>
    </row>
    <row r="4404" spans="1:9" hidden="1" x14ac:dyDescent="0.25">
      <c r="A4404" t="s">
        <v>3628</v>
      </c>
      <c r="B4404" t="s">
        <v>578</v>
      </c>
      <c r="C4404" s="2">
        <f>HYPERLINK("https://cao.dolgi.msk.ru/account/1083279645/", 1083279645)</f>
        <v>1083279645</v>
      </c>
      <c r="D4404" t="s">
        <v>3696</v>
      </c>
      <c r="E4404">
        <v>6443.09</v>
      </c>
      <c r="F4404">
        <v>0.89</v>
      </c>
      <c r="G4404" t="s">
        <v>12</v>
      </c>
      <c r="I4404" t="s">
        <v>1428</v>
      </c>
    </row>
    <row r="4405" spans="1:9" hidden="1" x14ac:dyDescent="0.25">
      <c r="A4405" t="s">
        <v>3628</v>
      </c>
      <c r="B4405" t="s">
        <v>580</v>
      </c>
      <c r="C4405" s="2">
        <f>HYPERLINK("https://cao.dolgi.msk.ru/account/1083279653/", 1083279653)</f>
        <v>1083279653</v>
      </c>
      <c r="D4405" t="s">
        <v>3697</v>
      </c>
      <c r="E4405">
        <v>-7430.48</v>
      </c>
      <c r="F4405">
        <v>-1.22</v>
      </c>
      <c r="G4405" t="s">
        <v>12</v>
      </c>
      <c r="I4405" t="s">
        <v>1428</v>
      </c>
    </row>
    <row r="4406" spans="1:9" hidden="1" x14ac:dyDescent="0.25">
      <c r="A4406" t="s">
        <v>3628</v>
      </c>
      <c r="B4406" t="s">
        <v>686</v>
      </c>
      <c r="C4406" s="2">
        <f>HYPERLINK("https://cao.dolgi.msk.ru/account/1083279661/", 1083279661)</f>
        <v>1083279661</v>
      </c>
      <c r="D4406" t="s">
        <v>3698</v>
      </c>
      <c r="E4406">
        <v>0</v>
      </c>
      <c r="F4406">
        <v>0</v>
      </c>
      <c r="G4406" t="s">
        <v>12</v>
      </c>
      <c r="I4406" t="s">
        <v>1428</v>
      </c>
    </row>
    <row r="4407" spans="1:9" hidden="1" x14ac:dyDescent="0.25">
      <c r="A4407" t="s">
        <v>3628</v>
      </c>
      <c r="B4407" t="s">
        <v>582</v>
      </c>
      <c r="C4407" s="2">
        <f>HYPERLINK("https://cao.dolgi.msk.ru/account/1083279688/", 1083279688)</f>
        <v>1083279688</v>
      </c>
      <c r="D4407" t="s">
        <v>3699</v>
      </c>
      <c r="E4407">
        <v>-1181.1400000000001</v>
      </c>
      <c r="F4407">
        <v>-0.16</v>
      </c>
      <c r="G4407" t="s">
        <v>12</v>
      </c>
      <c r="I4407" t="s">
        <v>1428</v>
      </c>
    </row>
    <row r="4408" spans="1:9" hidden="1" x14ac:dyDescent="0.25">
      <c r="A4408" t="s">
        <v>3628</v>
      </c>
      <c r="B4408" t="s">
        <v>584</v>
      </c>
      <c r="C4408" s="2">
        <f>HYPERLINK("https://cao.dolgi.msk.ru/account/1083279696/", 1083279696)</f>
        <v>1083279696</v>
      </c>
      <c r="D4408" t="s">
        <v>3700</v>
      </c>
      <c r="E4408">
        <v>-7115.58</v>
      </c>
      <c r="F4408">
        <v>-1.02</v>
      </c>
      <c r="G4408" t="s">
        <v>12</v>
      </c>
      <c r="I4408" t="s">
        <v>1428</v>
      </c>
    </row>
    <row r="4409" spans="1:9" hidden="1" x14ac:dyDescent="0.25">
      <c r="A4409" t="s">
        <v>3628</v>
      </c>
      <c r="B4409" t="s">
        <v>586</v>
      </c>
      <c r="C4409" s="2">
        <f>HYPERLINK("https://cao.dolgi.msk.ru/account/1083279709/", 1083279709)</f>
        <v>1083279709</v>
      </c>
      <c r="D4409" t="s">
        <v>3701</v>
      </c>
      <c r="E4409">
        <v>-7359.5</v>
      </c>
      <c r="F4409">
        <v>-1.1599999999999999</v>
      </c>
      <c r="G4409" t="s">
        <v>12</v>
      </c>
      <c r="I4409" t="s">
        <v>1428</v>
      </c>
    </row>
    <row r="4410" spans="1:9" hidden="1" x14ac:dyDescent="0.25">
      <c r="A4410" t="s">
        <v>3628</v>
      </c>
      <c r="B4410" t="s">
        <v>588</v>
      </c>
      <c r="C4410" s="2">
        <f>HYPERLINK("https://cao.dolgi.msk.ru/account/1083279733/", 1083279733)</f>
        <v>1083279733</v>
      </c>
      <c r="D4410" t="s">
        <v>3702</v>
      </c>
      <c r="E4410">
        <v>-8863.4</v>
      </c>
      <c r="F4410">
        <v>-1.1100000000000001</v>
      </c>
      <c r="G4410" t="s">
        <v>12</v>
      </c>
      <c r="I4410" t="s">
        <v>1428</v>
      </c>
    </row>
    <row r="4411" spans="1:9" hidden="1" x14ac:dyDescent="0.25">
      <c r="A4411" t="s">
        <v>3628</v>
      </c>
      <c r="B4411" t="s">
        <v>588</v>
      </c>
      <c r="C4411" s="2">
        <f>HYPERLINK("https://cao.dolgi.msk.ru/account/1083281649/", 1083281649)</f>
        <v>1083281649</v>
      </c>
      <c r="D4411" t="s">
        <v>15</v>
      </c>
      <c r="E4411">
        <v>-163.91</v>
      </c>
      <c r="G4411" t="s">
        <v>14</v>
      </c>
      <c r="I4411" t="s">
        <v>1428</v>
      </c>
    </row>
    <row r="4412" spans="1:9" hidden="1" x14ac:dyDescent="0.25">
      <c r="A4412" t="s">
        <v>3628</v>
      </c>
      <c r="B4412" t="s">
        <v>590</v>
      </c>
      <c r="C4412" s="2">
        <f>HYPERLINK("https://cao.dolgi.msk.ru/account/1083279725/", 1083279725)</f>
        <v>1083279725</v>
      </c>
      <c r="D4412" t="s">
        <v>3703</v>
      </c>
      <c r="E4412">
        <v>-6573.27</v>
      </c>
      <c r="F4412">
        <v>-1.01</v>
      </c>
      <c r="G4412" t="s">
        <v>12</v>
      </c>
      <c r="I4412" t="s">
        <v>1428</v>
      </c>
    </row>
    <row r="4413" spans="1:9" hidden="1" x14ac:dyDescent="0.25">
      <c r="A4413" t="s">
        <v>3628</v>
      </c>
      <c r="B4413" t="s">
        <v>693</v>
      </c>
      <c r="C4413" s="2">
        <f>HYPERLINK("https://cao.dolgi.msk.ru/account/1083279741/", 1083279741)</f>
        <v>1083279741</v>
      </c>
      <c r="D4413" t="s">
        <v>3704</v>
      </c>
      <c r="E4413">
        <v>-13981.04</v>
      </c>
      <c r="F4413">
        <v>-5.18</v>
      </c>
      <c r="G4413" t="s">
        <v>12</v>
      </c>
      <c r="I4413" t="s">
        <v>1428</v>
      </c>
    </row>
    <row r="4414" spans="1:9" hidden="1" x14ac:dyDescent="0.25">
      <c r="A4414" t="s">
        <v>3628</v>
      </c>
      <c r="B4414" t="s">
        <v>694</v>
      </c>
      <c r="C4414" s="2">
        <f>HYPERLINK("https://cao.dolgi.msk.ru/account/1083279768/", 1083279768)</f>
        <v>1083279768</v>
      </c>
      <c r="D4414" t="s">
        <v>3705</v>
      </c>
      <c r="E4414">
        <v>-10735.16</v>
      </c>
      <c r="F4414">
        <v>-1.1599999999999999</v>
      </c>
      <c r="G4414" t="s">
        <v>12</v>
      </c>
      <c r="I4414" t="s">
        <v>1428</v>
      </c>
    </row>
    <row r="4415" spans="1:9" hidden="1" x14ac:dyDescent="0.25">
      <c r="A4415" t="s">
        <v>3628</v>
      </c>
      <c r="B4415" t="s">
        <v>696</v>
      </c>
      <c r="C4415" s="2">
        <f>HYPERLINK("https://cao.dolgi.msk.ru/account/1083279776/", 1083279776)</f>
        <v>1083279776</v>
      </c>
      <c r="D4415" t="s">
        <v>3706</v>
      </c>
      <c r="E4415">
        <v>-1745</v>
      </c>
      <c r="G4415" t="s">
        <v>14</v>
      </c>
      <c r="I4415" t="s">
        <v>1428</v>
      </c>
    </row>
    <row r="4416" spans="1:9" hidden="1" x14ac:dyDescent="0.25">
      <c r="A4416" t="s">
        <v>3628</v>
      </c>
      <c r="B4416" t="s">
        <v>696</v>
      </c>
      <c r="C4416" s="2">
        <f>HYPERLINK("https://cao.dolgi.msk.ru/account/1083281657/", 1083281657)</f>
        <v>1083281657</v>
      </c>
      <c r="D4416" t="s">
        <v>3706</v>
      </c>
      <c r="E4416">
        <v>42.17</v>
      </c>
      <c r="G4416" t="s">
        <v>14</v>
      </c>
      <c r="I4416" t="s">
        <v>1428</v>
      </c>
    </row>
    <row r="4417" spans="1:9" hidden="1" x14ac:dyDescent="0.25">
      <c r="A4417" t="s">
        <v>3628</v>
      </c>
      <c r="B4417" t="s">
        <v>696</v>
      </c>
      <c r="C4417" s="2">
        <f>HYPERLINK("https://cao.dolgi.msk.ru/account/1083281665/", 1083281665)</f>
        <v>1083281665</v>
      </c>
      <c r="D4417" t="s">
        <v>3706</v>
      </c>
      <c r="E4417">
        <v>0</v>
      </c>
      <c r="G4417" t="s">
        <v>14</v>
      </c>
      <c r="I4417" t="s">
        <v>1428</v>
      </c>
    </row>
    <row r="4418" spans="1:9" hidden="1" x14ac:dyDescent="0.25">
      <c r="A4418" t="s">
        <v>3628</v>
      </c>
      <c r="B4418" t="s">
        <v>696</v>
      </c>
      <c r="C4418" s="2">
        <f>HYPERLINK("https://cao.dolgi.msk.ru/account/1083281673/", 1083281673)</f>
        <v>1083281673</v>
      </c>
      <c r="D4418" t="s">
        <v>3707</v>
      </c>
      <c r="E4418">
        <v>-10902.53</v>
      </c>
      <c r="F4418">
        <v>-1.02</v>
      </c>
      <c r="G4418" t="s">
        <v>12</v>
      </c>
      <c r="I4418" t="s">
        <v>1428</v>
      </c>
    </row>
    <row r="4419" spans="1:9" hidden="1" x14ac:dyDescent="0.25">
      <c r="A4419" t="s">
        <v>3628</v>
      </c>
      <c r="B4419" t="s">
        <v>698</v>
      </c>
      <c r="C4419" s="2">
        <f>HYPERLINK("https://cao.dolgi.msk.ru/account/1083279784/", 1083279784)</f>
        <v>1083279784</v>
      </c>
      <c r="D4419" t="s">
        <v>3708</v>
      </c>
      <c r="E4419">
        <v>-6095.79</v>
      </c>
      <c r="F4419">
        <v>-1.07</v>
      </c>
      <c r="G4419" t="s">
        <v>12</v>
      </c>
      <c r="I4419" t="s">
        <v>1428</v>
      </c>
    </row>
    <row r="4420" spans="1:9" hidden="1" x14ac:dyDescent="0.25">
      <c r="A4420" t="s">
        <v>3628</v>
      </c>
      <c r="B4420" t="s">
        <v>700</v>
      </c>
      <c r="C4420" s="2">
        <f>HYPERLINK("https://cao.dolgi.msk.ru/account/1083279792/", 1083279792)</f>
        <v>1083279792</v>
      </c>
      <c r="D4420" t="s">
        <v>3709</v>
      </c>
      <c r="E4420">
        <v>-5476.68</v>
      </c>
      <c r="F4420">
        <v>-1.25</v>
      </c>
      <c r="G4420" t="s">
        <v>12</v>
      </c>
      <c r="I4420" t="s">
        <v>1428</v>
      </c>
    </row>
    <row r="4421" spans="1:9" hidden="1" x14ac:dyDescent="0.25">
      <c r="A4421" t="s">
        <v>3628</v>
      </c>
      <c r="B4421" t="s">
        <v>702</v>
      </c>
      <c r="C4421" s="2">
        <f>HYPERLINK("https://cao.dolgi.msk.ru/account/1083279805/", 1083279805)</f>
        <v>1083279805</v>
      </c>
      <c r="D4421" t="s">
        <v>3710</v>
      </c>
      <c r="E4421">
        <v>-4791.8500000000004</v>
      </c>
      <c r="F4421">
        <v>-0.55000000000000004</v>
      </c>
      <c r="G4421" t="s">
        <v>12</v>
      </c>
      <c r="I4421" t="s">
        <v>1428</v>
      </c>
    </row>
    <row r="4422" spans="1:9" hidden="1" x14ac:dyDescent="0.25">
      <c r="A4422" t="s">
        <v>3628</v>
      </c>
      <c r="B4422" t="s">
        <v>703</v>
      </c>
      <c r="C4422" s="2">
        <f>HYPERLINK("https://cao.dolgi.msk.ru/account/1083279813/", 1083279813)</f>
        <v>1083279813</v>
      </c>
      <c r="D4422" t="s">
        <v>3711</v>
      </c>
      <c r="E4422">
        <v>-5264.38</v>
      </c>
      <c r="F4422">
        <v>-1.02</v>
      </c>
      <c r="G4422" t="s">
        <v>12</v>
      </c>
      <c r="I4422" t="s">
        <v>1428</v>
      </c>
    </row>
    <row r="4423" spans="1:9" hidden="1" x14ac:dyDescent="0.25">
      <c r="A4423" t="s">
        <v>3628</v>
      </c>
      <c r="B4423" t="s">
        <v>705</v>
      </c>
      <c r="C4423" s="2">
        <f>HYPERLINK("https://cao.dolgi.msk.ru/account/1083279821/", 1083279821)</f>
        <v>1083279821</v>
      </c>
      <c r="D4423" t="s">
        <v>3712</v>
      </c>
      <c r="E4423">
        <v>-5615.96</v>
      </c>
      <c r="F4423">
        <v>-1.07</v>
      </c>
      <c r="G4423" t="s">
        <v>12</v>
      </c>
      <c r="I4423" t="s">
        <v>1428</v>
      </c>
    </row>
    <row r="4424" spans="1:9" hidden="1" x14ac:dyDescent="0.25">
      <c r="A4424" t="s">
        <v>3628</v>
      </c>
      <c r="B4424" t="s">
        <v>707</v>
      </c>
      <c r="C4424" s="2">
        <f>HYPERLINK("https://cao.dolgi.msk.ru/account/1083279848/", 1083279848)</f>
        <v>1083279848</v>
      </c>
      <c r="D4424" t="s">
        <v>3713</v>
      </c>
      <c r="E4424">
        <v>-4464.8900000000003</v>
      </c>
      <c r="F4424">
        <v>-1.04</v>
      </c>
      <c r="G4424" t="s">
        <v>12</v>
      </c>
      <c r="I4424" t="s">
        <v>1428</v>
      </c>
    </row>
    <row r="4425" spans="1:9" hidden="1" x14ac:dyDescent="0.25">
      <c r="A4425" t="s">
        <v>3628</v>
      </c>
      <c r="B4425" t="s">
        <v>709</v>
      </c>
      <c r="C4425" s="2">
        <f>HYPERLINK("https://cao.dolgi.msk.ru/account/1083279856/", 1083279856)</f>
        <v>1083279856</v>
      </c>
      <c r="D4425" t="s">
        <v>3714</v>
      </c>
      <c r="E4425">
        <v>-5363.42</v>
      </c>
      <c r="F4425">
        <v>-0.95</v>
      </c>
      <c r="G4425" t="s">
        <v>12</v>
      </c>
      <c r="I4425" t="s">
        <v>1428</v>
      </c>
    </row>
    <row r="4426" spans="1:9" hidden="1" x14ac:dyDescent="0.25">
      <c r="A4426" t="s">
        <v>3628</v>
      </c>
      <c r="B4426" t="s">
        <v>711</v>
      </c>
      <c r="C4426" s="2">
        <f>HYPERLINK("https://cao.dolgi.msk.ru/account/1083279864/", 1083279864)</f>
        <v>1083279864</v>
      </c>
      <c r="D4426" t="s">
        <v>3715</v>
      </c>
      <c r="E4426">
        <v>-7127.06</v>
      </c>
      <c r="F4426">
        <v>-1.1200000000000001</v>
      </c>
      <c r="G4426" t="s">
        <v>12</v>
      </c>
      <c r="I4426" t="s">
        <v>1428</v>
      </c>
    </row>
    <row r="4427" spans="1:9" x14ac:dyDescent="0.25">
      <c r="A4427" t="s">
        <v>3628</v>
      </c>
      <c r="B4427" t="s">
        <v>713</v>
      </c>
      <c r="C4427" s="2">
        <f>HYPERLINK("https://cao.dolgi.msk.ru/account/1083279872/", 1083279872)</f>
        <v>1083279872</v>
      </c>
      <c r="D4427" t="s">
        <v>3716</v>
      </c>
      <c r="E4427">
        <v>114495.76</v>
      </c>
      <c r="F4427">
        <v>15.57</v>
      </c>
      <c r="G4427" t="s">
        <v>12</v>
      </c>
      <c r="I4427" t="s">
        <v>1428</v>
      </c>
    </row>
    <row r="4428" spans="1:9" hidden="1" x14ac:dyDescent="0.25">
      <c r="A4428" t="s">
        <v>3628</v>
      </c>
      <c r="B4428" t="s">
        <v>528</v>
      </c>
      <c r="C4428" s="2">
        <f>HYPERLINK("https://cao.dolgi.msk.ru/account/1083279899/", 1083279899)</f>
        <v>1083279899</v>
      </c>
      <c r="D4428" t="s">
        <v>3717</v>
      </c>
      <c r="E4428">
        <v>-3666.01</v>
      </c>
      <c r="F4428">
        <v>-1.02</v>
      </c>
      <c r="G4428" t="s">
        <v>12</v>
      </c>
      <c r="I4428" t="s">
        <v>1428</v>
      </c>
    </row>
    <row r="4429" spans="1:9" hidden="1" x14ac:dyDescent="0.25">
      <c r="A4429" t="s">
        <v>3628</v>
      </c>
      <c r="B4429" t="s">
        <v>530</v>
      </c>
      <c r="C4429" s="2">
        <f>HYPERLINK("https://cao.dolgi.msk.ru/account/1083279901/", 1083279901)</f>
        <v>1083279901</v>
      </c>
      <c r="D4429" t="s">
        <v>3718</v>
      </c>
      <c r="E4429">
        <v>-8403.19</v>
      </c>
      <c r="F4429">
        <v>-0.9</v>
      </c>
      <c r="G4429" t="s">
        <v>12</v>
      </c>
      <c r="I4429" t="s">
        <v>1428</v>
      </c>
    </row>
    <row r="4430" spans="1:9" hidden="1" x14ac:dyDescent="0.25">
      <c r="A4430" t="s">
        <v>3628</v>
      </c>
      <c r="B4430" t="s">
        <v>532</v>
      </c>
      <c r="C4430" s="2">
        <f>HYPERLINK("https://cao.dolgi.msk.ru/account/1083279928/", 1083279928)</f>
        <v>1083279928</v>
      </c>
      <c r="D4430" t="s">
        <v>3719</v>
      </c>
      <c r="E4430">
        <v>-6910.81</v>
      </c>
      <c r="F4430">
        <v>-1.02</v>
      </c>
      <c r="G4430" t="s">
        <v>12</v>
      </c>
      <c r="I4430" t="s">
        <v>1428</v>
      </c>
    </row>
    <row r="4431" spans="1:9" hidden="1" x14ac:dyDescent="0.25">
      <c r="A4431" t="s">
        <v>3628</v>
      </c>
      <c r="B4431" t="s">
        <v>534</v>
      </c>
      <c r="C4431" s="2">
        <f>HYPERLINK("https://cao.dolgi.msk.ru/account/1083279936/", 1083279936)</f>
        <v>1083279936</v>
      </c>
      <c r="D4431" t="s">
        <v>3720</v>
      </c>
      <c r="E4431">
        <v>-4852.45</v>
      </c>
      <c r="F4431">
        <v>-0.99</v>
      </c>
      <c r="G4431" t="s">
        <v>12</v>
      </c>
      <c r="I4431" t="s">
        <v>1428</v>
      </c>
    </row>
    <row r="4432" spans="1:9" x14ac:dyDescent="0.25">
      <c r="A4432" t="s">
        <v>3628</v>
      </c>
      <c r="B4432" t="s">
        <v>536</v>
      </c>
      <c r="C4432" s="2">
        <f>HYPERLINK("https://cao.dolgi.msk.ru/account/1083279944/", 1083279944)</f>
        <v>1083279944</v>
      </c>
      <c r="D4432" t="s">
        <v>3721</v>
      </c>
      <c r="E4432">
        <v>514407.88</v>
      </c>
      <c r="F4432">
        <v>47.14</v>
      </c>
      <c r="G4432" t="s">
        <v>12</v>
      </c>
      <c r="I4432" t="s">
        <v>1428</v>
      </c>
    </row>
    <row r="4433" spans="1:9" hidden="1" x14ac:dyDescent="0.25">
      <c r="A4433" t="s">
        <v>3628</v>
      </c>
      <c r="B4433" t="s">
        <v>538</v>
      </c>
      <c r="C4433" s="2">
        <f>HYPERLINK("https://cao.dolgi.msk.ru/account/1083279952/", 1083279952)</f>
        <v>1083279952</v>
      </c>
      <c r="D4433" t="s">
        <v>3722</v>
      </c>
      <c r="E4433">
        <v>0</v>
      </c>
      <c r="F4433">
        <v>0</v>
      </c>
      <c r="G4433" t="s">
        <v>12</v>
      </c>
      <c r="I4433" t="s">
        <v>1428</v>
      </c>
    </row>
    <row r="4434" spans="1:9" hidden="1" x14ac:dyDescent="0.25">
      <c r="A4434" t="s">
        <v>3628</v>
      </c>
      <c r="B4434" t="s">
        <v>539</v>
      </c>
      <c r="C4434" s="2">
        <f>HYPERLINK("https://cao.dolgi.msk.ru/account/1083279979/", 1083279979)</f>
        <v>1083279979</v>
      </c>
      <c r="D4434" t="s">
        <v>3723</v>
      </c>
      <c r="E4434">
        <v>-686.32</v>
      </c>
      <c r="F4434">
        <v>-0.04</v>
      </c>
      <c r="G4434" t="s">
        <v>12</v>
      </c>
      <c r="I4434" t="s">
        <v>1428</v>
      </c>
    </row>
    <row r="4435" spans="1:9" hidden="1" x14ac:dyDescent="0.25">
      <c r="A4435" t="s">
        <v>3628</v>
      </c>
      <c r="B4435" t="s">
        <v>541</v>
      </c>
      <c r="C4435" s="2">
        <f>HYPERLINK("https://cao.dolgi.msk.ru/account/1083279987/", 1083279987)</f>
        <v>1083279987</v>
      </c>
      <c r="D4435" t="s">
        <v>3724</v>
      </c>
      <c r="E4435">
        <v>-5438.8</v>
      </c>
      <c r="F4435">
        <v>-0.93</v>
      </c>
      <c r="G4435" t="s">
        <v>12</v>
      </c>
      <c r="I4435" t="s">
        <v>1428</v>
      </c>
    </row>
    <row r="4436" spans="1:9" hidden="1" x14ac:dyDescent="0.25">
      <c r="A4436" t="s">
        <v>3628</v>
      </c>
      <c r="B4436" t="s">
        <v>543</v>
      </c>
      <c r="C4436" s="2">
        <f>HYPERLINK("https://cao.dolgi.msk.ru/account/1083279995/", 1083279995)</f>
        <v>1083279995</v>
      </c>
      <c r="D4436" t="s">
        <v>3725</v>
      </c>
      <c r="E4436">
        <v>2823.06</v>
      </c>
      <c r="F4436">
        <v>0.79</v>
      </c>
      <c r="G4436" t="s">
        <v>12</v>
      </c>
      <c r="I4436" t="s">
        <v>1428</v>
      </c>
    </row>
    <row r="4437" spans="1:9" hidden="1" x14ac:dyDescent="0.25">
      <c r="A4437" t="s">
        <v>3628</v>
      </c>
      <c r="B4437" t="s">
        <v>545</v>
      </c>
      <c r="C4437" s="2">
        <f>HYPERLINK("https://cao.dolgi.msk.ru/account/1083280005/", 1083280005)</f>
        <v>1083280005</v>
      </c>
      <c r="D4437" t="s">
        <v>3726</v>
      </c>
      <c r="E4437">
        <v>-4233.0200000000004</v>
      </c>
      <c r="F4437">
        <v>-0.91</v>
      </c>
      <c r="G4437" t="s">
        <v>12</v>
      </c>
      <c r="I4437" t="s">
        <v>1428</v>
      </c>
    </row>
    <row r="4438" spans="1:9" hidden="1" x14ac:dyDescent="0.25">
      <c r="A4438" t="s">
        <v>3628</v>
      </c>
      <c r="B4438" t="s">
        <v>546</v>
      </c>
      <c r="C4438" s="2">
        <f>HYPERLINK("https://cao.dolgi.msk.ru/account/1083280013/", 1083280013)</f>
        <v>1083280013</v>
      </c>
      <c r="D4438" t="s">
        <v>3727</v>
      </c>
      <c r="E4438">
        <v>-8936</v>
      </c>
      <c r="F4438">
        <v>-1.22</v>
      </c>
      <c r="G4438" t="s">
        <v>12</v>
      </c>
      <c r="I4438" t="s">
        <v>1428</v>
      </c>
    </row>
    <row r="4439" spans="1:9" hidden="1" x14ac:dyDescent="0.25">
      <c r="A4439" t="s">
        <v>3628</v>
      </c>
      <c r="B4439" t="s">
        <v>548</v>
      </c>
      <c r="C4439" s="2">
        <f>HYPERLINK("https://cao.dolgi.msk.ru/account/1083280021/", 1083280021)</f>
        <v>1083280021</v>
      </c>
      <c r="D4439" t="s">
        <v>15</v>
      </c>
      <c r="E4439">
        <v>-230</v>
      </c>
      <c r="F4439">
        <v>-0.03</v>
      </c>
      <c r="G4439" t="s">
        <v>12</v>
      </c>
      <c r="I4439" t="s">
        <v>1428</v>
      </c>
    </row>
    <row r="4440" spans="1:9" hidden="1" x14ac:dyDescent="0.25">
      <c r="A4440" t="s">
        <v>3628</v>
      </c>
      <c r="B4440" t="s">
        <v>727</v>
      </c>
      <c r="C4440" s="2">
        <f>HYPERLINK("https://cao.dolgi.msk.ru/account/1083280048/", 1083280048)</f>
        <v>1083280048</v>
      </c>
      <c r="D4440" t="s">
        <v>3728</v>
      </c>
      <c r="E4440">
        <v>-452.9</v>
      </c>
      <c r="F4440">
        <v>-0.06</v>
      </c>
      <c r="G4440" t="s">
        <v>12</v>
      </c>
      <c r="I4440" t="s">
        <v>1428</v>
      </c>
    </row>
    <row r="4441" spans="1:9" hidden="1" x14ac:dyDescent="0.25">
      <c r="A4441" t="s">
        <v>3628</v>
      </c>
      <c r="B4441" t="s">
        <v>551</v>
      </c>
      <c r="C4441" s="2">
        <f>HYPERLINK("https://cao.dolgi.msk.ru/account/1083280056/", 1083280056)</f>
        <v>1083280056</v>
      </c>
      <c r="D4441" t="s">
        <v>3729</v>
      </c>
      <c r="E4441">
        <v>-6502.26</v>
      </c>
      <c r="F4441">
        <v>-1.03</v>
      </c>
      <c r="G4441" t="s">
        <v>12</v>
      </c>
      <c r="I4441" t="s">
        <v>1428</v>
      </c>
    </row>
    <row r="4442" spans="1:9" hidden="1" x14ac:dyDescent="0.25">
      <c r="A4442" t="s">
        <v>3628</v>
      </c>
      <c r="B4442" t="s">
        <v>730</v>
      </c>
      <c r="C4442" s="2">
        <f>HYPERLINK("https://cao.dolgi.msk.ru/account/1083280064/", 1083280064)</f>
        <v>1083280064</v>
      </c>
      <c r="D4442" t="s">
        <v>3730</v>
      </c>
      <c r="E4442">
        <v>0</v>
      </c>
      <c r="F4442">
        <v>0</v>
      </c>
      <c r="G4442" t="s">
        <v>12</v>
      </c>
      <c r="I4442" t="s">
        <v>1428</v>
      </c>
    </row>
    <row r="4443" spans="1:9" hidden="1" x14ac:dyDescent="0.25">
      <c r="A4443" t="s">
        <v>3628</v>
      </c>
      <c r="B4443" t="s">
        <v>732</v>
      </c>
      <c r="C4443" s="2">
        <f>HYPERLINK("https://cao.dolgi.msk.ru/account/1083280072/", 1083280072)</f>
        <v>1083280072</v>
      </c>
      <c r="D4443" t="s">
        <v>15</v>
      </c>
      <c r="E4443">
        <v>7180.66</v>
      </c>
      <c r="F4443">
        <v>0.98</v>
      </c>
      <c r="G4443" t="s">
        <v>12</v>
      </c>
      <c r="I4443" t="s">
        <v>1428</v>
      </c>
    </row>
    <row r="4444" spans="1:9" hidden="1" x14ac:dyDescent="0.25">
      <c r="A4444" t="s">
        <v>3628</v>
      </c>
      <c r="B4444" t="s">
        <v>553</v>
      </c>
      <c r="C4444" s="2">
        <f>HYPERLINK("https://cao.dolgi.msk.ru/account/1083280099/", 1083280099)</f>
        <v>1083280099</v>
      </c>
      <c r="D4444" t="s">
        <v>3731</v>
      </c>
      <c r="E4444">
        <v>-7028.77</v>
      </c>
      <c r="F4444">
        <v>-1.02</v>
      </c>
      <c r="G4444" t="s">
        <v>12</v>
      </c>
      <c r="I4444" t="s">
        <v>1428</v>
      </c>
    </row>
    <row r="4445" spans="1:9" hidden="1" x14ac:dyDescent="0.25">
      <c r="A4445" t="s">
        <v>3628</v>
      </c>
      <c r="B4445" t="s">
        <v>555</v>
      </c>
      <c r="C4445" s="2">
        <f>HYPERLINK("https://cao.dolgi.msk.ru/account/1083280101/", 1083280101)</f>
        <v>1083280101</v>
      </c>
      <c r="D4445" t="s">
        <v>15</v>
      </c>
      <c r="E4445">
        <v>-9.33</v>
      </c>
      <c r="F4445">
        <v>-0.02</v>
      </c>
      <c r="G4445" t="s">
        <v>12</v>
      </c>
      <c r="I4445" t="s">
        <v>1428</v>
      </c>
    </row>
    <row r="4446" spans="1:9" hidden="1" x14ac:dyDescent="0.25">
      <c r="A4446" t="s">
        <v>3628</v>
      </c>
      <c r="B4446" t="s">
        <v>736</v>
      </c>
      <c r="C4446" s="2">
        <f>HYPERLINK("https://cao.dolgi.msk.ru/account/1083280128/", 1083280128)</f>
        <v>1083280128</v>
      </c>
      <c r="D4446" t="s">
        <v>3732</v>
      </c>
      <c r="E4446">
        <v>-69.42</v>
      </c>
      <c r="F4446">
        <v>-0.02</v>
      </c>
      <c r="G4446" t="s">
        <v>12</v>
      </c>
      <c r="I4446" t="s">
        <v>1428</v>
      </c>
    </row>
    <row r="4447" spans="1:9" x14ac:dyDescent="0.25">
      <c r="A4447" t="s">
        <v>3628</v>
      </c>
      <c r="B4447" t="s">
        <v>738</v>
      </c>
      <c r="C4447" s="2">
        <f>HYPERLINK("https://cao.dolgi.msk.ru/account/1083280136/", 1083280136)</f>
        <v>1083280136</v>
      </c>
      <c r="D4447" t="s">
        <v>3733</v>
      </c>
      <c r="E4447">
        <v>11985.55</v>
      </c>
      <c r="F4447">
        <v>1.86</v>
      </c>
      <c r="G4447" t="s">
        <v>12</v>
      </c>
      <c r="I4447" t="s">
        <v>1428</v>
      </c>
    </row>
    <row r="4448" spans="1:9" hidden="1" x14ac:dyDescent="0.25">
      <c r="A4448" t="s">
        <v>3628</v>
      </c>
      <c r="B4448" t="s">
        <v>740</v>
      </c>
      <c r="C4448" s="2">
        <f>HYPERLINK("https://cao.dolgi.msk.ru/account/1083280144/", 1083280144)</f>
        <v>1083280144</v>
      </c>
      <c r="D4448" t="s">
        <v>3734</v>
      </c>
      <c r="E4448">
        <v>-11449.63</v>
      </c>
      <c r="F4448">
        <v>-1.23</v>
      </c>
      <c r="G4448" t="s">
        <v>12</v>
      </c>
      <c r="I4448" t="s">
        <v>1428</v>
      </c>
    </row>
    <row r="4449" spans="1:9" hidden="1" x14ac:dyDescent="0.25">
      <c r="A4449" t="s">
        <v>3628</v>
      </c>
      <c r="B4449" t="s">
        <v>742</v>
      </c>
      <c r="C4449" s="2">
        <f>HYPERLINK("https://cao.dolgi.msk.ru/account/1083280152/", 1083280152)</f>
        <v>1083280152</v>
      </c>
      <c r="D4449" t="s">
        <v>3735</v>
      </c>
      <c r="E4449">
        <v>0</v>
      </c>
      <c r="F4449">
        <v>0</v>
      </c>
      <c r="G4449" t="s">
        <v>12</v>
      </c>
      <c r="I4449" t="s">
        <v>1428</v>
      </c>
    </row>
    <row r="4450" spans="1:9" hidden="1" x14ac:dyDescent="0.25">
      <c r="A4450" t="s">
        <v>3628</v>
      </c>
      <c r="B4450" t="s">
        <v>557</v>
      </c>
      <c r="C4450" s="2">
        <f>HYPERLINK("https://cao.dolgi.msk.ru/account/1083280179/", 1083280179)</f>
        <v>1083280179</v>
      </c>
      <c r="D4450" t="s">
        <v>3736</v>
      </c>
      <c r="E4450">
        <v>0</v>
      </c>
      <c r="F4450">
        <v>0</v>
      </c>
      <c r="G4450" t="s">
        <v>12</v>
      </c>
      <c r="I4450" t="s">
        <v>1428</v>
      </c>
    </row>
    <row r="4451" spans="1:9" hidden="1" x14ac:dyDescent="0.25">
      <c r="A4451" t="s">
        <v>3628</v>
      </c>
      <c r="B4451" t="s">
        <v>558</v>
      </c>
      <c r="C4451" s="2">
        <f>HYPERLINK("https://cao.dolgi.msk.ru/account/1083280187/", 1083280187)</f>
        <v>1083280187</v>
      </c>
      <c r="D4451" t="s">
        <v>15</v>
      </c>
      <c r="E4451">
        <v>-3912.97</v>
      </c>
      <c r="F4451">
        <v>-0.7</v>
      </c>
      <c r="G4451" t="s">
        <v>12</v>
      </c>
      <c r="I4451" t="s">
        <v>1428</v>
      </c>
    </row>
    <row r="4452" spans="1:9" hidden="1" x14ac:dyDescent="0.25">
      <c r="A4452" t="s">
        <v>3628</v>
      </c>
      <c r="B4452" t="s">
        <v>746</v>
      </c>
      <c r="C4452" s="2">
        <f>HYPERLINK("https://cao.dolgi.msk.ru/account/1083280195/", 1083280195)</f>
        <v>1083280195</v>
      </c>
      <c r="D4452" t="s">
        <v>3737</v>
      </c>
      <c r="E4452">
        <v>-6572.31</v>
      </c>
      <c r="F4452">
        <v>-0.88</v>
      </c>
      <c r="G4452" t="s">
        <v>12</v>
      </c>
      <c r="I4452" t="s">
        <v>1428</v>
      </c>
    </row>
    <row r="4453" spans="1:9" hidden="1" x14ac:dyDescent="0.25">
      <c r="A4453" t="s">
        <v>3628</v>
      </c>
      <c r="B4453" t="s">
        <v>748</v>
      </c>
      <c r="C4453" s="2">
        <f>HYPERLINK("https://cao.dolgi.msk.ru/account/1083280208/", 1083280208)</f>
        <v>1083280208</v>
      </c>
      <c r="D4453" t="s">
        <v>3738</v>
      </c>
      <c r="E4453">
        <v>-234.77</v>
      </c>
      <c r="F4453">
        <v>-0.04</v>
      </c>
      <c r="G4453" t="s">
        <v>12</v>
      </c>
      <c r="I4453" t="s">
        <v>1428</v>
      </c>
    </row>
    <row r="4454" spans="1:9" hidden="1" x14ac:dyDescent="0.25">
      <c r="A4454" t="s">
        <v>3628</v>
      </c>
      <c r="B4454" t="s">
        <v>750</v>
      </c>
      <c r="C4454" s="2">
        <f>HYPERLINK("https://cao.dolgi.msk.ru/account/1083280216/", 1083280216)</f>
        <v>1083280216</v>
      </c>
      <c r="D4454" t="s">
        <v>3739</v>
      </c>
      <c r="E4454">
        <v>-9593.2999999999993</v>
      </c>
      <c r="F4454">
        <v>-1.02</v>
      </c>
      <c r="G4454" t="s">
        <v>12</v>
      </c>
      <c r="I4454" t="s">
        <v>1428</v>
      </c>
    </row>
    <row r="4455" spans="1:9" hidden="1" x14ac:dyDescent="0.25">
      <c r="A4455" t="s">
        <v>3628</v>
      </c>
      <c r="B4455" t="s">
        <v>752</v>
      </c>
      <c r="C4455" s="2">
        <f>HYPERLINK("https://cao.dolgi.msk.ru/account/1083280224/", 1083280224)</f>
        <v>1083280224</v>
      </c>
      <c r="D4455" t="s">
        <v>3740</v>
      </c>
      <c r="E4455">
        <v>-10659.39</v>
      </c>
      <c r="F4455">
        <v>-0.84</v>
      </c>
      <c r="G4455" t="s">
        <v>12</v>
      </c>
      <c r="I4455" t="s">
        <v>1428</v>
      </c>
    </row>
    <row r="4456" spans="1:9" hidden="1" x14ac:dyDescent="0.25">
      <c r="A4456" t="s">
        <v>3628</v>
      </c>
      <c r="B4456" t="s">
        <v>754</v>
      </c>
      <c r="C4456" s="2">
        <f>HYPERLINK("https://cao.dolgi.msk.ru/account/1083280232/", 1083280232)</f>
        <v>1083280232</v>
      </c>
      <c r="D4456" t="s">
        <v>3741</v>
      </c>
      <c r="E4456">
        <v>-16496.77</v>
      </c>
      <c r="F4456">
        <v>-2.36</v>
      </c>
      <c r="G4456" t="s">
        <v>12</v>
      </c>
      <c r="I4456" t="s">
        <v>1428</v>
      </c>
    </row>
    <row r="4457" spans="1:9" hidden="1" x14ac:dyDescent="0.25">
      <c r="A4457" t="s">
        <v>3628</v>
      </c>
      <c r="B4457" t="s">
        <v>756</v>
      </c>
      <c r="C4457" s="2">
        <f>HYPERLINK("https://cao.dolgi.msk.ru/account/1083280259/", 1083280259)</f>
        <v>1083280259</v>
      </c>
      <c r="D4457" t="s">
        <v>3742</v>
      </c>
      <c r="E4457">
        <v>-5143.3900000000003</v>
      </c>
      <c r="F4457">
        <v>-1.04</v>
      </c>
      <c r="G4457" t="s">
        <v>12</v>
      </c>
      <c r="I4457" t="s">
        <v>1428</v>
      </c>
    </row>
    <row r="4458" spans="1:9" hidden="1" x14ac:dyDescent="0.25">
      <c r="A4458" t="s">
        <v>3628</v>
      </c>
      <c r="B4458" t="s">
        <v>758</v>
      </c>
      <c r="C4458" s="2">
        <f>HYPERLINK("https://cao.dolgi.msk.ru/account/1083280267/", 1083280267)</f>
        <v>1083280267</v>
      </c>
      <c r="D4458" t="s">
        <v>15</v>
      </c>
      <c r="E4458">
        <v>-9656.9</v>
      </c>
      <c r="F4458">
        <v>-1.05</v>
      </c>
      <c r="G4458" t="s">
        <v>12</v>
      </c>
      <c r="I4458" t="s">
        <v>1428</v>
      </c>
    </row>
    <row r="4459" spans="1:9" hidden="1" x14ac:dyDescent="0.25">
      <c r="A4459" t="s">
        <v>3628</v>
      </c>
      <c r="B4459" t="s">
        <v>760</v>
      </c>
      <c r="C4459" s="2">
        <f>HYPERLINK("https://cao.dolgi.msk.ru/account/1083280275/", 1083280275)</f>
        <v>1083280275</v>
      </c>
      <c r="D4459" t="s">
        <v>3743</v>
      </c>
      <c r="E4459">
        <v>-6681.23</v>
      </c>
      <c r="F4459">
        <v>-1.08</v>
      </c>
      <c r="G4459" t="s">
        <v>12</v>
      </c>
      <c r="I4459" t="s">
        <v>1428</v>
      </c>
    </row>
    <row r="4460" spans="1:9" hidden="1" x14ac:dyDescent="0.25">
      <c r="A4460" t="s">
        <v>3628</v>
      </c>
      <c r="B4460" t="s">
        <v>762</v>
      </c>
      <c r="C4460" s="2">
        <f>HYPERLINK("https://cao.dolgi.msk.ru/account/1083280283/", 1083280283)</f>
        <v>1083280283</v>
      </c>
      <c r="D4460" t="s">
        <v>3744</v>
      </c>
      <c r="E4460">
        <v>-218.46</v>
      </c>
      <c r="F4460">
        <v>-0.03</v>
      </c>
      <c r="G4460" t="s">
        <v>12</v>
      </c>
      <c r="I4460" t="s">
        <v>1428</v>
      </c>
    </row>
    <row r="4461" spans="1:9" hidden="1" x14ac:dyDescent="0.25">
      <c r="A4461" t="s">
        <v>3628</v>
      </c>
      <c r="B4461" t="s">
        <v>764</v>
      </c>
      <c r="C4461" s="2">
        <f>HYPERLINK("https://cao.dolgi.msk.ru/account/1083280291/", 1083280291)</f>
        <v>1083280291</v>
      </c>
      <c r="D4461" t="s">
        <v>3745</v>
      </c>
      <c r="E4461">
        <v>-7080.4</v>
      </c>
      <c r="F4461">
        <v>-1.1599999999999999</v>
      </c>
      <c r="G4461" t="s">
        <v>12</v>
      </c>
      <c r="I4461" t="s">
        <v>1428</v>
      </c>
    </row>
    <row r="4462" spans="1:9" hidden="1" x14ac:dyDescent="0.25">
      <c r="A4462" t="s">
        <v>3628</v>
      </c>
      <c r="B4462" t="s">
        <v>766</v>
      </c>
      <c r="C4462" s="2">
        <f>HYPERLINK("https://cao.dolgi.msk.ru/account/1083280304/", 1083280304)</f>
        <v>1083280304</v>
      </c>
      <c r="D4462" t="s">
        <v>3746</v>
      </c>
      <c r="E4462">
        <v>-4252.78</v>
      </c>
      <c r="F4462">
        <v>-1.02</v>
      </c>
      <c r="G4462" t="s">
        <v>12</v>
      </c>
      <c r="I4462" t="s">
        <v>1428</v>
      </c>
    </row>
    <row r="4463" spans="1:9" hidden="1" x14ac:dyDescent="0.25">
      <c r="A4463" t="s">
        <v>3628</v>
      </c>
      <c r="B4463" t="s">
        <v>768</v>
      </c>
      <c r="C4463" s="2">
        <f>HYPERLINK("https://cao.dolgi.msk.ru/account/1083280312/", 1083280312)</f>
        <v>1083280312</v>
      </c>
      <c r="D4463" t="s">
        <v>3747</v>
      </c>
      <c r="E4463">
        <v>-6640.64</v>
      </c>
      <c r="F4463">
        <v>-1.02</v>
      </c>
      <c r="G4463" t="s">
        <v>12</v>
      </c>
      <c r="I4463" t="s">
        <v>1428</v>
      </c>
    </row>
    <row r="4464" spans="1:9" hidden="1" x14ac:dyDescent="0.25">
      <c r="A4464" t="s">
        <v>3628</v>
      </c>
      <c r="B4464" t="s">
        <v>768</v>
      </c>
      <c r="C4464" s="2">
        <f>HYPERLINK("https://cao.dolgi.msk.ru/account/1083281681/", 1083281681)</f>
        <v>1083281681</v>
      </c>
      <c r="D4464" t="s">
        <v>3747</v>
      </c>
      <c r="E4464">
        <v>0</v>
      </c>
      <c r="G4464" t="s">
        <v>14</v>
      </c>
      <c r="I4464" t="s">
        <v>1428</v>
      </c>
    </row>
    <row r="4465" spans="1:9" hidden="1" x14ac:dyDescent="0.25">
      <c r="A4465" t="s">
        <v>3628</v>
      </c>
      <c r="B4465" t="s">
        <v>770</v>
      </c>
      <c r="C4465" s="2">
        <f>HYPERLINK("https://cao.dolgi.msk.ru/account/1083280339/", 1083280339)</f>
        <v>1083280339</v>
      </c>
      <c r="D4465" t="s">
        <v>3748</v>
      </c>
      <c r="E4465">
        <v>-582.38</v>
      </c>
      <c r="F4465">
        <v>-0.08</v>
      </c>
      <c r="G4465" t="s">
        <v>12</v>
      </c>
      <c r="I4465" t="s">
        <v>1428</v>
      </c>
    </row>
    <row r="4466" spans="1:9" x14ac:dyDescent="0.25">
      <c r="A4466" t="s">
        <v>3628</v>
      </c>
      <c r="B4466" t="s">
        <v>772</v>
      </c>
      <c r="C4466" s="2">
        <f>HYPERLINK("https://cao.dolgi.msk.ru/account/1083280347/", 1083280347)</f>
        <v>1083280347</v>
      </c>
      <c r="D4466" t="s">
        <v>3749</v>
      </c>
      <c r="E4466">
        <v>17988.599999999999</v>
      </c>
      <c r="F4466">
        <v>4</v>
      </c>
      <c r="G4466" t="s">
        <v>12</v>
      </c>
      <c r="I4466" t="s">
        <v>1428</v>
      </c>
    </row>
    <row r="4467" spans="1:9" hidden="1" x14ac:dyDescent="0.25">
      <c r="A4467" t="s">
        <v>3628</v>
      </c>
      <c r="B4467" t="s">
        <v>774</v>
      </c>
      <c r="C4467" s="2">
        <f>HYPERLINK("https://cao.dolgi.msk.ru/account/1083280355/", 1083280355)</f>
        <v>1083280355</v>
      </c>
      <c r="D4467" t="s">
        <v>15</v>
      </c>
      <c r="E4467">
        <v>-239.92</v>
      </c>
      <c r="F4467">
        <v>-0.03</v>
      </c>
      <c r="G4467" t="s">
        <v>12</v>
      </c>
      <c r="I4467" t="s">
        <v>1428</v>
      </c>
    </row>
    <row r="4468" spans="1:9" hidden="1" x14ac:dyDescent="0.25">
      <c r="A4468" t="s">
        <v>3628</v>
      </c>
      <c r="B4468" t="s">
        <v>776</v>
      </c>
      <c r="C4468" s="2">
        <f>HYPERLINK("https://cao.dolgi.msk.ru/account/1083280363/", 1083280363)</f>
        <v>1083280363</v>
      </c>
      <c r="D4468" t="s">
        <v>3750</v>
      </c>
      <c r="E4468">
        <v>-11404.04</v>
      </c>
      <c r="F4468">
        <v>-2.0099999999999998</v>
      </c>
      <c r="G4468" t="s">
        <v>12</v>
      </c>
      <c r="I4468" t="s">
        <v>1428</v>
      </c>
    </row>
    <row r="4469" spans="1:9" hidden="1" x14ac:dyDescent="0.25">
      <c r="A4469" t="s">
        <v>3628</v>
      </c>
      <c r="B4469" t="s">
        <v>778</v>
      </c>
      <c r="C4469" s="2">
        <f>HYPERLINK("https://cao.dolgi.msk.ru/account/1083280371/", 1083280371)</f>
        <v>1083280371</v>
      </c>
      <c r="D4469" t="s">
        <v>15</v>
      </c>
      <c r="E4469">
        <v>-5544.37</v>
      </c>
      <c r="F4469">
        <v>-1.72</v>
      </c>
      <c r="G4469" t="s">
        <v>12</v>
      </c>
      <c r="I4469" t="s">
        <v>1428</v>
      </c>
    </row>
    <row r="4470" spans="1:9" hidden="1" x14ac:dyDescent="0.25">
      <c r="A4470" t="s">
        <v>3628</v>
      </c>
      <c r="B4470" t="s">
        <v>780</v>
      </c>
      <c r="C4470" s="2">
        <f>HYPERLINK("https://cao.dolgi.msk.ru/account/1083280398/", 1083280398)</f>
        <v>1083280398</v>
      </c>
      <c r="D4470" t="s">
        <v>3751</v>
      </c>
      <c r="E4470">
        <v>-849.66</v>
      </c>
      <c r="F4470">
        <v>-0.09</v>
      </c>
      <c r="G4470" t="s">
        <v>12</v>
      </c>
      <c r="I4470" t="s">
        <v>1428</v>
      </c>
    </row>
    <row r="4471" spans="1:9" hidden="1" x14ac:dyDescent="0.25">
      <c r="A4471" t="s">
        <v>3628</v>
      </c>
      <c r="B4471" t="s">
        <v>781</v>
      </c>
      <c r="C4471" s="2">
        <f>HYPERLINK("https://cao.dolgi.msk.ru/account/1083280419/", 1083280419)</f>
        <v>1083280419</v>
      </c>
      <c r="D4471" t="s">
        <v>3752</v>
      </c>
      <c r="E4471">
        <v>0</v>
      </c>
      <c r="F4471">
        <v>0</v>
      </c>
      <c r="G4471" t="s">
        <v>12</v>
      </c>
      <c r="I4471" t="s">
        <v>1428</v>
      </c>
    </row>
    <row r="4472" spans="1:9" hidden="1" x14ac:dyDescent="0.25">
      <c r="A4472" t="s">
        <v>3628</v>
      </c>
      <c r="B4472" t="s">
        <v>782</v>
      </c>
      <c r="C4472" s="2">
        <f>HYPERLINK("https://cao.dolgi.msk.ru/account/1083280427/", 1083280427)</f>
        <v>1083280427</v>
      </c>
      <c r="D4472" t="s">
        <v>3753</v>
      </c>
      <c r="E4472">
        <v>-11198.02</v>
      </c>
      <c r="F4472">
        <v>-2.11</v>
      </c>
      <c r="G4472" t="s">
        <v>12</v>
      </c>
      <c r="I4472" t="s">
        <v>1428</v>
      </c>
    </row>
    <row r="4473" spans="1:9" hidden="1" x14ac:dyDescent="0.25">
      <c r="A4473" t="s">
        <v>3628</v>
      </c>
      <c r="B4473" t="s">
        <v>784</v>
      </c>
      <c r="C4473" s="2">
        <f>HYPERLINK("https://cao.dolgi.msk.ru/account/1083280435/", 1083280435)</f>
        <v>1083280435</v>
      </c>
      <c r="D4473" t="s">
        <v>3754</v>
      </c>
      <c r="E4473">
        <v>-5594.31</v>
      </c>
      <c r="F4473">
        <v>-0.97</v>
      </c>
      <c r="G4473" t="s">
        <v>12</v>
      </c>
      <c r="I4473" t="s">
        <v>1428</v>
      </c>
    </row>
    <row r="4474" spans="1:9" hidden="1" x14ac:dyDescent="0.25">
      <c r="A4474" t="s">
        <v>3628</v>
      </c>
      <c r="B4474" t="s">
        <v>786</v>
      </c>
      <c r="C4474" s="2">
        <f>HYPERLINK("https://cao.dolgi.msk.ru/account/1083280443/", 1083280443)</f>
        <v>1083280443</v>
      </c>
      <c r="D4474" t="s">
        <v>3755</v>
      </c>
      <c r="E4474">
        <v>-7271.95</v>
      </c>
      <c r="F4474">
        <v>-1.08</v>
      </c>
      <c r="G4474" t="s">
        <v>12</v>
      </c>
      <c r="I4474" t="s">
        <v>1428</v>
      </c>
    </row>
    <row r="4475" spans="1:9" hidden="1" x14ac:dyDescent="0.25">
      <c r="A4475" t="s">
        <v>3628</v>
      </c>
      <c r="B4475" t="s">
        <v>788</v>
      </c>
      <c r="C4475" s="2">
        <f>HYPERLINK("https://cao.dolgi.msk.ru/account/1083280451/", 1083280451)</f>
        <v>1083280451</v>
      </c>
      <c r="D4475" t="s">
        <v>3756</v>
      </c>
      <c r="E4475">
        <v>-7131.77</v>
      </c>
      <c r="F4475">
        <v>-1.04</v>
      </c>
      <c r="G4475" t="s">
        <v>12</v>
      </c>
      <c r="I4475" t="s">
        <v>1428</v>
      </c>
    </row>
    <row r="4476" spans="1:9" hidden="1" x14ac:dyDescent="0.25">
      <c r="A4476" t="s">
        <v>3628</v>
      </c>
      <c r="B4476" t="s">
        <v>789</v>
      </c>
      <c r="C4476" s="2">
        <f>HYPERLINK("https://cao.dolgi.msk.ru/account/1083280478/", 1083280478)</f>
        <v>1083280478</v>
      </c>
      <c r="D4476" t="s">
        <v>3757</v>
      </c>
      <c r="E4476">
        <v>0</v>
      </c>
      <c r="F4476">
        <v>0</v>
      </c>
      <c r="G4476" t="s">
        <v>12</v>
      </c>
      <c r="H4476" t="s">
        <v>7</v>
      </c>
      <c r="I4476" t="s">
        <v>1428</v>
      </c>
    </row>
    <row r="4477" spans="1:9" hidden="1" x14ac:dyDescent="0.25">
      <c r="A4477" t="s">
        <v>3628</v>
      </c>
      <c r="B4477" t="s">
        <v>789</v>
      </c>
      <c r="C4477" s="2">
        <f>HYPERLINK("https://cao.dolgi.msk.ru/account/1083281702/", 1083281702)</f>
        <v>1083281702</v>
      </c>
      <c r="D4477" t="s">
        <v>15</v>
      </c>
      <c r="E4477">
        <v>0</v>
      </c>
      <c r="F4477">
        <v>0</v>
      </c>
      <c r="G4477" t="s">
        <v>12</v>
      </c>
      <c r="H4477" t="s">
        <v>7</v>
      </c>
      <c r="I4477" t="s">
        <v>1428</v>
      </c>
    </row>
    <row r="4478" spans="1:9" hidden="1" x14ac:dyDescent="0.25">
      <c r="A4478" t="s">
        <v>3628</v>
      </c>
      <c r="B4478" t="s">
        <v>790</v>
      </c>
      <c r="C4478" s="2">
        <f>HYPERLINK("https://cao.dolgi.msk.ru/account/1083280486/", 1083280486)</f>
        <v>1083280486</v>
      </c>
      <c r="D4478" t="s">
        <v>15</v>
      </c>
      <c r="E4478">
        <v>-7438.84</v>
      </c>
      <c r="F4478">
        <v>-1.07</v>
      </c>
      <c r="G4478" t="s">
        <v>12</v>
      </c>
      <c r="I4478" t="s">
        <v>1428</v>
      </c>
    </row>
    <row r="4479" spans="1:9" hidden="1" x14ac:dyDescent="0.25">
      <c r="A4479" t="s">
        <v>3628</v>
      </c>
      <c r="B4479" t="s">
        <v>792</v>
      </c>
      <c r="C4479" s="2">
        <f>HYPERLINK("https://cao.dolgi.msk.ru/account/1083280494/", 1083280494)</f>
        <v>1083280494</v>
      </c>
      <c r="D4479" t="s">
        <v>3758</v>
      </c>
      <c r="E4479">
        <v>-15825.34</v>
      </c>
      <c r="F4479">
        <v>-1.1200000000000001</v>
      </c>
      <c r="G4479" t="s">
        <v>12</v>
      </c>
      <c r="I4479" t="s">
        <v>1428</v>
      </c>
    </row>
    <row r="4480" spans="1:9" hidden="1" x14ac:dyDescent="0.25">
      <c r="A4480" t="s">
        <v>3628</v>
      </c>
      <c r="B4480" t="s">
        <v>796</v>
      </c>
      <c r="C4480" s="2">
        <f>HYPERLINK("https://cao.dolgi.msk.ru/account/1083280507/", 1083280507)</f>
        <v>1083280507</v>
      </c>
      <c r="D4480" t="s">
        <v>3759</v>
      </c>
      <c r="E4480">
        <v>0</v>
      </c>
      <c r="F4480">
        <v>0</v>
      </c>
      <c r="G4480" t="s">
        <v>12</v>
      </c>
      <c r="I4480" t="s">
        <v>1428</v>
      </c>
    </row>
    <row r="4481" spans="1:9" hidden="1" x14ac:dyDescent="0.25">
      <c r="A4481" t="s">
        <v>3628</v>
      </c>
      <c r="B4481" t="s">
        <v>798</v>
      </c>
      <c r="C4481" s="2">
        <f>HYPERLINK("https://cao.dolgi.msk.ru/account/1083280515/", 1083280515)</f>
        <v>1083280515</v>
      </c>
      <c r="D4481" t="s">
        <v>3760</v>
      </c>
      <c r="E4481">
        <v>-80.790000000000006</v>
      </c>
      <c r="F4481">
        <v>-0.01</v>
      </c>
      <c r="G4481" t="s">
        <v>12</v>
      </c>
      <c r="I4481" t="s">
        <v>1428</v>
      </c>
    </row>
    <row r="4482" spans="1:9" hidden="1" x14ac:dyDescent="0.25">
      <c r="A4482" t="s">
        <v>3628</v>
      </c>
      <c r="B4482" t="s">
        <v>802</v>
      </c>
      <c r="C4482" s="2">
        <f>HYPERLINK("https://cao.dolgi.msk.ru/account/1083280523/", 1083280523)</f>
        <v>1083280523</v>
      </c>
      <c r="D4482" t="s">
        <v>3761</v>
      </c>
      <c r="E4482">
        <v>-15066.75</v>
      </c>
      <c r="F4482">
        <v>-1.1399999999999999</v>
      </c>
      <c r="G4482" t="s">
        <v>12</v>
      </c>
      <c r="I4482" t="s">
        <v>1428</v>
      </c>
    </row>
    <row r="4483" spans="1:9" hidden="1" x14ac:dyDescent="0.25">
      <c r="A4483" t="s">
        <v>3628</v>
      </c>
      <c r="B4483" t="s">
        <v>804</v>
      </c>
      <c r="C4483" s="2">
        <f>HYPERLINK("https://cao.dolgi.msk.ru/account/1083280531/", 1083280531)</f>
        <v>1083280531</v>
      </c>
      <c r="D4483" t="s">
        <v>3762</v>
      </c>
      <c r="E4483">
        <v>-3403.13</v>
      </c>
      <c r="F4483">
        <v>-1.1299999999999999</v>
      </c>
      <c r="G4483" t="s">
        <v>12</v>
      </c>
      <c r="I4483" t="s">
        <v>1428</v>
      </c>
    </row>
    <row r="4484" spans="1:9" hidden="1" x14ac:dyDescent="0.25">
      <c r="A4484" t="s">
        <v>3628</v>
      </c>
      <c r="B4484" t="s">
        <v>806</v>
      </c>
      <c r="C4484" s="2">
        <f>HYPERLINK("https://cao.dolgi.msk.ru/account/1083280558/", 1083280558)</f>
        <v>1083280558</v>
      </c>
      <c r="D4484" t="s">
        <v>3763</v>
      </c>
      <c r="E4484">
        <v>-16006.6</v>
      </c>
      <c r="F4484">
        <v>-1.01</v>
      </c>
      <c r="G4484" t="s">
        <v>12</v>
      </c>
      <c r="I4484" t="s">
        <v>1428</v>
      </c>
    </row>
    <row r="4485" spans="1:9" hidden="1" x14ac:dyDescent="0.25">
      <c r="A4485" t="s">
        <v>3628</v>
      </c>
      <c r="B4485" t="s">
        <v>808</v>
      </c>
      <c r="C4485" s="2">
        <f>HYPERLINK("https://cao.dolgi.msk.ru/account/1083280566/", 1083280566)</f>
        <v>1083280566</v>
      </c>
      <c r="D4485" t="s">
        <v>3764</v>
      </c>
      <c r="E4485">
        <v>-5576.26</v>
      </c>
      <c r="F4485">
        <v>-1.03</v>
      </c>
      <c r="G4485" t="s">
        <v>12</v>
      </c>
      <c r="I4485" t="s">
        <v>1428</v>
      </c>
    </row>
    <row r="4486" spans="1:9" hidden="1" x14ac:dyDescent="0.25">
      <c r="A4486" t="s">
        <v>3628</v>
      </c>
      <c r="B4486" t="s">
        <v>810</v>
      </c>
      <c r="C4486" s="2">
        <f>HYPERLINK("https://cao.dolgi.msk.ru/account/1083280574/", 1083280574)</f>
        <v>1083280574</v>
      </c>
      <c r="D4486" t="s">
        <v>3765</v>
      </c>
      <c r="E4486">
        <v>-3969.47</v>
      </c>
      <c r="F4486">
        <v>-1.05</v>
      </c>
      <c r="G4486" t="s">
        <v>12</v>
      </c>
      <c r="I4486" t="s">
        <v>1428</v>
      </c>
    </row>
    <row r="4487" spans="1:9" hidden="1" x14ac:dyDescent="0.25">
      <c r="A4487" t="s">
        <v>3628</v>
      </c>
      <c r="B4487" t="s">
        <v>812</v>
      </c>
      <c r="C4487" s="2">
        <f>HYPERLINK("https://cao.dolgi.msk.ru/account/1083280582/", 1083280582)</f>
        <v>1083280582</v>
      </c>
      <c r="D4487" t="s">
        <v>3766</v>
      </c>
      <c r="E4487">
        <v>-3984.21</v>
      </c>
      <c r="F4487">
        <v>-1</v>
      </c>
      <c r="G4487" t="s">
        <v>12</v>
      </c>
      <c r="I4487" t="s">
        <v>1428</v>
      </c>
    </row>
    <row r="4488" spans="1:9" hidden="1" x14ac:dyDescent="0.25">
      <c r="A4488" t="s">
        <v>3628</v>
      </c>
      <c r="B4488" t="s">
        <v>814</v>
      </c>
      <c r="C4488" s="2">
        <f>HYPERLINK("https://cao.dolgi.msk.ru/account/1083280603/", 1083280603)</f>
        <v>1083280603</v>
      </c>
      <c r="D4488" t="s">
        <v>3767</v>
      </c>
      <c r="E4488">
        <v>-1771.12</v>
      </c>
      <c r="F4488">
        <v>-0.09</v>
      </c>
      <c r="G4488" t="s">
        <v>12</v>
      </c>
      <c r="I4488" t="s">
        <v>1428</v>
      </c>
    </row>
    <row r="4489" spans="1:9" hidden="1" x14ac:dyDescent="0.25">
      <c r="A4489" t="s">
        <v>3628</v>
      </c>
      <c r="B4489" t="s">
        <v>820</v>
      </c>
      <c r="C4489" s="2">
        <f>HYPERLINK("https://cao.dolgi.msk.ru/account/1083280611/", 1083280611)</f>
        <v>1083280611</v>
      </c>
      <c r="D4489" t="s">
        <v>3768</v>
      </c>
      <c r="E4489">
        <v>-1655.99</v>
      </c>
      <c r="F4489">
        <v>-0.28999999999999998</v>
      </c>
      <c r="G4489" t="s">
        <v>12</v>
      </c>
      <c r="I4489" t="s">
        <v>1428</v>
      </c>
    </row>
    <row r="4490" spans="1:9" hidden="1" x14ac:dyDescent="0.25">
      <c r="A4490" t="s">
        <v>3628</v>
      </c>
      <c r="B4490" t="s">
        <v>822</v>
      </c>
      <c r="C4490" s="2">
        <f>HYPERLINK("https://cao.dolgi.msk.ru/account/1083280638/", 1083280638)</f>
        <v>1083280638</v>
      </c>
      <c r="D4490" t="s">
        <v>15</v>
      </c>
      <c r="E4490">
        <v>-7527.16</v>
      </c>
      <c r="F4490">
        <v>-1</v>
      </c>
      <c r="G4490" t="s">
        <v>12</v>
      </c>
      <c r="I4490" t="s">
        <v>1428</v>
      </c>
    </row>
    <row r="4491" spans="1:9" hidden="1" x14ac:dyDescent="0.25">
      <c r="A4491" t="s">
        <v>3628</v>
      </c>
      <c r="B4491" t="s">
        <v>824</v>
      </c>
      <c r="C4491" s="2">
        <f>HYPERLINK("https://cao.dolgi.msk.ru/account/1083280646/", 1083280646)</f>
        <v>1083280646</v>
      </c>
      <c r="D4491" t="s">
        <v>3769</v>
      </c>
      <c r="E4491">
        <v>-5778.31</v>
      </c>
      <c r="F4491">
        <v>-1.04</v>
      </c>
      <c r="G4491" t="s">
        <v>12</v>
      </c>
      <c r="I4491" t="s">
        <v>1428</v>
      </c>
    </row>
    <row r="4492" spans="1:9" hidden="1" x14ac:dyDescent="0.25">
      <c r="A4492" t="s">
        <v>3628</v>
      </c>
      <c r="B4492" t="s">
        <v>826</v>
      </c>
      <c r="C4492" s="2">
        <f>HYPERLINK("https://cao.dolgi.msk.ru/account/1083280654/", 1083280654)</f>
        <v>1083280654</v>
      </c>
      <c r="D4492" t="s">
        <v>3770</v>
      </c>
      <c r="E4492">
        <v>-6840.39</v>
      </c>
      <c r="F4492">
        <v>-1</v>
      </c>
      <c r="G4492" t="s">
        <v>12</v>
      </c>
      <c r="I4492" t="s">
        <v>1428</v>
      </c>
    </row>
    <row r="4493" spans="1:9" hidden="1" x14ac:dyDescent="0.25">
      <c r="A4493" t="s">
        <v>3628</v>
      </c>
      <c r="B4493" t="s">
        <v>828</v>
      </c>
      <c r="C4493" s="2">
        <f>HYPERLINK("https://cao.dolgi.msk.ru/account/1083280662/", 1083280662)</f>
        <v>1083280662</v>
      </c>
      <c r="D4493" t="s">
        <v>3771</v>
      </c>
      <c r="E4493">
        <v>-8536.84</v>
      </c>
      <c r="F4493">
        <v>-1.06</v>
      </c>
      <c r="G4493" t="s">
        <v>12</v>
      </c>
      <c r="I4493" t="s">
        <v>1428</v>
      </c>
    </row>
    <row r="4494" spans="1:9" hidden="1" x14ac:dyDescent="0.25">
      <c r="A4494" t="s">
        <v>3628</v>
      </c>
      <c r="B4494" t="s">
        <v>830</v>
      </c>
      <c r="C4494" s="2">
        <f>HYPERLINK("https://cao.dolgi.msk.ru/account/1083280689/", 1083280689)</f>
        <v>1083280689</v>
      </c>
      <c r="D4494" t="s">
        <v>3772</v>
      </c>
      <c r="E4494">
        <v>-13839.52</v>
      </c>
      <c r="F4494">
        <v>-1.85</v>
      </c>
      <c r="G4494" t="s">
        <v>12</v>
      </c>
      <c r="I4494" t="s">
        <v>1428</v>
      </c>
    </row>
    <row r="4495" spans="1:9" x14ac:dyDescent="0.25">
      <c r="A4495" t="s">
        <v>3628</v>
      </c>
      <c r="B4495" t="s">
        <v>831</v>
      </c>
      <c r="C4495" s="2">
        <f>HYPERLINK("https://cao.dolgi.msk.ru/account/1083280697/", 1083280697)</f>
        <v>1083280697</v>
      </c>
      <c r="D4495" t="s">
        <v>3773</v>
      </c>
      <c r="E4495">
        <v>19862.599999999999</v>
      </c>
      <c r="F4495">
        <v>2</v>
      </c>
      <c r="G4495" t="s">
        <v>12</v>
      </c>
      <c r="I4495" t="s">
        <v>1428</v>
      </c>
    </row>
    <row r="4496" spans="1:9" hidden="1" x14ac:dyDescent="0.25">
      <c r="A4496" t="s">
        <v>3628</v>
      </c>
      <c r="B4496" t="s">
        <v>833</v>
      </c>
      <c r="C4496" s="2">
        <f>HYPERLINK("https://cao.dolgi.msk.ru/account/1083280718/", 1083280718)</f>
        <v>1083280718</v>
      </c>
      <c r="D4496" t="s">
        <v>3774</v>
      </c>
      <c r="E4496">
        <v>-5657.95</v>
      </c>
      <c r="F4496">
        <v>-1</v>
      </c>
      <c r="G4496" t="s">
        <v>12</v>
      </c>
      <c r="I4496" t="s">
        <v>1428</v>
      </c>
    </row>
    <row r="4497" spans="1:9" hidden="1" x14ac:dyDescent="0.25">
      <c r="A4497" t="s">
        <v>3628</v>
      </c>
      <c r="B4497" t="s">
        <v>835</v>
      </c>
      <c r="C4497" s="2">
        <f>HYPERLINK("https://cao.dolgi.msk.ru/account/1083280726/", 1083280726)</f>
        <v>1083280726</v>
      </c>
      <c r="D4497" t="s">
        <v>3775</v>
      </c>
      <c r="E4497">
        <v>-6678.4</v>
      </c>
      <c r="F4497">
        <v>-1.03</v>
      </c>
      <c r="G4497" t="s">
        <v>12</v>
      </c>
      <c r="I4497" t="s">
        <v>1428</v>
      </c>
    </row>
    <row r="4498" spans="1:9" x14ac:dyDescent="0.25">
      <c r="A4498" t="s">
        <v>3628</v>
      </c>
      <c r="B4498" t="s">
        <v>837</v>
      </c>
      <c r="C4498" s="2">
        <f>HYPERLINK("https://cao.dolgi.msk.ru/account/1083280734/", 1083280734)</f>
        <v>1083280734</v>
      </c>
      <c r="D4498" t="s">
        <v>3776</v>
      </c>
      <c r="E4498">
        <v>203719.02</v>
      </c>
      <c r="F4498">
        <v>28.73</v>
      </c>
      <c r="G4498" t="s">
        <v>12</v>
      </c>
      <c r="I4498" t="s">
        <v>1428</v>
      </c>
    </row>
    <row r="4499" spans="1:9" hidden="1" x14ac:dyDescent="0.25">
      <c r="A4499" t="s">
        <v>3628</v>
      </c>
      <c r="B4499" t="s">
        <v>838</v>
      </c>
      <c r="C4499" s="2">
        <f>HYPERLINK("https://cao.dolgi.msk.ru/account/1083280742/", 1083280742)</f>
        <v>1083280742</v>
      </c>
      <c r="D4499" t="s">
        <v>3777</v>
      </c>
      <c r="E4499">
        <v>-6778.74</v>
      </c>
      <c r="F4499">
        <v>-1.1200000000000001</v>
      </c>
      <c r="G4499" t="s">
        <v>12</v>
      </c>
      <c r="I4499" t="s">
        <v>1428</v>
      </c>
    </row>
    <row r="4500" spans="1:9" hidden="1" x14ac:dyDescent="0.25">
      <c r="A4500" t="s">
        <v>3628</v>
      </c>
      <c r="B4500" t="s">
        <v>840</v>
      </c>
      <c r="C4500" s="2">
        <f>HYPERLINK("https://cao.dolgi.msk.ru/account/1083280769/", 1083280769)</f>
        <v>1083280769</v>
      </c>
      <c r="D4500" t="s">
        <v>3778</v>
      </c>
      <c r="E4500">
        <v>-7324.54</v>
      </c>
      <c r="F4500">
        <v>-0.78</v>
      </c>
      <c r="G4500" t="s">
        <v>12</v>
      </c>
      <c r="I4500" t="s">
        <v>1428</v>
      </c>
    </row>
    <row r="4501" spans="1:9" hidden="1" x14ac:dyDescent="0.25">
      <c r="A4501" t="s">
        <v>3628</v>
      </c>
      <c r="B4501" t="s">
        <v>842</v>
      </c>
      <c r="C4501" s="2">
        <f>HYPERLINK("https://cao.dolgi.msk.ru/account/1083280777/", 1083280777)</f>
        <v>1083280777</v>
      </c>
      <c r="D4501" t="s">
        <v>3779</v>
      </c>
      <c r="E4501">
        <v>-5720.38</v>
      </c>
      <c r="F4501">
        <v>-0.99</v>
      </c>
      <c r="G4501" t="s">
        <v>12</v>
      </c>
      <c r="I4501" t="s">
        <v>1428</v>
      </c>
    </row>
    <row r="4502" spans="1:9" hidden="1" x14ac:dyDescent="0.25">
      <c r="A4502" t="s">
        <v>3628</v>
      </c>
      <c r="B4502" t="s">
        <v>844</v>
      </c>
      <c r="C4502" s="2">
        <f>HYPERLINK("https://cao.dolgi.msk.ru/account/1083280785/", 1083280785)</f>
        <v>1083280785</v>
      </c>
      <c r="D4502" t="s">
        <v>15</v>
      </c>
      <c r="E4502">
        <v>0</v>
      </c>
      <c r="F4502">
        <v>0</v>
      </c>
      <c r="G4502" t="s">
        <v>12</v>
      </c>
      <c r="I4502" t="s">
        <v>1428</v>
      </c>
    </row>
    <row r="4503" spans="1:9" hidden="1" x14ac:dyDescent="0.25">
      <c r="A4503" t="s">
        <v>3628</v>
      </c>
      <c r="B4503" t="s">
        <v>846</v>
      </c>
      <c r="C4503" s="2">
        <f>HYPERLINK("https://cao.dolgi.msk.ru/account/1083280793/", 1083280793)</f>
        <v>1083280793</v>
      </c>
      <c r="D4503" t="s">
        <v>3780</v>
      </c>
      <c r="E4503">
        <v>-2886.98</v>
      </c>
      <c r="F4503">
        <v>-1.08</v>
      </c>
      <c r="G4503" t="s">
        <v>12</v>
      </c>
      <c r="I4503" t="s">
        <v>1428</v>
      </c>
    </row>
    <row r="4504" spans="1:9" hidden="1" x14ac:dyDescent="0.25">
      <c r="A4504" t="s">
        <v>3628</v>
      </c>
      <c r="B4504" t="s">
        <v>848</v>
      </c>
      <c r="C4504" s="2">
        <f>HYPERLINK("https://cao.dolgi.msk.ru/account/1083280806/", 1083280806)</f>
        <v>1083280806</v>
      </c>
      <c r="D4504" t="s">
        <v>3781</v>
      </c>
      <c r="E4504">
        <v>0</v>
      </c>
      <c r="F4504">
        <v>0</v>
      </c>
      <c r="G4504" t="s">
        <v>12</v>
      </c>
      <c r="I4504" t="s">
        <v>1428</v>
      </c>
    </row>
    <row r="4505" spans="1:9" hidden="1" x14ac:dyDescent="0.25">
      <c r="A4505" t="s">
        <v>3628</v>
      </c>
      <c r="B4505" t="s">
        <v>850</v>
      </c>
      <c r="C4505" s="2">
        <f>HYPERLINK("https://cao.dolgi.msk.ru/account/1083280814/", 1083280814)</f>
        <v>1083280814</v>
      </c>
      <c r="D4505" t="s">
        <v>3782</v>
      </c>
      <c r="E4505">
        <v>-5960.48</v>
      </c>
      <c r="F4505">
        <v>-0.88</v>
      </c>
      <c r="G4505" t="s">
        <v>12</v>
      </c>
      <c r="I4505" t="s">
        <v>1428</v>
      </c>
    </row>
    <row r="4506" spans="1:9" hidden="1" x14ac:dyDescent="0.25">
      <c r="A4506" t="s">
        <v>3628</v>
      </c>
      <c r="B4506" t="s">
        <v>852</v>
      </c>
      <c r="C4506" s="2">
        <f>HYPERLINK("https://cao.dolgi.msk.ru/account/1083280822/", 1083280822)</f>
        <v>1083280822</v>
      </c>
      <c r="D4506" t="s">
        <v>3783</v>
      </c>
      <c r="E4506">
        <v>-10763.1</v>
      </c>
      <c r="F4506">
        <v>-1.33</v>
      </c>
      <c r="G4506" t="s">
        <v>12</v>
      </c>
      <c r="I4506" t="s">
        <v>1428</v>
      </c>
    </row>
    <row r="4507" spans="1:9" x14ac:dyDescent="0.25">
      <c r="A4507" t="s">
        <v>3628</v>
      </c>
      <c r="B4507" t="s">
        <v>854</v>
      </c>
      <c r="C4507" s="2">
        <f>HYPERLINK("https://cao.dolgi.msk.ru/account/1083280849/", 1083280849)</f>
        <v>1083280849</v>
      </c>
      <c r="D4507" t="s">
        <v>3784</v>
      </c>
      <c r="E4507">
        <v>11375.38</v>
      </c>
      <c r="F4507">
        <v>1.87</v>
      </c>
      <c r="G4507" t="s">
        <v>12</v>
      </c>
      <c r="I4507" t="s">
        <v>1428</v>
      </c>
    </row>
    <row r="4508" spans="1:9" hidden="1" x14ac:dyDescent="0.25">
      <c r="A4508" t="s">
        <v>3628</v>
      </c>
      <c r="B4508" t="s">
        <v>856</v>
      </c>
      <c r="C4508" s="2">
        <f>HYPERLINK("https://cao.dolgi.msk.ru/account/1083280857/", 1083280857)</f>
        <v>1083280857</v>
      </c>
      <c r="D4508" t="s">
        <v>3785</v>
      </c>
      <c r="E4508">
        <v>-6277.42</v>
      </c>
      <c r="F4508">
        <v>-1.02</v>
      </c>
      <c r="G4508" t="s">
        <v>12</v>
      </c>
      <c r="I4508" t="s">
        <v>1428</v>
      </c>
    </row>
    <row r="4509" spans="1:9" hidden="1" x14ac:dyDescent="0.25">
      <c r="A4509" t="s">
        <v>3628</v>
      </c>
      <c r="B4509" t="s">
        <v>858</v>
      </c>
      <c r="C4509" s="2">
        <f>HYPERLINK("https://cao.dolgi.msk.ru/account/1083280865/", 1083280865)</f>
        <v>1083280865</v>
      </c>
      <c r="D4509" t="s">
        <v>3786</v>
      </c>
      <c r="E4509">
        <v>-9654.89</v>
      </c>
      <c r="F4509">
        <v>-1.02</v>
      </c>
      <c r="G4509" t="s">
        <v>12</v>
      </c>
      <c r="I4509" t="s">
        <v>1428</v>
      </c>
    </row>
    <row r="4510" spans="1:9" hidden="1" x14ac:dyDescent="0.25">
      <c r="A4510" t="s">
        <v>3628</v>
      </c>
      <c r="B4510" t="s">
        <v>860</v>
      </c>
      <c r="C4510" s="2">
        <f>HYPERLINK("https://cao.dolgi.msk.ru/account/1083280873/", 1083280873)</f>
        <v>1083280873</v>
      </c>
      <c r="D4510" t="s">
        <v>3787</v>
      </c>
      <c r="E4510">
        <v>1151.3900000000001</v>
      </c>
      <c r="F4510">
        <v>0.17</v>
      </c>
      <c r="G4510" t="s">
        <v>12</v>
      </c>
      <c r="I4510" t="s">
        <v>1428</v>
      </c>
    </row>
    <row r="4511" spans="1:9" hidden="1" x14ac:dyDescent="0.25">
      <c r="A4511" t="s">
        <v>3628</v>
      </c>
      <c r="B4511" t="s">
        <v>862</v>
      </c>
      <c r="C4511" s="2">
        <f>HYPERLINK("https://cao.dolgi.msk.ru/account/1083280881/", 1083280881)</f>
        <v>1083280881</v>
      </c>
      <c r="D4511" t="s">
        <v>3788</v>
      </c>
      <c r="E4511">
        <v>-3761.49</v>
      </c>
      <c r="F4511">
        <v>-0.99</v>
      </c>
      <c r="G4511" t="s">
        <v>12</v>
      </c>
      <c r="I4511" t="s">
        <v>1428</v>
      </c>
    </row>
    <row r="4512" spans="1:9" hidden="1" x14ac:dyDescent="0.25">
      <c r="A4512" t="s">
        <v>3628</v>
      </c>
      <c r="B4512" t="s">
        <v>864</v>
      </c>
      <c r="C4512" s="2">
        <f>HYPERLINK("https://cao.dolgi.msk.ru/account/1083280902/", 1083280902)</f>
        <v>1083280902</v>
      </c>
      <c r="D4512" t="s">
        <v>3789</v>
      </c>
      <c r="E4512">
        <v>-1328.36</v>
      </c>
      <c r="F4512">
        <v>-0.25</v>
      </c>
      <c r="G4512" t="s">
        <v>12</v>
      </c>
      <c r="I4512" t="s">
        <v>1428</v>
      </c>
    </row>
    <row r="4513" spans="1:9" x14ac:dyDescent="0.25">
      <c r="A4513" t="s">
        <v>3628</v>
      </c>
      <c r="B4513" t="s">
        <v>866</v>
      </c>
      <c r="C4513" s="2">
        <f>HYPERLINK("https://cao.dolgi.msk.ru/account/1083280929/", 1083280929)</f>
        <v>1083280929</v>
      </c>
      <c r="D4513" t="s">
        <v>3790</v>
      </c>
      <c r="E4513">
        <v>69939.48</v>
      </c>
      <c r="F4513">
        <v>5.08</v>
      </c>
      <c r="G4513" t="s">
        <v>12</v>
      </c>
      <c r="I4513" t="s">
        <v>1428</v>
      </c>
    </row>
    <row r="4514" spans="1:9" hidden="1" x14ac:dyDescent="0.25">
      <c r="A4514" t="s">
        <v>3628</v>
      </c>
      <c r="B4514" t="s">
        <v>868</v>
      </c>
      <c r="C4514" s="2">
        <f>HYPERLINK("https://cao.dolgi.msk.ru/account/1083280937/", 1083280937)</f>
        <v>1083280937</v>
      </c>
      <c r="D4514" t="s">
        <v>3791</v>
      </c>
      <c r="E4514">
        <v>-4352.72</v>
      </c>
      <c r="F4514">
        <v>-1.01</v>
      </c>
      <c r="G4514" t="s">
        <v>12</v>
      </c>
      <c r="I4514" t="s">
        <v>1428</v>
      </c>
    </row>
    <row r="4515" spans="1:9" x14ac:dyDescent="0.25">
      <c r="A4515" t="s">
        <v>3628</v>
      </c>
      <c r="B4515" t="s">
        <v>870</v>
      </c>
      <c r="C4515" s="2">
        <f>HYPERLINK("https://cao.dolgi.msk.ru/account/1083280945/", 1083280945)</f>
        <v>1083280945</v>
      </c>
      <c r="D4515" t="s">
        <v>15</v>
      </c>
      <c r="E4515">
        <v>88506.58</v>
      </c>
      <c r="F4515">
        <v>25.17</v>
      </c>
      <c r="G4515" t="s">
        <v>12</v>
      </c>
      <c r="I4515" t="s">
        <v>1428</v>
      </c>
    </row>
    <row r="4516" spans="1:9" hidden="1" x14ac:dyDescent="0.25">
      <c r="A4516" t="s">
        <v>3628</v>
      </c>
      <c r="B4516" t="s">
        <v>872</v>
      </c>
      <c r="C4516" s="2">
        <f>HYPERLINK("https://cao.dolgi.msk.ru/account/1083280953/", 1083280953)</f>
        <v>1083280953</v>
      </c>
      <c r="D4516" t="s">
        <v>3792</v>
      </c>
      <c r="E4516">
        <v>-1695.64</v>
      </c>
      <c r="F4516">
        <v>-0.22</v>
      </c>
      <c r="G4516" t="s">
        <v>12</v>
      </c>
      <c r="I4516" t="s">
        <v>1428</v>
      </c>
    </row>
    <row r="4517" spans="1:9" hidden="1" x14ac:dyDescent="0.25">
      <c r="A4517" t="s">
        <v>3628</v>
      </c>
      <c r="B4517" t="s">
        <v>874</v>
      </c>
      <c r="C4517" s="2">
        <f>HYPERLINK("https://cao.dolgi.msk.ru/account/1083280961/", 1083280961)</f>
        <v>1083280961</v>
      </c>
      <c r="D4517" t="s">
        <v>3793</v>
      </c>
      <c r="E4517">
        <v>-8681.11</v>
      </c>
      <c r="F4517">
        <v>-1.05</v>
      </c>
      <c r="G4517" t="s">
        <v>12</v>
      </c>
      <c r="I4517" t="s">
        <v>1428</v>
      </c>
    </row>
    <row r="4518" spans="1:9" hidden="1" x14ac:dyDescent="0.25">
      <c r="A4518" t="s">
        <v>3628</v>
      </c>
      <c r="B4518" t="s">
        <v>875</v>
      </c>
      <c r="C4518" s="2">
        <f>HYPERLINK("https://cao.dolgi.msk.ru/account/1083280988/", 1083280988)</f>
        <v>1083280988</v>
      </c>
      <c r="D4518" t="s">
        <v>3794</v>
      </c>
      <c r="E4518">
        <v>-5028.2</v>
      </c>
      <c r="F4518">
        <v>-1.03</v>
      </c>
      <c r="G4518" t="s">
        <v>12</v>
      </c>
      <c r="I4518" t="s">
        <v>1428</v>
      </c>
    </row>
    <row r="4519" spans="1:9" hidden="1" x14ac:dyDescent="0.25">
      <c r="A4519" t="s">
        <v>3628</v>
      </c>
      <c r="B4519" t="s">
        <v>877</v>
      </c>
      <c r="C4519" s="2">
        <f>HYPERLINK("https://cao.dolgi.msk.ru/account/1083280996/", 1083280996)</f>
        <v>1083280996</v>
      </c>
      <c r="D4519" t="s">
        <v>3795</v>
      </c>
      <c r="E4519">
        <v>-6624.72</v>
      </c>
      <c r="F4519">
        <v>-1.07</v>
      </c>
      <c r="G4519" t="s">
        <v>12</v>
      </c>
      <c r="I4519" t="s">
        <v>1428</v>
      </c>
    </row>
    <row r="4520" spans="1:9" hidden="1" x14ac:dyDescent="0.25">
      <c r="A4520" t="s">
        <v>3628</v>
      </c>
      <c r="B4520" t="s">
        <v>879</v>
      </c>
      <c r="C4520" s="2">
        <f>HYPERLINK("https://cao.dolgi.msk.ru/account/1083281008/", 1083281008)</f>
        <v>1083281008</v>
      </c>
      <c r="D4520" t="s">
        <v>3796</v>
      </c>
      <c r="E4520">
        <v>-8616.92</v>
      </c>
      <c r="F4520">
        <v>-1.03</v>
      </c>
      <c r="G4520" t="s">
        <v>12</v>
      </c>
      <c r="I4520" t="s">
        <v>1428</v>
      </c>
    </row>
    <row r="4521" spans="1:9" hidden="1" x14ac:dyDescent="0.25">
      <c r="A4521" t="s">
        <v>3628</v>
      </c>
      <c r="B4521" t="s">
        <v>881</v>
      </c>
      <c r="C4521" s="2">
        <f>HYPERLINK("https://cao.dolgi.msk.ru/account/1083281016/", 1083281016)</f>
        <v>1083281016</v>
      </c>
      <c r="D4521" t="s">
        <v>3797</v>
      </c>
      <c r="E4521">
        <v>-6140.59</v>
      </c>
      <c r="F4521">
        <v>-1.01</v>
      </c>
      <c r="G4521" t="s">
        <v>12</v>
      </c>
      <c r="I4521" t="s">
        <v>1428</v>
      </c>
    </row>
    <row r="4522" spans="1:9" hidden="1" x14ac:dyDescent="0.25">
      <c r="A4522" t="s">
        <v>3628</v>
      </c>
      <c r="B4522" t="s">
        <v>883</v>
      </c>
      <c r="C4522" s="2">
        <f>HYPERLINK("https://cao.dolgi.msk.ru/account/1083281024/", 1083281024)</f>
        <v>1083281024</v>
      </c>
      <c r="D4522" t="s">
        <v>3798</v>
      </c>
      <c r="E4522">
        <v>-4601.9799999999996</v>
      </c>
      <c r="F4522">
        <v>-1.03</v>
      </c>
      <c r="G4522" t="s">
        <v>12</v>
      </c>
      <c r="I4522" t="s">
        <v>1428</v>
      </c>
    </row>
    <row r="4523" spans="1:9" x14ac:dyDescent="0.25">
      <c r="A4523" t="s">
        <v>3628</v>
      </c>
      <c r="B4523" t="s">
        <v>3443</v>
      </c>
      <c r="C4523" s="2">
        <f>HYPERLINK("https://cao.dolgi.msk.ru/account/1083281032/", 1083281032)</f>
        <v>1083281032</v>
      </c>
      <c r="D4523" t="s">
        <v>3799</v>
      </c>
      <c r="E4523">
        <v>8658.5</v>
      </c>
      <c r="F4523">
        <v>1.17</v>
      </c>
      <c r="G4523" t="s">
        <v>12</v>
      </c>
      <c r="I4523" t="s">
        <v>1428</v>
      </c>
    </row>
    <row r="4524" spans="1:9" hidden="1" x14ac:dyDescent="0.25">
      <c r="A4524" t="s">
        <v>3628</v>
      </c>
      <c r="B4524" t="s">
        <v>3445</v>
      </c>
      <c r="C4524" s="2">
        <f>HYPERLINK("https://cao.dolgi.msk.ru/account/1083281059/", 1083281059)</f>
        <v>1083281059</v>
      </c>
      <c r="D4524" t="s">
        <v>3800</v>
      </c>
      <c r="E4524">
        <v>-8.14</v>
      </c>
      <c r="F4524">
        <v>0</v>
      </c>
      <c r="G4524" t="s">
        <v>12</v>
      </c>
      <c r="I4524" t="s">
        <v>1428</v>
      </c>
    </row>
    <row r="4525" spans="1:9" hidden="1" x14ac:dyDescent="0.25">
      <c r="A4525" t="s">
        <v>3628</v>
      </c>
      <c r="B4525" t="s">
        <v>3447</v>
      </c>
      <c r="C4525" s="2">
        <f>HYPERLINK("https://cao.dolgi.msk.ru/account/1083281067/", 1083281067)</f>
        <v>1083281067</v>
      </c>
      <c r="D4525" t="s">
        <v>3801</v>
      </c>
      <c r="E4525">
        <v>0.83</v>
      </c>
      <c r="F4525">
        <v>0</v>
      </c>
      <c r="G4525" t="s">
        <v>12</v>
      </c>
      <c r="I4525" t="s">
        <v>1428</v>
      </c>
    </row>
    <row r="4526" spans="1:9" hidden="1" x14ac:dyDescent="0.25">
      <c r="A4526" t="s">
        <v>3628</v>
      </c>
      <c r="B4526" t="s">
        <v>3449</v>
      </c>
      <c r="C4526" s="2">
        <f>HYPERLINK("https://cao.dolgi.msk.ru/account/1083281075/", 1083281075)</f>
        <v>1083281075</v>
      </c>
      <c r="D4526" t="s">
        <v>3802</v>
      </c>
      <c r="E4526">
        <v>0.83</v>
      </c>
      <c r="F4526">
        <v>0</v>
      </c>
      <c r="G4526" t="s">
        <v>12</v>
      </c>
      <c r="I4526" t="s">
        <v>1428</v>
      </c>
    </row>
    <row r="4527" spans="1:9" hidden="1" x14ac:dyDescent="0.25">
      <c r="A4527" t="s">
        <v>3628</v>
      </c>
      <c r="B4527" t="s">
        <v>3451</v>
      </c>
      <c r="C4527" s="2">
        <f>HYPERLINK("https://cao.dolgi.msk.ru/account/1083281083/", 1083281083)</f>
        <v>1083281083</v>
      </c>
      <c r="D4527" t="s">
        <v>15</v>
      </c>
      <c r="E4527">
        <v>0.83</v>
      </c>
      <c r="F4527">
        <v>0</v>
      </c>
      <c r="G4527" t="s">
        <v>12</v>
      </c>
      <c r="I4527" t="s">
        <v>1428</v>
      </c>
    </row>
    <row r="4528" spans="1:9" hidden="1" x14ac:dyDescent="0.25">
      <c r="A4528" t="s">
        <v>3628</v>
      </c>
      <c r="B4528" t="s">
        <v>3452</v>
      </c>
      <c r="C4528" s="2">
        <f>HYPERLINK("https://cao.dolgi.msk.ru/account/1083281091/", 1083281091)</f>
        <v>1083281091</v>
      </c>
      <c r="D4528" t="s">
        <v>3803</v>
      </c>
      <c r="E4528">
        <v>0.83</v>
      </c>
      <c r="F4528">
        <v>0</v>
      </c>
      <c r="G4528" t="s">
        <v>12</v>
      </c>
      <c r="I4528" t="s">
        <v>1428</v>
      </c>
    </row>
    <row r="4529" spans="1:9" hidden="1" x14ac:dyDescent="0.25">
      <c r="A4529" t="s">
        <v>3628</v>
      </c>
      <c r="B4529" t="s">
        <v>3454</v>
      </c>
      <c r="C4529" s="2">
        <f>HYPERLINK("https://cao.dolgi.msk.ru/account/1083281104/", 1083281104)</f>
        <v>1083281104</v>
      </c>
      <c r="D4529" t="s">
        <v>15</v>
      </c>
      <c r="E4529">
        <v>460.5</v>
      </c>
      <c r="G4529" t="s">
        <v>14</v>
      </c>
      <c r="I4529" t="s">
        <v>1428</v>
      </c>
    </row>
    <row r="4530" spans="1:9" hidden="1" x14ac:dyDescent="0.25">
      <c r="A4530" t="s">
        <v>3628</v>
      </c>
      <c r="B4530" t="s">
        <v>3454</v>
      </c>
      <c r="C4530" s="2">
        <f>HYPERLINK("https://cao.dolgi.msk.ru/account/1083281796/", 1083281796)</f>
        <v>1083281796</v>
      </c>
      <c r="D4530" t="s">
        <v>15</v>
      </c>
      <c r="E4530">
        <v>-3815.5</v>
      </c>
      <c r="F4530">
        <v>-1.1100000000000001</v>
      </c>
      <c r="G4530" t="s">
        <v>12</v>
      </c>
      <c r="I4530" t="s">
        <v>1428</v>
      </c>
    </row>
    <row r="4531" spans="1:9" hidden="1" x14ac:dyDescent="0.25">
      <c r="A4531" t="s">
        <v>3628</v>
      </c>
      <c r="B4531" t="s">
        <v>3456</v>
      </c>
      <c r="C4531" s="2">
        <f>HYPERLINK("https://cao.dolgi.msk.ru/account/1083281112/", 1083281112)</f>
        <v>1083281112</v>
      </c>
      <c r="D4531" t="s">
        <v>3804</v>
      </c>
      <c r="E4531">
        <v>-2576.62</v>
      </c>
      <c r="F4531">
        <v>-0.97</v>
      </c>
      <c r="G4531" t="s">
        <v>12</v>
      </c>
      <c r="I4531" t="s">
        <v>1428</v>
      </c>
    </row>
    <row r="4532" spans="1:9" x14ac:dyDescent="0.25">
      <c r="A4532" t="s">
        <v>3628</v>
      </c>
      <c r="B4532" t="s">
        <v>3458</v>
      </c>
      <c r="C4532" s="2">
        <f>HYPERLINK("https://cao.dolgi.msk.ru/account/1083281139/", 1083281139)</f>
        <v>1083281139</v>
      </c>
      <c r="D4532" t="s">
        <v>3805</v>
      </c>
      <c r="E4532">
        <v>10199.049999999999</v>
      </c>
      <c r="F4532">
        <v>1.79</v>
      </c>
      <c r="G4532" t="s">
        <v>12</v>
      </c>
      <c r="I4532" t="s">
        <v>1428</v>
      </c>
    </row>
    <row r="4533" spans="1:9" hidden="1" x14ac:dyDescent="0.25">
      <c r="A4533" t="s">
        <v>3628</v>
      </c>
      <c r="B4533" t="s">
        <v>3460</v>
      </c>
      <c r="C4533" s="2">
        <f>HYPERLINK("https://cao.dolgi.msk.ru/account/1083281147/", 1083281147)</f>
        <v>1083281147</v>
      </c>
      <c r="D4533" t="s">
        <v>3806</v>
      </c>
      <c r="E4533">
        <v>-7982.71</v>
      </c>
      <c r="F4533">
        <v>-1.44</v>
      </c>
      <c r="G4533" t="s">
        <v>12</v>
      </c>
      <c r="I4533" t="s">
        <v>1428</v>
      </c>
    </row>
    <row r="4534" spans="1:9" hidden="1" x14ac:dyDescent="0.25">
      <c r="A4534" t="s">
        <v>3628</v>
      </c>
      <c r="B4534" t="s">
        <v>3462</v>
      </c>
      <c r="C4534" s="2">
        <f>HYPERLINK("https://cao.dolgi.msk.ru/account/1083281155/", 1083281155)</f>
        <v>1083281155</v>
      </c>
      <c r="D4534" t="s">
        <v>3807</v>
      </c>
      <c r="E4534">
        <v>-5936.06</v>
      </c>
      <c r="F4534">
        <v>-1.06</v>
      </c>
      <c r="G4534" t="s">
        <v>12</v>
      </c>
      <c r="I4534" t="s">
        <v>1428</v>
      </c>
    </row>
    <row r="4535" spans="1:9" hidden="1" x14ac:dyDescent="0.25">
      <c r="A4535" t="s">
        <v>3628</v>
      </c>
      <c r="B4535" t="s">
        <v>3463</v>
      </c>
      <c r="C4535" s="2">
        <f>HYPERLINK("https://cao.dolgi.msk.ru/account/1083281163/", 1083281163)</f>
        <v>1083281163</v>
      </c>
      <c r="D4535" t="s">
        <v>3808</v>
      </c>
      <c r="E4535">
        <v>-1737.33</v>
      </c>
      <c r="F4535">
        <v>-0.95</v>
      </c>
      <c r="G4535" t="s">
        <v>12</v>
      </c>
      <c r="I4535" t="s">
        <v>1428</v>
      </c>
    </row>
    <row r="4536" spans="1:9" hidden="1" x14ac:dyDescent="0.25">
      <c r="A4536" t="s">
        <v>3628</v>
      </c>
      <c r="B4536" t="s">
        <v>3463</v>
      </c>
      <c r="C4536" s="2">
        <f>HYPERLINK("https://cao.dolgi.msk.ru/account/1083281761/", 1083281761)</f>
        <v>1083281761</v>
      </c>
      <c r="D4536" t="s">
        <v>3808</v>
      </c>
      <c r="E4536">
        <v>-1105.6199999999999</v>
      </c>
      <c r="F4536">
        <v>-1.57</v>
      </c>
      <c r="G4536" t="s">
        <v>12</v>
      </c>
      <c r="I4536" t="s">
        <v>1428</v>
      </c>
    </row>
    <row r="4537" spans="1:9" hidden="1" x14ac:dyDescent="0.25">
      <c r="A4537" t="s">
        <v>3628</v>
      </c>
      <c r="B4537" t="s">
        <v>3463</v>
      </c>
      <c r="C4537" s="2">
        <f>HYPERLINK("https://cao.dolgi.msk.ru/account/1083281788/", 1083281788)</f>
        <v>1083281788</v>
      </c>
      <c r="D4537" t="s">
        <v>3808</v>
      </c>
      <c r="E4537">
        <v>-1105.6199999999999</v>
      </c>
      <c r="F4537">
        <v>-1.57</v>
      </c>
      <c r="G4537" t="s">
        <v>12</v>
      </c>
      <c r="I4537" t="s">
        <v>1428</v>
      </c>
    </row>
    <row r="4538" spans="1:9" hidden="1" x14ac:dyDescent="0.25">
      <c r="A4538" t="s">
        <v>3628</v>
      </c>
      <c r="B4538" t="s">
        <v>1791</v>
      </c>
      <c r="C4538" s="2">
        <f>HYPERLINK("https://cao.dolgi.msk.ru/account/1083281171/", 1083281171)</f>
        <v>1083281171</v>
      </c>
      <c r="D4538" t="s">
        <v>3809</v>
      </c>
      <c r="E4538">
        <v>-5242.5</v>
      </c>
      <c r="F4538">
        <v>-1.04</v>
      </c>
      <c r="G4538" t="s">
        <v>12</v>
      </c>
      <c r="I4538" t="s">
        <v>1428</v>
      </c>
    </row>
    <row r="4539" spans="1:9" hidden="1" x14ac:dyDescent="0.25">
      <c r="A4539" t="s">
        <v>3628</v>
      </c>
      <c r="B4539" t="s">
        <v>3466</v>
      </c>
      <c r="C4539" s="2">
        <f>HYPERLINK("https://cao.dolgi.msk.ru/account/1083281198/", 1083281198)</f>
        <v>1083281198</v>
      </c>
      <c r="D4539" t="s">
        <v>3810</v>
      </c>
      <c r="E4539">
        <v>-5478.51</v>
      </c>
      <c r="F4539">
        <v>-1.04</v>
      </c>
      <c r="G4539" t="s">
        <v>12</v>
      </c>
      <c r="I4539" t="s">
        <v>1428</v>
      </c>
    </row>
    <row r="4540" spans="1:9" x14ac:dyDescent="0.25">
      <c r="A4540" t="s">
        <v>3628</v>
      </c>
      <c r="B4540" t="s">
        <v>1792</v>
      </c>
      <c r="C4540" s="2">
        <f>HYPERLINK("https://cao.dolgi.msk.ru/account/1083281219/", 1083281219)</f>
        <v>1083281219</v>
      </c>
      <c r="D4540" t="s">
        <v>3811</v>
      </c>
      <c r="E4540">
        <v>149907.20000000001</v>
      </c>
      <c r="F4540">
        <v>9.9600000000000009</v>
      </c>
      <c r="G4540" t="s">
        <v>12</v>
      </c>
      <c r="I4540" t="s">
        <v>1428</v>
      </c>
    </row>
    <row r="4541" spans="1:9" hidden="1" x14ac:dyDescent="0.25">
      <c r="A4541" t="s">
        <v>3628</v>
      </c>
      <c r="B4541" t="s">
        <v>3469</v>
      </c>
      <c r="C4541" s="2">
        <f>HYPERLINK("https://cao.dolgi.msk.ru/account/1083281227/", 1083281227)</f>
        <v>1083281227</v>
      </c>
      <c r="D4541" t="s">
        <v>3812</v>
      </c>
      <c r="E4541">
        <v>-4623.3100000000004</v>
      </c>
      <c r="F4541">
        <v>-1.02</v>
      </c>
      <c r="G4541" t="s">
        <v>12</v>
      </c>
      <c r="I4541" t="s">
        <v>1428</v>
      </c>
    </row>
    <row r="4542" spans="1:9" hidden="1" x14ac:dyDescent="0.25">
      <c r="A4542" t="s">
        <v>3628</v>
      </c>
      <c r="B4542" t="s">
        <v>1793</v>
      </c>
      <c r="C4542" s="2">
        <f>HYPERLINK("https://cao.dolgi.msk.ru/account/1083281235/", 1083281235)</f>
        <v>1083281235</v>
      </c>
      <c r="D4542" t="s">
        <v>3813</v>
      </c>
      <c r="E4542">
        <v>-4662.78</v>
      </c>
      <c r="F4542">
        <v>-1.06</v>
      </c>
      <c r="G4542" t="s">
        <v>12</v>
      </c>
      <c r="I4542" t="s">
        <v>1428</v>
      </c>
    </row>
    <row r="4543" spans="1:9" hidden="1" x14ac:dyDescent="0.25">
      <c r="A4543" t="s">
        <v>3628</v>
      </c>
      <c r="B4543" t="s">
        <v>3472</v>
      </c>
      <c r="C4543" s="2">
        <f>HYPERLINK("https://cao.dolgi.msk.ru/account/1083281243/", 1083281243)</f>
        <v>1083281243</v>
      </c>
      <c r="D4543" t="s">
        <v>3814</v>
      </c>
      <c r="E4543">
        <v>-2186.33</v>
      </c>
      <c r="F4543">
        <v>-1.08</v>
      </c>
      <c r="G4543" t="s">
        <v>12</v>
      </c>
      <c r="I4543" t="s">
        <v>1428</v>
      </c>
    </row>
    <row r="4544" spans="1:9" hidden="1" x14ac:dyDescent="0.25">
      <c r="A4544" t="s">
        <v>3628</v>
      </c>
      <c r="B4544" t="s">
        <v>3472</v>
      </c>
      <c r="C4544" s="2">
        <f>HYPERLINK("https://cao.dolgi.msk.ru/account/1083281809/", 1083281809)</f>
        <v>1083281809</v>
      </c>
      <c r="D4544" t="s">
        <v>3814</v>
      </c>
      <c r="E4544">
        <v>-2281.13</v>
      </c>
      <c r="F4544">
        <v>-1.29</v>
      </c>
      <c r="G4544" t="s">
        <v>12</v>
      </c>
      <c r="I4544" t="s">
        <v>1428</v>
      </c>
    </row>
    <row r="4545" spans="1:9" hidden="1" x14ac:dyDescent="0.25">
      <c r="A4545" t="s">
        <v>3628</v>
      </c>
      <c r="B4545" t="s">
        <v>3474</v>
      </c>
      <c r="C4545" s="2">
        <f>HYPERLINK("https://cao.dolgi.msk.ru/account/1083281251/", 1083281251)</f>
        <v>1083281251</v>
      </c>
      <c r="D4545" t="s">
        <v>3815</v>
      </c>
      <c r="E4545">
        <v>-7919.32</v>
      </c>
      <c r="F4545">
        <v>-0.98</v>
      </c>
      <c r="G4545" t="s">
        <v>12</v>
      </c>
      <c r="I4545" t="s">
        <v>1428</v>
      </c>
    </row>
    <row r="4546" spans="1:9" hidden="1" x14ac:dyDescent="0.25">
      <c r="A4546" t="s">
        <v>3628</v>
      </c>
      <c r="B4546" t="s">
        <v>1794</v>
      </c>
      <c r="C4546" s="2">
        <f>HYPERLINK("https://cao.dolgi.msk.ru/account/1083281278/", 1083281278)</f>
        <v>1083281278</v>
      </c>
      <c r="D4546" t="s">
        <v>3816</v>
      </c>
      <c r="E4546">
        <v>-4579.78</v>
      </c>
      <c r="F4546">
        <v>-1.08</v>
      </c>
      <c r="G4546" t="s">
        <v>12</v>
      </c>
      <c r="I4546" t="s">
        <v>1428</v>
      </c>
    </row>
    <row r="4547" spans="1:9" hidden="1" x14ac:dyDescent="0.25">
      <c r="A4547" t="s">
        <v>3628</v>
      </c>
      <c r="B4547" t="s">
        <v>3477</v>
      </c>
      <c r="C4547" s="2">
        <f>HYPERLINK("https://cao.dolgi.msk.ru/account/1083281286/", 1083281286)</f>
        <v>1083281286</v>
      </c>
      <c r="D4547" t="s">
        <v>3817</v>
      </c>
      <c r="E4547">
        <v>-7864.66</v>
      </c>
      <c r="F4547">
        <v>-1.03</v>
      </c>
      <c r="G4547" t="s">
        <v>12</v>
      </c>
      <c r="I4547" t="s">
        <v>1428</v>
      </c>
    </row>
    <row r="4548" spans="1:9" hidden="1" x14ac:dyDescent="0.25">
      <c r="A4548" t="s">
        <v>3628</v>
      </c>
      <c r="B4548" t="s">
        <v>1795</v>
      </c>
      <c r="C4548" s="2">
        <f>HYPERLINK("https://cao.dolgi.msk.ru/account/1083281294/", 1083281294)</f>
        <v>1083281294</v>
      </c>
      <c r="D4548" t="s">
        <v>3818</v>
      </c>
      <c r="E4548">
        <v>-7898.11</v>
      </c>
      <c r="F4548">
        <v>-1.01</v>
      </c>
      <c r="G4548" t="s">
        <v>12</v>
      </c>
      <c r="I4548" t="s">
        <v>1428</v>
      </c>
    </row>
    <row r="4549" spans="1:9" hidden="1" x14ac:dyDescent="0.25">
      <c r="A4549" t="s">
        <v>3628</v>
      </c>
      <c r="B4549" t="s">
        <v>3480</v>
      </c>
      <c r="C4549" s="2">
        <f>HYPERLINK("https://cao.dolgi.msk.ru/account/1083281307/", 1083281307)</f>
        <v>1083281307</v>
      </c>
      <c r="D4549" t="s">
        <v>3819</v>
      </c>
      <c r="E4549">
        <v>-9467.75</v>
      </c>
      <c r="F4549">
        <v>-1.03</v>
      </c>
      <c r="G4549" t="s">
        <v>12</v>
      </c>
      <c r="I4549" t="s">
        <v>1428</v>
      </c>
    </row>
    <row r="4550" spans="1:9" hidden="1" x14ac:dyDescent="0.25">
      <c r="A4550" t="s">
        <v>3628</v>
      </c>
      <c r="B4550" t="s">
        <v>1797</v>
      </c>
      <c r="C4550" s="2">
        <f>HYPERLINK("https://cao.dolgi.msk.ru/account/1083281315/", 1083281315)</f>
        <v>1083281315</v>
      </c>
      <c r="D4550" t="s">
        <v>15</v>
      </c>
      <c r="E4550">
        <v>-277.52</v>
      </c>
      <c r="F4550">
        <v>-0.06</v>
      </c>
      <c r="G4550" t="s">
        <v>12</v>
      </c>
      <c r="I4550" t="s">
        <v>1428</v>
      </c>
    </row>
    <row r="4551" spans="1:9" hidden="1" x14ac:dyDescent="0.25">
      <c r="A4551" t="s">
        <v>3628</v>
      </c>
      <c r="B4551" t="s">
        <v>1798</v>
      </c>
      <c r="C4551" s="2">
        <f>HYPERLINK("https://cao.dolgi.msk.ru/account/1083281323/", 1083281323)</f>
        <v>1083281323</v>
      </c>
      <c r="D4551" t="s">
        <v>3820</v>
      </c>
      <c r="E4551">
        <v>-10232.02</v>
      </c>
      <c r="F4551">
        <v>-1.05</v>
      </c>
      <c r="G4551" t="s">
        <v>12</v>
      </c>
      <c r="I4551" t="s">
        <v>1428</v>
      </c>
    </row>
    <row r="4552" spans="1:9" hidden="1" x14ac:dyDescent="0.25">
      <c r="A4552" t="s">
        <v>3628</v>
      </c>
      <c r="B4552" t="s">
        <v>1800</v>
      </c>
      <c r="C4552" s="2">
        <f>HYPERLINK("https://cao.dolgi.msk.ru/account/1083281331/", 1083281331)</f>
        <v>1083281331</v>
      </c>
      <c r="D4552" t="s">
        <v>3821</v>
      </c>
      <c r="E4552">
        <v>-7465.64</v>
      </c>
      <c r="F4552">
        <v>-1.02</v>
      </c>
      <c r="G4552" t="s">
        <v>12</v>
      </c>
      <c r="I4552" t="s">
        <v>1428</v>
      </c>
    </row>
    <row r="4553" spans="1:9" hidden="1" x14ac:dyDescent="0.25">
      <c r="A4553" t="s">
        <v>3628</v>
      </c>
      <c r="B4553" t="s">
        <v>3484</v>
      </c>
      <c r="C4553" s="2">
        <f>HYPERLINK("https://cao.dolgi.msk.ru/account/1083281358/", 1083281358)</f>
        <v>1083281358</v>
      </c>
      <c r="D4553" t="s">
        <v>3822</v>
      </c>
      <c r="E4553">
        <v>-5154.76</v>
      </c>
      <c r="F4553">
        <v>-0.92</v>
      </c>
      <c r="G4553" t="s">
        <v>12</v>
      </c>
      <c r="I4553" t="s">
        <v>1428</v>
      </c>
    </row>
    <row r="4554" spans="1:9" hidden="1" x14ac:dyDescent="0.25">
      <c r="A4554" t="s">
        <v>3628</v>
      </c>
      <c r="B4554" t="s">
        <v>3486</v>
      </c>
      <c r="C4554" s="2">
        <f>HYPERLINK("https://cao.dolgi.msk.ru/account/1083281366/", 1083281366)</f>
        <v>1083281366</v>
      </c>
      <c r="D4554" t="s">
        <v>3823</v>
      </c>
      <c r="E4554">
        <v>-5208.2299999999996</v>
      </c>
      <c r="F4554">
        <v>-1</v>
      </c>
      <c r="G4554" t="s">
        <v>12</v>
      </c>
      <c r="I4554" t="s">
        <v>1428</v>
      </c>
    </row>
    <row r="4555" spans="1:9" hidden="1" x14ac:dyDescent="0.25">
      <c r="A4555" t="s">
        <v>3628</v>
      </c>
      <c r="B4555" t="s">
        <v>3488</v>
      </c>
      <c r="C4555" s="2">
        <f>HYPERLINK("https://cao.dolgi.msk.ru/account/1083281374/", 1083281374)</f>
        <v>1083281374</v>
      </c>
      <c r="D4555" t="s">
        <v>3824</v>
      </c>
      <c r="E4555">
        <v>-6031.95</v>
      </c>
      <c r="F4555">
        <v>-1.1299999999999999</v>
      </c>
      <c r="G4555" t="s">
        <v>12</v>
      </c>
      <c r="I4555" t="s">
        <v>1428</v>
      </c>
    </row>
    <row r="4556" spans="1:9" hidden="1" x14ac:dyDescent="0.25">
      <c r="A4556" t="s">
        <v>3628</v>
      </c>
      <c r="B4556" t="s">
        <v>1802</v>
      </c>
      <c r="C4556" s="2">
        <f>HYPERLINK("https://cao.dolgi.msk.ru/account/1083281382/", 1083281382)</f>
        <v>1083281382</v>
      </c>
      <c r="D4556" t="s">
        <v>3825</v>
      </c>
      <c r="E4556">
        <v>-5814.72</v>
      </c>
      <c r="F4556">
        <v>-1.04</v>
      </c>
      <c r="G4556" t="s">
        <v>12</v>
      </c>
      <c r="I4556" t="s">
        <v>1428</v>
      </c>
    </row>
    <row r="4557" spans="1:9" hidden="1" x14ac:dyDescent="0.25">
      <c r="A4557" t="s">
        <v>3628</v>
      </c>
      <c r="B4557" t="s">
        <v>1804</v>
      </c>
      <c r="C4557" s="2">
        <f>HYPERLINK("https://cao.dolgi.msk.ru/account/1083281403/", 1083281403)</f>
        <v>1083281403</v>
      </c>
      <c r="D4557" t="s">
        <v>3826</v>
      </c>
      <c r="E4557">
        <v>-8366.49</v>
      </c>
      <c r="F4557">
        <v>-1.05</v>
      </c>
      <c r="G4557" t="s">
        <v>12</v>
      </c>
      <c r="I4557" t="s">
        <v>1428</v>
      </c>
    </row>
    <row r="4558" spans="1:9" x14ac:dyDescent="0.25">
      <c r="A4558" t="s">
        <v>3628</v>
      </c>
      <c r="B4558" t="s">
        <v>1805</v>
      </c>
      <c r="C4558" s="2">
        <f>HYPERLINK("https://cao.dolgi.msk.ru/account/1083281411/", 1083281411)</f>
        <v>1083281411</v>
      </c>
      <c r="D4558" t="s">
        <v>3827</v>
      </c>
      <c r="E4558">
        <v>46807.7</v>
      </c>
      <c r="F4558">
        <v>7.52</v>
      </c>
      <c r="G4558" t="s">
        <v>12</v>
      </c>
      <c r="I4558" t="s">
        <v>1428</v>
      </c>
    </row>
    <row r="4559" spans="1:9" hidden="1" x14ac:dyDescent="0.25">
      <c r="A4559" t="s">
        <v>3628</v>
      </c>
      <c r="B4559" t="s">
        <v>1807</v>
      </c>
      <c r="C4559" s="2">
        <f>HYPERLINK("https://cao.dolgi.msk.ru/account/1083281438/", 1083281438)</f>
        <v>1083281438</v>
      </c>
      <c r="D4559" t="s">
        <v>3828</v>
      </c>
      <c r="E4559">
        <v>-9027.59</v>
      </c>
      <c r="F4559">
        <v>-1.01</v>
      </c>
      <c r="G4559" t="s">
        <v>12</v>
      </c>
      <c r="I4559" t="s">
        <v>1428</v>
      </c>
    </row>
    <row r="4560" spans="1:9" hidden="1" x14ac:dyDescent="0.25">
      <c r="A4560" t="s">
        <v>3628</v>
      </c>
      <c r="B4560" t="s">
        <v>3494</v>
      </c>
      <c r="C4560" s="2">
        <f>HYPERLINK("https://cao.dolgi.msk.ru/account/1083281446/", 1083281446)</f>
        <v>1083281446</v>
      </c>
      <c r="D4560" t="s">
        <v>3829</v>
      </c>
      <c r="E4560">
        <v>-7423.75</v>
      </c>
      <c r="F4560">
        <v>-1.05</v>
      </c>
      <c r="G4560" t="s">
        <v>12</v>
      </c>
      <c r="I4560" t="s">
        <v>1428</v>
      </c>
    </row>
    <row r="4561" spans="1:9" hidden="1" x14ac:dyDescent="0.25">
      <c r="A4561" t="s">
        <v>3628</v>
      </c>
      <c r="B4561" t="s">
        <v>3496</v>
      </c>
      <c r="C4561" s="2">
        <f>HYPERLINK("https://cao.dolgi.msk.ru/account/1083281454/", 1083281454)</f>
        <v>1083281454</v>
      </c>
      <c r="D4561" t="s">
        <v>3830</v>
      </c>
      <c r="E4561">
        <v>-6626.79</v>
      </c>
      <c r="F4561">
        <v>-1.67</v>
      </c>
      <c r="G4561" t="s">
        <v>12</v>
      </c>
      <c r="I4561" t="s">
        <v>1428</v>
      </c>
    </row>
    <row r="4562" spans="1:9" hidden="1" x14ac:dyDescent="0.25">
      <c r="A4562" t="s">
        <v>3628</v>
      </c>
      <c r="B4562" t="s">
        <v>3498</v>
      </c>
      <c r="C4562" s="2">
        <f>HYPERLINK("https://cao.dolgi.msk.ru/account/1083281462/", 1083281462)</f>
        <v>1083281462</v>
      </c>
      <c r="D4562" t="s">
        <v>3831</v>
      </c>
      <c r="E4562">
        <v>-6872.89</v>
      </c>
      <c r="F4562">
        <v>-1.05</v>
      </c>
      <c r="G4562" t="s">
        <v>12</v>
      </c>
      <c r="I4562" t="s">
        <v>1428</v>
      </c>
    </row>
    <row r="4563" spans="1:9" hidden="1" x14ac:dyDescent="0.25">
      <c r="A4563" t="s">
        <v>3628</v>
      </c>
      <c r="B4563" t="s">
        <v>3500</v>
      </c>
      <c r="C4563" s="2">
        <f>HYPERLINK("https://cao.dolgi.msk.ru/account/1083281489/", 1083281489)</f>
        <v>1083281489</v>
      </c>
      <c r="D4563" t="s">
        <v>3832</v>
      </c>
      <c r="E4563">
        <v>-7034.78</v>
      </c>
      <c r="F4563">
        <v>-1.0900000000000001</v>
      </c>
      <c r="G4563" t="s">
        <v>12</v>
      </c>
      <c r="I4563" t="s">
        <v>1428</v>
      </c>
    </row>
    <row r="4564" spans="1:9" hidden="1" x14ac:dyDescent="0.25">
      <c r="A4564" t="s">
        <v>3628</v>
      </c>
      <c r="B4564" t="s">
        <v>1809</v>
      </c>
      <c r="C4564" s="2">
        <f>HYPERLINK("https://cao.dolgi.msk.ru/account/1083281497/", 1083281497)</f>
        <v>1083281497</v>
      </c>
      <c r="D4564" t="s">
        <v>3833</v>
      </c>
      <c r="E4564">
        <v>-4196.9799999999996</v>
      </c>
      <c r="F4564">
        <v>-1.01</v>
      </c>
      <c r="G4564" t="s">
        <v>12</v>
      </c>
      <c r="I4564" t="s">
        <v>1428</v>
      </c>
    </row>
    <row r="4565" spans="1:9" x14ac:dyDescent="0.25">
      <c r="A4565" t="s">
        <v>3628</v>
      </c>
      <c r="B4565" t="s">
        <v>3503</v>
      </c>
      <c r="C4565" s="2">
        <f>HYPERLINK("https://cao.dolgi.msk.ru/account/1083281518/", 1083281518)</f>
        <v>1083281518</v>
      </c>
      <c r="D4565" t="s">
        <v>3834</v>
      </c>
      <c r="E4565">
        <v>29688.080000000002</v>
      </c>
      <c r="F4565">
        <v>3.31</v>
      </c>
      <c r="G4565" t="s">
        <v>12</v>
      </c>
      <c r="I4565" t="s">
        <v>1428</v>
      </c>
    </row>
    <row r="4566" spans="1:9" hidden="1" x14ac:dyDescent="0.25">
      <c r="A4566" t="s">
        <v>3628</v>
      </c>
      <c r="B4566" t="s">
        <v>1810</v>
      </c>
      <c r="C4566" s="2">
        <f>HYPERLINK("https://cao.dolgi.msk.ru/account/1083281526/", 1083281526)</f>
        <v>1083281526</v>
      </c>
      <c r="D4566" t="s">
        <v>3835</v>
      </c>
      <c r="E4566">
        <v>-5285.56</v>
      </c>
      <c r="F4566">
        <v>-0.93</v>
      </c>
      <c r="G4566" t="s">
        <v>12</v>
      </c>
      <c r="I4566" t="s">
        <v>1428</v>
      </c>
    </row>
    <row r="4567" spans="1:9" hidden="1" x14ac:dyDescent="0.25">
      <c r="A4567" t="s">
        <v>3628</v>
      </c>
      <c r="B4567" t="s">
        <v>3506</v>
      </c>
      <c r="C4567" s="2">
        <f>HYPERLINK("https://cao.dolgi.msk.ru/account/1083281534/", 1083281534)</f>
        <v>1083281534</v>
      </c>
      <c r="D4567" t="s">
        <v>3836</v>
      </c>
      <c r="E4567">
        <v>-7429.08</v>
      </c>
      <c r="F4567">
        <v>-1.01</v>
      </c>
      <c r="G4567" t="s">
        <v>12</v>
      </c>
      <c r="I4567" t="s">
        <v>1428</v>
      </c>
    </row>
    <row r="4568" spans="1:9" hidden="1" x14ac:dyDescent="0.25">
      <c r="A4568" t="s">
        <v>3628</v>
      </c>
      <c r="B4568" t="s">
        <v>3508</v>
      </c>
      <c r="C4568" s="2">
        <f>HYPERLINK("https://cao.dolgi.msk.ru/account/1083281542/", 1083281542)</f>
        <v>1083281542</v>
      </c>
      <c r="D4568" t="s">
        <v>3837</v>
      </c>
      <c r="E4568">
        <v>-6052.9</v>
      </c>
      <c r="F4568">
        <v>-1.57</v>
      </c>
      <c r="G4568" t="s">
        <v>12</v>
      </c>
      <c r="I4568" t="s">
        <v>1428</v>
      </c>
    </row>
    <row r="4569" spans="1:9" hidden="1" x14ac:dyDescent="0.25">
      <c r="A4569" t="s">
        <v>3628</v>
      </c>
      <c r="B4569" t="s">
        <v>3510</v>
      </c>
      <c r="C4569" s="2">
        <f>HYPERLINK("https://cao.dolgi.msk.ru/account/1083281569/", 1083281569)</f>
        <v>1083281569</v>
      </c>
      <c r="D4569" t="s">
        <v>3838</v>
      </c>
      <c r="E4569">
        <v>-7297.73</v>
      </c>
      <c r="F4569">
        <v>-0.93</v>
      </c>
      <c r="G4569" t="s">
        <v>12</v>
      </c>
      <c r="I4569" t="s">
        <v>1428</v>
      </c>
    </row>
    <row r="4570" spans="1:9" x14ac:dyDescent="0.25">
      <c r="A4570" t="s">
        <v>3628</v>
      </c>
      <c r="B4570" t="s">
        <v>3511</v>
      </c>
      <c r="C4570" s="2">
        <f>HYPERLINK("https://cao.dolgi.msk.ru/account/1083281577/", 1083281577)</f>
        <v>1083281577</v>
      </c>
      <c r="D4570" t="s">
        <v>3839</v>
      </c>
      <c r="E4570">
        <v>6306.6</v>
      </c>
      <c r="F4570">
        <v>1.92</v>
      </c>
      <c r="G4570" t="s">
        <v>12</v>
      </c>
      <c r="I4570" t="s">
        <v>1428</v>
      </c>
    </row>
    <row r="4571" spans="1:9" hidden="1" x14ac:dyDescent="0.25">
      <c r="A4571" t="s">
        <v>3628</v>
      </c>
      <c r="B4571" t="s">
        <v>3840</v>
      </c>
      <c r="C4571" s="2">
        <f>HYPERLINK("https://cao.dolgi.msk.ru/account/1083281585/", 1083281585)</f>
        <v>1083281585</v>
      </c>
      <c r="D4571" t="s">
        <v>3841</v>
      </c>
      <c r="E4571">
        <v>-4273.97</v>
      </c>
      <c r="F4571">
        <v>-1</v>
      </c>
      <c r="G4571" t="s">
        <v>12</v>
      </c>
      <c r="I4571" t="s">
        <v>1428</v>
      </c>
    </row>
    <row r="4572" spans="1:9" x14ac:dyDescent="0.25">
      <c r="A4572" t="s">
        <v>3628</v>
      </c>
      <c r="B4572" t="s">
        <v>3842</v>
      </c>
      <c r="C4572" s="2">
        <f>HYPERLINK("https://cao.dolgi.msk.ru/account/1083281593/", 1083281593)</f>
        <v>1083281593</v>
      </c>
      <c r="D4572" t="s">
        <v>3843</v>
      </c>
      <c r="E4572">
        <v>74226.3</v>
      </c>
      <c r="F4572">
        <v>13.44</v>
      </c>
      <c r="G4572" t="s">
        <v>12</v>
      </c>
      <c r="I4572" t="s">
        <v>1428</v>
      </c>
    </row>
    <row r="4573" spans="1:9" hidden="1" x14ac:dyDescent="0.25">
      <c r="A4573" t="s">
        <v>3628</v>
      </c>
      <c r="B4573" t="s">
        <v>3844</v>
      </c>
      <c r="C4573" s="2">
        <f>HYPERLINK("https://cao.dolgi.msk.ru/account/1083281606/", 1083281606)</f>
        <v>1083281606</v>
      </c>
      <c r="D4573" t="s">
        <v>15</v>
      </c>
      <c r="E4573">
        <v>-27949.79</v>
      </c>
      <c r="F4573">
        <v>-2.02</v>
      </c>
      <c r="G4573" t="s">
        <v>12</v>
      </c>
      <c r="I4573" t="s">
        <v>1428</v>
      </c>
    </row>
    <row r="4574" spans="1:9" hidden="1" x14ac:dyDescent="0.25">
      <c r="A4574" t="s">
        <v>3628</v>
      </c>
      <c r="B4574" t="s">
        <v>3845</v>
      </c>
      <c r="C4574" s="2">
        <f>HYPERLINK("https://cao.dolgi.msk.ru/account/1083281614/", 1083281614)</f>
        <v>1083281614</v>
      </c>
      <c r="D4574" t="s">
        <v>3846</v>
      </c>
      <c r="E4574">
        <v>-5046.2</v>
      </c>
      <c r="F4574">
        <v>-0.99</v>
      </c>
      <c r="G4574" t="s">
        <v>12</v>
      </c>
      <c r="I4574" t="s">
        <v>1428</v>
      </c>
    </row>
    <row r="4575" spans="1:9" hidden="1" x14ac:dyDescent="0.25">
      <c r="A4575" t="s">
        <v>3628</v>
      </c>
      <c r="B4575" t="s">
        <v>1812</v>
      </c>
      <c r="C4575" s="2">
        <f>HYPERLINK("https://cao.dolgi.msk.ru/account/1083281622/", 1083281622)</f>
        <v>1083281622</v>
      </c>
      <c r="D4575" t="s">
        <v>15</v>
      </c>
      <c r="E4575">
        <v>8945.02</v>
      </c>
      <c r="G4575" t="s">
        <v>14</v>
      </c>
      <c r="I4575" t="s">
        <v>1428</v>
      </c>
    </row>
    <row r="4576" spans="1:9" hidden="1" x14ac:dyDescent="0.25">
      <c r="A4576" t="s">
        <v>3628</v>
      </c>
      <c r="B4576" t="s">
        <v>1812</v>
      </c>
      <c r="C4576" s="2">
        <f>HYPERLINK("https://cao.dolgi.msk.ru/account/1083281817/", 1083281817)</f>
        <v>1083281817</v>
      </c>
      <c r="D4576" t="s">
        <v>15</v>
      </c>
      <c r="E4576">
        <v>1740.67</v>
      </c>
      <c r="G4576" t="s">
        <v>14</v>
      </c>
      <c r="I4576" t="s">
        <v>1428</v>
      </c>
    </row>
    <row r="4577" spans="1:9" hidden="1" x14ac:dyDescent="0.25">
      <c r="A4577" t="s">
        <v>3628</v>
      </c>
      <c r="B4577" t="s">
        <v>1812</v>
      </c>
      <c r="C4577" s="2">
        <f>HYPERLINK("https://cao.dolgi.msk.ru/account/1083281825/", 1083281825)</f>
        <v>1083281825</v>
      </c>
      <c r="D4577" t="s">
        <v>15</v>
      </c>
      <c r="E4577">
        <v>15028.42</v>
      </c>
      <c r="G4577" t="s">
        <v>14</v>
      </c>
      <c r="I4577" t="s">
        <v>1428</v>
      </c>
    </row>
    <row r="4578" spans="1:9" hidden="1" x14ac:dyDescent="0.25">
      <c r="A4578" t="s">
        <v>3628</v>
      </c>
      <c r="B4578" t="s">
        <v>1812</v>
      </c>
      <c r="C4578" s="2">
        <f>HYPERLINK("https://cao.dolgi.msk.ru/account/1083281833/", 1083281833)</f>
        <v>1083281833</v>
      </c>
      <c r="D4578" t="s">
        <v>15</v>
      </c>
      <c r="E4578">
        <v>1740.67</v>
      </c>
      <c r="G4578" t="s">
        <v>14</v>
      </c>
      <c r="I4578" t="s">
        <v>1428</v>
      </c>
    </row>
    <row r="4579" spans="1:9" hidden="1" x14ac:dyDescent="0.25">
      <c r="A4579" t="s">
        <v>3628</v>
      </c>
      <c r="B4579" t="s">
        <v>1812</v>
      </c>
      <c r="C4579" s="2">
        <f>HYPERLINK("https://cao.dolgi.msk.ru/account/1083281841/", 1083281841)</f>
        <v>1083281841</v>
      </c>
      <c r="D4579" t="s">
        <v>15</v>
      </c>
      <c r="E4579">
        <v>-4525.29</v>
      </c>
      <c r="F4579">
        <v>-1.07</v>
      </c>
      <c r="G4579" t="s">
        <v>12</v>
      </c>
      <c r="I4579" t="s">
        <v>1428</v>
      </c>
    </row>
    <row r="4580" spans="1:9" hidden="1" x14ac:dyDescent="0.25">
      <c r="A4580" t="s">
        <v>3628</v>
      </c>
      <c r="B4580" t="s">
        <v>1812</v>
      </c>
      <c r="C4580" s="2">
        <f>HYPERLINK("https://cao.dolgi.msk.ru/account/1083281868/", 1083281868)</f>
        <v>1083281868</v>
      </c>
      <c r="D4580" t="s">
        <v>15</v>
      </c>
      <c r="E4580">
        <v>42912.15</v>
      </c>
      <c r="F4580">
        <v>60.08</v>
      </c>
      <c r="G4580" t="s">
        <v>14</v>
      </c>
      <c r="I4580" t="s">
        <v>1428</v>
      </c>
    </row>
    <row r="4581" spans="1:9" x14ac:dyDescent="0.25">
      <c r="A4581" t="s">
        <v>3628</v>
      </c>
      <c r="B4581" t="s">
        <v>1812</v>
      </c>
      <c r="C4581" s="2">
        <f>HYPERLINK("https://cao.dolgi.msk.ru/account/1083281876/", 1083281876)</f>
        <v>1083281876</v>
      </c>
      <c r="D4581" t="s">
        <v>15</v>
      </c>
      <c r="E4581">
        <v>43190.9</v>
      </c>
      <c r="F4581">
        <v>59.88</v>
      </c>
      <c r="G4581" t="s">
        <v>12</v>
      </c>
      <c r="I4581" t="s">
        <v>1428</v>
      </c>
    </row>
    <row r="4582" spans="1:9" hidden="1" x14ac:dyDescent="0.25">
      <c r="A4582" t="s">
        <v>3628</v>
      </c>
      <c r="B4582" t="s">
        <v>1812</v>
      </c>
      <c r="C4582" s="2">
        <f>HYPERLINK("https://cao.dolgi.msk.ru/account/1083281884/", 1083281884)</f>
        <v>1083281884</v>
      </c>
      <c r="D4582" t="s">
        <v>15</v>
      </c>
      <c r="E4582">
        <v>6705.01</v>
      </c>
      <c r="G4582" t="s">
        <v>14</v>
      </c>
      <c r="I4582" t="s">
        <v>1428</v>
      </c>
    </row>
    <row r="4583" spans="1:9" hidden="1" x14ac:dyDescent="0.25">
      <c r="A4583" t="s">
        <v>3628</v>
      </c>
      <c r="B4583" t="s">
        <v>1812</v>
      </c>
      <c r="C4583" s="2">
        <f>HYPERLINK("https://cao.dolgi.msk.ru/account/1083281892/", 1083281892)</f>
        <v>1083281892</v>
      </c>
      <c r="D4583" t="s">
        <v>3847</v>
      </c>
      <c r="E4583">
        <v>4421.13</v>
      </c>
      <c r="G4583" t="s">
        <v>12</v>
      </c>
      <c r="I4583" t="s">
        <v>1428</v>
      </c>
    </row>
    <row r="4584" spans="1:9" hidden="1" x14ac:dyDescent="0.25">
      <c r="A4584" t="s">
        <v>3848</v>
      </c>
      <c r="B4584" t="s">
        <v>10</v>
      </c>
      <c r="C4584" s="2">
        <f>HYPERLINK("https://cao.dolgi.msk.ru/account/1080239082/", 1080239082)</f>
        <v>1080239082</v>
      </c>
      <c r="D4584" t="s">
        <v>15</v>
      </c>
      <c r="G4584" t="s">
        <v>14</v>
      </c>
      <c r="I4584" t="s">
        <v>1428</v>
      </c>
    </row>
    <row r="4585" spans="1:9" hidden="1" x14ac:dyDescent="0.25">
      <c r="A4585" t="s">
        <v>3848</v>
      </c>
      <c r="B4585" t="s">
        <v>10</v>
      </c>
      <c r="C4585" s="2">
        <f>HYPERLINK("https://cao.dolgi.msk.ru/account/1080239103/", 1080239103)</f>
        <v>1080239103</v>
      </c>
      <c r="D4585" t="s">
        <v>15</v>
      </c>
      <c r="E4585">
        <v>0</v>
      </c>
      <c r="G4585" t="s">
        <v>14</v>
      </c>
      <c r="I4585" t="s">
        <v>1428</v>
      </c>
    </row>
    <row r="4586" spans="1:9" hidden="1" x14ac:dyDescent="0.25">
      <c r="A4586" t="s">
        <v>3848</v>
      </c>
      <c r="B4586" t="s">
        <v>16</v>
      </c>
      <c r="C4586" s="2">
        <f>HYPERLINK("https://cao.dolgi.msk.ru/account/1080239111/", 1080239111)</f>
        <v>1080239111</v>
      </c>
      <c r="D4586" t="s">
        <v>3849</v>
      </c>
      <c r="E4586">
        <v>-3745.93</v>
      </c>
      <c r="F4586">
        <v>-1.35</v>
      </c>
      <c r="G4586" t="s">
        <v>12</v>
      </c>
      <c r="I4586" t="s">
        <v>1428</v>
      </c>
    </row>
    <row r="4587" spans="1:9" hidden="1" x14ac:dyDescent="0.25">
      <c r="A4587" t="s">
        <v>3848</v>
      </c>
      <c r="B4587" t="s">
        <v>18</v>
      </c>
      <c r="C4587" s="2">
        <f>HYPERLINK("https://cao.dolgi.msk.ru/account/1080239138/", 1080239138)</f>
        <v>1080239138</v>
      </c>
      <c r="D4587" t="s">
        <v>15</v>
      </c>
      <c r="E4587">
        <v>471.89</v>
      </c>
      <c r="F4587">
        <v>0.7</v>
      </c>
      <c r="G4587" t="s">
        <v>12</v>
      </c>
      <c r="I4587" t="s">
        <v>1428</v>
      </c>
    </row>
    <row r="4588" spans="1:9" hidden="1" x14ac:dyDescent="0.25">
      <c r="A4588" t="s">
        <v>3848</v>
      </c>
      <c r="B4588" t="s">
        <v>18</v>
      </c>
      <c r="C4588" s="2">
        <f>HYPERLINK("https://cao.dolgi.msk.ru/account/1083391135/", 1083391135)</f>
        <v>1083391135</v>
      </c>
      <c r="D4588" t="s">
        <v>189</v>
      </c>
      <c r="E4588">
        <v>1796.81</v>
      </c>
      <c r="F4588">
        <v>0.78</v>
      </c>
      <c r="G4588" t="s">
        <v>12</v>
      </c>
      <c r="I4588" t="s">
        <v>1428</v>
      </c>
    </row>
    <row r="4589" spans="1:9" hidden="1" x14ac:dyDescent="0.25">
      <c r="A4589" t="s">
        <v>3848</v>
      </c>
      <c r="B4589" t="s">
        <v>18</v>
      </c>
      <c r="C4589" s="2">
        <f>HYPERLINK("https://cao.dolgi.msk.ru/account/1089124345/", 1089124345)</f>
        <v>1089124345</v>
      </c>
      <c r="D4589" t="s">
        <v>15</v>
      </c>
      <c r="E4589">
        <v>950.37</v>
      </c>
      <c r="F4589">
        <v>0.64</v>
      </c>
      <c r="G4589" t="s">
        <v>12</v>
      </c>
      <c r="I4589" t="s">
        <v>1428</v>
      </c>
    </row>
    <row r="4590" spans="1:9" hidden="1" x14ac:dyDescent="0.25">
      <c r="A4590" t="s">
        <v>3848</v>
      </c>
      <c r="B4590" t="s">
        <v>20</v>
      </c>
      <c r="C4590" s="2">
        <f>HYPERLINK("https://cao.dolgi.msk.ru/account/1080239146/", 1080239146)</f>
        <v>1080239146</v>
      </c>
      <c r="D4590" t="s">
        <v>3850</v>
      </c>
      <c r="E4590">
        <v>-9662.2999999999993</v>
      </c>
      <c r="F4590">
        <v>-1.1599999999999999</v>
      </c>
      <c r="G4590" t="s">
        <v>12</v>
      </c>
      <c r="I4590" t="s">
        <v>1428</v>
      </c>
    </row>
    <row r="4591" spans="1:9" hidden="1" x14ac:dyDescent="0.25">
      <c r="A4591" t="s">
        <v>3848</v>
      </c>
      <c r="B4591" t="s">
        <v>21</v>
      </c>
      <c r="C4591" s="2">
        <f>HYPERLINK("https://cao.dolgi.msk.ru/account/1080239162/", 1080239162)</f>
        <v>1080239162</v>
      </c>
      <c r="D4591" t="s">
        <v>3851</v>
      </c>
      <c r="E4591">
        <v>0</v>
      </c>
      <c r="F4591">
        <v>0</v>
      </c>
      <c r="G4591" t="s">
        <v>12</v>
      </c>
      <c r="I4591" t="s">
        <v>1428</v>
      </c>
    </row>
    <row r="4592" spans="1:9" hidden="1" x14ac:dyDescent="0.25">
      <c r="A4592" t="s">
        <v>3848</v>
      </c>
      <c r="B4592" t="s">
        <v>22</v>
      </c>
      <c r="C4592" s="2">
        <f>HYPERLINK("https://cao.dolgi.msk.ru/account/1080239189/", 1080239189)</f>
        <v>1080239189</v>
      </c>
      <c r="D4592" t="s">
        <v>3852</v>
      </c>
      <c r="E4592">
        <v>-6487.25</v>
      </c>
      <c r="F4592">
        <v>-0.83</v>
      </c>
      <c r="G4592" t="s">
        <v>12</v>
      </c>
      <c r="I4592" t="s">
        <v>1428</v>
      </c>
    </row>
    <row r="4593" spans="1:9" hidden="1" x14ac:dyDescent="0.25">
      <c r="A4593" t="s">
        <v>3848</v>
      </c>
      <c r="B4593" t="s">
        <v>23</v>
      </c>
      <c r="C4593" s="2">
        <f>HYPERLINK("https://cao.dolgi.msk.ru/account/1080239197/", 1080239197)</f>
        <v>1080239197</v>
      </c>
      <c r="D4593" t="s">
        <v>15</v>
      </c>
      <c r="E4593">
        <v>-1469.54</v>
      </c>
      <c r="F4593">
        <v>-1.1299999999999999</v>
      </c>
      <c r="G4593" t="s">
        <v>12</v>
      </c>
      <c r="H4593" t="s">
        <v>7</v>
      </c>
      <c r="I4593" t="s">
        <v>1428</v>
      </c>
    </row>
    <row r="4594" spans="1:9" hidden="1" x14ac:dyDescent="0.25">
      <c r="A4594" t="s">
        <v>3848</v>
      </c>
      <c r="B4594" t="s">
        <v>23</v>
      </c>
      <c r="C4594" s="2">
        <f>HYPERLINK("https://cao.dolgi.msk.ru/account/1080239218/", 1080239218)</f>
        <v>1080239218</v>
      </c>
      <c r="D4594" t="s">
        <v>15</v>
      </c>
      <c r="E4594">
        <v>-4487.8100000000004</v>
      </c>
      <c r="F4594">
        <v>-1.1200000000000001</v>
      </c>
      <c r="G4594" t="s">
        <v>12</v>
      </c>
      <c r="H4594" t="s">
        <v>7</v>
      </c>
      <c r="I4594" t="s">
        <v>1428</v>
      </c>
    </row>
    <row r="4595" spans="1:9" hidden="1" x14ac:dyDescent="0.25">
      <c r="A4595" t="s">
        <v>3848</v>
      </c>
      <c r="B4595" t="s">
        <v>24</v>
      </c>
      <c r="C4595" s="2">
        <f>HYPERLINK("https://cao.dolgi.msk.ru/account/1080239226/", 1080239226)</f>
        <v>1080239226</v>
      </c>
      <c r="D4595" t="s">
        <v>3853</v>
      </c>
      <c r="E4595">
        <v>-865.61</v>
      </c>
      <c r="F4595">
        <v>-0.17</v>
      </c>
      <c r="G4595" t="s">
        <v>12</v>
      </c>
      <c r="I4595" t="s">
        <v>1428</v>
      </c>
    </row>
    <row r="4596" spans="1:9" hidden="1" x14ac:dyDescent="0.25">
      <c r="A4596" t="s">
        <v>3848</v>
      </c>
      <c r="B4596" t="s">
        <v>27</v>
      </c>
      <c r="C4596" s="2">
        <f>HYPERLINK("https://cao.dolgi.msk.ru/account/1080239234/", 1080239234)</f>
        <v>1080239234</v>
      </c>
      <c r="D4596" t="s">
        <v>3854</v>
      </c>
      <c r="E4596">
        <v>-4468.7700000000004</v>
      </c>
      <c r="F4596">
        <v>-1.1399999999999999</v>
      </c>
      <c r="G4596" t="s">
        <v>12</v>
      </c>
      <c r="I4596" t="s">
        <v>1428</v>
      </c>
    </row>
    <row r="4597" spans="1:9" hidden="1" x14ac:dyDescent="0.25">
      <c r="A4597" t="s">
        <v>3848</v>
      </c>
      <c r="B4597" t="s">
        <v>29</v>
      </c>
      <c r="C4597" s="2">
        <f>HYPERLINK("https://cao.dolgi.msk.ru/account/1080239242/", 1080239242)</f>
        <v>1080239242</v>
      </c>
      <c r="D4597" t="s">
        <v>3855</v>
      </c>
      <c r="E4597">
        <v>8489.23</v>
      </c>
      <c r="F4597">
        <v>0.91</v>
      </c>
      <c r="G4597" t="s">
        <v>12</v>
      </c>
      <c r="I4597" t="s">
        <v>1428</v>
      </c>
    </row>
    <row r="4598" spans="1:9" hidden="1" x14ac:dyDescent="0.25">
      <c r="A4598" t="s">
        <v>3848</v>
      </c>
      <c r="B4598" t="s">
        <v>31</v>
      </c>
      <c r="C4598" s="2">
        <f>HYPERLINK("https://cao.dolgi.msk.ru/account/1080239269/", 1080239269)</f>
        <v>1080239269</v>
      </c>
      <c r="D4598" t="s">
        <v>3856</v>
      </c>
      <c r="E4598">
        <v>-2027.95</v>
      </c>
      <c r="F4598">
        <v>-0.62</v>
      </c>
      <c r="G4598" t="s">
        <v>12</v>
      </c>
      <c r="I4598" t="s">
        <v>1428</v>
      </c>
    </row>
    <row r="4599" spans="1:9" hidden="1" x14ac:dyDescent="0.25">
      <c r="A4599" t="s">
        <v>3848</v>
      </c>
      <c r="B4599" t="s">
        <v>33</v>
      </c>
      <c r="C4599" s="2">
        <f>HYPERLINK("https://cao.dolgi.msk.ru/account/1080239277/", 1080239277)</f>
        <v>1080239277</v>
      </c>
      <c r="D4599" t="s">
        <v>3857</v>
      </c>
      <c r="E4599">
        <v>-5476.7</v>
      </c>
      <c r="F4599">
        <v>-1.1399999999999999</v>
      </c>
      <c r="G4599" t="s">
        <v>12</v>
      </c>
      <c r="I4599" t="s">
        <v>1428</v>
      </c>
    </row>
    <row r="4600" spans="1:9" hidden="1" x14ac:dyDescent="0.25">
      <c r="A4600" t="s">
        <v>3848</v>
      </c>
      <c r="B4600" t="s">
        <v>34</v>
      </c>
      <c r="C4600" s="2">
        <f>HYPERLINK("https://cao.dolgi.msk.ru/account/1080239285/", 1080239285)</f>
        <v>1080239285</v>
      </c>
      <c r="D4600" t="s">
        <v>3858</v>
      </c>
      <c r="E4600">
        <v>-454.93</v>
      </c>
      <c r="F4600">
        <v>-0.09</v>
      </c>
      <c r="G4600" t="s">
        <v>12</v>
      </c>
      <c r="I4600" t="s">
        <v>1428</v>
      </c>
    </row>
    <row r="4601" spans="1:9" hidden="1" x14ac:dyDescent="0.25">
      <c r="A4601" t="s">
        <v>3848</v>
      </c>
      <c r="B4601" t="s">
        <v>36</v>
      </c>
      <c r="C4601" s="2">
        <f>HYPERLINK("https://cao.dolgi.msk.ru/account/1080239293/", 1080239293)</f>
        <v>1080239293</v>
      </c>
      <c r="D4601" t="s">
        <v>3859</v>
      </c>
      <c r="E4601">
        <v>-3418.64</v>
      </c>
      <c r="F4601">
        <v>-1.1399999999999999</v>
      </c>
      <c r="G4601" t="s">
        <v>12</v>
      </c>
      <c r="I4601" t="s">
        <v>1428</v>
      </c>
    </row>
    <row r="4602" spans="1:9" hidden="1" x14ac:dyDescent="0.25">
      <c r="A4602" t="s">
        <v>3848</v>
      </c>
      <c r="B4602" t="s">
        <v>38</v>
      </c>
      <c r="C4602" s="2">
        <f>HYPERLINK("https://cao.dolgi.msk.ru/account/1080239306/", 1080239306)</f>
        <v>1080239306</v>
      </c>
      <c r="D4602" t="s">
        <v>3860</v>
      </c>
      <c r="E4602">
        <v>0</v>
      </c>
      <c r="F4602">
        <v>0</v>
      </c>
      <c r="G4602" t="s">
        <v>12</v>
      </c>
      <c r="I4602" t="s">
        <v>1428</v>
      </c>
    </row>
    <row r="4603" spans="1:9" hidden="1" x14ac:dyDescent="0.25">
      <c r="A4603" t="s">
        <v>3848</v>
      </c>
      <c r="B4603" t="s">
        <v>39</v>
      </c>
      <c r="C4603" s="2">
        <f>HYPERLINK("https://cao.dolgi.msk.ru/account/1080239322/", 1080239322)</f>
        <v>1080239322</v>
      </c>
      <c r="D4603" t="s">
        <v>3861</v>
      </c>
      <c r="E4603">
        <v>-6148.86</v>
      </c>
      <c r="F4603">
        <v>-1.1200000000000001</v>
      </c>
      <c r="G4603" t="s">
        <v>12</v>
      </c>
      <c r="I4603" t="s">
        <v>1428</v>
      </c>
    </row>
    <row r="4604" spans="1:9" hidden="1" x14ac:dyDescent="0.25">
      <c r="A4604" t="s">
        <v>3848</v>
      </c>
      <c r="B4604" t="s">
        <v>40</v>
      </c>
      <c r="C4604" s="2">
        <f>HYPERLINK("https://cao.dolgi.msk.ru/account/1080239349/", 1080239349)</f>
        <v>1080239349</v>
      </c>
      <c r="D4604" t="s">
        <v>3862</v>
      </c>
      <c r="E4604">
        <v>2681.39</v>
      </c>
      <c r="F4604">
        <v>0.97</v>
      </c>
      <c r="G4604" t="s">
        <v>12</v>
      </c>
      <c r="I4604" t="s">
        <v>1428</v>
      </c>
    </row>
    <row r="4605" spans="1:9" hidden="1" x14ac:dyDescent="0.25">
      <c r="A4605" t="s">
        <v>3848</v>
      </c>
      <c r="B4605" t="s">
        <v>41</v>
      </c>
      <c r="C4605" s="2">
        <f>HYPERLINK("https://cao.dolgi.msk.ru/account/1080239357/", 1080239357)</f>
        <v>1080239357</v>
      </c>
      <c r="D4605" t="s">
        <v>3863</v>
      </c>
      <c r="E4605">
        <v>-1732.93</v>
      </c>
      <c r="F4605">
        <v>-0.87</v>
      </c>
      <c r="G4605" t="s">
        <v>12</v>
      </c>
      <c r="H4605" t="s">
        <v>7</v>
      </c>
      <c r="I4605" t="s">
        <v>1428</v>
      </c>
    </row>
    <row r="4606" spans="1:9" hidden="1" x14ac:dyDescent="0.25">
      <c r="A4606" t="s">
        <v>3848</v>
      </c>
      <c r="B4606" t="s">
        <v>41</v>
      </c>
      <c r="C4606" s="2">
        <f>HYPERLINK("https://cao.dolgi.msk.ru/account/1080239365/", 1080239365)</f>
        <v>1080239365</v>
      </c>
      <c r="D4606" t="s">
        <v>3864</v>
      </c>
      <c r="E4606">
        <v>-7946.62</v>
      </c>
      <c r="F4606">
        <v>-2.0099999999999998</v>
      </c>
      <c r="G4606" t="s">
        <v>12</v>
      </c>
      <c r="H4606" t="s">
        <v>7</v>
      </c>
      <c r="I4606" t="s">
        <v>1428</v>
      </c>
    </row>
    <row r="4607" spans="1:9" hidden="1" x14ac:dyDescent="0.25">
      <c r="A4607" t="s">
        <v>3848</v>
      </c>
      <c r="B4607" t="s">
        <v>42</v>
      </c>
      <c r="C4607" s="2">
        <f>HYPERLINK("https://cao.dolgi.msk.ru/account/1080239373/", 1080239373)</f>
        <v>1080239373</v>
      </c>
      <c r="D4607" t="s">
        <v>3865</v>
      </c>
      <c r="E4607">
        <v>-11294.23</v>
      </c>
      <c r="F4607">
        <v>-2.68</v>
      </c>
      <c r="G4607" t="s">
        <v>12</v>
      </c>
      <c r="I4607" t="s">
        <v>1428</v>
      </c>
    </row>
    <row r="4608" spans="1:9" hidden="1" x14ac:dyDescent="0.25">
      <c r="A4608" t="s">
        <v>3848</v>
      </c>
      <c r="B4608" t="s">
        <v>44</v>
      </c>
      <c r="C4608" s="2">
        <f>HYPERLINK("https://cao.dolgi.msk.ru/account/1080239381/", 1080239381)</f>
        <v>1080239381</v>
      </c>
      <c r="D4608" t="s">
        <v>3866</v>
      </c>
      <c r="E4608">
        <v>0</v>
      </c>
      <c r="F4608">
        <v>0</v>
      </c>
      <c r="G4608" t="s">
        <v>12</v>
      </c>
      <c r="I4608" t="s">
        <v>1428</v>
      </c>
    </row>
    <row r="4609" spans="1:9" hidden="1" x14ac:dyDescent="0.25">
      <c r="A4609" t="s">
        <v>3848</v>
      </c>
      <c r="B4609" t="s">
        <v>66</v>
      </c>
      <c r="C4609" s="2">
        <f>HYPERLINK("https://cao.dolgi.msk.ru/account/1080239402/", 1080239402)</f>
        <v>1080239402</v>
      </c>
      <c r="D4609" t="s">
        <v>3867</v>
      </c>
      <c r="E4609">
        <v>4508.05</v>
      </c>
      <c r="F4609">
        <v>0.91</v>
      </c>
      <c r="G4609" t="s">
        <v>12</v>
      </c>
      <c r="I4609" t="s">
        <v>1428</v>
      </c>
    </row>
    <row r="4610" spans="1:9" hidden="1" x14ac:dyDescent="0.25">
      <c r="A4610" t="s">
        <v>3848</v>
      </c>
      <c r="B4610" t="s">
        <v>68</v>
      </c>
      <c r="C4610" s="2">
        <f>HYPERLINK("https://cao.dolgi.msk.ru/account/1080326338/", 1080326338)</f>
        <v>1080326338</v>
      </c>
      <c r="D4610" t="s">
        <v>3868</v>
      </c>
      <c r="E4610">
        <v>-2076.59</v>
      </c>
      <c r="F4610">
        <v>-0.44</v>
      </c>
      <c r="G4610" t="s">
        <v>12</v>
      </c>
      <c r="I4610" t="s">
        <v>1428</v>
      </c>
    </row>
    <row r="4611" spans="1:9" hidden="1" x14ac:dyDescent="0.25">
      <c r="A4611" t="s">
        <v>3848</v>
      </c>
      <c r="B4611" t="s">
        <v>70</v>
      </c>
      <c r="C4611" s="2">
        <f>HYPERLINK("https://cao.dolgi.msk.ru/account/1080239437/", 1080239437)</f>
        <v>1080239437</v>
      </c>
      <c r="D4611" t="s">
        <v>3869</v>
      </c>
      <c r="E4611">
        <v>-4428.37</v>
      </c>
      <c r="F4611">
        <v>-1.1100000000000001</v>
      </c>
      <c r="G4611" t="s">
        <v>12</v>
      </c>
      <c r="I4611" t="s">
        <v>1428</v>
      </c>
    </row>
    <row r="4612" spans="1:9" hidden="1" x14ac:dyDescent="0.25">
      <c r="A4612" t="s">
        <v>3848</v>
      </c>
      <c r="B4612" t="s">
        <v>72</v>
      </c>
      <c r="C4612" s="2">
        <f>HYPERLINK("https://cao.dolgi.msk.ru/account/1080239445/", 1080239445)</f>
        <v>1080239445</v>
      </c>
      <c r="D4612" t="s">
        <v>15</v>
      </c>
      <c r="E4612">
        <v>-654.03</v>
      </c>
      <c r="F4612">
        <v>-0.25</v>
      </c>
      <c r="G4612" t="s">
        <v>12</v>
      </c>
      <c r="H4612" t="s">
        <v>7</v>
      </c>
      <c r="I4612" t="s">
        <v>1428</v>
      </c>
    </row>
    <row r="4613" spans="1:9" hidden="1" x14ac:dyDescent="0.25">
      <c r="A4613" t="s">
        <v>3848</v>
      </c>
      <c r="B4613" t="s">
        <v>72</v>
      </c>
      <c r="C4613" s="2">
        <f>HYPERLINK("https://cao.dolgi.msk.ru/account/1080239453/", 1080239453)</f>
        <v>1080239453</v>
      </c>
      <c r="D4613" t="s">
        <v>3870</v>
      </c>
      <c r="E4613">
        <v>-2700.74</v>
      </c>
      <c r="F4613">
        <v>-1.1599999999999999</v>
      </c>
      <c r="G4613" t="s">
        <v>12</v>
      </c>
      <c r="H4613" t="s">
        <v>7</v>
      </c>
      <c r="I4613" t="s">
        <v>1428</v>
      </c>
    </row>
    <row r="4614" spans="1:9" hidden="1" x14ac:dyDescent="0.25">
      <c r="A4614" t="s">
        <v>3848</v>
      </c>
      <c r="B4614" t="s">
        <v>72</v>
      </c>
      <c r="C4614" s="2">
        <f>HYPERLINK("https://cao.dolgi.msk.ru/account/1080239461/", 1080239461)</f>
        <v>1080239461</v>
      </c>
      <c r="D4614" t="s">
        <v>1082</v>
      </c>
      <c r="E4614">
        <v>-485.99</v>
      </c>
      <c r="F4614">
        <v>-0.46</v>
      </c>
      <c r="G4614" t="s">
        <v>12</v>
      </c>
      <c r="H4614" t="s">
        <v>7</v>
      </c>
      <c r="I4614" t="s">
        <v>1428</v>
      </c>
    </row>
    <row r="4615" spans="1:9" hidden="1" x14ac:dyDescent="0.25">
      <c r="A4615" t="s">
        <v>3848</v>
      </c>
      <c r="B4615" t="s">
        <v>74</v>
      </c>
      <c r="C4615" s="2">
        <f>HYPERLINK("https://cao.dolgi.msk.ru/account/1080239488/", 1080239488)</f>
        <v>1080239488</v>
      </c>
      <c r="D4615" t="s">
        <v>3871</v>
      </c>
      <c r="E4615">
        <v>2599.31</v>
      </c>
      <c r="F4615">
        <v>0.45</v>
      </c>
      <c r="G4615" t="s">
        <v>12</v>
      </c>
      <c r="I4615" t="s">
        <v>1428</v>
      </c>
    </row>
    <row r="4616" spans="1:9" hidden="1" x14ac:dyDescent="0.25">
      <c r="A4616" t="s">
        <v>3848</v>
      </c>
      <c r="B4616" t="s">
        <v>76</v>
      </c>
      <c r="C4616" s="2">
        <f>HYPERLINK("https://cao.dolgi.msk.ru/account/1080239496/", 1080239496)</f>
        <v>1080239496</v>
      </c>
      <c r="D4616" t="s">
        <v>3872</v>
      </c>
      <c r="E4616">
        <v>-1458.59</v>
      </c>
      <c r="F4616">
        <v>-0.87</v>
      </c>
      <c r="G4616" t="s">
        <v>12</v>
      </c>
      <c r="I4616" t="s">
        <v>1428</v>
      </c>
    </row>
    <row r="4617" spans="1:9" hidden="1" x14ac:dyDescent="0.25">
      <c r="A4617" t="s">
        <v>3848</v>
      </c>
      <c r="B4617" t="s">
        <v>78</v>
      </c>
      <c r="C4617" s="2">
        <f>HYPERLINK("https://cao.dolgi.msk.ru/account/1080239509/", 1080239509)</f>
        <v>1080239509</v>
      </c>
      <c r="D4617" t="s">
        <v>3873</v>
      </c>
      <c r="E4617">
        <v>6784.47</v>
      </c>
      <c r="F4617">
        <v>0.99</v>
      </c>
      <c r="G4617" t="s">
        <v>12</v>
      </c>
      <c r="I4617" t="s">
        <v>1428</v>
      </c>
    </row>
    <row r="4618" spans="1:9" hidden="1" x14ac:dyDescent="0.25">
      <c r="A4618" t="s">
        <v>3848</v>
      </c>
      <c r="B4618" t="s">
        <v>78</v>
      </c>
      <c r="C4618" s="2">
        <f>HYPERLINK("https://cao.dolgi.msk.ru/account/1080239525/", 1080239525)</f>
        <v>1080239525</v>
      </c>
      <c r="D4618" t="s">
        <v>3873</v>
      </c>
      <c r="E4618">
        <v>76.36</v>
      </c>
      <c r="G4618" t="s">
        <v>14</v>
      </c>
      <c r="I4618" t="s">
        <v>1428</v>
      </c>
    </row>
    <row r="4619" spans="1:9" hidden="1" x14ac:dyDescent="0.25">
      <c r="A4619" t="s">
        <v>3848</v>
      </c>
      <c r="B4619" t="s">
        <v>80</v>
      </c>
      <c r="C4619" s="2">
        <f>HYPERLINK("https://cao.dolgi.msk.ru/account/1080239533/", 1080239533)</f>
        <v>1080239533</v>
      </c>
      <c r="D4619" t="s">
        <v>3874</v>
      </c>
      <c r="E4619">
        <v>-3873.16</v>
      </c>
      <c r="F4619">
        <v>-1.1200000000000001</v>
      </c>
      <c r="G4619" t="s">
        <v>12</v>
      </c>
      <c r="I4619" t="s">
        <v>1428</v>
      </c>
    </row>
    <row r="4620" spans="1:9" hidden="1" x14ac:dyDescent="0.25">
      <c r="A4620" t="s">
        <v>3848</v>
      </c>
      <c r="B4620" t="s">
        <v>82</v>
      </c>
      <c r="C4620" s="2">
        <f>HYPERLINK("https://cao.dolgi.msk.ru/account/1080239541/", 1080239541)</f>
        <v>1080239541</v>
      </c>
      <c r="D4620" t="s">
        <v>3875</v>
      </c>
      <c r="E4620">
        <v>-9846.8799999999992</v>
      </c>
      <c r="F4620">
        <v>-1.39</v>
      </c>
      <c r="G4620" t="s">
        <v>12</v>
      </c>
      <c r="I4620" t="s">
        <v>1428</v>
      </c>
    </row>
    <row r="4621" spans="1:9" hidden="1" x14ac:dyDescent="0.25">
      <c r="A4621" t="s">
        <v>3848</v>
      </c>
      <c r="B4621" t="s">
        <v>84</v>
      </c>
      <c r="C4621" s="2">
        <f>HYPERLINK("https://cao.dolgi.msk.ru/account/1080239568/", 1080239568)</f>
        <v>1080239568</v>
      </c>
      <c r="D4621" t="s">
        <v>3876</v>
      </c>
      <c r="E4621">
        <v>0</v>
      </c>
      <c r="F4621">
        <v>0</v>
      </c>
      <c r="G4621" t="s">
        <v>12</v>
      </c>
      <c r="I4621" t="s">
        <v>1428</v>
      </c>
    </row>
    <row r="4622" spans="1:9" hidden="1" x14ac:dyDescent="0.25">
      <c r="A4622" t="s">
        <v>3848</v>
      </c>
      <c r="B4622" t="s">
        <v>86</v>
      </c>
      <c r="C4622" s="2">
        <f>HYPERLINK("https://cao.dolgi.msk.ru/account/1080320788/", 1080320788)</f>
        <v>1080320788</v>
      </c>
      <c r="D4622" t="s">
        <v>3877</v>
      </c>
      <c r="E4622">
        <v>-5094.95</v>
      </c>
      <c r="F4622">
        <v>-1.17</v>
      </c>
      <c r="G4622" t="s">
        <v>12</v>
      </c>
      <c r="I4622" t="s">
        <v>1428</v>
      </c>
    </row>
    <row r="4623" spans="1:9" hidden="1" x14ac:dyDescent="0.25">
      <c r="A4623" t="s">
        <v>3848</v>
      </c>
      <c r="B4623" t="s">
        <v>92</v>
      </c>
      <c r="C4623" s="2">
        <f>HYPERLINK("https://cao.dolgi.msk.ru/account/1080239576/", 1080239576)</f>
        <v>1080239576</v>
      </c>
      <c r="D4623" t="s">
        <v>3878</v>
      </c>
      <c r="E4623">
        <v>-9939.06</v>
      </c>
      <c r="F4623">
        <v>-1.23</v>
      </c>
      <c r="G4623" t="s">
        <v>12</v>
      </c>
      <c r="I4623" t="s">
        <v>1428</v>
      </c>
    </row>
    <row r="4624" spans="1:9" hidden="1" x14ac:dyDescent="0.25">
      <c r="A4624" t="s">
        <v>3848</v>
      </c>
      <c r="B4624" t="s">
        <v>94</v>
      </c>
      <c r="C4624" s="2">
        <f>HYPERLINK("https://cao.dolgi.msk.ru/account/1080239584/", 1080239584)</f>
        <v>1080239584</v>
      </c>
      <c r="D4624" t="s">
        <v>3879</v>
      </c>
      <c r="E4624">
        <v>-5565.96</v>
      </c>
      <c r="F4624">
        <v>-1.1499999999999999</v>
      </c>
      <c r="G4624" t="s">
        <v>12</v>
      </c>
      <c r="I4624" t="s">
        <v>1428</v>
      </c>
    </row>
    <row r="4625" spans="1:9" hidden="1" x14ac:dyDescent="0.25">
      <c r="A4625" t="s">
        <v>3848</v>
      </c>
      <c r="B4625" t="s">
        <v>96</v>
      </c>
      <c r="C4625" s="2">
        <f>HYPERLINK("https://cao.dolgi.msk.ru/account/1080239592/", 1080239592)</f>
        <v>1080239592</v>
      </c>
      <c r="D4625" t="s">
        <v>3880</v>
      </c>
      <c r="E4625">
        <v>2110.34</v>
      </c>
      <c r="F4625">
        <v>0.31</v>
      </c>
      <c r="G4625" t="s">
        <v>12</v>
      </c>
      <c r="I4625" t="s">
        <v>1428</v>
      </c>
    </row>
    <row r="4626" spans="1:9" hidden="1" x14ac:dyDescent="0.25">
      <c r="A4626" t="s">
        <v>3848</v>
      </c>
      <c r="B4626" t="s">
        <v>98</v>
      </c>
      <c r="C4626" s="2">
        <f>HYPERLINK("https://cao.dolgi.msk.ru/account/1080239605/", 1080239605)</f>
        <v>1080239605</v>
      </c>
      <c r="D4626" t="s">
        <v>3881</v>
      </c>
      <c r="E4626">
        <v>-11345.59</v>
      </c>
      <c r="F4626">
        <v>-2.08</v>
      </c>
      <c r="G4626" t="s">
        <v>12</v>
      </c>
      <c r="I4626" t="s">
        <v>1428</v>
      </c>
    </row>
    <row r="4627" spans="1:9" hidden="1" x14ac:dyDescent="0.25">
      <c r="A4627" t="s">
        <v>3848</v>
      </c>
      <c r="B4627" t="s">
        <v>100</v>
      </c>
      <c r="C4627" s="2">
        <f>HYPERLINK("https://cao.dolgi.msk.ru/account/1080239613/", 1080239613)</f>
        <v>1080239613</v>
      </c>
      <c r="D4627" t="s">
        <v>3882</v>
      </c>
      <c r="E4627">
        <v>0</v>
      </c>
      <c r="F4627">
        <v>0</v>
      </c>
      <c r="G4627" t="s">
        <v>12</v>
      </c>
      <c r="I4627" t="s">
        <v>1428</v>
      </c>
    </row>
    <row r="4628" spans="1:9" hidden="1" x14ac:dyDescent="0.25">
      <c r="A4628" t="s">
        <v>3848</v>
      </c>
      <c r="B4628" t="s">
        <v>102</v>
      </c>
      <c r="C4628" s="2">
        <f>HYPERLINK("https://cao.dolgi.msk.ru/account/1080239621/", 1080239621)</f>
        <v>1080239621</v>
      </c>
      <c r="D4628" t="s">
        <v>3883</v>
      </c>
      <c r="E4628">
        <v>-790.71</v>
      </c>
      <c r="F4628">
        <v>-0.15</v>
      </c>
      <c r="G4628" t="s">
        <v>12</v>
      </c>
      <c r="I4628" t="s">
        <v>1428</v>
      </c>
    </row>
    <row r="4629" spans="1:9" hidden="1" x14ac:dyDescent="0.25">
      <c r="A4629" t="s">
        <v>3848</v>
      </c>
      <c r="B4629" t="s">
        <v>104</v>
      </c>
      <c r="C4629" s="2">
        <f>HYPERLINK("https://cao.dolgi.msk.ru/account/1080239648/", 1080239648)</f>
        <v>1080239648</v>
      </c>
      <c r="D4629" t="s">
        <v>3884</v>
      </c>
      <c r="E4629">
        <v>-9351</v>
      </c>
      <c r="F4629">
        <v>-1.04</v>
      </c>
      <c r="G4629" t="s">
        <v>12</v>
      </c>
      <c r="I4629" t="s">
        <v>1428</v>
      </c>
    </row>
    <row r="4630" spans="1:9" x14ac:dyDescent="0.25">
      <c r="A4630" t="s">
        <v>3848</v>
      </c>
      <c r="B4630" t="s">
        <v>106</v>
      </c>
      <c r="C4630" s="2">
        <f>HYPERLINK("https://cao.dolgi.msk.ru/account/1080239656/", 1080239656)</f>
        <v>1080239656</v>
      </c>
      <c r="D4630" t="s">
        <v>3885</v>
      </c>
      <c r="E4630">
        <v>10192.26</v>
      </c>
      <c r="F4630">
        <v>2.0299999999999998</v>
      </c>
      <c r="G4630" t="s">
        <v>12</v>
      </c>
      <c r="I4630" t="s">
        <v>1428</v>
      </c>
    </row>
    <row r="4631" spans="1:9" hidden="1" x14ac:dyDescent="0.25">
      <c r="A4631" t="s">
        <v>3848</v>
      </c>
      <c r="B4631" t="s">
        <v>108</v>
      </c>
      <c r="C4631" s="2">
        <f>HYPERLINK("https://cao.dolgi.msk.ru/account/1080239664/", 1080239664)</f>
        <v>1080239664</v>
      </c>
      <c r="D4631" t="s">
        <v>3886</v>
      </c>
      <c r="E4631">
        <v>0</v>
      </c>
      <c r="F4631">
        <v>0</v>
      </c>
      <c r="G4631" t="s">
        <v>12</v>
      </c>
      <c r="I4631" t="s">
        <v>1428</v>
      </c>
    </row>
    <row r="4632" spans="1:9" x14ac:dyDescent="0.25">
      <c r="A4632" t="s">
        <v>3848</v>
      </c>
      <c r="B4632" t="s">
        <v>110</v>
      </c>
      <c r="C4632" s="2">
        <f>HYPERLINK("https://cao.dolgi.msk.ru/account/1080239701/", 1080239701)</f>
        <v>1080239701</v>
      </c>
      <c r="D4632" t="s">
        <v>3887</v>
      </c>
      <c r="E4632">
        <v>14102.18</v>
      </c>
      <c r="F4632">
        <v>2</v>
      </c>
      <c r="G4632" t="s">
        <v>12</v>
      </c>
      <c r="I4632" t="s">
        <v>1428</v>
      </c>
    </row>
    <row r="4633" spans="1:9" hidden="1" x14ac:dyDescent="0.25">
      <c r="A4633" t="s">
        <v>3848</v>
      </c>
      <c r="B4633" t="s">
        <v>112</v>
      </c>
      <c r="C4633" s="2">
        <f>HYPERLINK("https://cao.dolgi.msk.ru/account/1080239672/", 1080239672)</f>
        <v>1080239672</v>
      </c>
      <c r="D4633" t="s">
        <v>3888</v>
      </c>
      <c r="E4633">
        <v>-2799.51</v>
      </c>
      <c r="F4633">
        <v>-0.64</v>
      </c>
      <c r="G4633" t="s">
        <v>12</v>
      </c>
      <c r="I4633" t="s">
        <v>1428</v>
      </c>
    </row>
    <row r="4634" spans="1:9" hidden="1" x14ac:dyDescent="0.25">
      <c r="A4634" t="s">
        <v>3848</v>
      </c>
      <c r="B4634" t="s">
        <v>114</v>
      </c>
      <c r="C4634" s="2">
        <f>HYPERLINK("https://cao.dolgi.msk.ru/account/1080239699/", 1080239699)</f>
        <v>1080239699</v>
      </c>
      <c r="D4634" t="s">
        <v>3889</v>
      </c>
      <c r="E4634">
        <v>-21827.99</v>
      </c>
      <c r="F4634">
        <v>-2.4300000000000002</v>
      </c>
      <c r="G4634" t="s">
        <v>12</v>
      </c>
      <c r="I4634" t="s">
        <v>1428</v>
      </c>
    </row>
    <row r="4635" spans="1:9" hidden="1" x14ac:dyDescent="0.25">
      <c r="A4635" t="s">
        <v>3890</v>
      </c>
      <c r="B4635" t="s">
        <v>10</v>
      </c>
      <c r="C4635" s="2">
        <f>HYPERLINK("https://cao.dolgi.msk.ru/account/1080239728/", 1080239728)</f>
        <v>1080239728</v>
      </c>
      <c r="D4635" t="s">
        <v>15</v>
      </c>
      <c r="G4635" t="s">
        <v>14</v>
      </c>
      <c r="I4635" t="s">
        <v>1428</v>
      </c>
    </row>
    <row r="4636" spans="1:9" hidden="1" x14ac:dyDescent="0.25">
      <c r="A4636" t="s">
        <v>3890</v>
      </c>
      <c r="B4636" t="s">
        <v>10</v>
      </c>
      <c r="C4636" s="2">
        <f>HYPERLINK("https://cao.dolgi.msk.ru/account/1080239736/", 1080239736)</f>
        <v>1080239736</v>
      </c>
      <c r="D4636" t="s">
        <v>3891</v>
      </c>
      <c r="E4636">
        <v>-2082.42</v>
      </c>
      <c r="F4636">
        <v>-0.96</v>
      </c>
      <c r="G4636" t="s">
        <v>12</v>
      </c>
      <c r="I4636" t="s">
        <v>1428</v>
      </c>
    </row>
    <row r="4637" spans="1:9" hidden="1" x14ac:dyDescent="0.25">
      <c r="A4637" t="s">
        <v>3890</v>
      </c>
      <c r="B4637" t="s">
        <v>10</v>
      </c>
      <c r="C4637" s="2">
        <f>HYPERLINK("https://cao.dolgi.msk.ru/account/1080239744/", 1080239744)</f>
        <v>1080239744</v>
      </c>
      <c r="D4637" t="s">
        <v>15</v>
      </c>
      <c r="G4637" t="s">
        <v>14</v>
      </c>
      <c r="I4637" t="s">
        <v>1428</v>
      </c>
    </row>
    <row r="4638" spans="1:9" hidden="1" x14ac:dyDescent="0.25">
      <c r="A4638" t="s">
        <v>3890</v>
      </c>
      <c r="B4638" t="s">
        <v>10</v>
      </c>
      <c r="C4638" s="2">
        <f>HYPERLINK("https://cao.dolgi.msk.ru/account/1089119175/", 1089119175)</f>
        <v>1089119175</v>
      </c>
      <c r="D4638" t="s">
        <v>3891</v>
      </c>
      <c r="E4638">
        <v>-3438.5</v>
      </c>
      <c r="F4638">
        <v>-1.01</v>
      </c>
      <c r="G4638" t="s">
        <v>12</v>
      </c>
      <c r="I4638" t="s">
        <v>1428</v>
      </c>
    </row>
    <row r="4639" spans="1:9" hidden="1" x14ac:dyDescent="0.25">
      <c r="A4639" t="s">
        <v>3890</v>
      </c>
      <c r="B4639" t="s">
        <v>16</v>
      </c>
      <c r="C4639" s="2">
        <f>HYPERLINK("https://cao.dolgi.msk.ru/account/1080239752/", 1080239752)</f>
        <v>1080239752</v>
      </c>
      <c r="D4639" t="s">
        <v>3892</v>
      </c>
      <c r="E4639">
        <v>-6412.57</v>
      </c>
      <c r="F4639">
        <v>-1.01</v>
      </c>
      <c r="G4639" t="s">
        <v>12</v>
      </c>
      <c r="I4639" t="s">
        <v>1428</v>
      </c>
    </row>
    <row r="4640" spans="1:9" hidden="1" x14ac:dyDescent="0.25">
      <c r="A4640" t="s">
        <v>3890</v>
      </c>
      <c r="B4640" t="s">
        <v>18</v>
      </c>
      <c r="C4640" s="2">
        <f>HYPERLINK("https://cao.dolgi.msk.ru/account/1080239779/", 1080239779)</f>
        <v>1080239779</v>
      </c>
      <c r="D4640" t="s">
        <v>3893</v>
      </c>
      <c r="E4640">
        <v>-7452.9</v>
      </c>
      <c r="F4640">
        <v>-1.05</v>
      </c>
      <c r="G4640" t="s">
        <v>12</v>
      </c>
      <c r="I4640" t="s">
        <v>1428</v>
      </c>
    </row>
    <row r="4641" spans="1:9" hidden="1" x14ac:dyDescent="0.25">
      <c r="A4641" t="s">
        <v>3890</v>
      </c>
      <c r="B4641" t="s">
        <v>20</v>
      </c>
      <c r="C4641" s="2">
        <f>HYPERLINK("https://cao.dolgi.msk.ru/account/1080239787/", 1080239787)</f>
        <v>1080239787</v>
      </c>
      <c r="D4641" t="s">
        <v>3894</v>
      </c>
      <c r="E4641">
        <v>-6909.25</v>
      </c>
      <c r="F4641">
        <v>-0.73</v>
      </c>
      <c r="G4641" t="s">
        <v>12</v>
      </c>
      <c r="I4641" t="s">
        <v>1428</v>
      </c>
    </row>
    <row r="4642" spans="1:9" hidden="1" x14ac:dyDescent="0.25">
      <c r="A4642" t="s">
        <v>3890</v>
      </c>
      <c r="B4642" t="s">
        <v>21</v>
      </c>
      <c r="C4642" s="2">
        <f>HYPERLINK("https://cao.dolgi.msk.ru/account/1080239795/", 1080239795)</f>
        <v>1080239795</v>
      </c>
      <c r="D4642" t="s">
        <v>3895</v>
      </c>
      <c r="E4642">
        <v>-3305.29</v>
      </c>
      <c r="F4642">
        <v>-1.01</v>
      </c>
      <c r="G4642" t="s">
        <v>12</v>
      </c>
      <c r="I4642" t="s">
        <v>1428</v>
      </c>
    </row>
    <row r="4643" spans="1:9" hidden="1" x14ac:dyDescent="0.25">
      <c r="A4643" t="s">
        <v>3890</v>
      </c>
      <c r="B4643" t="s">
        <v>22</v>
      </c>
      <c r="C4643" s="2">
        <f>HYPERLINK("https://cao.dolgi.msk.ru/account/1080239808/", 1080239808)</f>
        <v>1080239808</v>
      </c>
      <c r="D4643" t="s">
        <v>3896</v>
      </c>
      <c r="E4643">
        <v>-2227.2199999999998</v>
      </c>
      <c r="F4643">
        <v>-1.05</v>
      </c>
      <c r="G4643" t="s">
        <v>12</v>
      </c>
      <c r="I4643" t="s">
        <v>1428</v>
      </c>
    </row>
    <row r="4644" spans="1:9" hidden="1" x14ac:dyDescent="0.25">
      <c r="A4644" t="s">
        <v>3890</v>
      </c>
      <c r="B4644" t="s">
        <v>22</v>
      </c>
      <c r="C4644" s="2">
        <f>HYPERLINK("https://cao.dolgi.msk.ru/account/1089124927/", 1089124927)</f>
        <v>1089124927</v>
      </c>
      <c r="D4644" t="s">
        <v>15</v>
      </c>
      <c r="E4644">
        <v>-2080.4299999999998</v>
      </c>
      <c r="F4644">
        <v>-1.32</v>
      </c>
      <c r="G4644" t="s">
        <v>12</v>
      </c>
      <c r="I4644" t="s">
        <v>1428</v>
      </c>
    </row>
    <row r="4645" spans="1:9" hidden="1" x14ac:dyDescent="0.25">
      <c r="A4645" t="s">
        <v>3890</v>
      </c>
      <c r="B4645" t="s">
        <v>23</v>
      </c>
      <c r="C4645" s="2">
        <f>HYPERLINK("https://cao.dolgi.msk.ru/account/1080239816/", 1080239816)</f>
        <v>1080239816</v>
      </c>
      <c r="D4645" t="s">
        <v>3897</v>
      </c>
      <c r="E4645">
        <v>-4851.5200000000004</v>
      </c>
      <c r="F4645">
        <v>-0.91</v>
      </c>
      <c r="G4645" t="s">
        <v>12</v>
      </c>
      <c r="I4645" t="s">
        <v>1428</v>
      </c>
    </row>
    <row r="4646" spans="1:9" hidden="1" x14ac:dyDescent="0.25">
      <c r="A4646" t="s">
        <v>3890</v>
      </c>
      <c r="B4646" t="s">
        <v>24</v>
      </c>
      <c r="C4646" s="2">
        <f>HYPERLINK("https://cao.dolgi.msk.ru/account/1080239824/", 1080239824)</f>
        <v>1080239824</v>
      </c>
      <c r="D4646" t="s">
        <v>3898</v>
      </c>
      <c r="E4646">
        <v>-3578.15</v>
      </c>
      <c r="F4646">
        <v>-1.01</v>
      </c>
      <c r="G4646" t="s">
        <v>12</v>
      </c>
      <c r="I4646" t="s">
        <v>1428</v>
      </c>
    </row>
    <row r="4647" spans="1:9" hidden="1" x14ac:dyDescent="0.25">
      <c r="A4647" t="s">
        <v>3890</v>
      </c>
      <c r="B4647" t="s">
        <v>27</v>
      </c>
      <c r="C4647" s="2">
        <f>HYPERLINK("https://cao.dolgi.msk.ru/account/1080239832/", 1080239832)</f>
        <v>1080239832</v>
      </c>
      <c r="D4647" t="s">
        <v>3899</v>
      </c>
      <c r="E4647">
        <v>-6232.17</v>
      </c>
      <c r="F4647">
        <v>-1.06</v>
      </c>
      <c r="G4647" t="s">
        <v>12</v>
      </c>
      <c r="I4647" t="s">
        <v>1428</v>
      </c>
    </row>
    <row r="4648" spans="1:9" hidden="1" x14ac:dyDescent="0.25">
      <c r="A4648" t="s">
        <v>3890</v>
      </c>
      <c r="B4648" t="s">
        <v>29</v>
      </c>
      <c r="C4648" s="2">
        <f>HYPERLINK("https://cao.dolgi.msk.ru/account/1080239859/", 1080239859)</f>
        <v>1080239859</v>
      </c>
      <c r="D4648" t="s">
        <v>3900</v>
      </c>
      <c r="E4648">
        <v>-8544.91</v>
      </c>
      <c r="F4648">
        <v>-1</v>
      </c>
      <c r="G4648" t="s">
        <v>12</v>
      </c>
      <c r="I4648" t="s">
        <v>1428</v>
      </c>
    </row>
    <row r="4649" spans="1:9" hidden="1" x14ac:dyDescent="0.25">
      <c r="A4649" t="s">
        <v>3890</v>
      </c>
      <c r="B4649" t="s">
        <v>31</v>
      </c>
      <c r="C4649" s="2">
        <f>HYPERLINK("https://cao.dolgi.msk.ru/account/1080239867/", 1080239867)</f>
        <v>1080239867</v>
      </c>
      <c r="D4649" t="s">
        <v>3901</v>
      </c>
      <c r="E4649">
        <v>-3181.42</v>
      </c>
      <c r="F4649">
        <v>-1.03</v>
      </c>
      <c r="G4649" t="s">
        <v>12</v>
      </c>
      <c r="I4649" t="s">
        <v>1428</v>
      </c>
    </row>
    <row r="4650" spans="1:9" hidden="1" x14ac:dyDescent="0.25">
      <c r="A4650" t="s">
        <v>3890</v>
      </c>
      <c r="B4650" t="s">
        <v>33</v>
      </c>
      <c r="C4650" s="2">
        <f>HYPERLINK("https://cao.dolgi.msk.ru/account/1080239875/", 1080239875)</f>
        <v>1080239875</v>
      </c>
      <c r="D4650" t="s">
        <v>3902</v>
      </c>
      <c r="E4650">
        <v>-6444.3</v>
      </c>
      <c r="F4650">
        <v>-1.1499999999999999</v>
      </c>
      <c r="G4650" t="s">
        <v>12</v>
      </c>
      <c r="I4650" t="s">
        <v>1428</v>
      </c>
    </row>
    <row r="4651" spans="1:9" hidden="1" x14ac:dyDescent="0.25">
      <c r="A4651" t="s">
        <v>3890</v>
      </c>
      <c r="B4651" t="s">
        <v>34</v>
      </c>
      <c r="C4651" s="2">
        <f>HYPERLINK("https://cao.dolgi.msk.ru/account/1080239883/", 1080239883)</f>
        <v>1080239883</v>
      </c>
      <c r="D4651" t="s">
        <v>3903</v>
      </c>
      <c r="E4651">
        <v>38.799999999999997</v>
      </c>
      <c r="F4651">
        <v>0</v>
      </c>
      <c r="G4651" t="s">
        <v>12</v>
      </c>
      <c r="I4651" t="s">
        <v>1428</v>
      </c>
    </row>
    <row r="4652" spans="1:9" hidden="1" x14ac:dyDescent="0.25">
      <c r="A4652" t="s">
        <v>3890</v>
      </c>
      <c r="B4652" t="s">
        <v>36</v>
      </c>
      <c r="C4652" s="2">
        <f>HYPERLINK("https://cao.dolgi.msk.ru/account/1080239891/", 1080239891)</f>
        <v>1080239891</v>
      </c>
      <c r="D4652" t="s">
        <v>3904</v>
      </c>
      <c r="E4652">
        <v>-4742</v>
      </c>
      <c r="F4652">
        <v>-1.34</v>
      </c>
      <c r="G4652" t="s">
        <v>12</v>
      </c>
      <c r="I4652" t="s">
        <v>1428</v>
      </c>
    </row>
    <row r="4653" spans="1:9" hidden="1" x14ac:dyDescent="0.25">
      <c r="A4653" t="s">
        <v>3890</v>
      </c>
      <c r="B4653" t="s">
        <v>38</v>
      </c>
      <c r="C4653" s="2">
        <f>HYPERLINK("https://cao.dolgi.msk.ru/account/1080239904/", 1080239904)</f>
        <v>1080239904</v>
      </c>
      <c r="D4653" t="s">
        <v>3905</v>
      </c>
      <c r="E4653">
        <v>-9090.34</v>
      </c>
      <c r="F4653">
        <v>-0.95</v>
      </c>
      <c r="G4653" t="s">
        <v>12</v>
      </c>
      <c r="I4653" t="s">
        <v>1428</v>
      </c>
    </row>
    <row r="4654" spans="1:9" x14ac:dyDescent="0.25">
      <c r="A4654" t="s">
        <v>3890</v>
      </c>
      <c r="B4654" t="s">
        <v>39</v>
      </c>
      <c r="C4654" s="2">
        <f>HYPERLINK("https://cao.dolgi.msk.ru/account/1080239912/", 1080239912)</f>
        <v>1080239912</v>
      </c>
      <c r="D4654" t="s">
        <v>3906</v>
      </c>
      <c r="E4654">
        <v>6402.69</v>
      </c>
      <c r="F4654">
        <v>1.06</v>
      </c>
      <c r="G4654" t="s">
        <v>12</v>
      </c>
      <c r="I4654" t="s">
        <v>1428</v>
      </c>
    </row>
    <row r="4655" spans="1:9" hidden="1" x14ac:dyDescent="0.25">
      <c r="A4655" t="s">
        <v>3890</v>
      </c>
      <c r="B4655" t="s">
        <v>40</v>
      </c>
      <c r="C4655" s="2">
        <f>HYPERLINK("https://cao.dolgi.msk.ru/account/1080239939/", 1080239939)</f>
        <v>1080239939</v>
      </c>
      <c r="D4655" t="s">
        <v>3907</v>
      </c>
      <c r="E4655">
        <v>-4000.04</v>
      </c>
      <c r="F4655">
        <v>-1.25</v>
      </c>
      <c r="G4655" t="s">
        <v>12</v>
      </c>
      <c r="I4655" t="s">
        <v>1428</v>
      </c>
    </row>
    <row r="4656" spans="1:9" x14ac:dyDescent="0.25">
      <c r="A4656" t="s">
        <v>3890</v>
      </c>
      <c r="B4656" t="s">
        <v>41</v>
      </c>
      <c r="C4656" s="2">
        <f>HYPERLINK("https://cao.dolgi.msk.ru/account/1080239947/", 1080239947)</f>
        <v>1080239947</v>
      </c>
      <c r="D4656" t="s">
        <v>3908</v>
      </c>
      <c r="E4656">
        <v>7500.14</v>
      </c>
      <c r="F4656">
        <v>1.64</v>
      </c>
      <c r="G4656" t="s">
        <v>12</v>
      </c>
      <c r="I4656" t="s">
        <v>1428</v>
      </c>
    </row>
    <row r="4657" spans="1:9" hidden="1" x14ac:dyDescent="0.25">
      <c r="A4657" t="s">
        <v>3890</v>
      </c>
      <c r="B4657" t="s">
        <v>42</v>
      </c>
      <c r="C4657" s="2">
        <f>HYPERLINK("https://cao.dolgi.msk.ru/account/1080239955/", 1080239955)</f>
        <v>1080239955</v>
      </c>
      <c r="D4657" t="s">
        <v>3909</v>
      </c>
      <c r="E4657">
        <v>-26007.22</v>
      </c>
      <c r="F4657">
        <v>-3.04</v>
      </c>
      <c r="G4657" t="s">
        <v>12</v>
      </c>
      <c r="I4657" t="s">
        <v>1428</v>
      </c>
    </row>
    <row r="4658" spans="1:9" hidden="1" x14ac:dyDescent="0.25">
      <c r="A4658" t="s">
        <v>3890</v>
      </c>
      <c r="B4658" t="s">
        <v>44</v>
      </c>
      <c r="C4658" s="2">
        <f>HYPERLINK("https://cao.dolgi.msk.ru/account/1080239963/", 1080239963)</f>
        <v>1080239963</v>
      </c>
      <c r="D4658" t="s">
        <v>3910</v>
      </c>
      <c r="E4658">
        <v>-49.31</v>
      </c>
      <c r="F4658">
        <v>-0.02</v>
      </c>
      <c r="G4658" t="s">
        <v>12</v>
      </c>
      <c r="I4658" t="s">
        <v>1428</v>
      </c>
    </row>
    <row r="4659" spans="1:9" hidden="1" x14ac:dyDescent="0.25">
      <c r="A4659" t="s">
        <v>3890</v>
      </c>
      <c r="B4659" t="s">
        <v>66</v>
      </c>
      <c r="C4659" s="2">
        <f>HYPERLINK("https://cao.dolgi.msk.ru/account/1080239998/", 1080239998)</f>
        <v>1080239998</v>
      </c>
      <c r="D4659" t="s">
        <v>3911</v>
      </c>
      <c r="E4659">
        <v>-4453.4799999999996</v>
      </c>
      <c r="F4659">
        <v>-1.0900000000000001</v>
      </c>
      <c r="G4659" t="s">
        <v>12</v>
      </c>
      <c r="I4659" t="s">
        <v>1428</v>
      </c>
    </row>
    <row r="4660" spans="1:9" hidden="1" x14ac:dyDescent="0.25">
      <c r="A4660" t="s">
        <v>3890</v>
      </c>
      <c r="B4660" t="s">
        <v>68</v>
      </c>
      <c r="C4660" s="2">
        <f>HYPERLINK("https://cao.dolgi.msk.ru/account/1080240008/", 1080240008)</f>
        <v>1080240008</v>
      </c>
      <c r="D4660" t="s">
        <v>1682</v>
      </c>
      <c r="E4660">
        <v>-5664.56</v>
      </c>
      <c r="F4660">
        <v>-1.04</v>
      </c>
      <c r="G4660" t="s">
        <v>12</v>
      </c>
      <c r="I4660" t="s">
        <v>1428</v>
      </c>
    </row>
    <row r="4661" spans="1:9" hidden="1" x14ac:dyDescent="0.25">
      <c r="A4661" t="s">
        <v>3890</v>
      </c>
      <c r="B4661" t="s">
        <v>70</v>
      </c>
      <c r="C4661" s="2">
        <f>HYPERLINK("https://cao.dolgi.msk.ru/account/1080240016/", 1080240016)</f>
        <v>1080240016</v>
      </c>
      <c r="D4661" t="s">
        <v>3912</v>
      </c>
      <c r="E4661">
        <v>-96</v>
      </c>
      <c r="G4661" t="s">
        <v>14</v>
      </c>
      <c r="I4661" t="s">
        <v>1428</v>
      </c>
    </row>
    <row r="4662" spans="1:9" hidden="1" x14ac:dyDescent="0.25">
      <c r="A4662" t="s">
        <v>3890</v>
      </c>
      <c r="B4662" t="s">
        <v>70</v>
      </c>
      <c r="C4662" s="2">
        <f>HYPERLINK("https://cao.dolgi.msk.ru/account/1089124601/", 1089124601)</f>
        <v>1089124601</v>
      </c>
      <c r="D4662" t="s">
        <v>3913</v>
      </c>
      <c r="E4662">
        <v>-4454.1400000000003</v>
      </c>
      <c r="F4662">
        <v>-0.95</v>
      </c>
      <c r="G4662" t="s">
        <v>12</v>
      </c>
      <c r="I4662" t="s">
        <v>1428</v>
      </c>
    </row>
    <row r="4663" spans="1:9" hidden="1" x14ac:dyDescent="0.25">
      <c r="A4663" t="s">
        <v>3890</v>
      </c>
      <c r="B4663" t="s">
        <v>72</v>
      </c>
      <c r="C4663" s="2">
        <f>HYPERLINK("https://cao.dolgi.msk.ru/account/1080240024/", 1080240024)</f>
        <v>1080240024</v>
      </c>
      <c r="D4663" t="s">
        <v>3914</v>
      </c>
      <c r="E4663">
        <v>-4466.1899999999996</v>
      </c>
      <c r="F4663">
        <v>-0.99</v>
      </c>
      <c r="G4663" t="s">
        <v>12</v>
      </c>
      <c r="I4663" t="s">
        <v>1428</v>
      </c>
    </row>
    <row r="4664" spans="1:9" hidden="1" x14ac:dyDescent="0.25">
      <c r="A4664" t="s">
        <v>3890</v>
      </c>
      <c r="B4664" t="s">
        <v>74</v>
      </c>
      <c r="C4664" s="2">
        <f>HYPERLINK("https://cao.dolgi.msk.ru/account/1080240032/", 1080240032)</f>
        <v>1080240032</v>
      </c>
      <c r="D4664" t="s">
        <v>3915</v>
      </c>
      <c r="E4664">
        <v>-4453.3599999999997</v>
      </c>
      <c r="F4664">
        <v>-1.06</v>
      </c>
      <c r="G4664" t="s">
        <v>12</v>
      </c>
      <c r="I4664" t="s">
        <v>1428</v>
      </c>
    </row>
    <row r="4665" spans="1:9" hidden="1" x14ac:dyDescent="0.25">
      <c r="A4665" t="s">
        <v>3890</v>
      </c>
      <c r="B4665" t="s">
        <v>76</v>
      </c>
      <c r="C4665" s="2">
        <f>HYPERLINK("https://cao.dolgi.msk.ru/account/1080240059/", 1080240059)</f>
        <v>1080240059</v>
      </c>
      <c r="D4665" t="s">
        <v>3916</v>
      </c>
      <c r="E4665">
        <v>-3021.53</v>
      </c>
      <c r="F4665">
        <v>-1.07</v>
      </c>
      <c r="G4665" t="s">
        <v>12</v>
      </c>
      <c r="I4665" t="s">
        <v>1428</v>
      </c>
    </row>
    <row r="4666" spans="1:9" hidden="1" x14ac:dyDescent="0.25">
      <c r="A4666" t="s">
        <v>3890</v>
      </c>
      <c r="B4666" t="s">
        <v>78</v>
      </c>
      <c r="C4666" s="2">
        <f>HYPERLINK("https://cao.dolgi.msk.ru/account/1080240067/", 1080240067)</f>
        <v>1080240067</v>
      </c>
      <c r="D4666" t="s">
        <v>3917</v>
      </c>
      <c r="E4666">
        <v>-7786.61</v>
      </c>
      <c r="F4666">
        <v>-1.05</v>
      </c>
      <c r="G4666" t="s">
        <v>12</v>
      </c>
      <c r="I4666" t="s">
        <v>1428</v>
      </c>
    </row>
    <row r="4667" spans="1:9" hidden="1" x14ac:dyDescent="0.25">
      <c r="A4667" t="s">
        <v>3890</v>
      </c>
      <c r="B4667" t="s">
        <v>80</v>
      </c>
      <c r="C4667" s="2">
        <f>HYPERLINK("https://cao.dolgi.msk.ru/account/1080240075/", 1080240075)</f>
        <v>1080240075</v>
      </c>
      <c r="D4667" t="s">
        <v>3918</v>
      </c>
      <c r="E4667">
        <v>-525.35</v>
      </c>
      <c r="F4667">
        <v>-0.09</v>
      </c>
      <c r="G4667" t="s">
        <v>12</v>
      </c>
      <c r="I4667" t="s">
        <v>1428</v>
      </c>
    </row>
    <row r="4668" spans="1:9" hidden="1" x14ac:dyDescent="0.25">
      <c r="A4668" t="s">
        <v>3890</v>
      </c>
      <c r="B4668" t="s">
        <v>82</v>
      </c>
      <c r="C4668" s="2">
        <f>HYPERLINK("https://cao.dolgi.msk.ru/account/1080240083/", 1080240083)</f>
        <v>1080240083</v>
      </c>
      <c r="D4668" t="s">
        <v>3919</v>
      </c>
      <c r="E4668">
        <v>-1851.79</v>
      </c>
      <c r="F4668">
        <v>-0.98</v>
      </c>
      <c r="G4668" t="s">
        <v>12</v>
      </c>
      <c r="I4668" t="s">
        <v>1428</v>
      </c>
    </row>
    <row r="4669" spans="1:9" hidden="1" x14ac:dyDescent="0.25">
      <c r="A4669" t="s">
        <v>3890</v>
      </c>
      <c r="B4669" t="s">
        <v>84</v>
      </c>
      <c r="C4669" s="2">
        <f>HYPERLINK("https://cao.dolgi.msk.ru/account/1080240091/", 1080240091)</f>
        <v>1080240091</v>
      </c>
      <c r="D4669" t="s">
        <v>3920</v>
      </c>
      <c r="E4669">
        <v>-16.190000000000001</v>
      </c>
      <c r="F4669">
        <v>0</v>
      </c>
      <c r="G4669" t="s">
        <v>12</v>
      </c>
      <c r="I4669" t="s">
        <v>1428</v>
      </c>
    </row>
    <row r="4670" spans="1:9" hidden="1" x14ac:dyDescent="0.25">
      <c r="A4670" t="s">
        <v>3921</v>
      </c>
      <c r="B4670" t="s">
        <v>10</v>
      </c>
      <c r="C4670" s="2">
        <f>HYPERLINK("https://cao.dolgi.msk.ru/account/1080240104/", 1080240104)</f>
        <v>1080240104</v>
      </c>
      <c r="D4670" t="s">
        <v>3922</v>
      </c>
      <c r="E4670">
        <v>-8043.33</v>
      </c>
      <c r="F4670">
        <v>-1.0900000000000001</v>
      </c>
      <c r="G4670" t="s">
        <v>12</v>
      </c>
      <c r="I4670" t="s">
        <v>1428</v>
      </c>
    </row>
    <row r="4671" spans="1:9" hidden="1" x14ac:dyDescent="0.25">
      <c r="A4671" t="s">
        <v>3921</v>
      </c>
      <c r="B4671" t="s">
        <v>16</v>
      </c>
      <c r="C4671" s="2">
        <f>HYPERLINK("https://cao.dolgi.msk.ru/account/1080240112/", 1080240112)</f>
        <v>1080240112</v>
      </c>
      <c r="D4671" t="s">
        <v>3923</v>
      </c>
      <c r="E4671">
        <v>-3142.43</v>
      </c>
      <c r="F4671">
        <v>-1.31</v>
      </c>
      <c r="G4671" t="s">
        <v>12</v>
      </c>
      <c r="I4671" t="s">
        <v>1428</v>
      </c>
    </row>
    <row r="4672" spans="1:9" hidden="1" x14ac:dyDescent="0.25">
      <c r="A4672" t="s">
        <v>3921</v>
      </c>
      <c r="B4672" t="s">
        <v>18</v>
      </c>
      <c r="C4672" s="2">
        <f>HYPERLINK("https://cao.dolgi.msk.ru/account/1080240139/", 1080240139)</f>
        <v>1080240139</v>
      </c>
      <c r="D4672" t="s">
        <v>3924</v>
      </c>
      <c r="E4672">
        <v>-6662.4</v>
      </c>
      <c r="F4672">
        <v>-1.0900000000000001</v>
      </c>
      <c r="G4672" t="s">
        <v>12</v>
      </c>
      <c r="I4672" t="s">
        <v>1428</v>
      </c>
    </row>
    <row r="4673" spans="1:9" hidden="1" x14ac:dyDescent="0.25">
      <c r="A4673" t="s">
        <v>3921</v>
      </c>
      <c r="B4673" t="s">
        <v>20</v>
      </c>
      <c r="C4673" s="2">
        <f>HYPERLINK("https://cao.dolgi.msk.ru/account/1080240147/", 1080240147)</f>
        <v>1080240147</v>
      </c>
      <c r="D4673" t="s">
        <v>3925</v>
      </c>
      <c r="E4673">
        <v>-81.91</v>
      </c>
      <c r="F4673">
        <v>-0.01</v>
      </c>
      <c r="G4673" t="s">
        <v>12</v>
      </c>
      <c r="I4673" t="s">
        <v>1428</v>
      </c>
    </row>
    <row r="4674" spans="1:9" hidden="1" x14ac:dyDescent="0.25">
      <c r="A4674" t="s">
        <v>3921</v>
      </c>
      <c r="B4674" t="s">
        <v>21</v>
      </c>
      <c r="C4674" s="2">
        <f>HYPERLINK("https://cao.dolgi.msk.ru/account/1080240155/", 1080240155)</f>
        <v>1080240155</v>
      </c>
      <c r="D4674" t="s">
        <v>3926</v>
      </c>
      <c r="E4674">
        <v>-4698.66</v>
      </c>
      <c r="F4674">
        <v>-0.88</v>
      </c>
      <c r="G4674" t="s">
        <v>12</v>
      </c>
      <c r="I4674" t="s">
        <v>1428</v>
      </c>
    </row>
    <row r="4675" spans="1:9" hidden="1" x14ac:dyDescent="0.25">
      <c r="A4675" t="s">
        <v>3921</v>
      </c>
      <c r="B4675" t="s">
        <v>22</v>
      </c>
      <c r="C4675" s="2">
        <f>HYPERLINK("https://cao.dolgi.msk.ru/account/1080240163/", 1080240163)</f>
        <v>1080240163</v>
      </c>
      <c r="D4675" t="s">
        <v>3927</v>
      </c>
      <c r="E4675">
        <v>-4845.2</v>
      </c>
      <c r="F4675">
        <v>-1.23</v>
      </c>
      <c r="G4675" t="s">
        <v>12</v>
      </c>
      <c r="I4675" t="s">
        <v>1428</v>
      </c>
    </row>
    <row r="4676" spans="1:9" hidden="1" x14ac:dyDescent="0.25">
      <c r="A4676" t="s">
        <v>3921</v>
      </c>
      <c r="B4676" t="s">
        <v>23</v>
      </c>
      <c r="C4676" s="2">
        <f>HYPERLINK("https://cao.dolgi.msk.ru/account/1080240171/", 1080240171)</f>
        <v>1080240171</v>
      </c>
      <c r="D4676" t="s">
        <v>3928</v>
      </c>
      <c r="E4676">
        <v>-4.91</v>
      </c>
      <c r="F4676">
        <v>0</v>
      </c>
      <c r="G4676" t="s">
        <v>12</v>
      </c>
      <c r="I4676" t="s">
        <v>1428</v>
      </c>
    </row>
    <row r="4677" spans="1:9" hidden="1" x14ac:dyDescent="0.25">
      <c r="A4677" t="s">
        <v>3921</v>
      </c>
      <c r="B4677" t="s">
        <v>24</v>
      </c>
      <c r="C4677" s="2">
        <f>HYPERLINK("https://cao.dolgi.msk.ru/account/1080240198/", 1080240198)</f>
        <v>1080240198</v>
      </c>
      <c r="D4677" t="s">
        <v>3929</v>
      </c>
      <c r="E4677">
        <v>-7076.3</v>
      </c>
      <c r="F4677">
        <v>-2.0099999999999998</v>
      </c>
      <c r="G4677" t="s">
        <v>12</v>
      </c>
      <c r="I4677" t="s">
        <v>1428</v>
      </c>
    </row>
    <row r="4678" spans="1:9" hidden="1" x14ac:dyDescent="0.25">
      <c r="A4678" t="s">
        <v>3921</v>
      </c>
      <c r="B4678" t="s">
        <v>27</v>
      </c>
      <c r="C4678" s="2">
        <f>HYPERLINK("https://cao.dolgi.msk.ru/account/1080240219/", 1080240219)</f>
        <v>1080240219</v>
      </c>
      <c r="D4678" t="s">
        <v>3930</v>
      </c>
      <c r="E4678">
        <v>-4531.43</v>
      </c>
      <c r="F4678">
        <v>-1.18</v>
      </c>
      <c r="G4678" t="s">
        <v>12</v>
      </c>
      <c r="I4678" t="s">
        <v>1428</v>
      </c>
    </row>
    <row r="4679" spans="1:9" hidden="1" x14ac:dyDescent="0.25">
      <c r="A4679" t="s">
        <v>3921</v>
      </c>
      <c r="B4679" t="s">
        <v>29</v>
      </c>
      <c r="C4679" s="2">
        <f>HYPERLINK("https://cao.dolgi.msk.ru/account/1080240227/", 1080240227)</f>
        <v>1080240227</v>
      </c>
      <c r="D4679" t="s">
        <v>3931</v>
      </c>
      <c r="E4679">
        <v>-5204.2</v>
      </c>
      <c r="F4679">
        <v>-1.0900000000000001</v>
      </c>
      <c r="G4679" t="s">
        <v>12</v>
      </c>
      <c r="I4679" t="s">
        <v>1428</v>
      </c>
    </row>
    <row r="4680" spans="1:9" hidden="1" x14ac:dyDescent="0.25">
      <c r="A4680" t="s">
        <v>3921</v>
      </c>
      <c r="B4680" t="s">
        <v>31</v>
      </c>
      <c r="C4680" s="2">
        <f>HYPERLINK("https://cao.dolgi.msk.ru/account/1080240235/", 1080240235)</f>
        <v>1080240235</v>
      </c>
      <c r="D4680" t="s">
        <v>3932</v>
      </c>
      <c r="E4680">
        <v>1090.6500000000001</v>
      </c>
      <c r="F4680">
        <v>0.4</v>
      </c>
      <c r="G4680" t="s">
        <v>12</v>
      </c>
      <c r="I4680" t="s">
        <v>1428</v>
      </c>
    </row>
    <row r="4681" spans="1:9" hidden="1" x14ac:dyDescent="0.25">
      <c r="A4681" t="s">
        <v>3921</v>
      </c>
      <c r="B4681" t="s">
        <v>33</v>
      </c>
      <c r="C4681" s="2">
        <f>HYPERLINK("https://cao.dolgi.msk.ru/account/1080240243/", 1080240243)</f>
        <v>1080240243</v>
      </c>
      <c r="D4681" t="s">
        <v>3933</v>
      </c>
      <c r="E4681">
        <v>0</v>
      </c>
      <c r="F4681">
        <v>0</v>
      </c>
      <c r="G4681" t="s">
        <v>12</v>
      </c>
      <c r="I4681" t="s">
        <v>1428</v>
      </c>
    </row>
    <row r="4682" spans="1:9" hidden="1" x14ac:dyDescent="0.25">
      <c r="A4682" t="s">
        <v>3921</v>
      </c>
      <c r="B4682" t="s">
        <v>34</v>
      </c>
      <c r="C4682" s="2">
        <f>HYPERLINK("https://cao.dolgi.msk.ru/account/1080240251/", 1080240251)</f>
        <v>1080240251</v>
      </c>
      <c r="D4682" t="s">
        <v>3934</v>
      </c>
      <c r="E4682">
        <v>5022.8599999999997</v>
      </c>
      <c r="F4682">
        <v>1</v>
      </c>
      <c r="G4682" t="s">
        <v>12</v>
      </c>
      <c r="I4682" t="s">
        <v>1428</v>
      </c>
    </row>
    <row r="4683" spans="1:9" hidden="1" x14ac:dyDescent="0.25">
      <c r="A4683" t="s">
        <v>3921</v>
      </c>
      <c r="B4683" t="s">
        <v>36</v>
      </c>
      <c r="C4683" s="2">
        <f>HYPERLINK("https://cao.dolgi.msk.ru/account/1080240278/", 1080240278)</f>
        <v>1080240278</v>
      </c>
      <c r="D4683" t="s">
        <v>3935</v>
      </c>
      <c r="E4683">
        <v>-3916.56</v>
      </c>
      <c r="F4683">
        <v>-1.3</v>
      </c>
      <c r="G4683" t="s">
        <v>12</v>
      </c>
      <c r="I4683" t="s">
        <v>1428</v>
      </c>
    </row>
    <row r="4684" spans="1:9" x14ac:dyDescent="0.25">
      <c r="A4684" t="s">
        <v>3921</v>
      </c>
      <c r="B4684" t="s">
        <v>38</v>
      </c>
      <c r="C4684" s="2">
        <f>HYPERLINK("https://cao.dolgi.msk.ru/account/1080240286/", 1080240286)</f>
        <v>1080240286</v>
      </c>
      <c r="D4684" t="s">
        <v>3936</v>
      </c>
      <c r="E4684">
        <v>45479.02</v>
      </c>
      <c r="F4684">
        <v>7.43</v>
      </c>
      <c r="G4684" t="s">
        <v>12</v>
      </c>
      <c r="I4684" t="s">
        <v>1428</v>
      </c>
    </row>
    <row r="4685" spans="1:9" hidden="1" x14ac:dyDescent="0.25">
      <c r="A4685" t="s">
        <v>3921</v>
      </c>
      <c r="B4685" t="s">
        <v>38</v>
      </c>
      <c r="C4685" s="2">
        <f>HYPERLINK("https://cao.dolgi.msk.ru/account/1083273825/", 1083273825)</f>
        <v>1083273825</v>
      </c>
      <c r="D4685" t="s">
        <v>15</v>
      </c>
      <c r="E4685">
        <v>-4688.91</v>
      </c>
      <c r="G4685" t="s">
        <v>14</v>
      </c>
      <c r="I4685" t="s">
        <v>1428</v>
      </c>
    </row>
    <row r="4686" spans="1:9" hidden="1" x14ac:dyDescent="0.25">
      <c r="A4686" t="s">
        <v>3921</v>
      </c>
      <c r="B4686" t="s">
        <v>39</v>
      </c>
      <c r="C4686" s="2">
        <f>HYPERLINK("https://cao.dolgi.msk.ru/account/1080240294/", 1080240294)</f>
        <v>1080240294</v>
      </c>
      <c r="D4686" t="s">
        <v>3937</v>
      </c>
      <c r="E4686">
        <v>-5256.27</v>
      </c>
      <c r="F4686">
        <v>-1.1499999999999999</v>
      </c>
      <c r="G4686" t="s">
        <v>12</v>
      </c>
      <c r="I4686" t="s">
        <v>1428</v>
      </c>
    </row>
    <row r="4687" spans="1:9" hidden="1" x14ac:dyDescent="0.25">
      <c r="A4687" t="s">
        <v>3921</v>
      </c>
      <c r="B4687" t="s">
        <v>40</v>
      </c>
      <c r="C4687" s="2">
        <f>HYPERLINK("https://cao.dolgi.msk.ru/account/1080240307/", 1080240307)</f>
        <v>1080240307</v>
      </c>
      <c r="D4687" t="s">
        <v>3938</v>
      </c>
      <c r="E4687">
        <v>-2355.27</v>
      </c>
      <c r="F4687">
        <v>-1.1399999999999999</v>
      </c>
      <c r="G4687" t="s">
        <v>12</v>
      </c>
      <c r="I4687" t="s">
        <v>1428</v>
      </c>
    </row>
    <row r="4688" spans="1:9" hidden="1" x14ac:dyDescent="0.25">
      <c r="A4688" t="s">
        <v>3921</v>
      </c>
      <c r="B4688" t="s">
        <v>41</v>
      </c>
      <c r="C4688" s="2">
        <f>HYPERLINK("https://cao.dolgi.msk.ru/account/1080240315/", 1080240315)</f>
        <v>1080240315</v>
      </c>
      <c r="D4688" t="s">
        <v>3939</v>
      </c>
      <c r="E4688">
        <v>43.18</v>
      </c>
      <c r="F4688">
        <v>0.01</v>
      </c>
      <c r="G4688" t="s">
        <v>12</v>
      </c>
      <c r="I4688" t="s">
        <v>1428</v>
      </c>
    </row>
    <row r="4689" spans="1:9" hidden="1" x14ac:dyDescent="0.25">
      <c r="A4689" t="s">
        <v>3921</v>
      </c>
      <c r="B4689" t="s">
        <v>42</v>
      </c>
      <c r="C4689" s="2">
        <f>HYPERLINK("https://cao.dolgi.msk.ru/account/1080240331/", 1080240331)</f>
        <v>1080240331</v>
      </c>
      <c r="D4689" t="s">
        <v>3940</v>
      </c>
      <c r="E4689">
        <v>1773.63</v>
      </c>
      <c r="F4689">
        <v>0.56000000000000005</v>
      </c>
      <c r="G4689" t="s">
        <v>12</v>
      </c>
      <c r="I4689" t="s">
        <v>1428</v>
      </c>
    </row>
    <row r="4690" spans="1:9" hidden="1" x14ac:dyDescent="0.25">
      <c r="A4690" t="s">
        <v>3921</v>
      </c>
      <c r="B4690" t="s">
        <v>44</v>
      </c>
      <c r="C4690" s="2">
        <f>HYPERLINK("https://cao.dolgi.msk.ru/account/1080240358/", 1080240358)</f>
        <v>1080240358</v>
      </c>
      <c r="D4690" t="s">
        <v>3941</v>
      </c>
      <c r="E4690">
        <v>-3880.96</v>
      </c>
      <c r="F4690">
        <v>-0.77</v>
      </c>
      <c r="G4690" t="s">
        <v>12</v>
      </c>
      <c r="I4690" t="s">
        <v>1428</v>
      </c>
    </row>
    <row r="4691" spans="1:9" hidden="1" x14ac:dyDescent="0.25">
      <c r="A4691" t="s">
        <v>3921</v>
      </c>
      <c r="B4691" t="s">
        <v>66</v>
      </c>
      <c r="C4691" s="2">
        <f>HYPERLINK("https://cao.dolgi.msk.ru/account/1080240366/", 1080240366)</f>
        <v>1080240366</v>
      </c>
      <c r="D4691" t="s">
        <v>3942</v>
      </c>
      <c r="E4691">
        <v>-5189.79</v>
      </c>
      <c r="F4691">
        <v>-1.1399999999999999</v>
      </c>
      <c r="G4691" t="s">
        <v>12</v>
      </c>
      <c r="H4691" t="s">
        <v>7</v>
      </c>
      <c r="I4691" t="s">
        <v>1428</v>
      </c>
    </row>
    <row r="4692" spans="1:9" hidden="1" x14ac:dyDescent="0.25">
      <c r="A4692" t="s">
        <v>3921</v>
      </c>
      <c r="B4692" t="s">
        <v>66</v>
      </c>
      <c r="C4692" s="2">
        <f>HYPERLINK("https://cao.dolgi.msk.ru/account/1080240374/", 1080240374)</f>
        <v>1080240374</v>
      </c>
      <c r="D4692" t="s">
        <v>15</v>
      </c>
      <c r="E4692">
        <v>0</v>
      </c>
      <c r="G4692" t="s">
        <v>14</v>
      </c>
      <c r="I4692" t="s">
        <v>1428</v>
      </c>
    </row>
    <row r="4693" spans="1:9" x14ac:dyDescent="0.25">
      <c r="A4693" t="s">
        <v>3921</v>
      </c>
      <c r="B4693" t="s">
        <v>66</v>
      </c>
      <c r="C4693" s="2">
        <f>HYPERLINK("https://cao.dolgi.msk.ru/account/1080240921/", 1080240921)</f>
        <v>1080240921</v>
      </c>
      <c r="D4693" t="s">
        <v>3943</v>
      </c>
      <c r="E4693">
        <v>7719.29</v>
      </c>
      <c r="F4693">
        <v>3.1</v>
      </c>
      <c r="G4693" t="s">
        <v>12</v>
      </c>
      <c r="H4693" t="s">
        <v>7</v>
      </c>
      <c r="I4693" t="s">
        <v>1428</v>
      </c>
    </row>
    <row r="4694" spans="1:9" hidden="1" x14ac:dyDescent="0.25">
      <c r="A4694" t="s">
        <v>3921</v>
      </c>
      <c r="B4694" t="s">
        <v>68</v>
      </c>
      <c r="C4694" s="2">
        <f>HYPERLINK("https://cao.dolgi.msk.ru/account/1080240382/", 1080240382)</f>
        <v>1080240382</v>
      </c>
      <c r="D4694" t="s">
        <v>3944</v>
      </c>
      <c r="E4694">
        <v>-4201.6899999999996</v>
      </c>
      <c r="F4694">
        <v>-1.1200000000000001</v>
      </c>
      <c r="G4694" t="s">
        <v>12</v>
      </c>
      <c r="I4694" t="s">
        <v>1428</v>
      </c>
    </row>
    <row r="4695" spans="1:9" hidden="1" x14ac:dyDescent="0.25">
      <c r="A4695" t="s">
        <v>3921</v>
      </c>
      <c r="B4695" t="s">
        <v>70</v>
      </c>
      <c r="C4695" s="2">
        <f>HYPERLINK("https://cao.dolgi.msk.ru/account/1080240403/", 1080240403)</f>
        <v>1080240403</v>
      </c>
      <c r="D4695" t="s">
        <v>3945</v>
      </c>
      <c r="E4695">
        <v>0</v>
      </c>
      <c r="G4695" t="s">
        <v>14</v>
      </c>
      <c r="I4695" t="s">
        <v>1428</v>
      </c>
    </row>
    <row r="4696" spans="1:9" hidden="1" x14ac:dyDescent="0.25">
      <c r="A4696" t="s">
        <v>3921</v>
      </c>
      <c r="B4696" t="s">
        <v>70</v>
      </c>
      <c r="C4696" s="2">
        <f>HYPERLINK("https://cao.dolgi.msk.ru/account/1080321692/", 1080321692)</f>
        <v>1080321692</v>
      </c>
      <c r="D4696" t="s">
        <v>3945</v>
      </c>
      <c r="E4696">
        <v>-3441.12</v>
      </c>
      <c r="F4696">
        <v>-1.1000000000000001</v>
      </c>
      <c r="G4696" t="s">
        <v>12</v>
      </c>
      <c r="I4696" t="s">
        <v>1428</v>
      </c>
    </row>
    <row r="4697" spans="1:9" hidden="1" x14ac:dyDescent="0.25">
      <c r="A4697" t="s">
        <v>3921</v>
      </c>
      <c r="B4697" t="s">
        <v>72</v>
      </c>
      <c r="C4697" s="2">
        <f>HYPERLINK("https://cao.dolgi.msk.ru/account/1080240411/", 1080240411)</f>
        <v>1080240411</v>
      </c>
      <c r="D4697" t="s">
        <v>3946</v>
      </c>
      <c r="E4697">
        <v>0</v>
      </c>
      <c r="F4697">
        <v>0</v>
      </c>
      <c r="G4697" t="s">
        <v>12</v>
      </c>
      <c r="I4697" t="s">
        <v>1428</v>
      </c>
    </row>
    <row r="4698" spans="1:9" hidden="1" x14ac:dyDescent="0.25">
      <c r="A4698" t="s">
        <v>3921</v>
      </c>
      <c r="B4698" t="s">
        <v>72</v>
      </c>
      <c r="C4698" s="2">
        <f>HYPERLINK("https://cao.dolgi.msk.ru/account/1089130198/", 1089130198)</f>
        <v>1089130198</v>
      </c>
      <c r="D4698" t="s">
        <v>3947</v>
      </c>
      <c r="E4698">
        <v>-1727.57</v>
      </c>
      <c r="G4698" t="s">
        <v>14</v>
      </c>
      <c r="I4698" t="s">
        <v>1428</v>
      </c>
    </row>
    <row r="4699" spans="1:9" hidden="1" x14ac:dyDescent="0.25">
      <c r="A4699" t="s">
        <v>3921</v>
      </c>
      <c r="B4699" t="s">
        <v>74</v>
      </c>
      <c r="C4699" s="2">
        <f>HYPERLINK("https://cao.dolgi.msk.ru/account/1080240438/", 1080240438)</f>
        <v>1080240438</v>
      </c>
      <c r="D4699" t="s">
        <v>3948</v>
      </c>
      <c r="E4699">
        <v>-4936.93</v>
      </c>
      <c r="F4699">
        <v>-1.05</v>
      </c>
      <c r="G4699" t="s">
        <v>12</v>
      </c>
      <c r="I4699" t="s">
        <v>1428</v>
      </c>
    </row>
    <row r="4700" spans="1:9" hidden="1" x14ac:dyDescent="0.25">
      <c r="A4700" t="s">
        <v>3921</v>
      </c>
      <c r="B4700" t="s">
        <v>76</v>
      </c>
      <c r="C4700" s="2">
        <f>HYPERLINK("https://cao.dolgi.msk.ru/account/1080240446/", 1080240446)</f>
        <v>1080240446</v>
      </c>
      <c r="D4700" t="s">
        <v>3949</v>
      </c>
      <c r="E4700">
        <v>-56.05</v>
      </c>
      <c r="F4700">
        <v>-0.01</v>
      </c>
      <c r="G4700" t="s">
        <v>12</v>
      </c>
      <c r="I4700" t="s">
        <v>1428</v>
      </c>
    </row>
    <row r="4701" spans="1:9" hidden="1" x14ac:dyDescent="0.25">
      <c r="A4701" t="s">
        <v>3921</v>
      </c>
      <c r="B4701" t="s">
        <v>78</v>
      </c>
      <c r="C4701" s="2">
        <f>HYPERLINK("https://cao.dolgi.msk.ru/account/1080240454/", 1080240454)</f>
        <v>1080240454</v>
      </c>
      <c r="D4701" t="s">
        <v>3950</v>
      </c>
      <c r="E4701">
        <v>0</v>
      </c>
      <c r="F4701">
        <v>0</v>
      </c>
      <c r="G4701" t="s">
        <v>12</v>
      </c>
      <c r="I4701" t="s">
        <v>1428</v>
      </c>
    </row>
    <row r="4702" spans="1:9" hidden="1" x14ac:dyDescent="0.25">
      <c r="A4702" t="s">
        <v>3921</v>
      </c>
      <c r="B4702" t="s">
        <v>80</v>
      </c>
      <c r="C4702" s="2">
        <f>HYPERLINK("https://cao.dolgi.msk.ru/account/1080240462/", 1080240462)</f>
        <v>1080240462</v>
      </c>
      <c r="D4702" t="s">
        <v>3951</v>
      </c>
      <c r="E4702">
        <v>-4313.34</v>
      </c>
      <c r="F4702">
        <v>-1</v>
      </c>
      <c r="G4702" t="s">
        <v>12</v>
      </c>
      <c r="I4702" t="s">
        <v>1428</v>
      </c>
    </row>
    <row r="4703" spans="1:9" hidden="1" x14ac:dyDescent="0.25">
      <c r="A4703" t="s">
        <v>3921</v>
      </c>
      <c r="B4703" t="s">
        <v>82</v>
      </c>
      <c r="C4703" s="2">
        <f>HYPERLINK("https://cao.dolgi.msk.ru/account/1080240489/", 1080240489)</f>
        <v>1080240489</v>
      </c>
      <c r="D4703" t="s">
        <v>3952</v>
      </c>
      <c r="E4703">
        <v>-4814.82</v>
      </c>
      <c r="F4703">
        <v>-1.34</v>
      </c>
      <c r="G4703" t="s">
        <v>12</v>
      </c>
      <c r="I4703" t="s">
        <v>1428</v>
      </c>
    </row>
    <row r="4704" spans="1:9" hidden="1" x14ac:dyDescent="0.25">
      <c r="A4704" t="s">
        <v>3921</v>
      </c>
      <c r="B4704" t="s">
        <v>84</v>
      </c>
      <c r="C4704" s="2">
        <f>HYPERLINK("https://cao.dolgi.msk.ru/account/1080240497/", 1080240497)</f>
        <v>1080240497</v>
      </c>
      <c r="D4704" t="s">
        <v>3953</v>
      </c>
      <c r="E4704">
        <v>-423.95</v>
      </c>
      <c r="F4704">
        <v>-0.06</v>
      </c>
      <c r="G4704" t="s">
        <v>12</v>
      </c>
      <c r="I4704" t="s">
        <v>1428</v>
      </c>
    </row>
    <row r="4705" spans="1:9" hidden="1" x14ac:dyDescent="0.25">
      <c r="A4705" t="s">
        <v>3921</v>
      </c>
      <c r="B4705" t="s">
        <v>86</v>
      </c>
      <c r="C4705" s="2">
        <f>HYPERLINK("https://cao.dolgi.msk.ru/account/1080240518/", 1080240518)</f>
        <v>1080240518</v>
      </c>
      <c r="D4705" t="s">
        <v>3954</v>
      </c>
      <c r="E4705">
        <v>-5490.01</v>
      </c>
      <c r="F4705">
        <v>-2.02</v>
      </c>
      <c r="G4705" t="s">
        <v>12</v>
      </c>
      <c r="I4705" t="s">
        <v>1428</v>
      </c>
    </row>
    <row r="4706" spans="1:9" hidden="1" x14ac:dyDescent="0.25">
      <c r="A4706" t="s">
        <v>3921</v>
      </c>
      <c r="B4706" t="s">
        <v>88</v>
      </c>
      <c r="C4706" s="2">
        <f>HYPERLINK("https://cao.dolgi.msk.ru/account/1080240526/", 1080240526)</f>
        <v>1080240526</v>
      </c>
      <c r="D4706" t="s">
        <v>3955</v>
      </c>
      <c r="E4706">
        <v>-4048.81</v>
      </c>
      <c r="F4706">
        <v>-1.1000000000000001</v>
      </c>
      <c r="G4706" t="s">
        <v>12</v>
      </c>
      <c r="I4706" t="s">
        <v>1428</v>
      </c>
    </row>
    <row r="4707" spans="1:9" hidden="1" x14ac:dyDescent="0.25">
      <c r="A4707" t="s">
        <v>3921</v>
      </c>
      <c r="B4707" t="s">
        <v>90</v>
      </c>
      <c r="C4707" s="2">
        <f>HYPERLINK("https://cao.dolgi.msk.ru/account/1080240534/", 1080240534)</f>
        <v>1080240534</v>
      </c>
      <c r="D4707" t="s">
        <v>3956</v>
      </c>
      <c r="E4707">
        <v>73.97</v>
      </c>
      <c r="F4707">
        <v>0.01</v>
      </c>
      <c r="G4707" t="s">
        <v>12</v>
      </c>
      <c r="I4707" t="s">
        <v>1428</v>
      </c>
    </row>
    <row r="4708" spans="1:9" hidden="1" x14ac:dyDescent="0.25">
      <c r="A4708" t="s">
        <v>3921</v>
      </c>
      <c r="B4708" t="s">
        <v>90</v>
      </c>
      <c r="C4708" s="2">
        <f>HYPERLINK("https://cao.dolgi.msk.ru/account/1089126439/", 1089126439)</f>
        <v>1089126439</v>
      </c>
      <c r="D4708" t="s">
        <v>15</v>
      </c>
      <c r="E4708">
        <v>0</v>
      </c>
      <c r="G4708" t="s">
        <v>14</v>
      </c>
      <c r="I4708" t="s">
        <v>1428</v>
      </c>
    </row>
    <row r="4709" spans="1:9" hidden="1" x14ac:dyDescent="0.25">
      <c r="A4709" t="s">
        <v>3921</v>
      </c>
      <c r="B4709" t="s">
        <v>90</v>
      </c>
      <c r="C4709" s="2">
        <f>HYPERLINK("https://cao.dolgi.msk.ru/account/1089126455/", 1089126455)</f>
        <v>1089126455</v>
      </c>
      <c r="D4709" t="s">
        <v>15</v>
      </c>
      <c r="G4709" t="s">
        <v>14</v>
      </c>
      <c r="I4709" t="s">
        <v>1428</v>
      </c>
    </row>
    <row r="4710" spans="1:9" hidden="1" x14ac:dyDescent="0.25">
      <c r="A4710" t="s">
        <v>3921</v>
      </c>
      <c r="B4710" t="s">
        <v>92</v>
      </c>
      <c r="C4710" s="2">
        <f>HYPERLINK("https://cao.dolgi.msk.ru/account/1080240542/", 1080240542)</f>
        <v>1080240542</v>
      </c>
      <c r="D4710" t="s">
        <v>3957</v>
      </c>
      <c r="E4710">
        <v>-6971.54</v>
      </c>
      <c r="F4710">
        <v>-0.95</v>
      </c>
      <c r="G4710" t="s">
        <v>12</v>
      </c>
      <c r="I4710" t="s">
        <v>1428</v>
      </c>
    </row>
    <row r="4711" spans="1:9" x14ac:dyDescent="0.25">
      <c r="A4711" t="s">
        <v>3921</v>
      </c>
      <c r="B4711" t="s">
        <v>94</v>
      </c>
      <c r="C4711" s="2">
        <f>HYPERLINK("https://cao.dolgi.msk.ru/account/1080240569/", 1080240569)</f>
        <v>1080240569</v>
      </c>
      <c r="D4711" t="s">
        <v>3958</v>
      </c>
      <c r="E4711">
        <v>4258.55</v>
      </c>
      <c r="F4711">
        <v>1.25</v>
      </c>
      <c r="G4711" t="s">
        <v>12</v>
      </c>
      <c r="I4711" t="s">
        <v>1428</v>
      </c>
    </row>
    <row r="4712" spans="1:9" hidden="1" x14ac:dyDescent="0.25">
      <c r="A4712" t="s">
        <v>3921</v>
      </c>
      <c r="B4712" t="s">
        <v>96</v>
      </c>
      <c r="C4712" s="2">
        <f>HYPERLINK("https://cao.dolgi.msk.ru/account/1080240577/", 1080240577)</f>
        <v>1080240577</v>
      </c>
      <c r="D4712" t="s">
        <v>3959</v>
      </c>
      <c r="E4712">
        <v>-1008.5</v>
      </c>
      <c r="F4712">
        <v>-0.17</v>
      </c>
      <c r="G4712" t="s">
        <v>12</v>
      </c>
      <c r="I4712" t="s">
        <v>1428</v>
      </c>
    </row>
    <row r="4713" spans="1:9" x14ac:dyDescent="0.25">
      <c r="A4713" t="s">
        <v>3921</v>
      </c>
      <c r="B4713" t="s">
        <v>98</v>
      </c>
      <c r="C4713" s="2">
        <f>HYPERLINK("https://cao.dolgi.msk.ru/account/1080240585/", 1080240585)</f>
        <v>1080240585</v>
      </c>
      <c r="D4713" t="s">
        <v>1082</v>
      </c>
      <c r="E4713">
        <v>10243.77</v>
      </c>
      <c r="F4713">
        <v>1.96</v>
      </c>
      <c r="G4713" t="s">
        <v>12</v>
      </c>
      <c r="H4713" t="s">
        <v>7</v>
      </c>
      <c r="I4713" t="s">
        <v>1428</v>
      </c>
    </row>
    <row r="4714" spans="1:9" hidden="1" x14ac:dyDescent="0.25">
      <c r="A4714" t="s">
        <v>3921</v>
      </c>
      <c r="B4714" t="s">
        <v>98</v>
      </c>
      <c r="C4714" s="2">
        <f>HYPERLINK("https://cao.dolgi.msk.ru/account/1080240593/", 1080240593)</f>
        <v>1080240593</v>
      </c>
      <c r="D4714" t="s">
        <v>1082</v>
      </c>
      <c r="E4714">
        <v>-2851.71</v>
      </c>
      <c r="F4714">
        <v>-1</v>
      </c>
      <c r="G4714" t="s">
        <v>12</v>
      </c>
      <c r="H4714" t="s">
        <v>7</v>
      </c>
      <c r="I4714" t="s">
        <v>1428</v>
      </c>
    </row>
    <row r="4715" spans="1:9" x14ac:dyDescent="0.25">
      <c r="A4715" t="s">
        <v>3921</v>
      </c>
      <c r="B4715" t="s">
        <v>100</v>
      </c>
      <c r="C4715" s="2">
        <f>HYPERLINK("https://cao.dolgi.msk.ru/account/1080240606/", 1080240606)</f>
        <v>1080240606</v>
      </c>
      <c r="D4715" t="s">
        <v>3960</v>
      </c>
      <c r="E4715">
        <v>11029.47</v>
      </c>
      <c r="F4715">
        <v>1.1200000000000001</v>
      </c>
      <c r="G4715" t="s">
        <v>12</v>
      </c>
      <c r="I4715" t="s">
        <v>1428</v>
      </c>
    </row>
    <row r="4716" spans="1:9" hidden="1" x14ac:dyDescent="0.25">
      <c r="A4716" t="s">
        <v>3921</v>
      </c>
      <c r="B4716" t="s">
        <v>102</v>
      </c>
      <c r="C4716" s="2">
        <f>HYPERLINK("https://cao.dolgi.msk.ru/account/1080240614/", 1080240614)</f>
        <v>1080240614</v>
      </c>
      <c r="D4716" t="s">
        <v>3961</v>
      </c>
      <c r="E4716">
        <v>-6411.56</v>
      </c>
      <c r="F4716">
        <v>-1.03</v>
      </c>
      <c r="G4716" t="s">
        <v>12</v>
      </c>
      <c r="I4716" t="s">
        <v>1428</v>
      </c>
    </row>
    <row r="4717" spans="1:9" hidden="1" x14ac:dyDescent="0.25">
      <c r="A4717" t="s">
        <v>3921</v>
      </c>
      <c r="B4717" t="s">
        <v>104</v>
      </c>
      <c r="C4717" s="2">
        <f>HYPERLINK("https://cao.dolgi.msk.ru/account/1080240622/", 1080240622)</f>
        <v>1080240622</v>
      </c>
      <c r="D4717" t="s">
        <v>3962</v>
      </c>
      <c r="E4717">
        <v>-212.81</v>
      </c>
      <c r="F4717">
        <v>-0.03</v>
      </c>
      <c r="G4717" t="s">
        <v>12</v>
      </c>
      <c r="I4717" t="s">
        <v>1428</v>
      </c>
    </row>
    <row r="4718" spans="1:9" hidden="1" x14ac:dyDescent="0.25">
      <c r="A4718" t="s">
        <v>3921</v>
      </c>
      <c r="B4718" t="s">
        <v>106</v>
      </c>
      <c r="C4718" s="2">
        <f>HYPERLINK("https://cao.dolgi.msk.ru/account/1080240649/", 1080240649)</f>
        <v>1080240649</v>
      </c>
      <c r="D4718" t="s">
        <v>3963</v>
      </c>
      <c r="E4718">
        <v>-71.58</v>
      </c>
      <c r="F4718">
        <v>-0.02</v>
      </c>
      <c r="G4718" t="s">
        <v>12</v>
      </c>
      <c r="I4718" t="s">
        <v>1428</v>
      </c>
    </row>
    <row r="4719" spans="1:9" hidden="1" x14ac:dyDescent="0.25">
      <c r="A4719" t="s">
        <v>3921</v>
      </c>
      <c r="B4719" t="s">
        <v>108</v>
      </c>
      <c r="C4719" s="2">
        <f>HYPERLINK("https://cao.dolgi.msk.ru/account/1080240657/", 1080240657)</f>
        <v>1080240657</v>
      </c>
      <c r="D4719" t="s">
        <v>3964</v>
      </c>
      <c r="E4719">
        <v>-4574.59</v>
      </c>
      <c r="F4719">
        <v>-1.21</v>
      </c>
      <c r="G4719" t="s">
        <v>12</v>
      </c>
      <c r="I4719" t="s">
        <v>1428</v>
      </c>
    </row>
    <row r="4720" spans="1:9" hidden="1" x14ac:dyDescent="0.25">
      <c r="A4720" t="s">
        <v>3921</v>
      </c>
      <c r="B4720" t="s">
        <v>110</v>
      </c>
      <c r="C4720" s="2">
        <f>HYPERLINK("https://cao.dolgi.msk.ru/account/1080240665/", 1080240665)</f>
        <v>1080240665</v>
      </c>
      <c r="D4720" t="s">
        <v>3965</v>
      </c>
      <c r="E4720">
        <v>-10144.75</v>
      </c>
      <c r="F4720">
        <v>-1.05</v>
      </c>
      <c r="G4720" t="s">
        <v>12</v>
      </c>
      <c r="I4720" t="s">
        <v>1428</v>
      </c>
    </row>
    <row r="4721" spans="1:9" hidden="1" x14ac:dyDescent="0.25">
      <c r="A4721" t="s">
        <v>3921</v>
      </c>
      <c r="B4721" t="s">
        <v>112</v>
      </c>
      <c r="C4721" s="2">
        <f>HYPERLINK("https://cao.dolgi.msk.ru/account/1080240673/", 1080240673)</f>
        <v>1080240673</v>
      </c>
      <c r="D4721" t="s">
        <v>3966</v>
      </c>
      <c r="E4721">
        <v>-2988.75</v>
      </c>
      <c r="F4721">
        <v>-1.03</v>
      </c>
      <c r="G4721" t="s">
        <v>12</v>
      </c>
      <c r="I4721" t="s">
        <v>1428</v>
      </c>
    </row>
    <row r="4722" spans="1:9" hidden="1" x14ac:dyDescent="0.25">
      <c r="A4722" t="s">
        <v>3921</v>
      </c>
      <c r="B4722" t="s">
        <v>114</v>
      </c>
      <c r="C4722" s="2">
        <f>HYPERLINK("https://cao.dolgi.msk.ru/account/1080240681/", 1080240681)</f>
        <v>1080240681</v>
      </c>
      <c r="D4722" t="s">
        <v>3967</v>
      </c>
      <c r="E4722">
        <v>-4142.54</v>
      </c>
      <c r="F4722">
        <v>-1.1100000000000001</v>
      </c>
      <c r="G4722" t="s">
        <v>12</v>
      </c>
      <c r="I4722" t="s">
        <v>1428</v>
      </c>
    </row>
    <row r="4723" spans="1:9" hidden="1" x14ac:dyDescent="0.25">
      <c r="A4723" t="s">
        <v>3921</v>
      </c>
      <c r="B4723" t="s">
        <v>116</v>
      </c>
      <c r="C4723" s="2">
        <f>HYPERLINK("https://cao.dolgi.msk.ru/account/1080240702/", 1080240702)</f>
        <v>1080240702</v>
      </c>
      <c r="D4723" t="s">
        <v>3968</v>
      </c>
      <c r="E4723">
        <v>-5082.71</v>
      </c>
      <c r="F4723">
        <v>-1.0900000000000001</v>
      </c>
      <c r="G4723" t="s">
        <v>12</v>
      </c>
      <c r="I4723" t="s">
        <v>1428</v>
      </c>
    </row>
    <row r="4724" spans="1:9" hidden="1" x14ac:dyDescent="0.25">
      <c r="A4724" t="s">
        <v>3921</v>
      </c>
      <c r="B4724" t="s">
        <v>118</v>
      </c>
      <c r="C4724" s="2">
        <f>HYPERLINK("https://cao.dolgi.msk.ru/account/1080240729/", 1080240729)</f>
        <v>1080240729</v>
      </c>
      <c r="D4724" t="s">
        <v>3969</v>
      </c>
      <c r="E4724">
        <v>-6772.66</v>
      </c>
      <c r="F4724">
        <v>-1.06</v>
      </c>
      <c r="G4724" t="s">
        <v>12</v>
      </c>
      <c r="I4724" t="s">
        <v>1428</v>
      </c>
    </row>
    <row r="4725" spans="1:9" hidden="1" x14ac:dyDescent="0.25">
      <c r="A4725" t="s">
        <v>3921</v>
      </c>
      <c r="B4725" t="s">
        <v>120</v>
      </c>
      <c r="C4725" s="2">
        <f>HYPERLINK("https://cao.dolgi.msk.ru/account/1080240737/", 1080240737)</f>
        <v>1080240737</v>
      </c>
      <c r="D4725" t="s">
        <v>3970</v>
      </c>
      <c r="E4725">
        <v>-21.5</v>
      </c>
      <c r="F4725">
        <v>-0.01</v>
      </c>
      <c r="G4725" t="s">
        <v>12</v>
      </c>
      <c r="I4725" t="s">
        <v>1428</v>
      </c>
    </row>
    <row r="4726" spans="1:9" hidden="1" x14ac:dyDescent="0.25">
      <c r="A4726" t="s">
        <v>3921</v>
      </c>
      <c r="B4726" t="s">
        <v>122</v>
      </c>
      <c r="C4726" s="2">
        <f>HYPERLINK("https://cao.dolgi.msk.ru/account/1080240753/", 1080240753)</f>
        <v>1080240753</v>
      </c>
      <c r="D4726" t="s">
        <v>3971</v>
      </c>
      <c r="E4726">
        <v>0</v>
      </c>
      <c r="F4726">
        <v>0</v>
      </c>
      <c r="G4726" t="s">
        <v>12</v>
      </c>
      <c r="I4726" t="s">
        <v>1428</v>
      </c>
    </row>
    <row r="4727" spans="1:9" hidden="1" x14ac:dyDescent="0.25">
      <c r="A4727" t="s">
        <v>3921</v>
      </c>
      <c r="B4727" t="s">
        <v>124</v>
      </c>
      <c r="C4727" s="2">
        <f>HYPERLINK("https://cao.dolgi.msk.ru/account/1080240761/", 1080240761)</f>
        <v>1080240761</v>
      </c>
      <c r="D4727" t="s">
        <v>3972</v>
      </c>
      <c r="E4727">
        <v>-4310.41</v>
      </c>
      <c r="F4727">
        <v>-1.08</v>
      </c>
      <c r="G4727" t="s">
        <v>12</v>
      </c>
      <c r="I4727" t="s">
        <v>1428</v>
      </c>
    </row>
    <row r="4728" spans="1:9" hidden="1" x14ac:dyDescent="0.25">
      <c r="A4728" t="s">
        <v>3921</v>
      </c>
      <c r="B4728" t="s">
        <v>126</v>
      </c>
      <c r="C4728" s="2">
        <f>HYPERLINK("https://cao.dolgi.msk.ru/account/1080240788/", 1080240788)</f>
        <v>1080240788</v>
      </c>
      <c r="D4728" t="s">
        <v>3973</v>
      </c>
      <c r="E4728">
        <v>-7096.73</v>
      </c>
      <c r="F4728">
        <v>-1.25</v>
      </c>
      <c r="G4728" t="s">
        <v>12</v>
      </c>
      <c r="I4728" t="s">
        <v>1428</v>
      </c>
    </row>
    <row r="4729" spans="1:9" hidden="1" x14ac:dyDescent="0.25">
      <c r="A4729" t="s">
        <v>3921</v>
      </c>
      <c r="B4729" t="s">
        <v>128</v>
      </c>
      <c r="C4729" s="2">
        <f>HYPERLINK("https://cao.dolgi.msk.ru/account/1080240796/", 1080240796)</f>
        <v>1080240796</v>
      </c>
      <c r="D4729" t="s">
        <v>3974</v>
      </c>
      <c r="E4729">
        <v>0</v>
      </c>
      <c r="F4729">
        <v>0</v>
      </c>
      <c r="G4729" t="s">
        <v>12</v>
      </c>
      <c r="H4729" t="s">
        <v>7</v>
      </c>
      <c r="I4729" t="s">
        <v>1428</v>
      </c>
    </row>
    <row r="4730" spans="1:9" hidden="1" x14ac:dyDescent="0.25">
      <c r="A4730" t="s">
        <v>3921</v>
      </c>
      <c r="B4730" t="s">
        <v>128</v>
      </c>
      <c r="C4730" s="2">
        <f>HYPERLINK("https://cao.dolgi.msk.ru/account/1080240809/", 1080240809)</f>
        <v>1080240809</v>
      </c>
      <c r="D4730" t="s">
        <v>3974</v>
      </c>
      <c r="E4730">
        <v>31.8</v>
      </c>
      <c r="F4730">
        <v>0.01</v>
      </c>
      <c r="G4730" t="s">
        <v>12</v>
      </c>
      <c r="H4730" t="s">
        <v>7</v>
      </c>
      <c r="I4730" t="s">
        <v>1428</v>
      </c>
    </row>
    <row r="4731" spans="1:9" hidden="1" x14ac:dyDescent="0.25">
      <c r="A4731" t="s">
        <v>3921</v>
      </c>
      <c r="B4731" t="s">
        <v>130</v>
      </c>
      <c r="C4731" s="2">
        <f>HYPERLINK("https://cao.dolgi.msk.ru/account/1080240817/", 1080240817)</f>
        <v>1080240817</v>
      </c>
      <c r="D4731" t="s">
        <v>3975</v>
      </c>
      <c r="E4731">
        <v>-6014.44</v>
      </c>
      <c r="F4731">
        <v>-1.03</v>
      </c>
      <c r="G4731" t="s">
        <v>12</v>
      </c>
      <c r="I4731" t="s">
        <v>1428</v>
      </c>
    </row>
    <row r="4732" spans="1:9" hidden="1" x14ac:dyDescent="0.25">
      <c r="A4732" t="s">
        <v>3921</v>
      </c>
      <c r="B4732" t="s">
        <v>132</v>
      </c>
      <c r="C4732" s="2">
        <f>HYPERLINK("https://cao.dolgi.msk.ru/account/1080240825/", 1080240825)</f>
        <v>1080240825</v>
      </c>
      <c r="D4732" t="s">
        <v>3976</v>
      </c>
      <c r="E4732">
        <v>0</v>
      </c>
      <c r="F4732">
        <v>0</v>
      </c>
      <c r="G4732" t="s">
        <v>12</v>
      </c>
      <c r="I4732" t="s">
        <v>1428</v>
      </c>
    </row>
    <row r="4733" spans="1:9" hidden="1" x14ac:dyDescent="0.25">
      <c r="A4733" t="s">
        <v>3921</v>
      </c>
      <c r="B4733" t="s">
        <v>133</v>
      </c>
      <c r="C4733" s="2">
        <f>HYPERLINK("https://cao.dolgi.msk.ru/account/1080240833/", 1080240833)</f>
        <v>1080240833</v>
      </c>
      <c r="D4733" t="s">
        <v>3977</v>
      </c>
      <c r="E4733">
        <v>35.299999999999997</v>
      </c>
      <c r="F4733">
        <v>0</v>
      </c>
      <c r="G4733" t="s">
        <v>12</v>
      </c>
      <c r="I4733" t="s">
        <v>1428</v>
      </c>
    </row>
    <row r="4734" spans="1:9" hidden="1" x14ac:dyDescent="0.25">
      <c r="A4734" t="s">
        <v>3921</v>
      </c>
      <c r="B4734" t="s">
        <v>135</v>
      </c>
      <c r="C4734" s="2">
        <f>HYPERLINK("https://cao.dolgi.msk.ru/account/1080240841/", 1080240841)</f>
        <v>1080240841</v>
      </c>
      <c r="D4734" t="s">
        <v>3978</v>
      </c>
      <c r="E4734">
        <v>-3829.88</v>
      </c>
      <c r="F4734">
        <v>-1.0900000000000001</v>
      </c>
      <c r="G4734" t="s">
        <v>12</v>
      </c>
      <c r="I4734" t="s">
        <v>1428</v>
      </c>
    </row>
    <row r="4735" spans="1:9" hidden="1" x14ac:dyDescent="0.25">
      <c r="A4735" t="s">
        <v>3921</v>
      </c>
      <c r="B4735" t="s">
        <v>137</v>
      </c>
      <c r="C4735" s="2">
        <f>HYPERLINK("https://cao.dolgi.msk.ru/account/1080240876/", 1080240876)</f>
        <v>1080240876</v>
      </c>
      <c r="D4735" t="s">
        <v>3979</v>
      </c>
      <c r="E4735">
        <v>461.38</v>
      </c>
      <c r="F4735">
        <v>7.0000000000000007E-2</v>
      </c>
      <c r="G4735" t="s">
        <v>12</v>
      </c>
      <c r="I4735" t="s">
        <v>1428</v>
      </c>
    </row>
    <row r="4736" spans="1:9" hidden="1" x14ac:dyDescent="0.25">
      <c r="A4736" t="s">
        <v>3921</v>
      </c>
      <c r="B4736" t="s">
        <v>139</v>
      </c>
      <c r="C4736" s="2">
        <f>HYPERLINK("https://cao.dolgi.msk.ru/account/1080240884/", 1080240884)</f>
        <v>1080240884</v>
      </c>
      <c r="D4736" t="s">
        <v>3980</v>
      </c>
      <c r="E4736">
        <v>0</v>
      </c>
      <c r="F4736">
        <v>0</v>
      </c>
      <c r="G4736" t="s">
        <v>12</v>
      </c>
      <c r="I4736" t="s">
        <v>1428</v>
      </c>
    </row>
    <row r="4737" spans="1:9" hidden="1" x14ac:dyDescent="0.25">
      <c r="A4737" t="s">
        <v>3921</v>
      </c>
      <c r="B4737" t="s">
        <v>141</v>
      </c>
      <c r="C4737" s="2">
        <f>HYPERLINK("https://cao.dolgi.msk.ru/account/1080240892/", 1080240892)</f>
        <v>1080240892</v>
      </c>
      <c r="D4737" t="s">
        <v>3981</v>
      </c>
      <c r="E4737">
        <v>0</v>
      </c>
      <c r="F4737">
        <v>0</v>
      </c>
      <c r="G4737" t="s">
        <v>12</v>
      </c>
      <c r="I4737" t="s">
        <v>1428</v>
      </c>
    </row>
    <row r="4738" spans="1:9" hidden="1" x14ac:dyDescent="0.25">
      <c r="A4738" t="s">
        <v>3921</v>
      </c>
      <c r="B4738" t="s">
        <v>143</v>
      </c>
      <c r="C4738" s="2">
        <f>HYPERLINK("https://cao.dolgi.msk.ru/account/1080240905/", 1080240905)</f>
        <v>1080240905</v>
      </c>
      <c r="D4738" t="s">
        <v>3982</v>
      </c>
      <c r="E4738">
        <v>-2823.56</v>
      </c>
      <c r="F4738">
        <v>-1.19</v>
      </c>
      <c r="G4738" t="s">
        <v>12</v>
      </c>
      <c r="H4738" t="s">
        <v>7</v>
      </c>
      <c r="I4738" t="s">
        <v>1428</v>
      </c>
    </row>
    <row r="4739" spans="1:9" hidden="1" x14ac:dyDescent="0.25">
      <c r="A4739" t="s">
        <v>3921</v>
      </c>
      <c r="B4739" t="s">
        <v>143</v>
      </c>
      <c r="C4739" s="2">
        <f>HYPERLINK("https://cao.dolgi.msk.ru/account/1080240913/", 1080240913)</f>
        <v>1080240913</v>
      </c>
      <c r="D4739" t="s">
        <v>3982</v>
      </c>
      <c r="E4739">
        <v>-532.79999999999995</v>
      </c>
      <c r="F4739">
        <v>-0.1</v>
      </c>
      <c r="G4739" t="s">
        <v>12</v>
      </c>
      <c r="H4739" t="s">
        <v>7</v>
      </c>
      <c r="I4739" t="s">
        <v>1428</v>
      </c>
    </row>
    <row r="4740" spans="1:9" hidden="1" x14ac:dyDescent="0.25">
      <c r="A4740" t="s">
        <v>3983</v>
      </c>
      <c r="B4740" t="s">
        <v>10</v>
      </c>
      <c r="C4740" s="2">
        <f>HYPERLINK("https://cao.dolgi.msk.ru/account/1080215697/", 1080215697)</f>
        <v>1080215697</v>
      </c>
      <c r="D4740" t="s">
        <v>3984</v>
      </c>
      <c r="E4740">
        <v>0</v>
      </c>
      <c r="F4740">
        <v>0</v>
      </c>
      <c r="G4740" t="s">
        <v>12</v>
      </c>
      <c r="I4740" t="s">
        <v>1428</v>
      </c>
    </row>
    <row r="4741" spans="1:9" hidden="1" x14ac:dyDescent="0.25">
      <c r="A4741" t="s">
        <v>3983</v>
      </c>
      <c r="B4741" t="s">
        <v>16</v>
      </c>
      <c r="C4741" s="2">
        <f>HYPERLINK("https://cao.dolgi.msk.ru/account/1080215638/", 1080215638)</f>
        <v>1080215638</v>
      </c>
      <c r="D4741" t="s">
        <v>15</v>
      </c>
      <c r="G4741" t="s">
        <v>14</v>
      </c>
      <c r="I4741" t="s">
        <v>1428</v>
      </c>
    </row>
    <row r="4742" spans="1:9" hidden="1" x14ac:dyDescent="0.25">
      <c r="A4742" t="s">
        <v>3983</v>
      </c>
      <c r="B4742" t="s">
        <v>18</v>
      </c>
      <c r="C4742" s="2">
        <f>HYPERLINK("https://cao.dolgi.msk.ru/account/1080215646/", 1080215646)</f>
        <v>1080215646</v>
      </c>
      <c r="D4742" t="s">
        <v>15</v>
      </c>
      <c r="G4742" t="s">
        <v>14</v>
      </c>
      <c r="I4742" t="s">
        <v>1428</v>
      </c>
    </row>
    <row r="4743" spans="1:9" hidden="1" x14ac:dyDescent="0.25">
      <c r="A4743" t="s">
        <v>3983</v>
      </c>
      <c r="B4743" t="s">
        <v>20</v>
      </c>
      <c r="C4743" s="2">
        <f>HYPERLINK("https://cao.dolgi.msk.ru/account/1080215654/", 1080215654)</f>
        <v>1080215654</v>
      </c>
      <c r="D4743" t="s">
        <v>15</v>
      </c>
      <c r="E4743">
        <v>-18086.46</v>
      </c>
      <c r="G4743" t="s">
        <v>14</v>
      </c>
      <c r="I4743" t="s">
        <v>1428</v>
      </c>
    </row>
    <row r="4744" spans="1:9" hidden="1" x14ac:dyDescent="0.25">
      <c r="A4744" t="s">
        <v>3983</v>
      </c>
      <c r="B4744" t="s">
        <v>20</v>
      </c>
      <c r="C4744" s="2">
        <f>HYPERLINK("https://cao.dolgi.msk.ru/account/1080215662/", 1080215662)</f>
        <v>1080215662</v>
      </c>
      <c r="D4744" t="s">
        <v>3985</v>
      </c>
      <c r="E4744">
        <v>-0.02</v>
      </c>
      <c r="G4744" t="s">
        <v>14</v>
      </c>
      <c r="I4744" t="s">
        <v>1428</v>
      </c>
    </row>
    <row r="4745" spans="1:9" hidden="1" x14ac:dyDescent="0.25">
      <c r="A4745" t="s">
        <v>3983</v>
      </c>
      <c r="B4745" t="s">
        <v>21</v>
      </c>
      <c r="C4745" s="2">
        <f>HYPERLINK("https://cao.dolgi.msk.ru/account/1080215689/", 1080215689)</f>
        <v>1080215689</v>
      </c>
      <c r="D4745" t="s">
        <v>3986</v>
      </c>
      <c r="E4745">
        <v>108.38</v>
      </c>
      <c r="F4745">
        <v>0.02</v>
      </c>
      <c r="G4745" t="s">
        <v>12</v>
      </c>
      <c r="I4745" t="s">
        <v>1428</v>
      </c>
    </row>
    <row r="4746" spans="1:9" hidden="1" x14ac:dyDescent="0.25">
      <c r="A4746" t="s">
        <v>3983</v>
      </c>
      <c r="B4746" t="s">
        <v>22</v>
      </c>
      <c r="C4746" s="2">
        <f>HYPERLINK("https://cao.dolgi.msk.ru/account/1080215718/", 1080215718)</f>
        <v>1080215718</v>
      </c>
      <c r="D4746" t="s">
        <v>3987</v>
      </c>
      <c r="E4746">
        <v>-10386.969999999999</v>
      </c>
      <c r="F4746">
        <v>-1.05</v>
      </c>
      <c r="G4746" t="s">
        <v>12</v>
      </c>
      <c r="I4746" t="s">
        <v>1428</v>
      </c>
    </row>
    <row r="4747" spans="1:9" hidden="1" x14ac:dyDescent="0.25">
      <c r="A4747" t="s">
        <v>3983</v>
      </c>
      <c r="B4747" t="s">
        <v>23</v>
      </c>
      <c r="C4747" s="2">
        <f>HYPERLINK("https://cao.dolgi.msk.ru/account/1080215726/", 1080215726)</f>
        <v>1080215726</v>
      </c>
      <c r="D4747" t="s">
        <v>3988</v>
      </c>
      <c r="E4747">
        <v>-4166.54</v>
      </c>
      <c r="F4747">
        <v>-1.08</v>
      </c>
      <c r="G4747" t="s">
        <v>12</v>
      </c>
      <c r="I4747" t="s">
        <v>1428</v>
      </c>
    </row>
    <row r="4748" spans="1:9" hidden="1" x14ac:dyDescent="0.25">
      <c r="A4748" t="s">
        <v>3983</v>
      </c>
      <c r="B4748" t="s">
        <v>24</v>
      </c>
      <c r="C4748" s="2">
        <f>HYPERLINK("https://cao.dolgi.msk.ru/account/1080215734/", 1080215734)</f>
        <v>1080215734</v>
      </c>
      <c r="D4748" t="s">
        <v>3989</v>
      </c>
      <c r="E4748">
        <v>-8461.06</v>
      </c>
      <c r="F4748">
        <v>-0.92</v>
      </c>
      <c r="G4748" t="s">
        <v>12</v>
      </c>
      <c r="I4748" t="s">
        <v>1428</v>
      </c>
    </row>
    <row r="4749" spans="1:9" hidden="1" x14ac:dyDescent="0.25">
      <c r="A4749" t="s">
        <v>3983</v>
      </c>
      <c r="B4749" t="s">
        <v>24</v>
      </c>
      <c r="C4749" s="2">
        <f>HYPERLINK("https://cao.dolgi.msk.ru/account/1080215742/", 1080215742)</f>
        <v>1080215742</v>
      </c>
      <c r="D4749" t="s">
        <v>15</v>
      </c>
      <c r="E4749">
        <v>0</v>
      </c>
      <c r="G4749" t="s">
        <v>14</v>
      </c>
      <c r="I4749" t="s">
        <v>1428</v>
      </c>
    </row>
    <row r="4750" spans="1:9" hidden="1" x14ac:dyDescent="0.25">
      <c r="A4750" t="s">
        <v>3983</v>
      </c>
      <c r="B4750" t="s">
        <v>24</v>
      </c>
      <c r="C4750" s="2">
        <f>HYPERLINK("https://cao.dolgi.msk.ru/account/1080320614/", 1080320614)</f>
        <v>1080320614</v>
      </c>
      <c r="D4750" t="s">
        <v>15</v>
      </c>
      <c r="E4750">
        <v>0</v>
      </c>
      <c r="G4750" t="s">
        <v>14</v>
      </c>
      <c r="I4750" t="s">
        <v>1428</v>
      </c>
    </row>
    <row r="4751" spans="1:9" hidden="1" x14ac:dyDescent="0.25">
      <c r="A4751" t="s">
        <v>3983</v>
      </c>
      <c r="B4751" t="s">
        <v>27</v>
      </c>
      <c r="C4751" s="2">
        <f>HYPERLINK("https://cao.dolgi.msk.ru/account/1080215769/", 1080215769)</f>
        <v>1080215769</v>
      </c>
      <c r="D4751" t="s">
        <v>3990</v>
      </c>
      <c r="E4751">
        <v>-4995.63</v>
      </c>
      <c r="F4751">
        <v>-1.08</v>
      </c>
      <c r="G4751" t="s">
        <v>12</v>
      </c>
      <c r="I4751" t="s">
        <v>1428</v>
      </c>
    </row>
    <row r="4752" spans="1:9" hidden="1" x14ac:dyDescent="0.25">
      <c r="A4752" t="s">
        <v>3983</v>
      </c>
      <c r="B4752" t="s">
        <v>29</v>
      </c>
      <c r="C4752" s="2">
        <f>HYPERLINK("https://cao.dolgi.msk.ru/account/1080215785/", 1080215785)</f>
        <v>1080215785</v>
      </c>
      <c r="D4752" t="s">
        <v>3991</v>
      </c>
      <c r="E4752">
        <v>-6143.5</v>
      </c>
      <c r="F4752">
        <v>-1.1499999999999999</v>
      </c>
      <c r="G4752" t="s">
        <v>12</v>
      </c>
      <c r="I4752" t="s">
        <v>1428</v>
      </c>
    </row>
    <row r="4753" spans="1:9" hidden="1" x14ac:dyDescent="0.25">
      <c r="A4753" t="s">
        <v>3983</v>
      </c>
      <c r="B4753" t="s">
        <v>31</v>
      </c>
      <c r="C4753" s="2">
        <f>HYPERLINK("https://cao.dolgi.msk.ru/account/1080215793/", 1080215793)</f>
        <v>1080215793</v>
      </c>
      <c r="D4753" t="s">
        <v>3992</v>
      </c>
      <c r="E4753">
        <v>0</v>
      </c>
      <c r="F4753">
        <v>0</v>
      </c>
      <c r="G4753" t="s">
        <v>12</v>
      </c>
      <c r="I4753" t="s">
        <v>1428</v>
      </c>
    </row>
    <row r="4754" spans="1:9" hidden="1" x14ac:dyDescent="0.25">
      <c r="A4754" t="s">
        <v>3983</v>
      </c>
      <c r="B4754" t="s">
        <v>33</v>
      </c>
      <c r="C4754" s="2">
        <f>HYPERLINK("https://cao.dolgi.msk.ru/account/1080215777/", 1080215777)</f>
        <v>1080215777</v>
      </c>
      <c r="D4754" t="s">
        <v>3993</v>
      </c>
      <c r="E4754">
        <v>-405.1</v>
      </c>
      <c r="F4754">
        <v>-0.04</v>
      </c>
      <c r="G4754" t="s">
        <v>12</v>
      </c>
      <c r="I4754" t="s">
        <v>1428</v>
      </c>
    </row>
    <row r="4755" spans="1:9" hidden="1" x14ac:dyDescent="0.25">
      <c r="A4755" t="s">
        <v>3983</v>
      </c>
      <c r="B4755" t="s">
        <v>34</v>
      </c>
      <c r="C4755" s="2">
        <f>HYPERLINK("https://cao.dolgi.msk.ru/account/1080215806/", 1080215806)</f>
        <v>1080215806</v>
      </c>
      <c r="D4755" t="s">
        <v>3994</v>
      </c>
      <c r="E4755">
        <v>6421.42</v>
      </c>
      <c r="F4755">
        <v>0.86</v>
      </c>
      <c r="G4755" t="s">
        <v>12</v>
      </c>
      <c r="I4755" t="s">
        <v>1428</v>
      </c>
    </row>
    <row r="4756" spans="1:9" hidden="1" x14ac:dyDescent="0.25">
      <c r="A4756" t="s">
        <v>3983</v>
      </c>
      <c r="B4756" t="s">
        <v>36</v>
      </c>
      <c r="C4756" s="2">
        <f>HYPERLINK("https://cao.dolgi.msk.ru/account/1080215814/", 1080215814)</f>
        <v>1080215814</v>
      </c>
      <c r="D4756" t="s">
        <v>3995</v>
      </c>
      <c r="E4756">
        <v>36.369999999999997</v>
      </c>
      <c r="F4756">
        <v>0.01</v>
      </c>
      <c r="G4756" t="s">
        <v>12</v>
      </c>
      <c r="I4756" t="s">
        <v>1428</v>
      </c>
    </row>
    <row r="4757" spans="1:9" hidden="1" x14ac:dyDescent="0.25">
      <c r="A4757" t="s">
        <v>3983</v>
      </c>
      <c r="B4757" t="s">
        <v>38</v>
      </c>
      <c r="C4757" s="2">
        <f>HYPERLINK("https://cao.dolgi.msk.ru/account/1080215822/", 1080215822)</f>
        <v>1080215822</v>
      </c>
      <c r="D4757" t="s">
        <v>3996</v>
      </c>
      <c r="E4757">
        <v>-5128.1000000000004</v>
      </c>
      <c r="F4757">
        <v>-1.08</v>
      </c>
      <c r="G4757" t="s">
        <v>12</v>
      </c>
      <c r="I4757" t="s">
        <v>1428</v>
      </c>
    </row>
    <row r="4758" spans="1:9" hidden="1" x14ac:dyDescent="0.25">
      <c r="A4758" t="s">
        <v>3983</v>
      </c>
      <c r="B4758" t="s">
        <v>39</v>
      </c>
      <c r="C4758" s="2">
        <f>HYPERLINK("https://cao.dolgi.msk.ru/account/1080215849/", 1080215849)</f>
        <v>1080215849</v>
      </c>
      <c r="D4758" t="s">
        <v>3997</v>
      </c>
      <c r="E4758">
        <v>-9354.7000000000007</v>
      </c>
      <c r="F4758">
        <v>-1.1000000000000001</v>
      </c>
      <c r="G4758" t="s">
        <v>12</v>
      </c>
      <c r="I4758" t="s">
        <v>1428</v>
      </c>
    </row>
    <row r="4759" spans="1:9" hidden="1" x14ac:dyDescent="0.25">
      <c r="A4759" t="s">
        <v>3983</v>
      </c>
      <c r="B4759" t="s">
        <v>40</v>
      </c>
      <c r="C4759" s="2">
        <f>HYPERLINK("https://cao.dolgi.msk.ru/account/1080215857/", 1080215857)</f>
        <v>1080215857</v>
      </c>
      <c r="D4759" t="s">
        <v>3998</v>
      </c>
      <c r="E4759">
        <v>-2964.61</v>
      </c>
      <c r="F4759">
        <v>-1.07</v>
      </c>
      <c r="G4759" t="s">
        <v>12</v>
      </c>
      <c r="H4759" t="s">
        <v>7</v>
      </c>
      <c r="I4759" t="s">
        <v>1428</v>
      </c>
    </row>
    <row r="4760" spans="1:9" hidden="1" x14ac:dyDescent="0.25">
      <c r="A4760" t="s">
        <v>3983</v>
      </c>
      <c r="B4760" t="s">
        <v>40</v>
      </c>
      <c r="C4760" s="2">
        <f>HYPERLINK("https://cao.dolgi.msk.ru/account/1080215865/", 1080215865)</f>
        <v>1080215865</v>
      </c>
      <c r="D4760" t="s">
        <v>15</v>
      </c>
      <c r="E4760">
        <v>-2014.04</v>
      </c>
      <c r="F4760">
        <v>-0.5</v>
      </c>
      <c r="G4760" t="s">
        <v>12</v>
      </c>
      <c r="H4760" t="s">
        <v>7</v>
      </c>
      <c r="I4760" t="s">
        <v>1428</v>
      </c>
    </row>
    <row r="4761" spans="1:9" hidden="1" x14ac:dyDescent="0.25">
      <c r="A4761" t="s">
        <v>3983</v>
      </c>
      <c r="B4761" t="s">
        <v>40</v>
      </c>
      <c r="C4761" s="2">
        <f>HYPERLINK("https://cao.dolgi.msk.ru/account/1080215873/", 1080215873)</f>
        <v>1080215873</v>
      </c>
      <c r="D4761" t="s">
        <v>62</v>
      </c>
      <c r="E4761">
        <v>-1935.48</v>
      </c>
      <c r="F4761">
        <v>-1.06</v>
      </c>
      <c r="G4761" t="s">
        <v>12</v>
      </c>
      <c r="H4761" t="s">
        <v>7</v>
      </c>
      <c r="I4761" t="s">
        <v>1428</v>
      </c>
    </row>
    <row r="4762" spans="1:9" hidden="1" x14ac:dyDescent="0.25">
      <c r="A4762" t="s">
        <v>3983</v>
      </c>
      <c r="B4762" t="s">
        <v>41</v>
      </c>
      <c r="C4762" s="2">
        <f>HYPERLINK("https://cao.dolgi.msk.ru/account/1080215881/", 1080215881)</f>
        <v>1080215881</v>
      </c>
      <c r="D4762" t="s">
        <v>3999</v>
      </c>
      <c r="E4762">
        <v>-4934.34</v>
      </c>
      <c r="F4762">
        <v>-1.1599999999999999</v>
      </c>
      <c r="G4762" t="s">
        <v>12</v>
      </c>
      <c r="I4762" t="s">
        <v>1428</v>
      </c>
    </row>
    <row r="4763" spans="1:9" hidden="1" x14ac:dyDescent="0.25">
      <c r="A4763" t="s">
        <v>3983</v>
      </c>
      <c r="B4763" t="s">
        <v>42</v>
      </c>
      <c r="C4763" s="2">
        <f>HYPERLINK("https://cao.dolgi.msk.ru/account/1080215902/", 1080215902)</f>
        <v>1080215902</v>
      </c>
      <c r="D4763" t="s">
        <v>4000</v>
      </c>
      <c r="E4763">
        <v>-8375.9</v>
      </c>
      <c r="F4763">
        <v>-1.07</v>
      </c>
      <c r="G4763" t="s">
        <v>12</v>
      </c>
      <c r="I4763" t="s">
        <v>1428</v>
      </c>
    </row>
    <row r="4764" spans="1:9" hidden="1" x14ac:dyDescent="0.25">
      <c r="A4764" t="s">
        <v>3983</v>
      </c>
      <c r="B4764" t="s">
        <v>44</v>
      </c>
      <c r="C4764" s="2">
        <f>HYPERLINK("https://cao.dolgi.msk.ru/account/1080215929/", 1080215929)</f>
        <v>1080215929</v>
      </c>
      <c r="D4764" t="s">
        <v>4001</v>
      </c>
      <c r="E4764">
        <v>-9052.48</v>
      </c>
      <c r="F4764">
        <v>-1.1299999999999999</v>
      </c>
      <c r="G4764" t="s">
        <v>12</v>
      </c>
      <c r="I4764" t="s">
        <v>1428</v>
      </c>
    </row>
    <row r="4765" spans="1:9" hidden="1" x14ac:dyDescent="0.25">
      <c r="A4765" t="s">
        <v>3983</v>
      </c>
      <c r="B4765" t="s">
        <v>66</v>
      </c>
      <c r="C4765" s="2">
        <f>HYPERLINK("https://cao.dolgi.msk.ru/account/1080215937/", 1080215937)</f>
        <v>1080215937</v>
      </c>
      <c r="D4765" t="s">
        <v>4002</v>
      </c>
      <c r="E4765">
        <v>-7001.35</v>
      </c>
      <c r="F4765">
        <v>-1.1100000000000001</v>
      </c>
      <c r="G4765" t="s">
        <v>12</v>
      </c>
      <c r="I4765" t="s">
        <v>1428</v>
      </c>
    </row>
    <row r="4766" spans="1:9" hidden="1" x14ac:dyDescent="0.25">
      <c r="A4766" t="s">
        <v>3983</v>
      </c>
      <c r="B4766" t="s">
        <v>68</v>
      </c>
      <c r="C4766" s="2">
        <f>HYPERLINK("https://cao.dolgi.msk.ru/account/1080215945/", 1080215945)</f>
        <v>1080215945</v>
      </c>
      <c r="D4766" t="s">
        <v>4003</v>
      </c>
      <c r="E4766">
        <v>-513.35</v>
      </c>
      <c r="F4766">
        <v>-0.06</v>
      </c>
      <c r="G4766" t="s">
        <v>12</v>
      </c>
      <c r="I4766" t="s">
        <v>1428</v>
      </c>
    </row>
    <row r="4767" spans="1:9" hidden="1" x14ac:dyDescent="0.25">
      <c r="A4767" t="s">
        <v>3983</v>
      </c>
      <c r="B4767" t="s">
        <v>70</v>
      </c>
      <c r="C4767" s="2">
        <f>HYPERLINK("https://cao.dolgi.msk.ru/account/1080215953/", 1080215953)</f>
        <v>1080215953</v>
      </c>
      <c r="D4767" t="s">
        <v>4004</v>
      </c>
      <c r="E4767">
        <v>-5263.79</v>
      </c>
      <c r="F4767">
        <v>-1.1100000000000001</v>
      </c>
      <c r="G4767" t="s">
        <v>12</v>
      </c>
      <c r="I4767" t="s">
        <v>1428</v>
      </c>
    </row>
    <row r="4768" spans="1:9" hidden="1" x14ac:dyDescent="0.25">
      <c r="A4768" t="s">
        <v>3983</v>
      </c>
      <c r="B4768" t="s">
        <v>72</v>
      </c>
      <c r="C4768" s="2">
        <f>HYPERLINK("https://cao.dolgi.msk.ru/account/1080215961/", 1080215961)</f>
        <v>1080215961</v>
      </c>
      <c r="D4768" t="s">
        <v>4005</v>
      </c>
      <c r="E4768">
        <v>-8020.25</v>
      </c>
      <c r="F4768">
        <v>-1.04</v>
      </c>
      <c r="G4768" t="s">
        <v>12</v>
      </c>
      <c r="I4768" t="s">
        <v>1428</v>
      </c>
    </row>
    <row r="4769" spans="1:9" hidden="1" x14ac:dyDescent="0.25">
      <c r="A4769" t="s">
        <v>3983</v>
      </c>
      <c r="B4769" t="s">
        <v>74</v>
      </c>
      <c r="C4769" s="2">
        <f>HYPERLINK("https://cao.dolgi.msk.ru/account/1080215988/", 1080215988)</f>
        <v>1080215988</v>
      </c>
      <c r="D4769" t="s">
        <v>4006</v>
      </c>
      <c r="E4769">
        <v>-1749.18</v>
      </c>
      <c r="F4769">
        <v>-0.21</v>
      </c>
      <c r="G4769" t="s">
        <v>12</v>
      </c>
      <c r="I4769" t="s">
        <v>1428</v>
      </c>
    </row>
    <row r="4770" spans="1:9" hidden="1" x14ac:dyDescent="0.25">
      <c r="A4770" t="s">
        <v>3983</v>
      </c>
      <c r="B4770" t="s">
        <v>76</v>
      </c>
      <c r="C4770" s="2">
        <f>HYPERLINK("https://cao.dolgi.msk.ru/account/1080215996/", 1080215996)</f>
        <v>1080215996</v>
      </c>
      <c r="D4770" t="s">
        <v>4007</v>
      </c>
      <c r="E4770">
        <v>-6110.56</v>
      </c>
      <c r="F4770">
        <v>-1.1599999999999999</v>
      </c>
      <c r="G4770" t="s">
        <v>12</v>
      </c>
      <c r="I4770" t="s">
        <v>1428</v>
      </c>
    </row>
    <row r="4771" spans="1:9" hidden="1" x14ac:dyDescent="0.25">
      <c r="A4771" t="s">
        <v>3983</v>
      </c>
      <c r="B4771" t="s">
        <v>78</v>
      </c>
      <c r="C4771" s="2">
        <f>HYPERLINK("https://cao.dolgi.msk.ru/account/1080216008/", 1080216008)</f>
        <v>1080216008</v>
      </c>
      <c r="D4771" t="s">
        <v>4008</v>
      </c>
      <c r="E4771">
        <v>-5207.97</v>
      </c>
      <c r="F4771">
        <v>-1.1599999999999999</v>
      </c>
      <c r="G4771" t="s">
        <v>12</v>
      </c>
      <c r="I4771" t="s">
        <v>1428</v>
      </c>
    </row>
    <row r="4772" spans="1:9" hidden="1" x14ac:dyDescent="0.25">
      <c r="A4772" t="s">
        <v>3983</v>
      </c>
      <c r="B4772" t="s">
        <v>80</v>
      </c>
      <c r="C4772" s="2">
        <f>HYPERLINK("https://cao.dolgi.msk.ru/account/1080216024/", 1080216024)</f>
        <v>1080216024</v>
      </c>
      <c r="D4772" t="s">
        <v>4009</v>
      </c>
      <c r="E4772">
        <v>-11785.12</v>
      </c>
      <c r="F4772">
        <v>-1.21</v>
      </c>
      <c r="G4772" t="s">
        <v>12</v>
      </c>
      <c r="I4772" t="s">
        <v>1428</v>
      </c>
    </row>
    <row r="4773" spans="1:9" hidden="1" x14ac:dyDescent="0.25">
      <c r="A4773" t="s">
        <v>3983</v>
      </c>
      <c r="B4773" t="s">
        <v>82</v>
      </c>
      <c r="C4773" s="2">
        <f>HYPERLINK("https://cao.dolgi.msk.ru/account/1080216067/", 1080216067)</f>
        <v>1080216067</v>
      </c>
      <c r="D4773" t="s">
        <v>4010</v>
      </c>
      <c r="E4773">
        <v>-15180.2</v>
      </c>
      <c r="F4773">
        <v>-1.51</v>
      </c>
      <c r="G4773" t="s">
        <v>12</v>
      </c>
      <c r="I4773" t="s">
        <v>1428</v>
      </c>
    </row>
    <row r="4774" spans="1:9" hidden="1" x14ac:dyDescent="0.25">
      <c r="A4774" t="s">
        <v>3983</v>
      </c>
      <c r="B4774" t="s">
        <v>84</v>
      </c>
      <c r="C4774" s="2">
        <f>HYPERLINK("https://cao.dolgi.msk.ru/account/1080216059/", 1080216059)</f>
        <v>1080216059</v>
      </c>
      <c r="D4774" t="s">
        <v>4011</v>
      </c>
      <c r="E4774">
        <v>-6384.06</v>
      </c>
      <c r="F4774">
        <v>-1.1200000000000001</v>
      </c>
      <c r="G4774" t="s">
        <v>12</v>
      </c>
      <c r="I4774" t="s">
        <v>1428</v>
      </c>
    </row>
    <row r="4775" spans="1:9" hidden="1" x14ac:dyDescent="0.25">
      <c r="A4775" t="s">
        <v>3983</v>
      </c>
      <c r="B4775" t="s">
        <v>86</v>
      </c>
      <c r="C4775" s="2">
        <f>HYPERLINK("https://cao.dolgi.msk.ru/account/1080216075/", 1080216075)</f>
        <v>1080216075</v>
      </c>
      <c r="D4775" t="s">
        <v>4012</v>
      </c>
      <c r="E4775">
        <v>-4829.8599999999997</v>
      </c>
      <c r="F4775">
        <v>-0.98</v>
      </c>
      <c r="G4775" t="s">
        <v>12</v>
      </c>
      <c r="I4775" t="s">
        <v>1428</v>
      </c>
    </row>
    <row r="4776" spans="1:9" hidden="1" x14ac:dyDescent="0.25">
      <c r="A4776" t="s">
        <v>3983</v>
      </c>
      <c r="B4776" t="s">
        <v>88</v>
      </c>
      <c r="C4776" s="2">
        <f>HYPERLINK("https://cao.dolgi.msk.ru/account/1080216083/", 1080216083)</f>
        <v>1080216083</v>
      </c>
      <c r="D4776" t="s">
        <v>4013</v>
      </c>
      <c r="E4776">
        <v>37679.699999999997</v>
      </c>
      <c r="G4776" t="s">
        <v>14</v>
      </c>
      <c r="I4776" t="s">
        <v>1428</v>
      </c>
    </row>
    <row r="4777" spans="1:9" hidden="1" x14ac:dyDescent="0.25">
      <c r="A4777" t="s">
        <v>3983</v>
      </c>
      <c r="B4777" t="s">
        <v>88</v>
      </c>
      <c r="C4777" s="2">
        <f>HYPERLINK("https://cao.dolgi.msk.ru/account/1083387726/", 1083387726)</f>
        <v>1083387726</v>
      </c>
      <c r="D4777" t="s">
        <v>15</v>
      </c>
      <c r="E4777">
        <v>-7007.47</v>
      </c>
      <c r="F4777">
        <v>-1.07</v>
      </c>
      <c r="G4777" t="s">
        <v>12</v>
      </c>
      <c r="I4777" t="s">
        <v>1428</v>
      </c>
    </row>
    <row r="4778" spans="1:9" hidden="1" x14ac:dyDescent="0.25">
      <c r="A4778" t="s">
        <v>3983</v>
      </c>
      <c r="B4778" t="s">
        <v>90</v>
      </c>
      <c r="C4778" s="2">
        <f>HYPERLINK("https://cao.dolgi.msk.ru/account/1080216091/", 1080216091)</f>
        <v>1080216091</v>
      </c>
      <c r="D4778" t="s">
        <v>4014</v>
      </c>
      <c r="E4778">
        <v>-6848.19</v>
      </c>
      <c r="F4778">
        <v>-1.08</v>
      </c>
      <c r="G4778" t="s">
        <v>12</v>
      </c>
      <c r="H4778" t="s">
        <v>7</v>
      </c>
      <c r="I4778" t="s">
        <v>1428</v>
      </c>
    </row>
    <row r="4779" spans="1:9" hidden="1" x14ac:dyDescent="0.25">
      <c r="A4779" t="s">
        <v>3983</v>
      </c>
      <c r="B4779" t="s">
        <v>90</v>
      </c>
      <c r="C4779" s="2">
        <f>HYPERLINK("https://cao.dolgi.msk.ru/account/1080216104/", 1080216104)</f>
        <v>1080216104</v>
      </c>
      <c r="D4779" t="s">
        <v>15</v>
      </c>
      <c r="G4779" t="s">
        <v>14</v>
      </c>
      <c r="H4779" t="s">
        <v>7</v>
      </c>
      <c r="I4779" t="s">
        <v>1428</v>
      </c>
    </row>
    <row r="4780" spans="1:9" hidden="1" x14ac:dyDescent="0.25">
      <c r="A4780" t="s">
        <v>3983</v>
      </c>
      <c r="B4780" t="s">
        <v>90</v>
      </c>
      <c r="C4780" s="2">
        <f>HYPERLINK("https://cao.dolgi.msk.ru/account/1080216112/", 1080216112)</f>
        <v>1080216112</v>
      </c>
      <c r="D4780" t="s">
        <v>4014</v>
      </c>
      <c r="E4780">
        <v>-14.87</v>
      </c>
      <c r="F4780">
        <v>-0.01</v>
      </c>
      <c r="G4780" t="s">
        <v>12</v>
      </c>
      <c r="H4780" t="s">
        <v>7</v>
      </c>
      <c r="I4780" t="s">
        <v>1428</v>
      </c>
    </row>
    <row r="4781" spans="1:9" hidden="1" x14ac:dyDescent="0.25">
      <c r="A4781" t="s">
        <v>3983</v>
      </c>
      <c r="B4781" t="s">
        <v>92</v>
      </c>
      <c r="C4781" s="2">
        <f>HYPERLINK("https://cao.dolgi.msk.ru/account/1080216139/", 1080216139)</f>
        <v>1080216139</v>
      </c>
      <c r="D4781" t="s">
        <v>4015</v>
      </c>
      <c r="E4781">
        <v>-4152.49</v>
      </c>
      <c r="F4781">
        <v>-0.9</v>
      </c>
      <c r="G4781" t="s">
        <v>12</v>
      </c>
      <c r="I4781" t="s">
        <v>1428</v>
      </c>
    </row>
    <row r="4782" spans="1:9" hidden="1" x14ac:dyDescent="0.25">
      <c r="A4782" t="s">
        <v>3983</v>
      </c>
      <c r="B4782" t="s">
        <v>94</v>
      </c>
      <c r="C4782" s="2">
        <f>HYPERLINK("https://cao.dolgi.msk.ru/account/1080216147/", 1080216147)</f>
        <v>1080216147</v>
      </c>
      <c r="D4782" t="s">
        <v>4016</v>
      </c>
      <c r="E4782">
        <v>-5155.1000000000004</v>
      </c>
      <c r="F4782">
        <v>-0.68</v>
      </c>
      <c r="G4782" t="s">
        <v>12</v>
      </c>
      <c r="I4782" t="s">
        <v>1428</v>
      </c>
    </row>
    <row r="4783" spans="1:9" hidden="1" x14ac:dyDescent="0.25">
      <c r="A4783" t="s">
        <v>3983</v>
      </c>
      <c r="B4783" t="s">
        <v>96</v>
      </c>
      <c r="C4783" s="2">
        <f>HYPERLINK("https://cao.dolgi.msk.ru/account/1080216198/", 1080216198)</f>
        <v>1080216198</v>
      </c>
      <c r="D4783" t="s">
        <v>4017</v>
      </c>
      <c r="E4783">
        <v>-450.06</v>
      </c>
      <c r="F4783">
        <v>-0.06</v>
      </c>
      <c r="G4783" t="s">
        <v>12</v>
      </c>
      <c r="I4783" t="s">
        <v>1428</v>
      </c>
    </row>
    <row r="4784" spans="1:9" hidden="1" x14ac:dyDescent="0.25">
      <c r="A4784" t="s">
        <v>3983</v>
      </c>
      <c r="B4784" t="s">
        <v>98</v>
      </c>
      <c r="C4784" s="2">
        <f>HYPERLINK("https://cao.dolgi.msk.ru/account/1080216163/", 1080216163)</f>
        <v>1080216163</v>
      </c>
      <c r="D4784" t="s">
        <v>4018</v>
      </c>
      <c r="E4784">
        <v>-9312.15</v>
      </c>
      <c r="F4784">
        <v>-0.93</v>
      </c>
      <c r="G4784" t="s">
        <v>12</v>
      </c>
      <c r="I4784" t="s">
        <v>1428</v>
      </c>
    </row>
    <row r="4785" spans="1:9" hidden="1" x14ac:dyDescent="0.25">
      <c r="A4785" t="s">
        <v>3983</v>
      </c>
      <c r="B4785" t="s">
        <v>100</v>
      </c>
      <c r="C4785" s="2">
        <f>HYPERLINK("https://cao.dolgi.msk.ru/account/1080216171/", 1080216171)</f>
        <v>1080216171</v>
      </c>
      <c r="D4785" t="s">
        <v>4019</v>
      </c>
      <c r="E4785">
        <v>-3217.76</v>
      </c>
      <c r="F4785">
        <v>-1.08</v>
      </c>
      <c r="G4785" t="s">
        <v>12</v>
      </c>
      <c r="I4785" t="s">
        <v>1428</v>
      </c>
    </row>
    <row r="4786" spans="1:9" x14ac:dyDescent="0.25">
      <c r="A4786" t="s">
        <v>3983</v>
      </c>
      <c r="B4786" t="s">
        <v>102</v>
      </c>
      <c r="C4786" s="2">
        <f>HYPERLINK("https://cao.dolgi.msk.ru/account/1080216219/", 1080216219)</f>
        <v>1080216219</v>
      </c>
      <c r="D4786" t="s">
        <v>4020</v>
      </c>
      <c r="E4786">
        <v>6990.26</v>
      </c>
      <c r="F4786">
        <v>1.04</v>
      </c>
      <c r="G4786" t="s">
        <v>12</v>
      </c>
      <c r="I4786" t="s">
        <v>1428</v>
      </c>
    </row>
    <row r="4787" spans="1:9" hidden="1" x14ac:dyDescent="0.25">
      <c r="A4787" t="s">
        <v>3983</v>
      </c>
      <c r="B4787" t="s">
        <v>104</v>
      </c>
      <c r="C4787" s="2">
        <f>HYPERLINK("https://cao.dolgi.msk.ru/account/1080216227/", 1080216227)</f>
        <v>1080216227</v>
      </c>
      <c r="D4787" t="s">
        <v>4021</v>
      </c>
      <c r="E4787">
        <v>0</v>
      </c>
      <c r="F4787">
        <v>0</v>
      </c>
      <c r="G4787" t="s">
        <v>12</v>
      </c>
      <c r="I4787" t="s">
        <v>1428</v>
      </c>
    </row>
    <row r="4788" spans="1:9" x14ac:dyDescent="0.25">
      <c r="A4788" t="s">
        <v>3983</v>
      </c>
      <c r="B4788" t="s">
        <v>106</v>
      </c>
      <c r="C4788" s="2">
        <f>HYPERLINK("https://cao.dolgi.msk.ru/account/1080216235/", 1080216235)</f>
        <v>1080216235</v>
      </c>
      <c r="D4788" t="s">
        <v>4022</v>
      </c>
      <c r="E4788">
        <v>12105.4</v>
      </c>
      <c r="F4788">
        <v>2.65</v>
      </c>
      <c r="G4788" t="s">
        <v>12</v>
      </c>
      <c r="H4788" t="s">
        <v>7</v>
      </c>
      <c r="I4788" t="s">
        <v>1428</v>
      </c>
    </row>
    <row r="4789" spans="1:9" hidden="1" x14ac:dyDescent="0.25">
      <c r="A4789" t="s">
        <v>3983</v>
      </c>
      <c r="B4789" t="s">
        <v>106</v>
      </c>
      <c r="C4789" s="2">
        <f>HYPERLINK("https://cao.dolgi.msk.ru/account/1080216243/", 1080216243)</f>
        <v>1080216243</v>
      </c>
      <c r="D4789" t="s">
        <v>4022</v>
      </c>
      <c r="E4789">
        <v>-1272.74</v>
      </c>
      <c r="F4789">
        <v>-0.45</v>
      </c>
      <c r="G4789" t="s">
        <v>12</v>
      </c>
      <c r="H4789" t="s">
        <v>7</v>
      </c>
      <c r="I4789" t="s">
        <v>1428</v>
      </c>
    </row>
    <row r="4790" spans="1:9" hidden="1" x14ac:dyDescent="0.25">
      <c r="A4790" t="s">
        <v>3983</v>
      </c>
      <c r="B4790" t="s">
        <v>106</v>
      </c>
      <c r="C4790" s="2">
        <f>HYPERLINK("https://cao.dolgi.msk.ru/account/1080216294/", 1080216294)</f>
        <v>1080216294</v>
      </c>
      <c r="D4790" t="s">
        <v>4023</v>
      </c>
      <c r="E4790">
        <v>-4955.32</v>
      </c>
      <c r="F4790">
        <v>-1.1399999999999999</v>
      </c>
      <c r="G4790" t="s">
        <v>12</v>
      </c>
      <c r="H4790" t="s">
        <v>7</v>
      </c>
      <c r="I4790" t="s">
        <v>1428</v>
      </c>
    </row>
    <row r="4791" spans="1:9" hidden="1" x14ac:dyDescent="0.25">
      <c r="A4791" t="s">
        <v>3983</v>
      </c>
      <c r="B4791" t="s">
        <v>108</v>
      </c>
      <c r="C4791" s="2">
        <f>HYPERLINK("https://cao.dolgi.msk.ru/account/1080216251/", 1080216251)</f>
        <v>1080216251</v>
      </c>
      <c r="D4791" t="s">
        <v>4024</v>
      </c>
      <c r="E4791">
        <v>-3719.63</v>
      </c>
      <c r="F4791">
        <v>-1.1000000000000001</v>
      </c>
      <c r="G4791" t="s">
        <v>12</v>
      </c>
      <c r="I4791" t="s">
        <v>1428</v>
      </c>
    </row>
    <row r="4792" spans="1:9" hidden="1" x14ac:dyDescent="0.25">
      <c r="A4792" t="s">
        <v>3983</v>
      </c>
      <c r="B4792" t="s">
        <v>110</v>
      </c>
      <c r="C4792" s="2">
        <f>HYPERLINK("https://cao.dolgi.msk.ru/account/1080216278/", 1080216278)</f>
        <v>1080216278</v>
      </c>
      <c r="D4792" t="s">
        <v>4025</v>
      </c>
      <c r="E4792">
        <v>-116.68</v>
      </c>
      <c r="F4792">
        <v>-0.02</v>
      </c>
      <c r="G4792" t="s">
        <v>12</v>
      </c>
      <c r="I4792" t="s">
        <v>1428</v>
      </c>
    </row>
    <row r="4793" spans="1:9" hidden="1" x14ac:dyDescent="0.25">
      <c r="A4793" t="s">
        <v>3983</v>
      </c>
      <c r="B4793" t="s">
        <v>112</v>
      </c>
      <c r="C4793" s="2">
        <f>HYPERLINK("https://cao.dolgi.msk.ru/account/1080216286/", 1080216286)</f>
        <v>1080216286</v>
      </c>
      <c r="D4793" t="s">
        <v>4026</v>
      </c>
      <c r="E4793">
        <v>-9526.2000000000007</v>
      </c>
      <c r="F4793">
        <v>-1.1499999999999999</v>
      </c>
      <c r="G4793" t="s">
        <v>12</v>
      </c>
      <c r="I4793" t="s">
        <v>1428</v>
      </c>
    </row>
    <row r="4794" spans="1:9" hidden="1" x14ac:dyDescent="0.25">
      <c r="A4794" t="s">
        <v>3983</v>
      </c>
      <c r="B4794" t="s">
        <v>114</v>
      </c>
      <c r="C4794" s="2">
        <f>HYPERLINK("https://cao.dolgi.msk.ru/account/1080216307/", 1080216307)</f>
        <v>1080216307</v>
      </c>
      <c r="D4794" t="s">
        <v>4027</v>
      </c>
      <c r="E4794">
        <v>-25385.32</v>
      </c>
      <c r="F4794">
        <v>-3.75</v>
      </c>
      <c r="G4794" t="s">
        <v>12</v>
      </c>
      <c r="I4794" t="s">
        <v>1428</v>
      </c>
    </row>
    <row r="4795" spans="1:9" hidden="1" x14ac:dyDescent="0.25">
      <c r="A4795" t="s">
        <v>3983</v>
      </c>
      <c r="B4795" t="s">
        <v>116</v>
      </c>
      <c r="C4795" s="2">
        <f>HYPERLINK("https://cao.dolgi.msk.ru/account/1080216315/", 1080216315)</f>
        <v>1080216315</v>
      </c>
      <c r="D4795" t="s">
        <v>4028</v>
      </c>
      <c r="E4795">
        <v>-1262.5999999999999</v>
      </c>
      <c r="F4795">
        <v>-0.19</v>
      </c>
      <c r="G4795" t="s">
        <v>12</v>
      </c>
      <c r="I4795" t="s">
        <v>1428</v>
      </c>
    </row>
    <row r="4796" spans="1:9" hidden="1" x14ac:dyDescent="0.25">
      <c r="A4796" t="s">
        <v>3983</v>
      </c>
      <c r="B4796" t="s">
        <v>118</v>
      </c>
      <c r="C4796" s="2">
        <f>HYPERLINK("https://cao.dolgi.msk.ru/account/1080216323/", 1080216323)</f>
        <v>1080216323</v>
      </c>
      <c r="D4796" t="s">
        <v>4029</v>
      </c>
      <c r="E4796">
        <v>-6370.98</v>
      </c>
      <c r="F4796">
        <v>-0.99</v>
      </c>
      <c r="G4796" t="s">
        <v>12</v>
      </c>
      <c r="I4796" t="s">
        <v>1428</v>
      </c>
    </row>
    <row r="4797" spans="1:9" hidden="1" x14ac:dyDescent="0.25">
      <c r="A4797" t="s">
        <v>3983</v>
      </c>
      <c r="B4797" t="s">
        <v>120</v>
      </c>
      <c r="C4797" s="2">
        <f>HYPERLINK("https://cao.dolgi.msk.ru/account/1080216331/", 1080216331)</f>
        <v>1080216331</v>
      </c>
      <c r="D4797" t="s">
        <v>4030</v>
      </c>
      <c r="E4797">
        <v>-6227.23</v>
      </c>
      <c r="F4797">
        <v>-1.1100000000000001</v>
      </c>
      <c r="G4797" t="s">
        <v>12</v>
      </c>
      <c r="I4797" t="s">
        <v>1428</v>
      </c>
    </row>
    <row r="4798" spans="1:9" hidden="1" x14ac:dyDescent="0.25">
      <c r="A4798" t="s">
        <v>3983</v>
      </c>
      <c r="B4798" t="s">
        <v>122</v>
      </c>
      <c r="C4798" s="2">
        <f>HYPERLINK("https://cao.dolgi.msk.ru/account/1080216358/", 1080216358)</f>
        <v>1080216358</v>
      </c>
      <c r="D4798" t="s">
        <v>4031</v>
      </c>
      <c r="E4798">
        <v>-10813.88</v>
      </c>
      <c r="F4798">
        <v>-1.01</v>
      </c>
      <c r="G4798" t="s">
        <v>12</v>
      </c>
      <c r="I4798" t="s">
        <v>1428</v>
      </c>
    </row>
    <row r="4799" spans="1:9" hidden="1" x14ac:dyDescent="0.25">
      <c r="A4799" t="s">
        <v>3983</v>
      </c>
      <c r="B4799" t="s">
        <v>124</v>
      </c>
      <c r="C4799" s="2">
        <f>HYPERLINK("https://cao.dolgi.msk.ru/account/1080216366/", 1080216366)</f>
        <v>1080216366</v>
      </c>
      <c r="D4799" t="s">
        <v>4032</v>
      </c>
      <c r="E4799">
        <v>-4433.96</v>
      </c>
      <c r="F4799">
        <v>-1.18</v>
      </c>
      <c r="G4799" t="s">
        <v>12</v>
      </c>
      <c r="I4799" t="s">
        <v>1428</v>
      </c>
    </row>
    <row r="4800" spans="1:9" hidden="1" x14ac:dyDescent="0.25">
      <c r="A4800" t="s">
        <v>3983</v>
      </c>
      <c r="B4800" t="s">
        <v>126</v>
      </c>
      <c r="C4800" s="2">
        <f>HYPERLINK("https://cao.dolgi.msk.ru/account/1080216374/", 1080216374)</f>
        <v>1080216374</v>
      </c>
      <c r="D4800" t="s">
        <v>4033</v>
      </c>
      <c r="E4800">
        <v>-5775.99</v>
      </c>
      <c r="F4800">
        <v>-1.77</v>
      </c>
      <c r="G4800" t="s">
        <v>12</v>
      </c>
      <c r="I4800" t="s">
        <v>1428</v>
      </c>
    </row>
    <row r="4801" spans="1:9" hidden="1" x14ac:dyDescent="0.25">
      <c r="A4801" t="s">
        <v>3983</v>
      </c>
      <c r="B4801" t="s">
        <v>128</v>
      </c>
      <c r="C4801" s="2">
        <f>HYPERLINK("https://cao.dolgi.msk.ru/account/1080216382/", 1080216382)</f>
        <v>1080216382</v>
      </c>
      <c r="D4801" t="s">
        <v>4034</v>
      </c>
      <c r="E4801">
        <v>-10301.51</v>
      </c>
      <c r="F4801">
        <v>-1.08</v>
      </c>
      <c r="G4801" t="s">
        <v>12</v>
      </c>
      <c r="I4801" t="s">
        <v>1428</v>
      </c>
    </row>
    <row r="4802" spans="1:9" hidden="1" x14ac:dyDescent="0.25">
      <c r="A4802" t="s">
        <v>3983</v>
      </c>
      <c r="B4802" t="s">
        <v>130</v>
      </c>
      <c r="C4802" s="2">
        <f>HYPERLINK("https://cao.dolgi.msk.ru/account/1080216411/", 1080216411)</f>
        <v>1080216411</v>
      </c>
      <c r="D4802" t="s">
        <v>4035</v>
      </c>
      <c r="E4802">
        <v>-3677.01</v>
      </c>
      <c r="F4802">
        <v>-1.03</v>
      </c>
      <c r="G4802" t="s">
        <v>12</v>
      </c>
      <c r="H4802" t="s">
        <v>7</v>
      </c>
      <c r="I4802" t="s">
        <v>1428</v>
      </c>
    </row>
    <row r="4803" spans="1:9" hidden="1" x14ac:dyDescent="0.25">
      <c r="A4803" t="s">
        <v>3983</v>
      </c>
      <c r="B4803" t="s">
        <v>130</v>
      </c>
      <c r="C4803" s="2">
        <f>HYPERLINK("https://cao.dolgi.msk.ru/account/1080216438/", 1080216438)</f>
        <v>1080216438</v>
      </c>
      <c r="D4803" t="s">
        <v>4036</v>
      </c>
      <c r="E4803">
        <v>-4244.93</v>
      </c>
      <c r="F4803">
        <v>-1.1100000000000001</v>
      </c>
      <c r="G4803" t="s">
        <v>12</v>
      </c>
      <c r="H4803" t="s">
        <v>7</v>
      </c>
      <c r="I4803" t="s">
        <v>1428</v>
      </c>
    </row>
    <row r="4804" spans="1:9" hidden="1" x14ac:dyDescent="0.25">
      <c r="A4804" t="s">
        <v>3983</v>
      </c>
      <c r="B4804" t="s">
        <v>132</v>
      </c>
      <c r="C4804" s="2">
        <f>HYPERLINK("https://cao.dolgi.msk.ru/account/1080216446/", 1080216446)</f>
        <v>1080216446</v>
      </c>
      <c r="D4804" t="s">
        <v>4037</v>
      </c>
      <c r="E4804">
        <v>-6950.51</v>
      </c>
      <c r="F4804">
        <v>-1.08</v>
      </c>
      <c r="G4804" t="s">
        <v>12</v>
      </c>
      <c r="I4804" t="s">
        <v>1428</v>
      </c>
    </row>
    <row r="4805" spans="1:9" hidden="1" x14ac:dyDescent="0.25">
      <c r="A4805" t="s">
        <v>3983</v>
      </c>
      <c r="B4805" t="s">
        <v>133</v>
      </c>
      <c r="C4805" s="2">
        <f>HYPERLINK("https://cao.dolgi.msk.ru/account/1080216454/", 1080216454)</f>
        <v>1080216454</v>
      </c>
      <c r="D4805" t="s">
        <v>4038</v>
      </c>
      <c r="E4805">
        <v>-5998.65</v>
      </c>
      <c r="F4805">
        <v>-1.24</v>
      </c>
      <c r="G4805" t="s">
        <v>12</v>
      </c>
      <c r="I4805" t="s">
        <v>1428</v>
      </c>
    </row>
    <row r="4806" spans="1:9" hidden="1" x14ac:dyDescent="0.25">
      <c r="A4806" t="s">
        <v>3983</v>
      </c>
      <c r="B4806" t="s">
        <v>135</v>
      </c>
      <c r="C4806" s="2">
        <f>HYPERLINK("https://cao.dolgi.msk.ru/account/1080216462/", 1080216462)</f>
        <v>1080216462</v>
      </c>
      <c r="D4806" t="s">
        <v>4039</v>
      </c>
      <c r="E4806">
        <v>-10070.280000000001</v>
      </c>
      <c r="F4806">
        <v>-1.1299999999999999</v>
      </c>
      <c r="G4806" t="s">
        <v>12</v>
      </c>
      <c r="I4806" t="s">
        <v>1428</v>
      </c>
    </row>
    <row r="4807" spans="1:9" hidden="1" x14ac:dyDescent="0.25">
      <c r="A4807" t="s">
        <v>3983</v>
      </c>
      <c r="B4807" t="s">
        <v>137</v>
      </c>
      <c r="C4807" s="2">
        <f>HYPERLINK("https://cao.dolgi.msk.ru/account/1080216489/", 1080216489)</f>
        <v>1080216489</v>
      </c>
      <c r="D4807" t="s">
        <v>4040</v>
      </c>
      <c r="E4807">
        <v>-8736.3799999999992</v>
      </c>
      <c r="F4807">
        <v>-1.0900000000000001</v>
      </c>
      <c r="G4807" t="s">
        <v>12</v>
      </c>
      <c r="I4807" t="s">
        <v>1428</v>
      </c>
    </row>
    <row r="4808" spans="1:9" x14ac:dyDescent="0.25">
      <c r="A4808" t="s">
        <v>3983</v>
      </c>
      <c r="B4808" t="s">
        <v>139</v>
      </c>
      <c r="C4808" s="2">
        <f>HYPERLINK("https://cao.dolgi.msk.ru/account/1080216497/", 1080216497)</f>
        <v>1080216497</v>
      </c>
      <c r="D4808" t="s">
        <v>4041</v>
      </c>
      <c r="E4808">
        <v>12968.52</v>
      </c>
      <c r="F4808">
        <v>2.76</v>
      </c>
      <c r="G4808" t="s">
        <v>12</v>
      </c>
      <c r="I4808" t="s">
        <v>1428</v>
      </c>
    </row>
    <row r="4809" spans="1:9" hidden="1" x14ac:dyDescent="0.25">
      <c r="A4809" t="s">
        <v>3983</v>
      </c>
      <c r="B4809" t="s">
        <v>141</v>
      </c>
      <c r="C4809" s="2">
        <f>HYPERLINK("https://cao.dolgi.msk.ru/account/1080216518/", 1080216518)</f>
        <v>1080216518</v>
      </c>
      <c r="D4809" t="s">
        <v>4042</v>
      </c>
      <c r="E4809">
        <v>-625.4</v>
      </c>
      <c r="F4809">
        <v>-0.13</v>
      </c>
      <c r="G4809" t="s">
        <v>12</v>
      </c>
      <c r="I4809" t="s">
        <v>1428</v>
      </c>
    </row>
    <row r="4810" spans="1:9" hidden="1" x14ac:dyDescent="0.25">
      <c r="A4810" t="s">
        <v>3983</v>
      </c>
      <c r="B4810" t="s">
        <v>143</v>
      </c>
      <c r="C4810" s="2">
        <f>HYPERLINK("https://cao.dolgi.msk.ru/account/1080216526/", 1080216526)</f>
        <v>1080216526</v>
      </c>
      <c r="D4810" t="s">
        <v>15</v>
      </c>
      <c r="E4810">
        <v>9520.32</v>
      </c>
      <c r="F4810">
        <v>0.99</v>
      </c>
      <c r="G4810" t="s">
        <v>12</v>
      </c>
      <c r="I4810" t="s">
        <v>1428</v>
      </c>
    </row>
    <row r="4811" spans="1:9" hidden="1" x14ac:dyDescent="0.25">
      <c r="A4811" t="s">
        <v>3983</v>
      </c>
      <c r="B4811" t="s">
        <v>145</v>
      </c>
      <c r="C4811" s="2">
        <f>HYPERLINK("https://cao.dolgi.msk.ru/account/1080216534/", 1080216534)</f>
        <v>1080216534</v>
      </c>
      <c r="D4811" t="s">
        <v>4043</v>
      </c>
      <c r="E4811">
        <v>-5032.1000000000004</v>
      </c>
      <c r="F4811">
        <v>-1.1200000000000001</v>
      </c>
      <c r="G4811" t="s">
        <v>12</v>
      </c>
      <c r="I4811" t="s">
        <v>1428</v>
      </c>
    </row>
    <row r="4812" spans="1:9" hidden="1" x14ac:dyDescent="0.25">
      <c r="A4812" t="s">
        <v>3983</v>
      </c>
      <c r="B4812" t="s">
        <v>147</v>
      </c>
      <c r="C4812" s="2">
        <f>HYPERLINK("https://cao.dolgi.msk.ru/account/1080216542/", 1080216542)</f>
        <v>1080216542</v>
      </c>
      <c r="D4812" t="s">
        <v>4044</v>
      </c>
      <c r="E4812">
        <v>-18.899999999999999</v>
      </c>
      <c r="F4812">
        <v>0</v>
      </c>
      <c r="G4812" t="s">
        <v>12</v>
      </c>
      <c r="I4812" t="s">
        <v>1428</v>
      </c>
    </row>
    <row r="4813" spans="1:9" hidden="1" x14ac:dyDescent="0.25">
      <c r="A4813" t="s">
        <v>3983</v>
      </c>
      <c r="B4813" t="s">
        <v>149</v>
      </c>
      <c r="C4813" s="2">
        <f>HYPERLINK("https://cao.dolgi.msk.ru/account/1080216569/", 1080216569)</f>
        <v>1080216569</v>
      </c>
      <c r="D4813" t="s">
        <v>4045</v>
      </c>
      <c r="E4813">
        <v>-3951.16</v>
      </c>
      <c r="F4813">
        <v>-0.97</v>
      </c>
      <c r="G4813" t="s">
        <v>12</v>
      </c>
      <c r="I4813" t="s">
        <v>1428</v>
      </c>
    </row>
    <row r="4814" spans="1:9" hidden="1" x14ac:dyDescent="0.25">
      <c r="A4814" t="s">
        <v>3983</v>
      </c>
      <c r="B4814" t="s">
        <v>151</v>
      </c>
      <c r="C4814" s="2">
        <f>HYPERLINK("https://cao.dolgi.msk.ru/account/1080216577/", 1080216577)</f>
        <v>1080216577</v>
      </c>
      <c r="D4814" t="s">
        <v>4046</v>
      </c>
      <c r="E4814">
        <v>-9878.7800000000007</v>
      </c>
      <c r="F4814">
        <v>-1.0900000000000001</v>
      </c>
      <c r="G4814" t="s">
        <v>12</v>
      </c>
      <c r="I4814" t="s">
        <v>1428</v>
      </c>
    </row>
    <row r="4815" spans="1:9" hidden="1" x14ac:dyDescent="0.25">
      <c r="A4815" t="s">
        <v>4047</v>
      </c>
      <c r="B4815" t="s">
        <v>10</v>
      </c>
      <c r="C4815" s="2">
        <f>HYPERLINK("https://cao.dolgi.msk.ru/account/1080236404/", 1080236404)</f>
        <v>1080236404</v>
      </c>
      <c r="D4815" t="s">
        <v>4048</v>
      </c>
      <c r="E4815">
        <v>-11052.28</v>
      </c>
      <c r="F4815">
        <v>-1.1599999999999999</v>
      </c>
      <c r="G4815" t="s">
        <v>12</v>
      </c>
      <c r="I4815" t="s">
        <v>1428</v>
      </c>
    </row>
    <row r="4816" spans="1:9" hidden="1" x14ac:dyDescent="0.25">
      <c r="A4816" t="s">
        <v>4047</v>
      </c>
      <c r="B4816" t="s">
        <v>16</v>
      </c>
      <c r="C4816" s="2">
        <f>HYPERLINK("https://cao.dolgi.msk.ru/account/1080236412/", 1080236412)</f>
        <v>1080236412</v>
      </c>
      <c r="D4816" t="s">
        <v>4049</v>
      </c>
      <c r="E4816">
        <v>-5486.61</v>
      </c>
      <c r="F4816">
        <v>-1.23</v>
      </c>
      <c r="G4816" t="s">
        <v>12</v>
      </c>
      <c r="I4816" t="s">
        <v>1428</v>
      </c>
    </row>
    <row r="4817" spans="1:9" hidden="1" x14ac:dyDescent="0.25">
      <c r="A4817" t="s">
        <v>4047</v>
      </c>
      <c r="B4817" t="s">
        <v>18</v>
      </c>
      <c r="C4817" s="2">
        <f>HYPERLINK("https://cao.dolgi.msk.ru/account/1080236439/", 1080236439)</f>
        <v>1080236439</v>
      </c>
      <c r="D4817" t="s">
        <v>4050</v>
      </c>
      <c r="E4817">
        <v>0</v>
      </c>
      <c r="F4817">
        <v>0</v>
      </c>
      <c r="G4817" t="s">
        <v>12</v>
      </c>
      <c r="I4817" t="s">
        <v>1428</v>
      </c>
    </row>
    <row r="4818" spans="1:9" hidden="1" x14ac:dyDescent="0.25">
      <c r="A4818" t="s">
        <v>4047</v>
      </c>
      <c r="B4818" t="s">
        <v>20</v>
      </c>
      <c r="C4818" s="2">
        <f>HYPERLINK("https://cao.dolgi.msk.ru/account/1080236447/", 1080236447)</f>
        <v>1080236447</v>
      </c>
      <c r="D4818" t="s">
        <v>3189</v>
      </c>
      <c r="E4818">
        <v>-8367.1299999999992</v>
      </c>
      <c r="F4818">
        <v>-1.29</v>
      </c>
      <c r="G4818" t="s">
        <v>12</v>
      </c>
      <c r="I4818" t="s">
        <v>1428</v>
      </c>
    </row>
    <row r="4819" spans="1:9" hidden="1" x14ac:dyDescent="0.25">
      <c r="A4819" t="s">
        <v>4047</v>
      </c>
      <c r="B4819" t="s">
        <v>21</v>
      </c>
      <c r="C4819" s="2">
        <f>HYPERLINK("https://cao.dolgi.msk.ru/account/1080236455/", 1080236455)</f>
        <v>1080236455</v>
      </c>
      <c r="D4819" t="s">
        <v>4051</v>
      </c>
      <c r="E4819">
        <v>-17712.22</v>
      </c>
      <c r="F4819">
        <v>-1.84</v>
      </c>
      <c r="G4819" t="s">
        <v>12</v>
      </c>
      <c r="I4819" t="s">
        <v>1428</v>
      </c>
    </row>
    <row r="4820" spans="1:9" hidden="1" x14ac:dyDescent="0.25">
      <c r="A4820" t="s">
        <v>4047</v>
      </c>
      <c r="B4820" t="s">
        <v>21</v>
      </c>
      <c r="C4820" s="2">
        <f>HYPERLINK("https://cao.dolgi.msk.ru/account/1080236463/", 1080236463)</f>
        <v>1080236463</v>
      </c>
      <c r="D4820" t="s">
        <v>4052</v>
      </c>
      <c r="E4820">
        <v>48.44</v>
      </c>
      <c r="G4820" t="s">
        <v>14</v>
      </c>
      <c r="I4820" t="s">
        <v>1428</v>
      </c>
    </row>
    <row r="4821" spans="1:9" hidden="1" x14ac:dyDescent="0.25">
      <c r="A4821" t="s">
        <v>4047</v>
      </c>
      <c r="B4821" t="s">
        <v>22</v>
      </c>
      <c r="C4821" s="2">
        <f>HYPERLINK("https://cao.dolgi.msk.ru/account/1080236471/", 1080236471)</f>
        <v>1080236471</v>
      </c>
      <c r="D4821" t="s">
        <v>4053</v>
      </c>
      <c r="E4821">
        <v>-4762.71</v>
      </c>
      <c r="F4821">
        <v>-1.1399999999999999</v>
      </c>
      <c r="G4821" t="s">
        <v>12</v>
      </c>
      <c r="I4821" t="s">
        <v>1428</v>
      </c>
    </row>
    <row r="4822" spans="1:9" hidden="1" x14ac:dyDescent="0.25">
      <c r="A4822" t="s">
        <v>4047</v>
      </c>
      <c r="B4822" t="s">
        <v>23</v>
      </c>
      <c r="C4822" s="2">
        <f>HYPERLINK("https://cao.dolgi.msk.ru/account/1080236498/", 1080236498)</f>
        <v>1080236498</v>
      </c>
      <c r="D4822" t="s">
        <v>4054</v>
      </c>
      <c r="E4822">
        <v>15.45</v>
      </c>
      <c r="F4822">
        <v>0</v>
      </c>
      <c r="G4822" t="s">
        <v>12</v>
      </c>
      <c r="I4822" t="s">
        <v>1428</v>
      </c>
    </row>
    <row r="4823" spans="1:9" hidden="1" x14ac:dyDescent="0.25">
      <c r="A4823" t="s">
        <v>4047</v>
      </c>
      <c r="B4823" t="s">
        <v>24</v>
      </c>
      <c r="C4823" s="2">
        <f>HYPERLINK("https://cao.dolgi.msk.ru/account/1080236519/", 1080236519)</f>
        <v>1080236519</v>
      </c>
      <c r="D4823" t="s">
        <v>4055</v>
      </c>
      <c r="E4823">
        <v>-12237.15</v>
      </c>
      <c r="F4823">
        <v>-2.2000000000000002</v>
      </c>
      <c r="G4823" t="s">
        <v>12</v>
      </c>
      <c r="I4823" t="s">
        <v>1428</v>
      </c>
    </row>
    <row r="4824" spans="1:9" hidden="1" x14ac:dyDescent="0.25">
      <c r="A4824" t="s">
        <v>4047</v>
      </c>
      <c r="B4824" t="s">
        <v>27</v>
      </c>
      <c r="C4824" s="2">
        <f>HYPERLINK("https://cao.dolgi.msk.ru/account/1080236527/", 1080236527)</f>
        <v>1080236527</v>
      </c>
      <c r="D4824" t="s">
        <v>4056</v>
      </c>
      <c r="E4824">
        <v>-3837.23</v>
      </c>
      <c r="F4824">
        <v>-1.44</v>
      </c>
      <c r="G4824" t="s">
        <v>12</v>
      </c>
      <c r="H4824" t="s">
        <v>7</v>
      </c>
      <c r="I4824" t="s">
        <v>1428</v>
      </c>
    </row>
    <row r="4825" spans="1:9" x14ac:dyDescent="0.25">
      <c r="A4825" t="s">
        <v>4047</v>
      </c>
      <c r="B4825" t="s">
        <v>27</v>
      </c>
      <c r="C4825" s="2">
        <f>HYPERLINK("https://cao.dolgi.msk.ru/account/1080236535/", 1080236535)</f>
        <v>1080236535</v>
      </c>
      <c r="D4825" t="s">
        <v>4056</v>
      </c>
      <c r="E4825">
        <v>88418.37</v>
      </c>
      <c r="F4825">
        <v>21.24</v>
      </c>
      <c r="G4825" t="s">
        <v>12</v>
      </c>
      <c r="H4825" t="s">
        <v>7</v>
      </c>
      <c r="I4825" t="s">
        <v>1428</v>
      </c>
    </row>
    <row r="4826" spans="1:9" hidden="1" x14ac:dyDescent="0.25">
      <c r="A4826" t="s">
        <v>4047</v>
      </c>
      <c r="B4826" t="s">
        <v>27</v>
      </c>
      <c r="C4826" s="2">
        <f>HYPERLINK("https://cao.dolgi.msk.ru/account/1083396139/", 1083396139)</f>
        <v>1083396139</v>
      </c>
      <c r="D4826" t="s">
        <v>189</v>
      </c>
      <c r="E4826">
        <v>715.62</v>
      </c>
      <c r="G4826" t="s">
        <v>12</v>
      </c>
      <c r="H4826" t="s">
        <v>7</v>
      </c>
      <c r="I4826" t="s">
        <v>1428</v>
      </c>
    </row>
    <row r="4827" spans="1:9" x14ac:dyDescent="0.25">
      <c r="A4827" t="s">
        <v>4047</v>
      </c>
      <c r="B4827" t="s">
        <v>27</v>
      </c>
      <c r="C4827" s="2">
        <f>HYPERLINK("https://cao.dolgi.msk.ru/account/1083396171/", 1083396171)</f>
        <v>1083396171</v>
      </c>
      <c r="D4827" t="s">
        <v>189</v>
      </c>
      <c r="E4827">
        <v>37975.17</v>
      </c>
      <c r="F4827">
        <v>15.81</v>
      </c>
      <c r="G4827" t="s">
        <v>12</v>
      </c>
      <c r="H4827" t="s">
        <v>7</v>
      </c>
      <c r="I4827" t="s">
        <v>1428</v>
      </c>
    </row>
    <row r="4828" spans="1:9" x14ac:dyDescent="0.25">
      <c r="A4828" t="s">
        <v>4047</v>
      </c>
      <c r="B4828" t="s">
        <v>27</v>
      </c>
      <c r="C4828" s="2">
        <f>HYPERLINK("https://cao.dolgi.msk.ru/account/1083396243/", 1083396243)</f>
        <v>1083396243</v>
      </c>
      <c r="D4828" t="s">
        <v>189</v>
      </c>
      <c r="E4828">
        <v>62089.69</v>
      </c>
      <c r="F4828">
        <v>15.95</v>
      </c>
      <c r="G4828" t="s">
        <v>12</v>
      </c>
      <c r="H4828" t="s">
        <v>7</v>
      </c>
      <c r="I4828" t="s">
        <v>1428</v>
      </c>
    </row>
    <row r="4829" spans="1:9" hidden="1" x14ac:dyDescent="0.25">
      <c r="A4829" t="s">
        <v>4047</v>
      </c>
      <c r="B4829" t="s">
        <v>29</v>
      </c>
      <c r="C4829" s="2">
        <f>HYPERLINK("https://cao.dolgi.msk.ru/account/1080236543/", 1080236543)</f>
        <v>1080236543</v>
      </c>
      <c r="D4829" t="s">
        <v>4057</v>
      </c>
      <c r="E4829">
        <v>8.92</v>
      </c>
      <c r="F4829">
        <v>0</v>
      </c>
      <c r="G4829" t="s">
        <v>12</v>
      </c>
      <c r="I4829" t="s">
        <v>1428</v>
      </c>
    </row>
    <row r="4830" spans="1:9" hidden="1" x14ac:dyDescent="0.25">
      <c r="A4830" t="s">
        <v>4047</v>
      </c>
      <c r="B4830" t="s">
        <v>31</v>
      </c>
      <c r="C4830" s="2">
        <f>HYPERLINK("https://cao.dolgi.msk.ru/account/1080236551/", 1080236551)</f>
        <v>1080236551</v>
      </c>
      <c r="D4830" t="s">
        <v>4058</v>
      </c>
      <c r="E4830">
        <v>-2637.23</v>
      </c>
      <c r="F4830">
        <v>-1.24</v>
      </c>
      <c r="G4830" t="s">
        <v>12</v>
      </c>
      <c r="I4830" t="s">
        <v>1428</v>
      </c>
    </row>
    <row r="4831" spans="1:9" hidden="1" x14ac:dyDescent="0.25">
      <c r="A4831" t="s">
        <v>4047</v>
      </c>
      <c r="B4831" t="s">
        <v>31</v>
      </c>
      <c r="C4831" s="2">
        <f>HYPERLINK("https://cao.dolgi.msk.ru/account/1089127343/", 1089127343)</f>
        <v>1089127343</v>
      </c>
      <c r="D4831" t="s">
        <v>15</v>
      </c>
      <c r="E4831">
        <v>-1306.25</v>
      </c>
      <c r="F4831">
        <v>-1.36</v>
      </c>
      <c r="G4831" t="s">
        <v>12</v>
      </c>
      <c r="I4831" t="s">
        <v>1428</v>
      </c>
    </row>
    <row r="4832" spans="1:9" hidden="1" x14ac:dyDescent="0.25">
      <c r="A4832" t="s">
        <v>4047</v>
      </c>
      <c r="B4832" t="s">
        <v>33</v>
      </c>
      <c r="C4832" s="2">
        <f>HYPERLINK("https://cao.dolgi.msk.ru/account/1080236578/", 1080236578)</f>
        <v>1080236578</v>
      </c>
      <c r="D4832" t="s">
        <v>4059</v>
      </c>
      <c r="E4832">
        <v>-1685.18</v>
      </c>
      <c r="F4832">
        <v>-0.25</v>
      </c>
      <c r="G4832" t="s">
        <v>12</v>
      </c>
      <c r="I4832" t="s">
        <v>1428</v>
      </c>
    </row>
    <row r="4833" spans="1:9" hidden="1" x14ac:dyDescent="0.25">
      <c r="A4833" t="s">
        <v>4047</v>
      </c>
      <c r="B4833" t="s">
        <v>34</v>
      </c>
      <c r="C4833" s="2">
        <f>HYPERLINK("https://cao.dolgi.msk.ru/account/1080236586/", 1080236586)</f>
        <v>1080236586</v>
      </c>
      <c r="D4833" t="s">
        <v>4060</v>
      </c>
      <c r="E4833">
        <v>-9867.09</v>
      </c>
      <c r="F4833">
        <v>-1.23</v>
      </c>
      <c r="G4833" t="s">
        <v>12</v>
      </c>
      <c r="I4833" t="s">
        <v>1428</v>
      </c>
    </row>
    <row r="4834" spans="1:9" hidden="1" x14ac:dyDescent="0.25">
      <c r="A4834" t="s">
        <v>4047</v>
      </c>
      <c r="B4834" t="s">
        <v>34</v>
      </c>
      <c r="C4834" s="2">
        <f>HYPERLINK("https://cao.dolgi.msk.ru/account/1080236594/", 1080236594)</f>
        <v>1080236594</v>
      </c>
      <c r="D4834" t="s">
        <v>4060</v>
      </c>
      <c r="E4834">
        <v>-635.21</v>
      </c>
      <c r="G4834" t="s">
        <v>14</v>
      </c>
      <c r="I4834" t="s">
        <v>1428</v>
      </c>
    </row>
    <row r="4835" spans="1:9" hidden="1" x14ac:dyDescent="0.25">
      <c r="A4835" t="s">
        <v>4047</v>
      </c>
      <c r="B4835" t="s">
        <v>36</v>
      </c>
      <c r="C4835" s="2">
        <f>HYPERLINK("https://cao.dolgi.msk.ru/account/1080236607/", 1080236607)</f>
        <v>1080236607</v>
      </c>
      <c r="D4835" t="s">
        <v>4061</v>
      </c>
      <c r="E4835">
        <v>-3476</v>
      </c>
      <c r="F4835">
        <v>-1.1299999999999999</v>
      </c>
      <c r="G4835" t="s">
        <v>12</v>
      </c>
      <c r="I4835" t="s">
        <v>1428</v>
      </c>
    </row>
    <row r="4836" spans="1:9" hidden="1" x14ac:dyDescent="0.25">
      <c r="A4836" t="s">
        <v>4047</v>
      </c>
      <c r="B4836" t="s">
        <v>38</v>
      </c>
      <c r="C4836" s="2">
        <f>HYPERLINK("https://cao.dolgi.msk.ru/account/1080236615/", 1080236615)</f>
        <v>1080236615</v>
      </c>
      <c r="D4836" t="s">
        <v>4062</v>
      </c>
      <c r="E4836">
        <v>-6414.27</v>
      </c>
      <c r="F4836">
        <v>-1.2</v>
      </c>
      <c r="G4836" t="s">
        <v>12</v>
      </c>
      <c r="I4836" t="s">
        <v>1428</v>
      </c>
    </row>
    <row r="4837" spans="1:9" x14ac:dyDescent="0.25">
      <c r="A4837" t="s">
        <v>4047</v>
      </c>
      <c r="B4837" t="s">
        <v>39</v>
      </c>
      <c r="C4837" s="2">
        <f>HYPERLINK("https://cao.dolgi.msk.ru/account/1080236623/", 1080236623)</f>
        <v>1080236623</v>
      </c>
      <c r="D4837" t="s">
        <v>1082</v>
      </c>
      <c r="E4837">
        <v>12518.77</v>
      </c>
      <c r="F4837">
        <v>1.35</v>
      </c>
      <c r="G4837" t="s">
        <v>12</v>
      </c>
      <c r="I4837" t="s">
        <v>1428</v>
      </c>
    </row>
    <row r="4838" spans="1:9" hidden="1" x14ac:dyDescent="0.25">
      <c r="A4838" t="s">
        <v>4047</v>
      </c>
      <c r="B4838" t="s">
        <v>40</v>
      </c>
      <c r="C4838" s="2">
        <f>HYPERLINK("https://cao.dolgi.msk.ru/account/1080236658/", 1080236658)</f>
        <v>1080236658</v>
      </c>
      <c r="D4838" t="s">
        <v>4063</v>
      </c>
      <c r="E4838">
        <v>-5922.62</v>
      </c>
      <c r="F4838">
        <v>-1.22</v>
      </c>
      <c r="G4838" t="s">
        <v>12</v>
      </c>
      <c r="I4838" t="s">
        <v>1428</v>
      </c>
    </row>
    <row r="4839" spans="1:9" x14ac:dyDescent="0.25">
      <c r="A4839" t="s">
        <v>4047</v>
      </c>
      <c r="B4839" t="s">
        <v>41</v>
      </c>
      <c r="C4839" s="2">
        <f>HYPERLINK("https://cao.dolgi.msk.ru/account/1080236666/", 1080236666)</f>
        <v>1080236666</v>
      </c>
      <c r="D4839" t="s">
        <v>4064</v>
      </c>
      <c r="E4839">
        <v>12507.14</v>
      </c>
      <c r="F4839">
        <v>1.62</v>
      </c>
      <c r="G4839" t="s">
        <v>12</v>
      </c>
      <c r="I4839" t="s">
        <v>1428</v>
      </c>
    </row>
    <row r="4840" spans="1:9" hidden="1" x14ac:dyDescent="0.25">
      <c r="A4840" t="s">
        <v>4047</v>
      </c>
      <c r="B4840" t="s">
        <v>42</v>
      </c>
      <c r="C4840" s="2">
        <f>HYPERLINK("https://cao.dolgi.msk.ru/account/1080236674/", 1080236674)</f>
        <v>1080236674</v>
      </c>
      <c r="D4840" t="s">
        <v>4065</v>
      </c>
      <c r="E4840">
        <v>-133.86000000000001</v>
      </c>
      <c r="F4840">
        <v>-0.03</v>
      </c>
      <c r="G4840" t="s">
        <v>12</v>
      </c>
      <c r="I4840" t="s">
        <v>1428</v>
      </c>
    </row>
    <row r="4841" spans="1:9" hidden="1" x14ac:dyDescent="0.25">
      <c r="A4841" t="s">
        <v>4047</v>
      </c>
      <c r="B4841" t="s">
        <v>42</v>
      </c>
      <c r="C4841" s="2">
        <f>HYPERLINK("https://cao.dolgi.msk.ru/account/1080325167/", 1080325167)</f>
        <v>1080325167</v>
      </c>
      <c r="D4841" t="s">
        <v>15</v>
      </c>
      <c r="G4841" t="s">
        <v>14</v>
      </c>
      <c r="I4841" t="s">
        <v>1428</v>
      </c>
    </row>
    <row r="4842" spans="1:9" hidden="1" x14ac:dyDescent="0.25">
      <c r="A4842" t="s">
        <v>4047</v>
      </c>
      <c r="B4842" t="s">
        <v>42</v>
      </c>
      <c r="C4842" s="2">
        <f>HYPERLINK("https://cao.dolgi.msk.ru/account/1080325175/", 1080325175)</f>
        <v>1080325175</v>
      </c>
      <c r="D4842" t="s">
        <v>15</v>
      </c>
      <c r="G4842" t="s">
        <v>14</v>
      </c>
      <c r="I4842" t="s">
        <v>1428</v>
      </c>
    </row>
    <row r="4843" spans="1:9" hidden="1" x14ac:dyDescent="0.25">
      <c r="A4843" t="s">
        <v>4047</v>
      </c>
      <c r="B4843" t="s">
        <v>44</v>
      </c>
      <c r="C4843" s="2">
        <f>HYPERLINK("https://cao.dolgi.msk.ru/account/1080236682/", 1080236682)</f>
        <v>1080236682</v>
      </c>
      <c r="D4843" t="s">
        <v>4066</v>
      </c>
      <c r="E4843">
        <v>-5087.96</v>
      </c>
      <c r="F4843">
        <v>-1.21</v>
      </c>
      <c r="G4843" t="s">
        <v>12</v>
      </c>
      <c r="I4843" t="s">
        <v>1428</v>
      </c>
    </row>
    <row r="4844" spans="1:9" hidden="1" x14ac:dyDescent="0.25">
      <c r="A4844" t="s">
        <v>4047</v>
      </c>
      <c r="B4844" t="s">
        <v>66</v>
      </c>
      <c r="C4844" s="2">
        <f>HYPERLINK("https://cao.dolgi.msk.ru/account/1080236703/", 1080236703)</f>
        <v>1080236703</v>
      </c>
      <c r="D4844" t="s">
        <v>4067</v>
      </c>
      <c r="E4844">
        <v>-7082.33</v>
      </c>
      <c r="F4844">
        <v>-1.21</v>
      </c>
      <c r="G4844" t="s">
        <v>12</v>
      </c>
      <c r="I4844" t="s">
        <v>1428</v>
      </c>
    </row>
    <row r="4845" spans="1:9" hidden="1" x14ac:dyDescent="0.25">
      <c r="A4845" t="s">
        <v>4047</v>
      </c>
      <c r="B4845" t="s">
        <v>68</v>
      </c>
      <c r="C4845" s="2">
        <f>HYPERLINK("https://cao.dolgi.msk.ru/account/1080236711/", 1080236711)</f>
        <v>1080236711</v>
      </c>
      <c r="D4845" t="s">
        <v>4068</v>
      </c>
      <c r="E4845">
        <v>-5871.92</v>
      </c>
      <c r="F4845">
        <v>-1.21</v>
      </c>
      <c r="G4845" t="s">
        <v>12</v>
      </c>
      <c r="I4845" t="s">
        <v>1428</v>
      </c>
    </row>
    <row r="4846" spans="1:9" hidden="1" x14ac:dyDescent="0.25">
      <c r="A4846" t="s">
        <v>4047</v>
      </c>
      <c r="B4846" t="s">
        <v>70</v>
      </c>
      <c r="C4846" s="2">
        <f>HYPERLINK("https://cao.dolgi.msk.ru/account/1080236738/", 1080236738)</f>
        <v>1080236738</v>
      </c>
      <c r="D4846" t="s">
        <v>4069</v>
      </c>
      <c r="E4846">
        <v>6235.06</v>
      </c>
      <c r="F4846">
        <v>0.98</v>
      </c>
      <c r="G4846" t="s">
        <v>12</v>
      </c>
      <c r="I4846" t="s">
        <v>1428</v>
      </c>
    </row>
    <row r="4847" spans="1:9" hidden="1" x14ac:dyDescent="0.25">
      <c r="A4847" t="s">
        <v>4047</v>
      </c>
      <c r="B4847" t="s">
        <v>72</v>
      </c>
      <c r="C4847" s="2">
        <f>HYPERLINK("https://cao.dolgi.msk.ru/account/1080236746/", 1080236746)</f>
        <v>1080236746</v>
      </c>
      <c r="D4847" t="s">
        <v>4070</v>
      </c>
      <c r="E4847">
        <v>-9403.34</v>
      </c>
      <c r="F4847">
        <v>-1.19</v>
      </c>
      <c r="G4847" t="s">
        <v>12</v>
      </c>
      <c r="I4847" t="s">
        <v>1428</v>
      </c>
    </row>
    <row r="4848" spans="1:9" hidden="1" x14ac:dyDescent="0.25">
      <c r="A4848" t="s">
        <v>4047</v>
      </c>
      <c r="B4848" t="s">
        <v>74</v>
      </c>
      <c r="C4848" s="2">
        <f>HYPERLINK("https://cao.dolgi.msk.ru/account/1080236754/", 1080236754)</f>
        <v>1080236754</v>
      </c>
      <c r="D4848" t="s">
        <v>4071</v>
      </c>
      <c r="E4848">
        <v>-7353.35</v>
      </c>
      <c r="F4848">
        <v>-1.1499999999999999</v>
      </c>
      <c r="G4848" t="s">
        <v>12</v>
      </c>
      <c r="I4848" t="s">
        <v>1428</v>
      </c>
    </row>
    <row r="4849" spans="1:9" hidden="1" x14ac:dyDescent="0.25">
      <c r="A4849" t="s">
        <v>4047</v>
      </c>
      <c r="B4849" t="s">
        <v>76</v>
      </c>
      <c r="C4849" s="2">
        <f>HYPERLINK("https://cao.dolgi.msk.ru/account/1080236762/", 1080236762)</f>
        <v>1080236762</v>
      </c>
      <c r="D4849" t="s">
        <v>4072</v>
      </c>
      <c r="E4849">
        <v>-8210.24</v>
      </c>
      <c r="F4849">
        <v>-1.0900000000000001</v>
      </c>
      <c r="G4849" t="s">
        <v>12</v>
      </c>
      <c r="I4849" t="s">
        <v>1428</v>
      </c>
    </row>
    <row r="4850" spans="1:9" x14ac:dyDescent="0.25">
      <c r="A4850" t="s">
        <v>4047</v>
      </c>
      <c r="B4850" t="s">
        <v>78</v>
      </c>
      <c r="C4850" s="2">
        <f>HYPERLINK("https://cao.dolgi.msk.ru/account/1080236789/", 1080236789)</f>
        <v>1080236789</v>
      </c>
      <c r="D4850" t="s">
        <v>4073</v>
      </c>
      <c r="E4850">
        <v>174219.48</v>
      </c>
      <c r="F4850">
        <v>43.66</v>
      </c>
      <c r="G4850" t="s">
        <v>12</v>
      </c>
      <c r="I4850" t="s">
        <v>1428</v>
      </c>
    </row>
    <row r="4851" spans="1:9" x14ac:dyDescent="0.25">
      <c r="A4851" t="s">
        <v>4047</v>
      </c>
      <c r="B4851" t="s">
        <v>80</v>
      </c>
      <c r="C4851" s="2">
        <f>HYPERLINK("https://cao.dolgi.msk.ru/account/1080236797/", 1080236797)</f>
        <v>1080236797</v>
      </c>
      <c r="D4851" t="s">
        <v>4074</v>
      </c>
      <c r="E4851">
        <v>10387.370000000001</v>
      </c>
      <c r="F4851">
        <v>1.02</v>
      </c>
      <c r="G4851" t="s">
        <v>12</v>
      </c>
      <c r="I4851" t="s">
        <v>1428</v>
      </c>
    </row>
    <row r="4852" spans="1:9" hidden="1" x14ac:dyDescent="0.25">
      <c r="A4852" t="s">
        <v>4047</v>
      </c>
      <c r="B4852" t="s">
        <v>82</v>
      </c>
      <c r="C4852" s="2">
        <f>HYPERLINK("https://cao.dolgi.msk.ru/account/1080236818/", 1080236818)</f>
        <v>1080236818</v>
      </c>
      <c r="D4852" t="s">
        <v>4075</v>
      </c>
      <c r="E4852">
        <v>-5352.76</v>
      </c>
      <c r="F4852">
        <v>-1.24</v>
      </c>
      <c r="G4852" t="s">
        <v>12</v>
      </c>
      <c r="I4852" t="s">
        <v>1428</v>
      </c>
    </row>
    <row r="4853" spans="1:9" hidden="1" x14ac:dyDescent="0.25">
      <c r="A4853" t="s">
        <v>4047</v>
      </c>
      <c r="B4853" t="s">
        <v>84</v>
      </c>
      <c r="C4853" s="2">
        <f>HYPERLINK("https://cao.dolgi.msk.ru/account/1080236826/", 1080236826)</f>
        <v>1080236826</v>
      </c>
      <c r="D4853" t="s">
        <v>4076</v>
      </c>
      <c r="E4853">
        <v>-5800.28</v>
      </c>
      <c r="F4853">
        <v>-1.1399999999999999</v>
      </c>
      <c r="G4853" t="s">
        <v>12</v>
      </c>
      <c r="I4853" t="s">
        <v>1428</v>
      </c>
    </row>
    <row r="4854" spans="1:9" hidden="1" x14ac:dyDescent="0.25">
      <c r="A4854" t="s">
        <v>4047</v>
      </c>
      <c r="B4854" t="s">
        <v>86</v>
      </c>
      <c r="C4854" s="2">
        <f>HYPERLINK("https://cao.dolgi.msk.ru/account/1080236842/", 1080236842)</f>
        <v>1080236842</v>
      </c>
      <c r="D4854" t="s">
        <v>4077</v>
      </c>
      <c r="E4854">
        <v>-38.799999999999997</v>
      </c>
      <c r="F4854">
        <v>-0.01</v>
      </c>
      <c r="G4854" t="s">
        <v>12</v>
      </c>
      <c r="I4854" t="s">
        <v>1428</v>
      </c>
    </row>
    <row r="4855" spans="1:9" hidden="1" x14ac:dyDescent="0.25">
      <c r="A4855" t="s">
        <v>4047</v>
      </c>
      <c r="B4855" t="s">
        <v>88</v>
      </c>
      <c r="C4855" s="2">
        <f>HYPERLINK("https://cao.dolgi.msk.ru/account/1080236869/", 1080236869)</f>
        <v>1080236869</v>
      </c>
      <c r="D4855" t="s">
        <v>4078</v>
      </c>
      <c r="E4855">
        <v>-7625.42</v>
      </c>
      <c r="F4855">
        <v>-1.17</v>
      </c>
      <c r="G4855" t="s">
        <v>12</v>
      </c>
      <c r="I4855" t="s">
        <v>1428</v>
      </c>
    </row>
    <row r="4856" spans="1:9" hidden="1" x14ac:dyDescent="0.25">
      <c r="A4856" t="s">
        <v>4047</v>
      </c>
      <c r="B4856" t="s">
        <v>90</v>
      </c>
      <c r="C4856" s="2">
        <f>HYPERLINK("https://cao.dolgi.msk.ru/account/1080236877/", 1080236877)</f>
        <v>1080236877</v>
      </c>
      <c r="D4856" t="s">
        <v>4079</v>
      </c>
      <c r="E4856">
        <v>-7784.58</v>
      </c>
      <c r="F4856">
        <v>-1.18</v>
      </c>
      <c r="G4856" t="s">
        <v>12</v>
      </c>
      <c r="I4856" t="s">
        <v>1428</v>
      </c>
    </row>
    <row r="4857" spans="1:9" hidden="1" x14ac:dyDescent="0.25">
      <c r="A4857" t="s">
        <v>4047</v>
      </c>
      <c r="B4857" t="s">
        <v>92</v>
      </c>
      <c r="C4857" s="2">
        <f>HYPERLINK("https://cao.dolgi.msk.ru/account/1080236885/", 1080236885)</f>
        <v>1080236885</v>
      </c>
      <c r="D4857" t="s">
        <v>4080</v>
      </c>
      <c r="E4857">
        <v>-7044.43</v>
      </c>
      <c r="F4857">
        <v>-1.22</v>
      </c>
      <c r="G4857" t="s">
        <v>12</v>
      </c>
      <c r="I4857" t="s">
        <v>1428</v>
      </c>
    </row>
    <row r="4858" spans="1:9" hidden="1" x14ac:dyDescent="0.25">
      <c r="A4858" t="s">
        <v>4047</v>
      </c>
      <c r="B4858" t="s">
        <v>94</v>
      </c>
      <c r="C4858" s="2">
        <f>HYPERLINK("https://cao.dolgi.msk.ru/account/1080236893/", 1080236893)</f>
        <v>1080236893</v>
      </c>
      <c r="D4858" t="s">
        <v>4081</v>
      </c>
      <c r="E4858">
        <v>0</v>
      </c>
      <c r="F4858">
        <v>0</v>
      </c>
      <c r="G4858" t="s">
        <v>12</v>
      </c>
      <c r="I4858" t="s">
        <v>1428</v>
      </c>
    </row>
    <row r="4859" spans="1:9" hidden="1" x14ac:dyDescent="0.25">
      <c r="A4859" t="s">
        <v>4047</v>
      </c>
      <c r="B4859" t="s">
        <v>96</v>
      </c>
      <c r="C4859" s="2">
        <f>HYPERLINK("https://cao.dolgi.msk.ru/account/1080236906/", 1080236906)</f>
        <v>1080236906</v>
      </c>
      <c r="D4859" t="s">
        <v>4082</v>
      </c>
      <c r="E4859">
        <v>-7705.1</v>
      </c>
      <c r="F4859">
        <v>-1.29</v>
      </c>
      <c r="G4859" t="s">
        <v>12</v>
      </c>
      <c r="I4859" t="s">
        <v>1428</v>
      </c>
    </row>
    <row r="4860" spans="1:9" hidden="1" x14ac:dyDescent="0.25">
      <c r="A4860" t="s">
        <v>4047</v>
      </c>
      <c r="B4860" t="s">
        <v>98</v>
      </c>
      <c r="C4860" s="2">
        <f>HYPERLINK("https://cao.dolgi.msk.ru/account/1080236914/", 1080236914)</f>
        <v>1080236914</v>
      </c>
      <c r="D4860" t="s">
        <v>4083</v>
      </c>
      <c r="E4860">
        <v>13.14</v>
      </c>
      <c r="F4860">
        <v>0</v>
      </c>
      <c r="G4860" t="s">
        <v>12</v>
      </c>
      <c r="I4860" t="s">
        <v>1428</v>
      </c>
    </row>
    <row r="4861" spans="1:9" hidden="1" x14ac:dyDescent="0.25">
      <c r="A4861" t="s">
        <v>4047</v>
      </c>
      <c r="B4861" t="s">
        <v>100</v>
      </c>
      <c r="C4861" s="2">
        <f>HYPERLINK("https://cao.dolgi.msk.ru/account/1080236922/", 1080236922)</f>
        <v>1080236922</v>
      </c>
      <c r="D4861" t="s">
        <v>15</v>
      </c>
      <c r="E4861">
        <v>-5321.58</v>
      </c>
      <c r="F4861">
        <v>-1.18</v>
      </c>
      <c r="G4861" t="s">
        <v>12</v>
      </c>
      <c r="I4861" t="s">
        <v>1428</v>
      </c>
    </row>
    <row r="4862" spans="1:9" hidden="1" x14ac:dyDescent="0.25">
      <c r="A4862" t="s">
        <v>4047</v>
      </c>
      <c r="B4862" t="s">
        <v>102</v>
      </c>
      <c r="C4862" s="2">
        <f>HYPERLINK("https://cao.dolgi.msk.ru/account/1080236949/", 1080236949)</f>
        <v>1080236949</v>
      </c>
      <c r="D4862" t="s">
        <v>4084</v>
      </c>
      <c r="E4862">
        <v>-1677.34</v>
      </c>
      <c r="F4862">
        <v>-0.28999999999999998</v>
      </c>
      <c r="G4862" t="s">
        <v>12</v>
      </c>
      <c r="I4862" t="s">
        <v>1428</v>
      </c>
    </row>
    <row r="4863" spans="1:9" hidden="1" x14ac:dyDescent="0.25">
      <c r="A4863" t="s">
        <v>4047</v>
      </c>
      <c r="B4863" t="s">
        <v>104</v>
      </c>
      <c r="C4863" s="2">
        <f>HYPERLINK("https://cao.dolgi.msk.ru/account/1080236957/", 1080236957)</f>
        <v>1080236957</v>
      </c>
      <c r="D4863" t="s">
        <v>4085</v>
      </c>
      <c r="E4863">
        <v>-13731.3</v>
      </c>
      <c r="F4863">
        <v>-1.3</v>
      </c>
      <c r="G4863" t="s">
        <v>12</v>
      </c>
      <c r="I4863" t="s">
        <v>1428</v>
      </c>
    </row>
    <row r="4864" spans="1:9" hidden="1" x14ac:dyDescent="0.25">
      <c r="A4864" t="s">
        <v>4047</v>
      </c>
      <c r="B4864" t="s">
        <v>106</v>
      </c>
      <c r="C4864" s="2">
        <f>HYPERLINK("https://cao.dolgi.msk.ru/account/1080236965/", 1080236965)</f>
        <v>1080236965</v>
      </c>
      <c r="D4864" t="s">
        <v>4086</v>
      </c>
      <c r="E4864">
        <v>-8800.8700000000008</v>
      </c>
      <c r="F4864">
        <v>-1.22</v>
      </c>
      <c r="G4864" t="s">
        <v>12</v>
      </c>
      <c r="I4864" t="s">
        <v>1428</v>
      </c>
    </row>
    <row r="4865" spans="1:9" hidden="1" x14ac:dyDescent="0.25">
      <c r="A4865" t="s">
        <v>4047</v>
      </c>
      <c r="B4865" t="s">
        <v>108</v>
      </c>
      <c r="C4865" s="2">
        <f>HYPERLINK("https://cao.dolgi.msk.ru/account/1080236973/", 1080236973)</f>
        <v>1080236973</v>
      </c>
      <c r="D4865" t="s">
        <v>4087</v>
      </c>
      <c r="E4865">
        <v>-4900.8999999999996</v>
      </c>
      <c r="F4865">
        <v>-1.03</v>
      </c>
      <c r="G4865" t="s">
        <v>12</v>
      </c>
      <c r="I4865" t="s">
        <v>1428</v>
      </c>
    </row>
    <row r="4866" spans="1:9" x14ac:dyDescent="0.25">
      <c r="A4866" t="s">
        <v>4047</v>
      </c>
      <c r="B4866" t="s">
        <v>110</v>
      </c>
      <c r="C4866" s="2">
        <f>HYPERLINK("https://cao.dolgi.msk.ru/account/1080236981/", 1080236981)</f>
        <v>1080236981</v>
      </c>
      <c r="D4866" t="s">
        <v>4088</v>
      </c>
      <c r="E4866">
        <v>13452.47</v>
      </c>
      <c r="F4866">
        <v>1.32</v>
      </c>
      <c r="G4866" t="s">
        <v>12</v>
      </c>
      <c r="I4866" t="s">
        <v>1428</v>
      </c>
    </row>
    <row r="4867" spans="1:9" hidden="1" x14ac:dyDescent="0.25">
      <c r="A4867" t="s">
        <v>4047</v>
      </c>
      <c r="B4867" t="s">
        <v>112</v>
      </c>
      <c r="C4867" s="2">
        <f>HYPERLINK("https://cao.dolgi.msk.ru/account/1080237001/", 1080237001)</f>
        <v>1080237001</v>
      </c>
      <c r="D4867" t="s">
        <v>4089</v>
      </c>
      <c r="E4867">
        <v>-12570.37</v>
      </c>
      <c r="F4867">
        <v>-2.48</v>
      </c>
      <c r="G4867" t="s">
        <v>12</v>
      </c>
      <c r="I4867" t="s">
        <v>1428</v>
      </c>
    </row>
    <row r="4868" spans="1:9" x14ac:dyDescent="0.25">
      <c r="A4868" t="s">
        <v>4047</v>
      </c>
      <c r="B4868" t="s">
        <v>114</v>
      </c>
      <c r="C4868" s="2">
        <f>HYPERLINK("https://cao.dolgi.msk.ru/account/1080237028/", 1080237028)</f>
        <v>1080237028</v>
      </c>
      <c r="D4868" t="s">
        <v>4090</v>
      </c>
      <c r="E4868">
        <v>6713.5</v>
      </c>
      <c r="F4868">
        <v>1.1499999999999999</v>
      </c>
      <c r="G4868" t="s">
        <v>12</v>
      </c>
      <c r="I4868" t="s">
        <v>1428</v>
      </c>
    </row>
    <row r="4869" spans="1:9" hidden="1" x14ac:dyDescent="0.25">
      <c r="A4869" t="s">
        <v>4047</v>
      </c>
      <c r="B4869" t="s">
        <v>116</v>
      </c>
      <c r="C4869" s="2">
        <f>HYPERLINK("https://cao.dolgi.msk.ru/account/1080237036/", 1080237036)</f>
        <v>1080237036</v>
      </c>
      <c r="D4869" t="s">
        <v>4091</v>
      </c>
      <c r="E4869">
        <v>0</v>
      </c>
      <c r="F4869">
        <v>0</v>
      </c>
      <c r="G4869" t="s">
        <v>12</v>
      </c>
      <c r="I4869" t="s">
        <v>1428</v>
      </c>
    </row>
    <row r="4870" spans="1:9" hidden="1" x14ac:dyDescent="0.25">
      <c r="A4870" t="s">
        <v>4047</v>
      </c>
      <c r="B4870" t="s">
        <v>118</v>
      </c>
      <c r="C4870" s="2">
        <f>HYPERLINK("https://cao.dolgi.msk.ru/account/1080237044/", 1080237044)</f>
        <v>1080237044</v>
      </c>
      <c r="D4870" t="s">
        <v>4092</v>
      </c>
      <c r="E4870">
        <v>28.85</v>
      </c>
      <c r="F4870">
        <v>0</v>
      </c>
      <c r="G4870" t="s">
        <v>12</v>
      </c>
      <c r="I4870" t="s">
        <v>1428</v>
      </c>
    </row>
    <row r="4871" spans="1:9" x14ac:dyDescent="0.25">
      <c r="A4871" t="s">
        <v>4047</v>
      </c>
      <c r="B4871" t="s">
        <v>120</v>
      </c>
      <c r="C4871" s="2">
        <f>HYPERLINK("https://cao.dolgi.msk.ru/account/1080237052/", 1080237052)</f>
        <v>1080237052</v>
      </c>
      <c r="D4871" t="s">
        <v>4093</v>
      </c>
      <c r="E4871">
        <v>14750.55</v>
      </c>
      <c r="F4871">
        <v>2.52</v>
      </c>
      <c r="G4871" t="s">
        <v>12</v>
      </c>
      <c r="I4871" t="s">
        <v>1428</v>
      </c>
    </row>
    <row r="4872" spans="1:9" hidden="1" x14ac:dyDescent="0.25">
      <c r="A4872" t="s">
        <v>4047</v>
      </c>
      <c r="B4872" t="s">
        <v>122</v>
      </c>
      <c r="C4872" s="2">
        <f>HYPERLINK("https://cao.dolgi.msk.ru/account/1080237079/", 1080237079)</f>
        <v>1080237079</v>
      </c>
      <c r="D4872" t="s">
        <v>4094</v>
      </c>
      <c r="E4872">
        <v>-7644.53</v>
      </c>
      <c r="F4872">
        <v>-1.19</v>
      </c>
      <c r="G4872" t="s">
        <v>12</v>
      </c>
      <c r="I4872" t="s">
        <v>1428</v>
      </c>
    </row>
    <row r="4873" spans="1:9" hidden="1" x14ac:dyDescent="0.25">
      <c r="A4873" t="s">
        <v>4047</v>
      </c>
      <c r="B4873" t="s">
        <v>124</v>
      </c>
      <c r="C4873" s="2">
        <f>HYPERLINK("https://cao.dolgi.msk.ru/account/1080237087/", 1080237087)</f>
        <v>1080237087</v>
      </c>
      <c r="D4873" t="s">
        <v>4095</v>
      </c>
      <c r="E4873">
        <v>-6149.95</v>
      </c>
      <c r="F4873">
        <v>-1.4</v>
      </c>
      <c r="G4873" t="s">
        <v>12</v>
      </c>
      <c r="I4873" t="s">
        <v>1428</v>
      </c>
    </row>
    <row r="4874" spans="1:9" hidden="1" x14ac:dyDescent="0.25">
      <c r="A4874" t="s">
        <v>4047</v>
      </c>
      <c r="B4874" t="s">
        <v>126</v>
      </c>
      <c r="C4874" s="2">
        <f>HYPERLINK("https://cao.dolgi.msk.ru/account/1080237095/", 1080237095)</f>
        <v>1080237095</v>
      </c>
      <c r="D4874" t="s">
        <v>4096</v>
      </c>
      <c r="E4874">
        <v>-7194.69</v>
      </c>
      <c r="F4874">
        <v>-1.23</v>
      </c>
      <c r="G4874" t="s">
        <v>12</v>
      </c>
      <c r="I4874" t="s">
        <v>1428</v>
      </c>
    </row>
    <row r="4875" spans="1:9" x14ac:dyDescent="0.25">
      <c r="A4875" t="s">
        <v>4047</v>
      </c>
      <c r="B4875" t="s">
        <v>128</v>
      </c>
      <c r="C4875" s="2">
        <f>HYPERLINK("https://cao.dolgi.msk.ru/account/1080237108/", 1080237108)</f>
        <v>1080237108</v>
      </c>
      <c r="D4875" t="s">
        <v>4097</v>
      </c>
      <c r="E4875">
        <v>13353.11</v>
      </c>
      <c r="F4875">
        <v>1.88</v>
      </c>
      <c r="G4875" t="s">
        <v>12</v>
      </c>
      <c r="I4875" t="s">
        <v>1428</v>
      </c>
    </row>
    <row r="4876" spans="1:9" hidden="1" x14ac:dyDescent="0.25">
      <c r="A4876" t="s">
        <v>4047</v>
      </c>
      <c r="B4876" t="s">
        <v>130</v>
      </c>
      <c r="C4876" s="2">
        <f>HYPERLINK("https://cao.dolgi.msk.ru/account/1080237116/", 1080237116)</f>
        <v>1080237116</v>
      </c>
      <c r="D4876" t="s">
        <v>4098</v>
      </c>
      <c r="E4876">
        <v>-11127.98</v>
      </c>
      <c r="F4876">
        <v>-1.02</v>
      </c>
      <c r="G4876" t="s">
        <v>12</v>
      </c>
      <c r="I4876" t="s">
        <v>1428</v>
      </c>
    </row>
    <row r="4877" spans="1:9" hidden="1" x14ac:dyDescent="0.25">
      <c r="A4877" t="s">
        <v>4047</v>
      </c>
      <c r="B4877" t="s">
        <v>132</v>
      </c>
      <c r="C4877" s="2">
        <f>HYPERLINK("https://cao.dolgi.msk.ru/account/1080237124/", 1080237124)</f>
        <v>1080237124</v>
      </c>
      <c r="D4877" t="s">
        <v>1082</v>
      </c>
      <c r="E4877">
        <v>-3293.75</v>
      </c>
      <c r="F4877">
        <v>-1.1100000000000001</v>
      </c>
      <c r="G4877" t="s">
        <v>12</v>
      </c>
      <c r="H4877" t="s">
        <v>7</v>
      </c>
      <c r="I4877" t="s">
        <v>1428</v>
      </c>
    </row>
    <row r="4878" spans="1:9" hidden="1" x14ac:dyDescent="0.25">
      <c r="A4878" t="s">
        <v>4047</v>
      </c>
      <c r="B4878" t="s">
        <v>132</v>
      </c>
      <c r="C4878" s="2">
        <f>HYPERLINK("https://cao.dolgi.msk.ru/account/1080237132/", 1080237132)</f>
        <v>1080237132</v>
      </c>
      <c r="D4878" t="s">
        <v>1082</v>
      </c>
      <c r="E4878">
        <v>-2158.1</v>
      </c>
      <c r="F4878">
        <v>-1.1599999999999999</v>
      </c>
      <c r="G4878" t="s">
        <v>12</v>
      </c>
      <c r="H4878" t="s">
        <v>7</v>
      </c>
      <c r="I4878" t="s">
        <v>1428</v>
      </c>
    </row>
    <row r="4879" spans="1:9" hidden="1" x14ac:dyDescent="0.25">
      <c r="A4879" t="s">
        <v>4047</v>
      </c>
      <c r="B4879" t="s">
        <v>133</v>
      </c>
      <c r="C4879" s="2">
        <f>HYPERLINK("https://cao.dolgi.msk.ru/account/1080237159/", 1080237159)</f>
        <v>1080237159</v>
      </c>
      <c r="D4879" t="s">
        <v>4099</v>
      </c>
      <c r="E4879">
        <v>-5955.15</v>
      </c>
      <c r="F4879">
        <v>-1.81</v>
      </c>
      <c r="G4879" t="s">
        <v>12</v>
      </c>
      <c r="I4879" t="s">
        <v>1428</v>
      </c>
    </row>
    <row r="4880" spans="1:9" hidden="1" x14ac:dyDescent="0.25">
      <c r="A4880" t="s">
        <v>4047</v>
      </c>
      <c r="B4880" t="s">
        <v>135</v>
      </c>
      <c r="C4880" s="2">
        <f>HYPERLINK("https://cao.dolgi.msk.ru/account/1080237183/", 1080237183)</f>
        <v>1080237183</v>
      </c>
      <c r="D4880" t="s">
        <v>4100</v>
      </c>
      <c r="E4880">
        <v>-6304.7</v>
      </c>
      <c r="F4880">
        <v>-1.2</v>
      </c>
      <c r="G4880" t="s">
        <v>12</v>
      </c>
      <c r="I4880" t="s">
        <v>1428</v>
      </c>
    </row>
    <row r="4881" spans="1:9" hidden="1" x14ac:dyDescent="0.25">
      <c r="A4881" t="s">
        <v>4047</v>
      </c>
      <c r="B4881" t="s">
        <v>137</v>
      </c>
      <c r="C4881" s="2">
        <f>HYPERLINK("https://cao.dolgi.msk.ru/account/1080237191/", 1080237191)</f>
        <v>1080237191</v>
      </c>
      <c r="D4881" t="s">
        <v>4101</v>
      </c>
      <c r="E4881">
        <v>-7208.67</v>
      </c>
      <c r="F4881">
        <v>-1.04</v>
      </c>
      <c r="G4881" t="s">
        <v>12</v>
      </c>
      <c r="I4881" t="s">
        <v>1428</v>
      </c>
    </row>
    <row r="4882" spans="1:9" hidden="1" x14ac:dyDescent="0.25">
      <c r="A4882" t="s">
        <v>4047</v>
      </c>
      <c r="B4882" t="s">
        <v>139</v>
      </c>
      <c r="C4882" s="2">
        <f>HYPERLINK("https://cao.dolgi.msk.ru/account/1080237204/", 1080237204)</f>
        <v>1080237204</v>
      </c>
      <c r="D4882" t="s">
        <v>4102</v>
      </c>
      <c r="E4882">
        <v>-2525.34</v>
      </c>
      <c r="F4882">
        <v>-1.17</v>
      </c>
      <c r="G4882" t="s">
        <v>12</v>
      </c>
      <c r="I4882" t="s">
        <v>1428</v>
      </c>
    </row>
    <row r="4883" spans="1:9" hidden="1" x14ac:dyDescent="0.25">
      <c r="A4883" t="s">
        <v>4047</v>
      </c>
      <c r="B4883" t="s">
        <v>139</v>
      </c>
      <c r="C4883" s="2">
        <f>HYPERLINK("https://cao.dolgi.msk.ru/account/1089129445/", 1089129445)</f>
        <v>1089129445</v>
      </c>
      <c r="D4883" t="s">
        <v>15</v>
      </c>
      <c r="E4883">
        <v>-1412.02</v>
      </c>
      <c r="F4883">
        <v>-1.46</v>
      </c>
      <c r="G4883" t="s">
        <v>12</v>
      </c>
      <c r="I4883" t="s">
        <v>1428</v>
      </c>
    </row>
    <row r="4884" spans="1:9" hidden="1" x14ac:dyDescent="0.25">
      <c r="A4884" t="s">
        <v>4047</v>
      </c>
      <c r="B4884" t="s">
        <v>141</v>
      </c>
      <c r="C4884" s="2">
        <f>HYPERLINK("https://cao.dolgi.msk.ru/account/1080237212/", 1080237212)</f>
        <v>1080237212</v>
      </c>
      <c r="D4884" t="s">
        <v>4103</v>
      </c>
      <c r="E4884">
        <v>-5473.04</v>
      </c>
      <c r="F4884">
        <v>-1.21</v>
      </c>
      <c r="G4884" t="s">
        <v>12</v>
      </c>
      <c r="I4884" t="s">
        <v>1428</v>
      </c>
    </row>
    <row r="4885" spans="1:9" hidden="1" x14ac:dyDescent="0.25">
      <c r="A4885" t="s">
        <v>4047</v>
      </c>
      <c r="B4885" t="s">
        <v>143</v>
      </c>
      <c r="C4885" s="2">
        <f>HYPERLINK("https://cao.dolgi.msk.ru/account/1080237239/", 1080237239)</f>
        <v>1080237239</v>
      </c>
      <c r="D4885" t="s">
        <v>4104</v>
      </c>
      <c r="E4885">
        <v>-9487.7199999999993</v>
      </c>
      <c r="F4885">
        <v>-1.1499999999999999</v>
      </c>
      <c r="G4885" t="s">
        <v>12</v>
      </c>
      <c r="I4885" t="s">
        <v>1428</v>
      </c>
    </row>
    <row r="4886" spans="1:9" hidden="1" x14ac:dyDescent="0.25">
      <c r="A4886" t="s">
        <v>4047</v>
      </c>
      <c r="B4886" t="s">
        <v>145</v>
      </c>
      <c r="C4886" s="2">
        <f>HYPERLINK("https://cao.dolgi.msk.ru/account/1080237247/", 1080237247)</f>
        <v>1080237247</v>
      </c>
      <c r="D4886" t="s">
        <v>4105</v>
      </c>
      <c r="E4886">
        <v>-7075.49</v>
      </c>
      <c r="F4886">
        <v>-0.71</v>
      </c>
      <c r="G4886" t="s">
        <v>12</v>
      </c>
      <c r="I4886" t="s">
        <v>1428</v>
      </c>
    </row>
    <row r="4887" spans="1:9" hidden="1" x14ac:dyDescent="0.25">
      <c r="A4887" t="s">
        <v>4047</v>
      </c>
      <c r="B4887" t="s">
        <v>147</v>
      </c>
      <c r="C4887" s="2">
        <f>HYPERLINK("https://cao.dolgi.msk.ru/account/1080237255/", 1080237255)</f>
        <v>1080237255</v>
      </c>
      <c r="D4887" t="s">
        <v>4106</v>
      </c>
      <c r="E4887">
        <v>-6234.03</v>
      </c>
      <c r="F4887">
        <v>-1.1299999999999999</v>
      </c>
      <c r="G4887" t="s">
        <v>12</v>
      </c>
      <c r="I4887" t="s">
        <v>1428</v>
      </c>
    </row>
    <row r="4888" spans="1:9" hidden="1" x14ac:dyDescent="0.25">
      <c r="A4888" t="s">
        <v>4047</v>
      </c>
      <c r="B4888" t="s">
        <v>149</v>
      </c>
      <c r="C4888" s="2">
        <f>HYPERLINK("https://cao.dolgi.msk.ru/account/1080237263/", 1080237263)</f>
        <v>1080237263</v>
      </c>
      <c r="D4888" t="s">
        <v>4107</v>
      </c>
      <c r="E4888">
        <v>-77.88</v>
      </c>
      <c r="F4888">
        <v>-0.01</v>
      </c>
      <c r="G4888" t="s">
        <v>12</v>
      </c>
      <c r="I4888" t="s">
        <v>1428</v>
      </c>
    </row>
    <row r="4889" spans="1:9" hidden="1" x14ac:dyDescent="0.25">
      <c r="A4889" t="s">
        <v>4047</v>
      </c>
      <c r="B4889" t="s">
        <v>151</v>
      </c>
      <c r="C4889" s="2">
        <f>HYPERLINK("https://cao.dolgi.msk.ru/account/1080237271/", 1080237271)</f>
        <v>1080237271</v>
      </c>
      <c r="D4889" t="s">
        <v>4108</v>
      </c>
      <c r="E4889">
        <v>-6546.01</v>
      </c>
      <c r="F4889">
        <v>-1.29</v>
      </c>
      <c r="G4889" t="s">
        <v>12</v>
      </c>
      <c r="I4889" t="s">
        <v>1428</v>
      </c>
    </row>
    <row r="4890" spans="1:9" hidden="1" x14ac:dyDescent="0.25">
      <c r="A4890" t="s">
        <v>4047</v>
      </c>
      <c r="B4890" t="s">
        <v>153</v>
      </c>
      <c r="C4890" s="2">
        <f>HYPERLINK("https://cao.dolgi.msk.ru/account/1080237298/", 1080237298)</f>
        <v>1080237298</v>
      </c>
      <c r="D4890" t="s">
        <v>4109</v>
      </c>
      <c r="E4890">
        <v>-3153.08</v>
      </c>
      <c r="F4890">
        <v>-1.26</v>
      </c>
      <c r="G4890" t="s">
        <v>12</v>
      </c>
      <c r="I4890" t="s">
        <v>1428</v>
      </c>
    </row>
    <row r="4891" spans="1:9" hidden="1" x14ac:dyDescent="0.25">
      <c r="A4891" t="s">
        <v>4047</v>
      </c>
      <c r="B4891" t="s">
        <v>153</v>
      </c>
      <c r="C4891" s="2">
        <f>HYPERLINK("https://cao.dolgi.msk.ru/account/1089126068/", 1089126068)</f>
        <v>1089126068</v>
      </c>
      <c r="D4891" t="s">
        <v>4110</v>
      </c>
      <c r="E4891">
        <v>-3615.5</v>
      </c>
      <c r="F4891">
        <v>-1.8</v>
      </c>
      <c r="G4891" t="s">
        <v>12</v>
      </c>
      <c r="I4891" t="s">
        <v>1428</v>
      </c>
    </row>
    <row r="4892" spans="1:9" hidden="1" x14ac:dyDescent="0.25">
      <c r="A4892" t="s">
        <v>4047</v>
      </c>
      <c r="B4892" t="s">
        <v>155</v>
      </c>
      <c r="C4892" s="2">
        <f>HYPERLINK("https://cao.dolgi.msk.ru/account/1080237319/", 1080237319)</f>
        <v>1080237319</v>
      </c>
      <c r="D4892" t="s">
        <v>4111</v>
      </c>
      <c r="E4892">
        <v>-3298.75</v>
      </c>
      <c r="F4892">
        <v>-1.22</v>
      </c>
      <c r="G4892" t="s">
        <v>12</v>
      </c>
      <c r="H4892" t="s">
        <v>7</v>
      </c>
      <c r="I4892" t="s">
        <v>1428</v>
      </c>
    </row>
    <row r="4893" spans="1:9" hidden="1" x14ac:dyDescent="0.25">
      <c r="A4893" t="s">
        <v>4047</v>
      </c>
      <c r="B4893" t="s">
        <v>155</v>
      </c>
      <c r="C4893" s="2">
        <f>HYPERLINK("https://cao.dolgi.msk.ru/account/1080237327/", 1080237327)</f>
        <v>1080237327</v>
      </c>
      <c r="D4893" t="s">
        <v>4112</v>
      </c>
      <c r="E4893">
        <v>-2496.27</v>
      </c>
      <c r="F4893">
        <v>-1.18</v>
      </c>
      <c r="G4893" t="s">
        <v>12</v>
      </c>
      <c r="H4893" t="s">
        <v>7</v>
      </c>
      <c r="I4893" t="s">
        <v>1428</v>
      </c>
    </row>
    <row r="4894" spans="1:9" hidden="1" x14ac:dyDescent="0.25">
      <c r="A4894" t="s">
        <v>4047</v>
      </c>
      <c r="B4894" t="s">
        <v>155</v>
      </c>
      <c r="C4894" s="2">
        <f>HYPERLINK("https://cao.dolgi.msk.ru/account/1083272064/", 1083272064)</f>
        <v>1083272064</v>
      </c>
      <c r="D4894" t="s">
        <v>15</v>
      </c>
      <c r="E4894">
        <v>-100.26</v>
      </c>
      <c r="G4894" t="s">
        <v>14</v>
      </c>
      <c r="H4894" t="s">
        <v>7</v>
      </c>
      <c r="I4894" t="s">
        <v>1428</v>
      </c>
    </row>
    <row r="4895" spans="1:9" hidden="1" x14ac:dyDescent="0.25">
      <c r="A4895" t="s">
        <v>4047</v>
      </c>
      <c r="B4895" t="s">
        <v>157</v>
      </c>
      <c r="C4895" s="2">
        <f>HYPERLINK("https://cao.dolgi.msk.ru/account/1080237335/", 1080237335)</f>
        <v>1080237335</v>
      </c>
      <c r="D4895" t="s">
        <v>4113</v>
      </c>
      <c r="E4895">
        <v>-3696.18</v>
      </c>
      <c r="F4895">
        <v>-1.17</v>
      </c>
      <c r="G4895" t="s">
        <v>12</v>
      </c>
      <c r="I4895" t="s">
        <v>1428</v>
      </c>
    </row>
    <row r="4896" spans="1:9" hidden="1" x14ac:dyDescent="0.25">
      <c r="A4896" t="s">
        <v>4047</v>
      </c>
      <c r="B4896" t="s">
        <v>159</v>
      </c>
      <c r="C4896" s="2">
        <f>HYPERLINK("https://cao.dolgi.msk.ru/account/1080237343/", 1080237343)</f>
        <v>1080237343</v>
      </c>
      <c r="D4896" t="s">
        <v>4114</v>
      </c>
      <c r="E4896">
        <v>-10178.99</v>
      </c>
      <c r="F4896">
        <v>-1.53</v>
      </c>
      <c r="G4896" t="s">
        <v>12</v>
      </c>
      <c r="I4896" t="s">
        <v>1428</v>
      </c>
    </row>
    <row r="4897" spans="1:9" hidden="1" x14ac:dyDescent="0.25">
      <c r="A4897" t="s">
        <v>4047</v>
      </c>
      <c r="B4897" t="s">
        <v>161</v>
      </c>
      <c r="C4897" s="2">
        <f>HYPERLINK("https://cao.dolgi.msk.ru/account/1080237386/", 1080237386)</f>
        <v>1080237386</v>
      </c>
      <c r="D4897" t="s">
        <v>4115</v>
      </c>
      <c r="E4897">
        <v>-526.95000000000005</v>
      </c>
      <c r="F4897">
        <v>-0.09</v>
      </c>
      <c r="G4897" t="s">
        <v>12</v>
      </c>
      <c r="I4897" t="s">
        <v>1428</v>
      </c>
    </row>
    <row r="4898" spans="1:9" x14ac:dyDescent="0.25">
      <c r="A4898" t="s">
        <v>4047</v>
      </c>
      <c r="B4898" t="s">
        <v>163</v>
      </c>
      <c r="C4898" s="2">
        <f>HYPERLINK("https://cao.dolgi.msk.ru/account/1080237394/", 1080237394)</f>
        <v>1080237394</v>
      </c>
      <c r="D4898" t="s">
        <v>4116</v>
      </c>
      <c r="E4898">
        <v>8641.2099999999991</v>
      </c>
      <c r="F4898">
        <v>1.01</v>
      </c>
      <c r="G4898" t="s">
        <v>12</v>
      </c>
      <c r="I4898" t="s">
        <v>1428</v>
      </c>
    </row>
    <row r="4899" spans="1:9" hidden="1" x14ac:dyDescent="0.25">
      <c r="A4899" t="s">
        <v>4047</v>
      </c>
      <c r="B4899" t="s">
        <v>571</v>
      </c>
      <c r="C4899" s="2">
        <f>HYPERLINK("https://cao.dolgi.msk.ru/account/1080237407/", 1080237407)</f>
        <v>1080237407</v>
      </c>
      <c r="D4899" t="s">
        <v>1082</v>
      </c>
      <c r="E4899">
        <v>-7230.09</v>
      </c>
      <c r="F4899">
        <v>-1.17</v>
      </c>
      <c r="G4899" t="s">
        <v>12</v>
      </c>
      <c r="I4899" t="s">
        <v>1428</v>
      </c>
    </row>
    <row r="4900" spans="1:9" hidden="1" x14ac:dyDescent="0.25">
      <c r="A4900" t="s">
        <v>4047</v>
      </c>
      <c r="B4900" t="s">
        <v>682</v>
      </c>
      <c r="C4900" s="2">
        <f>HYPERLINK("https://cao.dolgi.msk.ru/account/1080237415/", 1080237415)</f>
        <v>1080237415</v>
      </c>
      <c r="D4900" t="s">
        <v>4117</v>
      </c>
      <c r="E4900">
        <v>-10464.74</v>
      </c>
      <c r="F4900">
        <v>-1.1599999999999999</v>
      </c>
      <c r="G4900" t="s">
        <v>12</v>
      </c>
      <c r="I4900" t="s">
        <v>1428</v>
      </c>
    </row>
    <row r="4901" spans="1:9" hidden="1" x14ac:dyDescent="0.25">
      <c r="A4901" t="s">
        <v>4047</v>
      </c>
      <c r="B4901" t="s">
        <v>578</v>
      </c>
      <c r="C4901" s="2">
        <f>HYPERLINK("https://cao.dolgi.msk.ru/account/1080237423/", 1080237423)</f>
        <v>1080237423</v>
      </c>
      <c r="D4901" t="s">
        <v>4118</v>
      </c>
      <c r="E4901">
        <v>-2329.11</v>
      </c>
      <c r="F4901">
        <v>-0.25</v>
      </c>
      <c r="G4901" t="s">
        <v>12</v>
      </c>
      <c r="I4901" t="s">
        <v>1428</v>
      </c>
    </row>
    <row r="4902" spans="1:9" x14ac:dyDescent="0.25">
      <c r="A4902" t="s">
        <v>4047</v>
      </c>
      <c r="B4902" t="s">
        <v>580</v>
      </c>
      <c r="C4902" s="2">
        <f>HYPERLINK("https://cao.dolgi.msk.ru/account/1080237431/", 1080237431)</f>
        <v>1080237431</v>
      </c>
      <c r="D4902" t="s">
        <v>4119</v>
      </c>
      <c r="E4902">
        <v>7373.15</v>
      </c>
      <c r="F4902">
        <v>1.01</v>
      </c>
      <c r="G4902" t="s">
        <v>12</v>
      </c>
      <c r="I4902" t="s">
        <v>1428</v>
      </c>
    </row>
    <row r="4903" spans="1:9" hidden="1" x14ac:dyDescent="0.25">
      <c r="A4903" t="s">
        <v>4047</v>
      </c>
      <c r="B4903" t="s">
        <v>686</v>
      </c>
      <c r="C4903" s="2">
        <f>HYPERLINK("https://cao.dolgi.msk.ru/account/1080237458/", 1080237458)</f>
        <v>1080237458</v>
      </c>
      <c r="D4903" t="s">
        <v>4120</v>
      </c>
      <c r="E4903">
        <v>-3475.44</v>
      </c>
      <c r="F4903">
        <v>-1.3</v>
      </c>
      <c r="G4903" t="s">
        <v>12</v>
      </c>
      <c r="I4903" t="s">
        <v>1428</v>
      </c>
    </row>
    <row r="4904" spans="1:9" hidden="1" x14ac:dyDescent="0.25">
      <c r="A4904" t="s">
        <v>4047</v>
      </c>
      <c r="B4904" t="s">
        <v>582</v>
      </c>
      <c r="C4904" s="2">
        <f>HYPERLINK("https://cao.dolgi.msk.ru/account/1080237466/", 1080237466)</f>
        <v>1080237466</v>
      </c>
      <c r="D4904" t="s">
        <v>4121</v>
      </c>
      <c r="E4904">
        <v>-1690</v>
      </c>
      <c r="F4904">
        <v>-0.2</v>
      </c>
      <c r="G4904" t="s">
        <v>12</v>
      </c>
      <c r="I4904" t="s">
        <v>1428</v>
      </c>
    </row>
    <row r="4905" spans="1:9" hidden="1" x14ac:dyDescent="0.25">
      <c r="A4905" t="s">
        <v>4047</v>
      </c>
      <c r="B4905" t="s">
        <v>584</v>
      </c>
      <c r="C4905" s="2">
        <f>HYPERLINK("https://cao.dolgi.msk.ru/account/1080237474/", 1080237474)</f>
        <v>1080237474</v>
      </c>
      <c r="D4905" t="s">
        <v>4122</v>
      </c>
      <c r="E4905">
        <v>-9290.39</v>
      </c>
      <c r="F4905">
        <v>-1.24</v>
      </c>
      <c r="G4905" t="s">
        <v>12</v>
      </c>
      <c r="I4905" t="s">
        <v>1428</v>
      </c>
    </row>
    <row r="4906" spans="1:9" hidden="1" x14ac:dyDescent="0.25">
      <c r="A4906" t="s">
        <v>4047</v>
      </c>
      <c r="B4906" t="s">
        <v>586</v>
      </c>
      <c r="C4906" s="2">
        <f>HYPERLINK("https://cao.dolgi.msk.ru/account/1080237482/", 1080237482)</f>
        <v>1080237482</v>
      </c>
      <c r="D4906" t="s">
        <v>4123</v>
      </c>
      <c r="E4906">
        <v>-5875.8</v>
      </c>
      <c r="F4906">
        <v>-1.1200000000000001</v>
      </c>
      <c r="G4906" t="s">
        <v>12</v>
      </c>
      <c r="I4906" t="s">
        <v>1428</v>
      </c>
    </row>
    <row r="4907" spans="1:9" hidden="1" x14ac:dyDescent="0.25">
      <c r="A4907" t="s">
        <v>4047</v>
      </c>
      <c r="B4907" t="s">
        <v>588</v>
      </c>
      <c r="C4907" s="2">
        <f>HYPERLINK("https://cao.dolgi.msk.ru/account/1080237503/", 1080237503)</f>
        <v>1080237503</v>
      </c>
      <c r="D4907" t="s">
        <v>4124</v>
      </c>
      <c r="E4907">
        <v>-3774.41</v>
      </c>
      <c r="F4907">
        <v>-1.24</v>
      </c>
      <c r="G4907" t="s">
        <v>12</v>
      </c>
      <c r="I4907" t="s">
        <v>1428</v>
      </c>
    </row>
    <row r="4908" spans="1:9" hidden="1" x14ac:dyDescent="0.25">
      <c r="A4908" t="s">
        <v>4047</v>
      </c>
      <c r="B4908" t="s">
        <v>590</v>
      </c>
      <c r="C4908" s="2">
        <f>HYPERLINK("https://cao.dolgi.msk.ru/account/1080237511/", 1080237511)</f>
        <v>1080237511</v>
      </c>
      <c r="D4908" t="s">
        <v>4125</v>
      </c>
      <c r="E4908">
        <v>-301.36</v>
      </c>
      <c r="F4908">
        <v>-0.04</v>
      </c>
      <c r="G4908" t="s">
        <v>12</v>
      </c>
      <c r="I4908" t="s">
        <v>1428</v>
      </c>
    </row>
    <row r="4909" spans="1:9" hidden="1" x14ac:dyDescent="0.25">
      <c r="A4909" t="s">
        <v>4047</v>
      </c>
      <c r="B4909" t="s">
        <v>693</v>
      </c>
      <c r="C4909" s="2">
        <f>HYPERLINK("https://cao.dolgi.msk.ru/account/1080237538/", 1080237538)</f>
        <v>1080237538</v>
      </c>
      <c r="D4909" t="s">
        <v>4126</v>
      </c>
      <c r="E4909">
        <v>-13222.14</v>
      </c>
      <c r="F4909">
        <v>-2.34</v>
      </c>
      <c r="G4909" t="s">
        <v>12</v>
      </c>
      <c r="I4909" t="s">
        <v>1428</v>
      </c>
    </row>
    <row r="4910" spans="1:9" hidden="1" x14ac:dyDescent="0.25">
      <c r="A4910" t="s">
        <v>4047</v>
      </c>
      <c r="B4910" t="s">
        <v>694</v>
      </c>
      <c r="C4910" s="2">
        <f>HYPERLINK("https://cao.dolgi.msk.ru/account/1080237546/", 1080237546)</f>
        <v>1080237546</v>
      </c>
      <c r="D4910" t="s">
        <v>4127</v>
      </c>
      <c r="E4910">
        <v>-1403.67</v>
      </c>
      <c r="F4910">
        <v>-0.21</v>
      </c>
      <c r="G4910" t="s">
        <v>12</v>
      </c>
      <c r="I4910" t="s">
        <v>1428</v>
      </c>
    </row>
    <row r="4911" spans="1:9" hidden="1" x14ac:dyDescent="0.25">
      <c r="A4911" t="s">
        <v>4047</v>
      </c>
      <c r="B4911" t="s">
        <v>696</v>
      </c>
      <c r="C4911" s="2">
        <f>HYPERLINK("https://cao.dolgi.msk.ru/account/1080237554/", 1080237554)</f>
        <v>1080237554</v>
      </c>
      <c r="D4911" t="s">
        <v>4128</v>
      </c>
      <c r="E4911">
        <v>-2760.3</v>
      </c>
      <c r="F4911">
        <v>-0.45</v>
      </c>
      <c r="G4911" t="s">
        <v>12</v>
      </c>
      <c r="I4911" t="s">
        <v>1428</v>
      </c>
    </row>
    <row r="4912" spans="1:9" hidden="1" x14ac:dyDescent="0.25">
      <c r="A4912" t="s">
        <v>4047</v>
      </c>
      <c r="B4912" t="s">
        <v>698</v>
      </c>
      <c r="C4912" s="2">
        <f>HYPERLINK("https://cao.dolgi.msk.ru/account/1080237562/", 1080237562)</f>
        <v>1080237562</v>
      </c>
      <c r="D4912" t="s">
        <v>4129</v>
      </c>
      <c r="E4912">
        <v>-8647.43</v>
      </c>
      <c r="F4912">
        <v>-1.28</v>
      </c>
      <c r="G4912" t="s">
        <v>12</v>
      </c>
      <c r="I4912" t="s">
        <v>1428</v>
      </c>
    </row>
    <row r="4913" spans="1:9" hidden="1" x14ac:dyDescent="0.25">
      <c r="A4913" t="s">
        <v>4130</v>
      </c>
      <c r="B4913" t="s">
        <v>10</v>
      </c>
      <c r="C4913" s="2">
        <f>HYPERLINK("https://cao.dolgi.msk.ru/account/1080216585/", 1080216585)</f>
        <v>1080216585</v>
      </c>
      <c r="D4913" t="s">
        <v>4131</v>
      </c>
      <c r="E4913">
        <v>-16.96</v>
      </c>
      <c r="G4913" t="s">
        <v>14</v>
      </c>
      <c r="I4913" t="s">
        <v>1428</v>
      </c>
    </row>
    <row r="4914" spans="1:9" hidden="1" x14ac:dyDescent="0.25">
      <c r="A4914" t="s">
        <v>4130</v>
      </c>
      <c r="B4914" t="s">
        <v>10</v>
      </c>
      <c r="C4914" s="2">
        <f>HYPERLINK("https://cao.dolgi.msk.ru/account/1080216593/", 1080216593)</f>
        <v>1080216593</v>
      </c>
      <c r="D4914" t="s">
        <v>4131</v>
      </c>
      <c r="E4914">
        <v>13.15</v>
      </c>
      <c r="F4914">
        <v>0</v>
      </c>
      <c r="G4914" t="s">
        <v>12</v>
      </c>
      <c r="I4914" t="s">
        <v>1428</v>
      </c>
    </row>
    <row r="4915" spans="1:9" hidden="1" x14ac:dyDescent="0.25">
      <c r="A4915" t="s">
        <v>4130</v>
      </c>
      <c r="B4915" t="s">
        <v>16</v>
      </c>
      <c r="C4915" s="2">
        <f>HYPERLINK("https://cao.dolgi.msk.ru/account/1080216606/", 1080216606)</f>
        <v>1080216606</v>
      </c>
      <c r="D4915" t="s">
        <v>4132</v>
      </c>
      <c r="E4915">
        <v>-69.31</v>
      </c>
      <c r="F4915">
        <v>-0.01</v>
      </c>
      <c r="G4915" t="s">
        <v>12</v>
      </c>
      <c r="I4915" t="s">
        <v>1428</v>
      </c>
    </row>
    <row r="4916" spans="1:9" hidden="1" x14ac:dyDescent="0.25">
      <c r="A4916" t="s">
        <v>4130</v>
      </c>
      <c r="B4916" t="s">
        <v>18</v>
      </c>
      <c r="C4916" s="2">
        <f>HYPERLINK("https://cao.dolgi.msk.ru/account/1080216614/", 1080216614)</f>
        <v>1080216614</v>
      </c>
      <c r="D4916" t="s">
        <v>4133</v>
      </c>
      <c r="E4916">
        <v>-5294.83</v>
      </c>
      <c r="F4916">
        <v>-1.21</v>
      </c>
      <c r="G4916" t="s">
        <v>12</v>
      </c>
      <c r="I4916" t="s">
        <v>1428</v>
      </c>
    </row>
    <row r="4917" spans="1:9" hidden="1" x14ac:dyDescent="0.25">
      <c r="A4917" t="s">
        <v>4130</v>
      </c>
      <c r="B4917" t="s">
        <v>20</v>
      </c>
      <c r="C4917" s="2">
        <f>HYPERLINK("https://cao.dolgi.msk.ru/account/1080216622/", 1080216622)</f>
        <v>1080216622</v>
      </c>
      <c r="D4917" t="s">
        <v>4134</v>
      </c>
      <c r="E4917">
        <v>161.30000000000001</v>
      </c>
      <c r="F4917">
        <v>0.03</v>
      </c>
      <c r="G4917" t="s">
        <v>12</v>
      </c>
      <c r="I4917" t="s">
        <v>1428</v>
      </c>
    </row>
    <row r="4918" spans="1:9" x14ac:dyDescent="0.25">
      <c r="A4918" t="s">
        <v>4130</v>
      </c>
      <c r="B4918" t="s">
        <v>21</v>
      </c>
      <c r="C4918" s="2">
        <f>HYPERLINK("https://cao.dolgi.msk.ru/account/1080216649/", 1080216649)</f>
        <v>1080216649</v>
      </c>
      <c r="D4918" t="s">
        <v>4135</v>
      </c>
      <c r="E4918">
        <v>10650.26</v>
      </c>
      <c r="F4918">
        <v>1.77</v>
      </c>
      <c r="G4918" t="s">
        <v>12</v>
      </c>
      <c r="I4918" t="s">
        <v>1428</v>
      </c>
    </row>
    <row r="4919" spans="1:9" hidden="1" x14ac:dyDescent="0.25">
      <c r="A4919" t="s">
        <v>4130</v>
      </c>
      <c r="B4919" t="s">
        <v>22</v>
      </c>
      <c r="C4919" s="2">
        <f>HYPERLINK("https://cao.dolgi.msk.ru/account/1080216657/", 1080216657)</f>
        <v>1080216657</v>
      </c>
      <c r="D4919" t="s">
        <v>4136</v>
      </c>
      <c r="E4919">
        <v>-1547.95</v>
      </c>
      <c r="F4919">
        <v>-0.17</v>
      </c>
      <c r="G4919" t="s">
        <v>12</v>
      </c>
      <c r="I4919" t="s">
        <v>1428</v>
      </c>
    </row>
    <row r="4920" spans="1:9" hidden="1" x14ac:dyDescent="0.25">
      <c r="A4920" t="s">
        <v>4130</v>
      </c>
      <c r="B4920" t="s">
        <v>23</v>
      </c>
      <c r="C4920" s="2">
        <f>HYPERLINK("https://cao.dolgi.msk.ru/account/1080216665/", 1080216665)</f>
        <v>1080216665</v>
      </c>
      <c r="D4920" t="s">
        <v>4137</v>
      </c>
      <c r="E4920">
        <v>-7320.67</v>
      </c>
      <c r="F4920">
        <v>-0.96</v>
      </c>
      <c r="G4920" t="s">
        <v>12</v>
      </c>
      <c r="I4920" t="s">
        <v>1428</v>
      </c>
    </row>
    <row r="4921" spans="1:9" hidden="1" x14ac:dyDescent="0.25">
      <c r="A4921" t="s">
        <v>4130</v>
      </c>
      <c r="B4921" t="s">
        <v>24</v>
      </c>
      <c r="C4921" s="2">
        <f>HYPERLINK("https://cao.dolgi.msk.ru/account/1080216673/", 1080216673)</f>
        <v>1080216673</v>
      </c>
      <c r="D4921" t="s">
        <v>4138</v>
      </c>
      <c r="E4921">
        <v>-5306.75</v>
      </c>
      <c r="F4921">
        <v>-1.3</v>
      </c>
      <c r="G4921" t="s">
        <v>12</v>
      </c>
      <c r="I4921" t="s">
        <v>1428</v>
      </c>
    </row>
    <row r="4922" spans="1:9" hidden="1" x14ac:dyDescent="0.25">
      <c r="A4922" t="s">
        <v>4130</v>
      </c>
      <c r="B4922" t="s">
        <v>27</v>
      </c>
      <c r="C4922" s="2">
        <f>HYPERLINK("https://cao.dolgi.msk.ru/account/1080216681/", 1080216681)</f>
        <v>1080216681</v>
      </c>
      <c r="D4922" t="s">
        <v>4139</v>
      </c>
      <c r="E4922">
        <v>-74.2</v>
      </c>
      <c r="F4922">
        <v>-0.01</v>
      </c>
      <c r="G4922" t="s">
        <v>12</v>
      </c>
      <c r="I4922" t="s">
        <v>1428</v>
      </c>
    </row>
    <row r="4923" spans="1:9" hidden="1" x14ac:dyDescent="0.25">
      <c r="A4923" t="s">
        <v>4130</v>
      </c>
      <c r="B4923" t="s">
        <v>29</v>
      </c>
      <c r="C4923" s="2">
        <f>HYPERLINK("https://cao.dolgi.msk.ru/account/1080216702/", 1080216702)</f>
        <v>1080216702</v>
      </c>
      <c r="D4923" t="s">
        <v>4140</v>
      </c>
      <c r="E4923">
        <v>116.4</v>
      </c>
      <c r="F4923">
        <v>0.01</v>
      </c>
      <c r="G4923" t="s">
        <v>12</v>
      </c>
      <c r="I4923" t="s">
        <v>1428</v>
      </c>
    </row>
    <row r="4924" spans="1:9" hidden="1" x14ac:dyDescent="0.25">
      <c r="A4924" t="s">
        <v>4130</v>
      </c>
      <c r="B4924" t="s">
        <v>31</v>
      </c>
      <c r="C4924" s="2">
        <f>HYPERLINK("https://cao.dolgi.msk.ru/account/1080216729/", 1080216729)</f>
        <v>1080216729</v>
      </c>
      <c r="D4924" t="s">
        <v>4141</v>
      </c>
      <c r="E4924">
        <v>-4322.13</v>
      </c>
      <c r="F4924">
        <v>-1.23</v>
      </c>
      <c r="G4924" t="s">
        <v>12</v>
      </c>
      <c r="I4924" t="s">
        <v>1428</v>
      </c>
    </row>
    <row r="4925" spans="1:9" hidden="1" x14ac:dyDescent="0.25">
      <c r="A4925" t="s">
        <v>4130</v>
      </c>
      <c r="B4925" t="s">
        <v>33</v>
      </c>
      <c r="C4925" s="2">
        <f>HYPERLINK("https://cao.dolgi.msk.ru/account/1080216737/", 1080216737)</f>
        <v>1080216737</v>
      </c>
      <c r="D4925" t="s">
        <v>4142</v>
      </c>
      <c r="E4925">
        <v>-29.1</v>
      </c>
      <c r="F4925">
        <v>-0.01</v>
      </c>
      <c r="G4925" t="s">
        <v>12</v>
      </c>
      <c r="I4925" t="s">
        <v>1428</v>
      </c>
    </row>
    <row r="4926" spans="1:9" hidden="1" x14ac:dyDescent="0.25">
      <c r="A4926" t="s">
        <v>4130</v>
      </c>
      <c r="B4926" t="s">
        <v>33</v>
      </c>
      <c r="C4926" s="2">
        <f>HYPERLINK("https://cao.dolgi.msk.ru/account/1089124265/", 1089124265)</f>
        <v>1089124265</v>
      </c>
      <c r="D4926" t="s">
        <v>4142</v>
      </c>
      <c r="E4926">
        <v>0</v>
      </c>
      <c r="F4926">
        <v>0</v>
      </c>
      <c r="G4926" t="s">
        <v>12</v>
      </c>
      <c r="I4926" t="s">
        <v>1428</v>
      </c>
    </row>
    <row r="4927" spans="1:9" hidden="1" x14ac:dyDescent="0.25">
      <c r="A4927" t="s">
        <v>4130</v>
      </c>
      <c r="B4927" t="s">
        <v>34</v>
      </c>
      <c r="C4927" s="2">
        <f>HYPERLINK("https://cao.dolgi.msk.ru/account/1080216761/", 1080216761)</f>
        <v>1080216761</v>
      </c>
      <c r="D4927" t="s">
        <v>4143</v>
      </c>
      <c r="E4927">
        <v>-406.44</v>
      </c>
      <c r="F4927">
        <v>-0.05</v>
      </c>
      <c r="G4927" t="s">
        <v>12</v>
      </c>
      <c r="I4927" t="s">
        <v>1428</v>
      </c>
    </row>
    <row r="4928" spans="1:9" hidden="1" x14ac:dyDescent="0.25">
      <c r="A4928" t="s">
        <v>4130</v>
      </c>
      <c r="B4928" t="s">
        <v>36</v>
      </c>
      <c r="C4928" s="2">
        <f>HYPERLINK("https://cao.dolgi.msk.ru/account/1080216788/", 1080216788)</f>
        <v>1080216788</v>
      </c>
      <c r="D4928" t="s">
        <v>4144</v>
      </c>
      <c r="E4928">
        <v>0</v>
      </c>
      <c r="G4928" t="s">
        <v>14</v>
      </c>
      <c r="I4928" t="s">
        <v>1428</v>
      </c>
    </row>
    <row r="4929" spans="1:9" hidden="1" x14ac:dyDescent="0.25">
      <c r="A4929" t="s">
        <v>4130</v>
      </c>
      <c r="B4929" t="s">
        <v>36</v>
      </c>
      <c r="C4929" s="2">
        <f>HYPERLINK("https://cao.dolgi.msk.ru/account/1089131772/", 1089131772)</f>
        <v>1089131772</v>
      </c>
      <c r="D4929" t="s">
        <v>4145</v>
      </c>
      <c r="E4929">
        <v>-15160.77</v>
      </c>
      <c r="F4929">
        <v>-1.92</v>
      </c>
      <c r="G4929" t="s">
        <v>12</v>
      </c>
      <c r="I4929" t="s">
        <v>1428</v>
      </c>
    </row>
    <row r="4930" spans="1:9" x14ac:dyDescent="0.25">
      <c r="A4930" t="s">
        <v>4130</v>
      </c>
      <c r="B4930" t="s">
        <v>38</v>
      </c>
      <c r="C4930" s="2">
        <f>HYPERLINK("https://cao.dolgi.msk.ru/account/1080216796/", 1080216796)</f>
        <v>1080216796</v>
      </c>
      <c r="D4930" t="s">
        <v>4146</v>
      </c>
      <c r="E4930">
        <v>12153.74</v>
      </c>
      <c r="F4930">
        <v>1.06</v>
      </c>
      <c r="G4930" t="s">
        <v>12</v>
      </c>
      <c r="I4930" t="s">
        <v>1428</v>
      </c>
    </row>
    <row r="4931" spans="1:9" hidden="1" x14ac:dyDescent="0.25">
      <c r="A4931" t="s">
        <v>4130</v>
      </c>
      <c r="B4931" t="s">
        <v>39</v>
      </c>
      <c r="C4931" s="2">
        <f>HYPERLINK("https://cao.dolgi.msk.ru/account/1080216809/", 1080216809)</f>
        <v>1080216809</v>
      </c>
      <c r="D4931" t="s">
        <v>4147</v>
      </c>
      <c r="E4931">
        <v>-8583.6299999999992</v>
      </c>
      <c r="F4931">
        <v>-1.0900000000000001</v>
      </c>
      <c r="G4931" t="s">
        <v>12</v>
      </c>
      <c r="I4931" t="s">
        <v>1428</v>
      </c>
    </row>
    <row r="4932" spans="1:9" hidden="1" x14ac:dyDescent="0.25">
      <c r="A4932" t="s">
        <v>4130</v>
      </c>
      <c r="B4932" t="s">
        <v>40</v>
      </c>
      <c r="C4932" s="2">
        <f>HYPERLINK("https://cao.dolgi.msk.ru/account/1080216817/", 1080216817)</f>
        <v>1080216817</v>
      </c>
      <c r="D4932" t="s">
        <v>4148</v>
      </c>
      <c r="E4932">
        <v>-16.98</v>
      </c>
      <c r="F4932">
        <v>0</v>
      </c>
      <c r="G4932" t="s">
        <v>12</v>
      </c>
      <c r="I4932" t="s">
        <v>1428</v>
      </c>
    </row>
    <row r="4933" spans="1:9" hidden="1" x14ac:dyDescent="0.25">
      <c r="A4933" t="s">
        <v>4130</v>
      </c>
      <c r="B4933" t="s">
        <v>41</v>
      </c>
      <c r="C4933" s="2">
        <f>HYPERLINK("https://cao.dolgi.msk.ru/account/1080216825/", 1080216825)</f>
        <v>1080216825</v>
      </c>
      <c r="D4933" t="s">
        <v>4149</v>
      </c>
      <c r="E4933">
        <v>0</v>
      </c>
      <c r="F4933">
        <v>0</v>
      </c>
      <c r="G4933" t="s">
        <v>12</v>
      </c>
      <c r="I4933" t="s">
        <v>1428</v>
      </c>
    </row>
    <row r="4934" spans="1:9" hidden="1" x14ac:dyDescent="0.25">
      <c r="A4934" t="s">
        <v>4130</v>
      </c>
      <c r="B4934" t="s">
        <v>42</v>
      </c>
      <c r="C4934" s="2">
        <f>HYPERLINK("https://cao.dolgi.msk.ru/account/1080216833/", 1080216833)</f>
        <v>1080216833</v>
      </c>
      <c r="D4934" t="s">
        <v>4150</v>
      </c>
      <c r="E4934">
        <v>177.2</v>
      </c>
      <c r="F4934">
        <v>0.05</v>
      </c>
      <c r="G4934" t="s">
        <v>12</v>
      </c>
      <c r="I4934" t="s">
        <v>1428</v>
      </c>
    </row>
    <row r="4935" spans="1:9" hidden="1" x14ac:dyDescent="0.25">
      <c r="A4935" t="s">
        <v>4130</v>
      </c>
      <c r="B4935" t="s">
        <v>42</v>
      </c>
      <c r="C4935" s="2">
        <f>HYPERLINK("https://cao.dolgi.msk.ru/account/1080216841/", 1080216841)</f>
        <v>1080216841</v>
      </c>
      <c r="D4935" t="s">
        <v>15</v>
      </c>
      <c r="G4935" t="s">
        <v>14</v>
      </c>
      <c r="I4935" t="s">
        <v>1428</v>
      </c>
    </row>
    <row r="4936" spans="1:9" hidden="1" x14ac:dyDescent="0.25">
      <c r="A4936" t="s">
        <v>4130</v>
      </c>
      <c r="B4936" t="s">
        <v>44</v>
      </c>
      <c r="C4936" s="2">
        <f>HYPERLINK("https://cao.dolgi.msk.ru/account/1080216868/", 1080216868)</f>
        <v>1080216868</v>
      </c>
      <c r="D4936" t="s">
        <v>4151</v>
      </c>
      <c r="E4936">
        <v>-3924.86</v>
      </c>
      <c r="F4936">
        <v>-1.1100000000000001</v>
      </c>
      <c r="G4936" t="s">
        <v>12</v>
      </c>
      <c r="I4936" t="s">
        <v>1428</v>
      </c>
    </row>
    <row r="4937" spans="1:9" hidden="1" x14ac:dyDescent="0.25">
      <c r="A4937" t="s">
        <v>4130</v>
      </c>
      <c r="B4937" t="s">
        <v>66</v>
      </c>
      <c r="C4937" s="2">
        <f>HYPERLINK("https://cao.dolgi.msk.ru/account/1080216876/", 1080216876)</f>
        <v>1080216876</v>
      </c>
      <c r="D4937" t="s">
        <v>4152</v>
      </c>
      <c r="E4937">
        <v>-8415.26</v>
      </c>
      <c r="F4937">
        <v>-1.18</v>
      </c>
      <c r="G4937" t="s">
        <v>12</v>
      </c>
      <c r="I4937" t="s">
        <v>1428</v>
      </c>
    </row>
    <row r="4938" spans="1:9" hidden="1" x14ac:dyDescent="0.25">
      <c r="A4938" t="s">
        <v>4130</v>
      </c>
      <c r="B4938" t="s">
        <v>68</v>
      </c>
      <c r="C4938" s="2">
        <f>HYPERLINK("https://cao.dolgi.msk.ru/account/1080216884/", 1080216884)</f>
        <v>1080216884</v>
      </c>
      <c r="D4938" t="s">
        <v>4153</v>
      </c>
      <c r="E4938">
        <v>-6330.81</v>
      </c>
      <c r="F4938">
        <v>-1.07</v>
      </c>
      <c r="G4938" t="s">
        <v>12</v>
      </c>
      <c r="I4938" t="s">
        <v>1428</v>
      </c>
    </row>
    <row r="4939" spans="1:9" hidden="1" x14ac:dyDescent="0.25">
      <c r="A4939" t="s">
        <v>4130</v>
      </c>
      <c r="B4939" t="s">
        <v>70</v>
      </c>
      <c r="C4939" s="2">
        <f>HYPERLINK("https://cao.dolgi.msk.ru/account/1080216892/", 1080216892)</f>
        <v>1080216892</v>
      </c>
      <c r="D4939" t="s">
        <v>4154</v>
      </c>
      <c r="E4939">
        <v>-6567.67</v>
      </c>
      <c r="F4939">
        <v>-1.0900000000000001</v>
      </c>
      <c r="G4939" t="s">
        <v>12</v>
      </c>
      <c r="I4939" t="s">
        <v>1428</v>
      </c>
    </row>
    <row r="4940" spans="1:9" hidden="1" x14ac:dyDescent="0.25">
      <c r="A4940" t="s">
        <v>4130</v>
      </c>
      <c r="B4940" t="s">
        <v>72</v>
      </c>
      <c r="C4940" s="2">
        <f>HYPERLINK("https://cao.dolgi.msk.ru/account/1080216913/", 1080216913)</f>
        <v>1080216913</v>
      </c>
      <c r="D4940" t="s">
        <v>4155</v>
      </c>
      <c r="E4940">
        <v>-522.94000000000005</v>
      </c>
      <c r="F4940">
        <v>-0.4</v>
      </c>
      <c r="G4940" t="s">
        <v>12</v>
      </c>
      <c r="I4940" t="s">
        <v>1428</v>
      </c>
    </row>
    <row r="4941" spans="1:9" hidden="1" x14ac:dyDescent="0.25">
      <c r="A4941" t="s">
        <v>4130</v>
      </c>
      <c r="B4941" t="s">
        <v>72</v>
      </c>
      <c r="C4941" s="2">
        <f>HYPERLINK("https://cao.dolgi.msk.ru/account/1083271221/", 1083271221)</f>
        <v>1083271221</v>
      </c>
      <c r="D4941" t="s">
        <v>4155</v>
      </c>
      <c r="E4941">
        <v>-885.67</v>
      </c>
      <c r="F4941">
        <v>-0.3</v>
      </c>
      <c r="G4941" t="s">
        <v>12</v>
      </c>
      <c r="I4941" t="s">
        <v>1428</v>
      </c>
    </row>
    <row r="4942" spans="1:9" hidden="1" x14ac:dyDescent="0.25">
      <c r="A4942" t="s">
        <v>4130</v>
      </c>
      <c r="B4942" t="s">
        <v>74</v>
      </c>
      <c r="C4942" s="2">
        <f>HYPERLINK("https://cao.dolgi.msk.ru/account/1080216921/", 1080216921)</f>
        <v>1080216921</v>
      </c>
      <c r="D4942" t="s">
        <v>4156</v>
      </c>
      <c r="E4942">
        <v>-7578.47</v>
      </c>
      <c r="F4942">
        <v>-1.2</v>
      </c>
      <c r="G4942" t="s">
        <v>12</v>
      </c>
      <c r="I4942" t="s">
        <v>1428</v>
      </c>
    </row>
    <row r="4943" spans="1:9" hidden="1" x14ac:dyDescent="0.25">
      <c r="A4943" t="s">
        <v>4130</v>
      </c>
      <c r="B4943" t="s">
        <v>76</v>
      </c>
      <c r="C4943" s="2">
        <f>HYPERLINK("https://cao.dolgi.msk.ru/account/1080216948/", 1080216948)</f>
        <v>1080216948</v>
      </c>
      <c r="D4943" t="s">
        <v>4157</v>
      </c>
      <c r="E4943">
        <v>-7356.29</v>
      </c>
      <c r="F4943">
        <v>-1.1000000000000001</v>
      </c>
      <c r="G4943" t="s">
        <v>12</v>
      </c>
      <c r="I4943" t="s">
        <v>1428</v>
      </c>
    </row>
    <row r="4944" spans="1:9" hidden="1" x14ac:dyDescent="0.25">
      <c r="A4944" t="s">
        <v>4130</v>
      </c>
      <c r="B4944" t="s">
        <v>78</v>
      </c>
      <c r="C4944" s="2">
        <f>HYPERLINK("https://cao.dolgi.msk.ru/account/1080216956/", 1080216956)</f>
        <v>1080216956</v>
      </c>
      <c r="D4944" t="s">
        <v>4158</v>
      </c>
      <c r="E4944">
        <v>-8976.1299999999992</v>
      </c>
      <c r="F4944">
        <v>-1.1100000000000001</v>
      </c>
      <c r="G4944" t="s">
        <v>12</v>
      </c>
      <c r="I4944" t="s">
        <v>1428</v>
      </c>
    </row>
    <row r="4945" spans="1:9" hidden="1" x14ac:dyDescent="0.25">
      <c r="A4945" t="s">
        <v>4130</v>
      </c>
      <c r="B4945" t="s">
        <v>80</v>
      </c>
      <c r="C4945" s="2">
        <f>HYPERLINK("https://cao.dolgi.msk.ru/account/1080216964/", 1080216964)</f>
        <v>1080216964</v>
      </c>
      <c r="D4945" t="s">
        <v>4159</v>
      </c>
      <c r="E4945">
        <v>-4289.2700000000004</v>
      </c>
      <c r="F4945">
        <v>-1.1200000000000001</v>
      </c>
      <c r="G4945" t="s">
        <v>12</v>
      </c>
      <c r="I4945" t="s">
        <v>1428</v>
      </c>
    </row>
    <row r="4946" spans="1:9" hidden="1" x14ac:dyDescent="0.25">
      <c r="A4946" t="s">
        <v>4130</v>
      </c>
      <c r="B4946" t="s">
        <v>82</v>
      </c>
      <c r="C4946" s="2">
        <f>HYPERLINK("https://cao.dolgi.msk.ru/account/1080216972/", 1080216972)</f>
        <v>1080216972</v>
      </c>
      <c r="D4946" t="s">
        <v>4160</v>
      </c>
      <c r="E4946">
        <v>-12504.1</v>
      </c>
      <c r="F4946">
        <v>-1.97</v>
      </c>
      <c r="G4946" t="s">
        <v>12</v>
      </c>
      <c r="I4946" t="s">
        <v>1428</v>
      </c>
    </row>
    <row r="4947" spans="1:9" hidden="1" x14ac:dyDescent="0.25">
      <c r="A4947" t="s">
        <v>4130</v>
      </c>
      <c r="B4947" t="s">
        <v>84</v>
      </c>
      <c r="C4947" s="2">
        <f>HYPERLINK("https://cao.dolgi.msk.ru/account/1080216999/", 1080216999)</f>
        <v>1080216999</v>
      </c>
      <c r="D4947" t="s">
        <v>4161</v>
      </c>
      <c r="E4947">
        <v>56</v>
      </c>
      <c r="F4947">
        <v>0.01</v>
      </c>
      <c r="G4947" t="s">
        <v>12</v>
      </c>
      <c r="I4947" t="s">
        <v>1428</v>
      </c>
    </row>
    <row r="4948" spans="1:9" hidden="1" x14ac:dyDescent="0.25">
      <c r="A4948" t="s">
        <v>4130</v>
      </c>
      <c r="B4948" t="s">
        <v>86</v>
      </c>
      <c r="C4948" s="2">
        <f>HYPERLINK("https://cao.dolgi.msk.ru/account/1080217019/", 1080217019)</f>
        <v>1080217019</v>
      </c>
      <c r="D4948" t="s">
        <v>4162</v>
      </c>
      <c r="E4948">
        <v>-4765.9799999999996</v>
      </c>
      <c r="F4948">
        <v>-1.21</v>
      </c>
      <c r="G4948" t="s">
        <v>12</v>
      </c>
      <c r="I4948" t="s">
        <v>1428</v>
      </c>
    </row>
    <row r="4949" spans="1:9" hidden="1" x14ac:dyDescent="0.25">
      <c r="A4949" t="s">
        <v>4130</v>
      </c>
      <c r="B4949" t="s">
        <v>88</v>
      </c>
      <c r="C4949" s="2">
        <f>HYPERLINK("https://cao.dolgi.msk.ru/account/1080217027/", 1080217027)</f>
        <v>1080217027</v>
      </c>
      <c r="D4949" t="s">
        <v>15</v>
      </c>
      <c r="E4949">
        <v>596.19000000000005</v>
      </c>
      <c r="F4949">
        <v>0.1</v>
      </c>
      <c r="G4949" t="s">
        <v>12</v>
      </c>
      <c r="I4949" t="s">
        <v>1428</v>
      </c>
    </row>
    <row r="4950" spans="1:9" hidden="1" x14ac:dyDescent="0.25">
      <c r="A4950" t="s">
        <v>4130</v>
      </c>
      <c r="B4950" t="s">
        <v>90</v>
      </c>
      <c r="C4950" s="2">
        <f>HYPERLINK("https://cao.dolgi.msk.ru/account/1080217035/", 1080217035)</f>
        <v>1080217035</v>
      </c>
      <c r="D4950" t="s">
        <v>4163</v>
      </c>
      <c r="E4950">
        <v>185.82</v>
      </c>
      <c r="F4950">
        <v>0.02</v>
      </c>
      <c r="G4950" t="s">
        <v>12</v>
      </c>
      <c r="I4950" t="s">
        <v>1428</v>
      </c>
    </row>
    <row r="4951" spans="1:9" x14ac:dyDescent="0.25">
      <c r="A4951" t="s">
        <v>4130</v>
      </c>
      <c r="B4951" t="s">
        <v>92</v>
      </c>
      <c r="C4951" s="2">
        <f>HYPERLINK("https://cao.dolgi.msk.ru/account/1080217043/", 1080217043)</f>
        <v>1080217043</v>
      </c>
      <c r="D4951" t="s">
        <v>4164</v>
      </c>
      <c r="E4951">
        <v>4718.53</v>
      </c>
      <c r="F4951">
        <v>1.32</v>
      </c>
      <c r="G4951" t="s">
        <v>12</v>
      </c>
      <c r="H4951" t="s">
        <v>7</v>
      </c>
      <c r="I4951" t="s">
        <v>1428</v>
      </c>
    </row>
    <row r="4952" spans="1:9" x14ac:dyDescent="0.25">
      <c r="A4952" t="s">
        <v>4130</v>
      </c>
      <c r="B4952" t="s">
        <v>92</v>
      </c>
      <c r="C4952" s="2">
        <f>HYPERLINK("https://cao.dolgi.msk.ru/account/1080217051/", 1080217051)</f>
        <v>1080217051</v>
      </c>
      <c r="D4952" t="s">
        <v>4165</v>
      </c>
      <c r="E4952">
        <v>2301.35</v>
      </c>
      <c r="F4952">
        <v>1.03</v>
      </c>
      <c r="G4952" t="s">
        <v>12</v>
      </c>
      <c r="H4952" t="s">
        <v>7</v>
      </c>
      <c r="I4952" t="s">
        <v>1428</v>
      </c>
    </row>
    <row r="4953" spans="1:9" hidden="1" x14ac:dyDescent="0.25">
      <c r="A4953" t="s">
        <v>4130</v>
      </c>
      <c r="B4953" t="s">
        <v>94</v>
      </c>
      <c r="C4953" s="2">
        <f>HYPERLINK("https://cao.dolgi.msk.ru/account/1080217078/", 1080217078)</f>
        <v>1080217078</v>
      </c>
      <c r="D4953" t="s">
        <v>4166</v>
      </c>
      <c r="E4953">
        <v>-6122.5</v>
      </c>
      <c r="F4953">
        <v>-1.4</v>
      </c>
      <c r="G4953" t="s">
        <v>12</v>
      </c>
      <c r="I4953" t="s">
        <v>1428</v>
      </c>
    </row>
    <row r="4954" spans="1:9" hidden="1" x14ac:dyDescent="0.25">
      <c r="A4954" t="s">
        <v>4130</v>
      </c>
      <c r="B4954" t="s">
        <v>96</v>
      </c>
      <c r="C4954" s="2">
        <f>HYPERLINK("https://cao.dolgi.msk.ru/account/1080217086/", 1080217086)</f>
        <v>1080217086</v>
      </c>
      <c r="D4954" t="s">
        <v>4167</v>
      </c>
      <c r="E4954">
        <v>-3227.87</v>
      </c>
      <c r="F4954">
        <v>-1.2</v>
      </c>
      <c r="G4954" t="s">
        <v>12</v>
      </c>
      <c r="I4954" t="s">
        <v>1428</v>
      </c>
    </row>
    <row r="4955" spans="1:9" hidden="1" x14ac:dyDescent="0.25">
      <c r="A4955" t="s">
        <v>4130</v>
      </c>
      <c r="B4955" t="s">
        <v>96</v>
      </c>
      <c r="C4955" s="2">
        <f>HYPERLINK("https://cao.dolgi.msk.ru/account/1083283994/", 1083283994)</f>
        <v>1083283994</v>
      </c>
      <c r="D4955" t="s">
        <v>15</v>
      </c>
      <c r="E4955">
        <v>-2934.13</v>
      </c>
      <c r="F4955">
        <v>-1.38</v>
      </c>
      <c r="G4955" t="s">
        <v>12</v>
      </c>
      <c r="I4955" t="s">
        <v>1428</v>
      </c>
    </row>
    <row r="4956" spans="1:9" hidden="1" x14ac:dyDescent="0.25">
      <c r="A4956" t="s">
        <v>4130</v>
      </c>
      <c r="B4956" t="s">
        <v>98</v>
      </c>
      <c r="C4956" s="2">
        <f>HYPERLINK("https://cao.dolgi.msk.ru/account/1080217094/", 1080217094)</f>
        <v>1080217094</v>
      </c>
      <c r="D4956" t="s">
        <v>4168</v>
      </c>
      <c r="E4956">
        <v>-8022.92</v>
      </c>
      <c r="F4956">
        <v>-1.23</v>
      </c>
      <c r="G4956" t="s">
        <v>12</v>
      </c>
      <c r="I4956" t="s">
        <v>1428</v>
      </c>
    </row>
    <row r="4957" spans="1:9" hidden="1" x14ac:dyDescent="0.25">
      <c r="A4957" t="s">
        <v>4130</v>
      </c>
      <c r="B4957" t="s">
        <v>100</v>
      </c>
      <c r="C4957" s="2">
        <f>HYPERLINK("https://cao.dolgi.msk.ru/account/1080217107/", 1080217107)</f>
        <v>1080217107</v>
      </c>
      <c r="D4957" t="s">
        <v>4169</v>
      </c>
      <c r="E4957">
        <v>51.83</v>
      </c>
      <c r="F4957">
        <v>0.01</v>
      </c>
      <c r="G4957" t="s">
        <v>12</v>
      </c>
      <c r="I4957" t="s">
        <v>1428</v>
      </c>
    </row>
    <row r="4958" spans="1:9" hidden="1" x14ac:dyDescent="0.25">
      <c r="A4958" t="s">
        <v>4130</v>
      </c>
      <c r="B4958" t="s">
        <v>102</v>
      </c>
      <c r="C4958" s="2">
        <f>HYPERLINK("https://cao.dolgi.msk.ru/account/1080217115/", 1080217115)</f>
        <v>1080217115</v>
      </c>
      <c r="D4958" t="s">
        <v>4170</v>
      </c>
      <c r="E4958">
        <v>-3802.17</v>
      </c>
      <c r="F4958">
        <v>-1.19</v>
      </c>
      <c r="G4958" t="s">
        <v>12</v>
      </c>
      <c r="I4958" t="s">
        <v>1428</v>
      </c>
    </row>
    <row r="4959" spans="1:9" hidden="1" x14ac:dyDescent="0.25">
      <c r="A4959" t="s">
        <v>4130</v>
      </c>
      <c r="B4959" t="s">
        <v>104</v>
      </c>
      <c r="C4959" s="2">
        <f>HYPERLINK("https://cao.dolgi.msk.ru/account/1080217123/", 1080217123)</f>
        <v>1080217123</v>
      </c>
      <c r="D4959" t="s">
        <v>4171</v>
      </c>
      <c r="E4959">
        <v>-6387.1</v>
      </c>
      <c r="F4959">
        <v>-1.41</v>
      </c>
      <c r="G4959" t="s">
        <v>12</v>
      </c>
      <c r="I4959" t="s">
        <v>1428</v>
      </c>
    </row>
    <row r="4960" spans="1:9" hidden="1" x14ac:dyDescent="0.25">
      <c r="A4960" t="s">
        <v>4130</v>
      </c>
      <c r="B4960" t="s">
        <v>106</v>
      </c>
      <c r="C4960" s="2">
        <f>HYPERLINK("https://cao.dolgi.msk.ru/account/1080217131/", 1080217131)</f>
        <v>1080217131</v>
      </c>
      <c r="D4960" t="s">
        <v>4172</v>
      </c>
      <c r="E4960">
        <v>-11959.59</v>
      </c>
      <c r="F4960">
        <v>-1.06</v>
      </c>
      <c r="G4960" t="s">
        <v>12</v>
      </c>
      <c r="I4960" t="s">
        <v>1428</v>
      </c>
    </row>
    <row r="4961" spans="1:9" hidden="1" x14ac:dyDescent="0.25">
      <c r="A4961" t="s">
        <v>4130</v>
      </c>
      <c r="B4961" t="s">
        <v>108</v>
      </c>
      <c r="C4961" s="2">
        <f>HYPERLINK("https://cao.dolgi.msk.ru/account/1080326821/", 1080326821)</f>
        <v>1080326821</v>
      </c>
      <c r="D4961" t="s">
        <v>4173</v>
      </c>
      <c r="E4961">
        <v>-8728.42</v>
      </c>
      <c r="F4961">
        <v>-1.06</v>
      </c>
      <c r="G4961" t="s">
        <v>12</v>
      </c>
      <c r="I4961" t="s">
        <v>1428</v>
      </c>
    </row>
    <row r="4962" spans="1:9" hidden="1" x14ac:dyDescent="0.25">
      <c r="A4962" t="s">
        <v>4130</v>
      </c>
      <c r="B4962" t="s">
        <v>110</v>
      </c>
      <c r="C4962" s="2">
        <f>HYPERLINK("https://cao.dolgi.msk.ru/account/1080217166/", 1080217166)</f>
        <v>1080217166</v>
      </c>
      <c r="D4962" t="s">
        <v>4174</v>
      </c>
      <c r="E4962">
        <v>93.64</v>
      </c>
      <c r="F4962">
        <v>0.01</v>
      </c>
      <c r="G4962" t="s">
        <v>12</v>
      </c>
      <c r="I4962" t="s">
        <v>1428</v>
      </c>
    </row>
    <row r="4963" spans="1:9" hidden="1" x14ac:dyDescent="0.25">
      <c r="A4963" t="s">
        <v>4130</v>
      </c>
      <c r="B4963" t="s">
        <v>112</v>
      </c>
      <c r="C4963" s="2">
        <f>HYPERLINK("https://cao.dolgi.msk.ru/account/1080217174/", 1080217174)</f>
        <v>1080217174</v>
      </c>
      <c r="D4963" t="s">
        <v>15</v>
      </c>
      <c r="E4963">
        <v>-7211.99</v>
      </c>
      <c r="F4963">
        <v>-1.1200000000000001</v>
      </c>
      <c r="G4963" t="s">
        <v>12</v>
      </c>
      <c r="I4963" t="s">
        <v>1428</v>
      </c>
    </row>
    <row r="4964" spans="1:9" hidden="1" x14ac:dyDescent="0.25">
      <c r="A4964" t="s">
        <v>4130</v>
      </c>
      <c r="B4964" t="s">
        <v>114</v>
      </c>
      <c r="C4964" s="2">
        <f>HYPERLINK("https://cao.dolgi.msk.ru/account/1080217182/", 1080217182)</f>
        <v>1080217182</v>
      </c>
      <c r="D4964" t="s">
        <v>4175</v>
      </c>
      <c r="E4964">
        <v>-8502.14</v>
      </c>
      <c r="F4964">
        <v>-1.18</v>
      </c>
      <c r="G4964" t="s">
        <v>12</v>
      </c>
      <c r="I4964" t="s">
        <v>1428</v>
      </c>
    </row>
    <row r="4965" spans="1:9" hidden="1" x14ac:dyDescent="0.25">
      <c r="A4965" t="s">
        <v>4130</v>
      </c>
      <c r="B4965" t="s">
        <v>116</v>
      </c>
      <c r="C4965" s="2">
        <f>HYPERLINK("https://cao.dolgi.msk.ru/account/1080217203/", 1080217203)</f>
        <v>1080217203</v>
      </c>
      <c r="D4965" t="s">
        <v>4176</v>
      </c>
      <c r="E4965">
        <v>-2171.89</v>
      </c>
      <c r="F4965">
        <v>-0.37</v>
      </c>
      <c r="G4965" t="s">
        <v>12</v>
      </c>
      <c r="I4965" t="s">
        <v>1428</v>
      </c>
    </row>
    <row r="4966" spans="1:9" x14ac:dyDescent="0.25">
      <c r="A4966" t="s">
        <v>4130</v>
      </c>
      <c r="B4966" t="s">
        <v>118</v>
      </c>
      <c r="C4966" s="2">
        <f>HYPERLINK("https://cao.dolgi.msk.ru/account/1080217211/", 1080217211)</f>
        <v>1080217211</v>
      </c>
      <c r="D4966" t="s">
        <v>4177</v>
      </c>
      <c r="E4966">
        <v>6318.64</v>
      </c>
      <c r="F4966">
        <v>1.1499999999999999</v>
      </c>
      <c r="G4966" t="s">
        <v>12</v>
      </c>
      <c r="I4966" t="s">
        <v>1428</v>
      </c>
    </row>
    <row r="4967" spans="1:9" x14ac:dyDescent="0.25">
      <c r="A4967" t="s">
        <v>4130</v>
      </c>
      <c r="B4967" t="s">
        <v>120</v>
      </c>
      <c r="C4967" s="2">
        <f>HYPERLINK("https://cao.dolgi.msk.ru/account/1080217238/", 1080217238)</f>
        <v>1080217238</v>
      </c>
      <c r="D4967" t="s">
        <v>4178</v>
      </c>
      <c r="E4967">
        <v>7228.88</v>
      </c>
      <c r="F4967">
        <v>1.69</v>
      </c>
      <c r="G4967" t="s">
        <v>12</v>
      </c>
      <c r="I4967" t="s">
        <v>1428</v>
      </c>
    </row>
    <row r="4968" spans="1:9" x14ac:dyDescent="0.25">
      <c r="A4968" t="s">
        <v>4130</v>
      </c>
      <c r="B4968" t="s">
        <v>122</v>
      </c>
      <c r="C4968" s="2">
        <f>HYPERLINK("https://cao.dolgi.msk.ru/account/1080217246/", 1080217246)</f>
        <v>1080217246</v>
      </c>
      <c r="D4968" t="s">
        <v>4179</v>
      </c>
      <c r="E4968">
        <v>184610.77</v>
      </c>
      <c r="F4968">
        <v>18.61</v>
      </c>
      <c r="G4968" t="s">
        <v>12</v>
      </c>
      <c r="I4968" t="s">
        <v>1428</v>
      </c>
    </row>
    <row r="4969" spans="1:9" hidden="1" x14ac:dyDescent="0.25">
      <c r="A4969" t="s">
        <v>4130</v>
      </c>
      <c r="B4969" t="s">
        <v>124</v>
      </c>
      <c r="C4969" s="2">
        <f>HYPERLINK("https://cao.dolgi.msk.ru/account/1080217254/", 1080217254)</f>
        <v>1080217254</v>
      </c>
      <c r="D4969" t="s">
        <v>4180</v>
      </c>
      <c r="E4969">
        <v>-219.31</v>
      </c>
      <c r="F4969">
        <v>-0.03</v>
      </c>
      <c r="G4969" t="s">
        <v>12</v>
      </c>
      <c r="I4969" t="s">
        <v>1428</v>
      </c>
    </row>
    <row r="4970" spans="1:9" hidden="1" x14ac:dyDescent="0.25">
      <c r="A4970" t="s">
        <v>4130</v>
      </c>
      <c r="B4970" t="s">
        <v>126</v>
      </c>
      <c r="C4970" s="2">
        <f>HYPERLINK("https://cao.dolgi.msk.ru/account/1080217262/", 1080217262)</f>
        <v>1080217262</v>
      </c>
      <c r="D4970" t="s">
        <v>4181</v>
      </c>
      <c r="E4970">
        <v>-6581.61</v>
      </c>
      <c r="F4970">
        <v>-1.1200000000000001</v>
      </c>
      <c r="G4970" t="s">
        <v>12</v>
      </c>
      <c r="I4970" t="s">
        <v>1428</v>
      </c>
    </row>
    <row r="4971" spans="1:9" hidden="1" x14ac:dyDescent="0.25">
      <c r="A4971" t="s">
        <v>4130</v>
      </c>
      <c r="B4971" t="s">
        <v>128</v>
      </c>
      <c r="C4971" s="2">
        <f>HYPERLINK("https://cao.dolgi.msk.ru/account/1080217289/", 1080217289)</f>
        <v>1080217289</v>
      </c>
      <c r="D4971" t="s">
        <v>4182</v>
      </c>
      <c r="E4971">
        <v>-9795.8799999999992</v>
      </c>
      <c r="F4971">
        <v>-1.6</v>
      </c>
      <c r="G4971" t="s">
        <v>12</v>
      </c>
      <c r="I4971" t="s">
        <v>1428</v>
      </c>
    </row>
    <row r="4972" spans="1:9" hidden="1" x14ac:dyDescent="0.25">
      <c r="A4972" t="s">
        <v>4130</v>
      </c>
      <c r="B4972" t="s">
        <v>130</v>
      </c>
      <c r="C4972" s="2">
        <f>HYPERLINK("https://cao.dolgi.msk.ru/account/1080217297/", 1080217297)</f>
        <v>1080217297</v>
      </c>
      <c r="D4972" t="s">
        <v>4183</v>
      </c>
      <c r="E4972">
        <v>-9603.98</v>
      </c>
      <c r="F4972">
        <v>-1.08</v>
      </c>
      <c r="G4972" t="s">
        <v>12</v>
      </c>
      <c r="H4972" t="s">
        <v>7</v>
      </c>
      <c r="I4972" t="s">
        <v>1428</v>
      </c>
    </row>
    <row r="4973" spans="1:9" hidden="1" x14ac:dyDescent="0.25">
      <c r="A4973" t="s">
        <v>4130</v>
      </c>
      <c r="B4973" t="s">
        <v>130</v>
      </c>
      <c r="C4973" s="2">
        <f>HYPERLINK("https://cao.dolgi.msk.ru/account/1080217318/", 1080217318)</f>
        <v>1080217318</v>
      </c>
      <c r="D4973" t="s">
        <v>4183</v>
      </c>
      <c r="E4973">
        <v>0</v>
      </c>
      <c r="G4973" t="s">
        <v>12</v>
      </c>
      <c r="H4973" t="s">
        <v>7</v>
      </c>
      <c r="I4973" t="s">
        <v>1428</v>
      </c>
    </row>
    <row r="4974" spans="1:9" hidden="1" x14ac:dyDescent="0.25">
      <c r="A4974" t="s">
        <v>4130</v>
      </c>
      <c r="B4974" t="s">
        <v>132</v>
      </c>
      <c r="C4974" s="2">
        <f>HYPERLINK("https://cao.dolgi.msk.ru/account/1080217326/", 1080217326)</f>
        <v>1080217326</v>
      </c>
      <c r="D4974" t="s">
        <v>4184</v>
      </c>
      <c r="E4974">
        <v>0</v>
      </c>
      <c r="F4974">
        <v>0</v>
      </c>
      <c r="G4974" t="s">
        <v>12</v>
      </c>
      <c r="I4974" t="s">
        <v>1428</v>
      </c>
    </row>
    <row r="4975" spans="1:9" hidden="1" x14ac:dyDescent="0.25">
      <c r="A4975" t="s">
        <v>4130</v>
      </c>
      <c r="B4975" t="s">
        <v>133</v>
      </c>
      <c r="C4975" s="2">
        <f>HYPERLINK("https://cao.dolgi.msk.ru/account/1080217334/", 1080217334)</f>
        <v>1080217334</v>
      </c>
      <c r="D4975" t="s">
        <v>4185</v>
      </c>
      <c r="E4975">
        <v>-992.87</v>
      </c>
      <c r="F4975">
        <v>-0.18</v>
      </c>
      <c r="G4975" t="s">
        <v>12</v>
      </c>
      <c r="I4975" t="s">
        <v>1428</v>
      </c>
    </row>
    <row r="4976" spans="1:9" hidden="1" x14ac:dyDescent="0.25">
      <c r="A4976" t="s">
        <v>4130</v>
      </c>
      <c r="B4976" t="s">
        <v>135</v>
      </c>
      <c r="C4976" s="2">
        <f>HYPERLINK("https://cao.dolgi.msk.ru/account/1080217342/", 1080217342)</f>
        <v>1080217342</v>
      </c>
      <c r="D4976" t="s">
        <v>4186</v>
      </c>
      <c r="E4976">
        <v>-4767.99</v>
      </c>
      <c r="F4976">
        <v>-0.91</v>
      </c>
      <c r="G4976" t="s">
        <v>12</v>
      </c>
      <c r="I4976" t="s">
        <v>1428</v>
      </c>
    </row>
    <row r="4977" spans="1:9" x14ac:dyDescent="0.25">
      <c r="A4977" t="s">
        <v>4130</v>
      </c>
      <c r="B4977" t="s">
        <v>137</v>
      </c>
      <c r="C4977" s="2">
        <f>HYPERLINK("https://cao.dolgi.msk.ru/account/1080217369/", 1080217369)</f>
        <v>1080217369</v>
      </c>
      <c r="D4977" t="s">
        <v>4187</v>
      </c>
      <c r="E4977">
        <v>13308.01</v>
      </c>
      <c r="F4977">
        <v>1.08</v>
      </c>
      <c r="G4977" t="s">
        <v>12</v>
      </c>
      <c r="I4977" t="s">
        <v>1428</v>
      </c>
    </row>
    <row r="4978" spans="1:9" hidden="1" x14ac:dyDescent="0.25">
      <c r="A4978" t="s">
        <v>4130</v>
      </c>
      <c r="B4978" t="s">
        <v>139</v>
      </c>
      <c r="C4978" s="2">
        <f>HYPERLINK("https://cao.dolgi.msk.ru/account/1080217393/", 1080217393)</f>
        <v>1080217393</v>
      </c>
      <c r="D4978" t="s">
        <v>4188</v>
      </c>
      <c r="E4978">
        <v>-5224.32</v>
      </c>
      <c r="F4978">
        <v>-1.22</v>
      </c>
      <c r="G4978" t="s">
        <v>12</v>
      </c>
      <c r="I4978" t="s">
        <v>1428</v>
      </c>
    </row>
    <row r="4979" spans="1:9" hidden="1" x14ac:dyDescent="0.25">
      <c r="A4979" t="s">
        <v>4130</v>
      </c>
      <c r="B4979" t="s">
        <v>139</v>
      </c>
      <c r="C4979" s="2">
        <f>HYPERLINK("https://cao.dolgi.msk.ru/account/1080217406/", 1080217406)</f>
        <v>1080217406</v>
      </c>
      <c r="D4979" t="s">
        <v>1414</v>
      </c>
      <c r="E4979">
        <v>-202.02</v>
      </c>
      <c r="G4979" t="s">
        <v>14</v>
      </c>
      <c r="I4979" t="s">
        <v>1428</v>
      </c>
    </row>
    <row r="4980" spans="1:9" x14ac:dyDescent="0.25">
      <c r="A4980" t="s">
        <v>4130</v>
      </c>
      <c r="B4980" t="s">
        <v>141</v>
      </c>
      <c r="C4980" s="2">
        <f>HYPERLINK("https://cao.dolgi.msk.ru/account/1080217414/", 1080217414)</f>
        <v>1080217414</v>
      </c>
      <c r="D4980" t="s">
        <v>4189</v>
      </c>
      <c r="E4980">
        <v>9529.82</v>
      </c>
      <c r="F4980">
        <v>2.1800000000000002</v>
      </c>
      <c r="G4980" t="s">
        <v>12</v>
      </c>
      <c r="I4980" t="s">
        <v>1428</v>
      </c>
    </row>
    <row r="4981" spans="1:9" hidden="1" x14ac:dyDescent="0.25">
      <c r="A4981" t="s">
        <v>4130</v>
      </c>
      <c r="B4981" t="s">
        <v>143</v>
      </c>
      <c r="C4981" s="2">
        <f>HYPERLINK("https://cao.dolgi.msk.ru/account/1080217422/", 1080217422)</f>
        <v>1080217422</v>
      </c>
      <c r="D4981" t="s">
        <v>4190</v>
      </c>
      <c r="E4981">
        <v>-7567.25</v>
      </c>
      <c r="F4981">
        <v>-1.84</v>
      </c>
      <c r="G4981" t="s">
        <v>12</v>
      </c>
      <c r="I4981" t="s">
        <v>1428</v>
      </c>
    </row>
    <row r="4982" spans="1:9" hidden="1" x14ac:dyDescent="0.25">
      <c r="A4982" t="s">
        <v>4130</v>
      </c>
      <c r="B4982" t="s">
        <v>145</v>
      </c>
      <c r="C4982" s="2">
        <f>HYPERLINK("https://cao.dolgi.msk.ru/account/1080217449/", 1080217449)</f>
        <v>1080217449</v>
      </c>
      <c r="D4982" t="s">
        <v>4191</v>
      </c>
      <c r="E4982">
        <v>-3422.09</v>
      </c>
      <c r="F4982">
        <v>-1.1000000000000001</v>
      </c>
      <c r="G4982" t="s">
        <v>12</v>
      </c>
      <c r="I4982" t="s">
        <v>1428</v>
      </c>
    </row>
    <row r="4983" spans="1:9" hidden="1" x14ac:dyDescent="0.25">
      <c r="A4983" t="s">
        <v>4130</v>
      </c>
      <c r="B4983" t="s">
        <v>147</v>
      </c>
      <c r="C4983" s="2">
        <f>HYPERLINK("https://cao.dolgi.msk.ru/account/1080217457/", 1080217457)</f>
        <v>1080217457</v>
      </c>
      <c r="D4983" t="s">
        <v>4192</v>
      </c>
      <c r="E4983">
        <v>-77.599999999999994</v>
      </c>
      <c r="F4983">
        <v>-0.01</v>
      </c>
      <c r="G4983" t="s">
        <v>12</v>
      </c>
      <c r="I4983" t="s">
        <v>1428</v>
      </c>
    </row>
    <row r="4984" spans="1:9" hidden="1" x14ac:dyDescent="0.25">
      <c r="A4984" t="s">
        <v>4130</v>
      </c>
      <c r="B4984" t="s">
        <v>149</v>
      </c>
      <c r="C4984" s="2">
        <f>HYPERLINK("https://cao.dolgi.msk.ru/account/1080217465/", 1080217465)</f>
        <v>1080217465</v>
      </c>
      <c r="D4984" t="s">
        <v>4193</v>
      </c>
      <c r="E4984">
        <v>-4946.1400000000003</v>
      </c>
      <c r="F4984">
        <v>-0.54</v>
      </c>
      <c r="G4984" t="s">
        <v>12</v>
      </c>
      <c r="I4984" t="s">
        <v>1428</v>
      </c>
    </row>
    <row r="4985" spans="1:9" hidden="1" x14ac:dyDescent="0.25">
      <c r="A4985" t="s">
        <v>4130</v>
      </c>
      <c r="B4985" t="s">
        <v>151</v>
      </c>
      <c r="C4985" s="2">
        <f>HYPERLINK("https://cao.dolgi.msk.ru/account/1080217473/", 1080217473)</f>
        <v>1080217473</v>
      </c>
      <c r="D4985" t="s">
        <v>4194</v>
      </c>
      <c r="E4985">
        <v>-4564.47</v>
      </c>
      <c r="F4985">
        <v>-1.1200000000000001</v>
      </c>
      <c r="G4985" t="s">
        <v>12</v>
      </c>
      <c r="I4985" t="s">
        <v>1428</v>
      </c>
    </row>
    <row r="4986" spans="1:9" hidden="1" x14ac:dyDescent="0.25">
      <c r="A4986" t="s">
        <v>4130</v>
      </c>
      <c r="B4986" t="s">
        <v>151</v>
      </c>
      <c r="C4986" s="2">
        <f>HYPERLINK("https://cao.dolgi.msk.ru/account/1080217481/", 1080217481)</f>
        <v>1080217481</v>
      </c>
      <c r="D4986" t="s">
        <v>4195</v>
      </c>
      <c r="E4986">
        <v>655.92</v>
      </c>
      <c r="G4986" t="s">
        <v>14</v>
      </c>
      <c r="I4986" t="s">
        <v>1428</v>
      </c>
    </row>
    <row r="4987" spans="1:9" hidden="1" x14ac:dyDescent="0.25">
      <c r="A4987" t="s">
        <v>4130</v>
      </c>
      <c r="B4987" t="s">
        <v>153</v>
      </c>
      <c r="C4987" s="2">
        <f>HYPERLINK("https://cao.dolgi.msk.ru/account/1080217502/", 1080217502)</f>
        <v>1080217502</v>
      </c>
      <c r="D4987" t="s">
        <v>4196</v>
      </c>
      <c r="E4987">
        <v>-4422.17</v>
      </c>
      <c r="F4987">
        <v>-1.06</v>
      </c>
      <c r="G4987" t="s">
        <v>12</v>
      </c>
      <c r="I4987" t="s">
        <v>1428</v>
      </c>
    </row>
    <row r="4988" spans="1:9" hidden="1" x14ac:dyDescent="0.25">
      <c r="A4988" t="s">
        <v>4130</v>
      </c>
      <c r="B4988" t="s">
        <v>155</v>
      </c>
      <c r="C4988" s="2">
        <f>HYPERLINK("https://cao.dolgi.msk.ru/account/1080217529/", 1080217529)</f>
        <v>1080217529</v>
      </c>
      <c r="D4988" t="s">
        <v>4197</v>
      </c>
      <c r="E4988">
        <v>-7951.51</v>
      </c>
      <c r="F4988">
        <v>-1.02</v>
      </c>
      <c r="G4988" t="s">
        <v>12</v>
      </c>
      <c r="I4988" t="s">
        <v>1428</v>
      </c>
    </row>
    <row r="4989" spans="1:9" hidden="1" x14ac:dyDescent="0.25">
      <c r="A4989" t="s">
        <v>4130</v>
      </c>
      <c r="B4989" t="s">
        <v>157</v>
      </c>
      <c r="C4989" s="2">
        <f>HYPERLINK("https://cao.dolgi.msk.ru/account/1080217537/", 1080217537)</f>
        <v>1080217537</v>
      </c>
      <c r="D4989" t="s">
        <v>4198</v>
      </c>
      <c r="E4989">
        <v>-6537.6</v>
      </c>
      <c r="F4989">
        <v>-1.1599999999999999</v>
      </c>
      <c r="G4989" t="s">
        <v>12</v>
      </c>
      <c r="I4989" t="s">
        <v>1428</v>
      </c>
    </row>
    <row r="4990" spans="1:9" hidden="1" x14ac:dyDescent="0.25">
      <c r="A4990" t="s">
        <v>4130</v>
      </c>
      <c r="B4990" t="s">
        <v>159</v>
      </c>
      <c r="C4990" s="2">
        <f>HYPERLINK("https://cao.dolgi.msk.ru/account/1080217545/", 1080217545)</f>
        <v>1080217545</v>
      </c>
      <c r="D4990" t="s">
        <v>4199</v>
      </c>
      <c r="E4990">
        <v>746.84</v>
      </c>
      <c r="F4990">
        <v>0.13</v>
      </c>
      <c r="G4990" t="s">
        <v>12</v>
      </c>
      <c r="I4990" t="s">
        <v>1428</v>
      </c>
    </row>
    <row r="4991" spans="1:9" hidden="1" x14ac:dyDescent="0.25">
      <c r="A4991" t="s">
        <v>4130</v>
      </c>
      <c r="B4991" t="s">
        <v>161</v>
      </c>
      <c r="C4991" s="2">
        <f>HYPERLINK("https://cao.dolgi.msk.ru/account/1080217553/", 1080217553)</f>
        <v>1080217553</v>
      </c>
      <c r="D4991" t="s">
        <v>4200</v>
      </c>
      <c r="E4991">
        <v>-6854.52</v>
      </c>
      <c r="F4991">
        <v>-1.18</v>
      </c>
      <c r="G4991" t="s">
        <v>12</v>
      </c>
      <c r="I4991" t="s">
        <v>1428</v>
      </c>
    </row>
    <row r="4992" spans="1:9" hidden="1" x14ac:dyDescent="0.25">
      <c r="A4992" t="s">
        <v>4130</v>
      </c>
      <c r="B4992" t="s">
        <v>163</v>
      </c>
      <c r="C4992" s="2">
        <f>HYPERLINK("https://cao.dolgi.msk.ru/account/1080217561/", 1080217561)</f>
        <v>1080217561</v>
      </c>
      <c r="D4992" t="s">
        <v>4201</v>
      </c>
      <c r="E4992">
        <v>-2629.9</v>
      </c>
      <c r="F4992">
        <v>-0.37</v>
      </c>
      <c r="G4992" t="s">
        <v>12</v>
      </c>
      <c r="I4992" t="s">
        <v>1428</v>
      </c>
    </row>
    <row r="4993" spans="1:9" hidden="1" x14ac:dyDescent="0.25">
      <c r="A4993" t="s">
        <v>4130</v>
      </c>
      <c r="B4993" t="s">
        <v>571</v>
      </c>
      <c r="C4993" s="2">
        <f>HYPERLINK("https://cao.dolgi.msk.ru/account/1080217588/", 1080217588)</f>
        <v>1080217588</v>
      </c>
      <c r="D4993" t="s">
        <v>4202</v>
      </c>
      <c r="E4993">
        <v>-7670.27</v>
      </c>
      <c r="F4993">
        <v>-1.25</v>
      </c>
      <c r="G4993" t="s">
        <v>12</v>
      </c>
      <c r="I4993" t="s">
        <v>1428</v>
      </c>
    </row>
    <row r="4994" spans="1:9" hidden="1" x14ac:dyDescent="0.25">
      <c r="A4994" t="s">
        <v>4130</v>
      </c>
      <c r="B4994" t="s">
        <v>682</v>
      </c>
      <c r="C4994" s="2">
        <f>HYPERLINK("https://cao.dolgi.msk.ru/account/1080217596/", 1080217596)</f>
        <v>1080217596</v>
      </c>
      <c r="D4994" t="s">
        <v>4203</v>
      </c>
      <c r="E4994">
        <v>-7212.63</v>
      </c>
      <c r="F4994">
        <v>-1.08</v>
      </c>
      <c r="G4994" t="s">
        <v>12</v>
      </c>
      <c r="I4994" t="s">
        <v>1428</v>
      </c>
    </row>
    <row r="4995" spans="1:9" hidden="1" x14ac:dyDescent="0.25">
      <c r="A4995" t="s">
        <v>4130</v>
      </c>
      <c r="B4995" t="s">
        <v>578</v>
      </c>
      <c r="C4995" s="2">
        <f>HYPERLINK("https://cao.dolgi.msk.ru/account/1080217609/", 1080217609)</f>
        <v>1080217609</v>
      </c>
      <c r="D4995" t="s">
        <v>4204</v>
      </c>
      <c r="E4995">
        <v>-1281.44</v>
      </c>
      <c r="F4995">
        <v>-0.21</v>
      </c>
      <c r="G4995" t="s">
        <v>12</v>
      </c>
      <c r="I4995" t="s">
        <v>1428</v>
      </c>
    </row>
    <row r="4996" spans="1:9" hidden="1" x14ac:dyDescent="0.25">
      <c r="A4996" t="s">
        <v>4130</v>
      </c>
      <c r="B4996" t="s">
        <v>580</v>
      </c>
      <c r="C4996" s="2">
        <f>HYPERLINK("https://cao.dolgi.msk.ru/account/1080217617/", 1080217617)</f>
        <v>1080217617</v>
      </c>
      <c r="D4996" t="s">
        <v>4205</v>
      </c>
      <c r="E4996">
        <v>-9068.2999999999993</v>
      </c>
      <c r="F4996">
        <v>-1.17</v>
      </c>
      <c r="G4996" t="s">
        <v>12</v>
      </c>
      <c r="I4996" t="s">
        <v>1428</v>
      </c>
    </row>
    <row r="4997" spans="1:9" hidden="1" x14ac:dyDescent="0.25">
      <c r="A4997" t="s">
        <v>4130</v>
      </c>
      <c r="B4997" t="s">
        <v>686</v>
      </c>
      <c r="C4997" s="2">
        <f>HYPERLINK("https://cao.dolgi.msk.ru/account/1080217625/", 1080217625)</f>
        <v>1080217625</v>
      </c>
      <c r="D4997" t="s">
        <v>4206</v>
      </c>
      <c r="E4997">
        <v>-7827.58</v>
      </c>
      <c r="F4997">
        <v>-1.1200000000000001</v>
      </c>
      <c r="G4997" t="s">
        <v>12</v>
      </c>
      <c r="I4997" t="s">
        <v>1428</v>
      </c>
    </row>
    <row r="4998" spans="1:9" hidden="1" x14ac:dyDescent="0.25">
      <c r="A4998" t="s">
        <v>4130</v>
      </c>
      <c r="B4998" t="s">
        <v>582</v>
      </c>
      <c r="C4998" s="2">
        <f>HYPERLINK("https://cao.dolgi.msk.ru/account/1080217633/", 1080217633)</f>
        <v>1080217633</v>
      </c>
      <c r="D4998" t="s">
        <v>4207</v>
      </c>
      <c r="E4998">
        <v>-6448.82</v>
      </c>
      <c r="F4998">
        <v>-1.1200000000000001</v>
      </c>
      <c r="G4998" t="s">
        <v>12</v>
      </c>
      <c r="I4998" t="s">
        <v>1428</v>
      </c>
    </row>
    <row r="4999" spans="1:9" hidden="1" x14ac:dyDescent="0.25">
      <c r="A4999" t="s">
        <v>4130</v>
      </c>
      <c r="B4999" t="s">
        <v>584</v>
      </c>
      <c r="C4999" s="2">
        <f>HYPERLINK("https://cao.dolgi.msk.ru/account/1080217641/", 1080217641)</f>
        <v>1080217641</v>
      </c>
      <c r="D4999" t="s">
        <v>4208</v>
      </c>
      <c r="E4999">
        <v>-8566.19</v>
      </c>
      <c r="F4999">
        <v>-1.2</v>
      </c>
      <c r="G4999" t="s">
        <v>12</v>
      </c>
      <c r="I4999" t="s">
        <v>1428</v>
      </c>
    </row>
    <row r="5000" spans="1:9" hidden="1" x14ac:dyDescent="0.25">
      <c r="A5000" t="s">
        <v>4130</v>
      </c>
      <c r="B5000" t="s">
        <v>586</v>
      </c>
      <c r="C5000" s="2">
        <f>HYPERLINK("https://cao.dolgi.msk.ru/account/1080217668/", 1080217668)</f>
        <v>1080217668</v>
      </c>
      <c r="D5000" t="s">
        <v>4209</v>
      </c>
      <c r="E5000">
        <v>778.33</v>
      </c>
      <c r="F5000">
        <v>0.05</v>
      </c>
      <c r="G5000" t="s">
        <v>12</v>
      </c>
      <c r="I5000" t="s">
        <v>1428</v>
      </c>
    </row>
    <row r="5001" spans="1:9" hidden="1" x14ac:dyDescent="0.25">
      <c r="A5001" t="s">
        <v>4130</v>
      </c>
      <c r="B5001" t="s">
        <v>588</v>
      </c>
      <c r="C5001" s="2">
        <f>HYPERLINK("https://cao.dolgi.msk.ru/account/1080217676/", 1080217676)</f>
        <v>1080217676</v>
      </c>
      <c r="D5001" t="s">
        <v>4210</v>
      </c>
      <c r="E5001">
        <v>-8244.2999999999993</v>
      </c>
      <c r="F5001">
        <v>-1.24</v>
      </c>
      <c r="G5001" t="s">
        <v>12</v>
      </c>
      <c r="I5001" t="s">
        <v>1428</v>
      </c>
    </row>
    <row r="5002" spans="1:9" hidden="1" x14ac:dyDescent="0.25">
      <c r="A5002" t="s">
        <v>4130</v>
      </c>
      <c r="B5002" t="s">
        <v>590</v>
      </c>
      <c r="C5002" s="2">
        <f>HYPERLINK("https://cao.dolgi.msk.ru/account/1080217684/", 1080217684)</f>
        <v>1080217684</v>
      </c>
      <c r="D5002" t="s">
        <v>4211</v>
      </c>
      <c r="E5002">
        <v>-6357.26</v>
      </c>
      <c r="F5002">
        <v>-1.02</v>
      </c>
      <c r="G5002" t="s">
        <v>12</v>
      </c>
      <c r="I5002" t="s">
        <v>1428</v>
      </c>
    </row>
    <row r="5003" spans="1:9" hidden="1" x14ac:dyDescent="0.25">
      <c r="A5003" t="s">
        <v>4130</v>
      </c>
      <c r="B5003" t="s">
        <v>590</v>
      </c>
      <c r="C5003" s="2">
        <f>HYPERLINK("https://cao.dolgi.msk.ru/account/1080217692/", 1080217692)</f>
        <v>1080217692</v>
      </c>
      <c r="D5003" t="s">
        <v>15</v>
      </c>
      <c r="G5003" t="s">
        <v>14</v>
      </c>
      <c r="I5003" t="s">
        <v>1428</v>
      </c>
    </row>
    <row r="5004" spans="1:9" hidden="1" x14ac:dyDescent="0.25">
      <c r="A5004" t="s">
        <v>4130</v>
      </c>
      <c r="B5004" t="s">
        <v>693</v>
      </c>
      <c r="C5004" s="2">
        <f>HYPERLINK("https://cao.dolgi.msk.ru/account/1080217713/", 1080217713)</f>
        <v>1080217713</v>
      </c>
      <c r="D5004" t="s">
        <v>4212</v>
      </c>
      <c r="E5004">
        <v>-7014.51</v>
      </c>
      <c r="F5004">
        <v>-1.1299999999999999</v>
      </c>
      <c r="G5004" t="s">
        <v>12</v>
      </c>
      <c r="I5004" t="s">
        <v>1428</v>
      </c>
    </row>
    <row r="5005" spans="1:9" hidden="1" x14ac:dyDescent="0.25">
      <c r="A5005" t="s">
        <v>4130</v>
      </c>
      <c r="B5005" t="s">
        <v>694</v>
      </c>
      <c r="C5005" s="2">
        <f>HYPERLINK("https://cao.dolgi.msk.ru/account/1080217721/", 1080217721)</f>
        <v>1080217721</v>
      </c>
      <c r="D5005" t="s">
        <v>4213</v>
      </c>
      <c r="E5005">
        <v>-7426.03</v>
      </c>
      <c r="F5005">
        <v>-1.07</v>
      </c>
      <c r="G5005" t="s">
        <v>12</v>
      </c>
      <c r="I5005" t="s">
        <v>1428</v>
      </c>
    </row>
    <row r="5006" spans="1:9" hidden="1" x14ac:dyDescent="0.25">
      <c r="A5006" t="s">
        <v>4130</v>
      </c>
      <c r="B5006" t="s">
        <v>696</v>
      </c>
      <c r="C5006" s="2">
        <f>HYPERLINK("https://cao.dolgi.msk.ru/account/1080217705/", 1080217705)</f>
        <v>1080217705</v>
      </c>
      <c r="D5006" t="s">
        <v>4214</v>
      </c>
      <c r="E5006">
        <v>-150.69999999999999</v>
      </c>
      <c r="F5006">
        <v>-0.02</v>
      </c>
      <c r="G5006" t="s">
        <v>12</v>
      </c>
      <c r="I5006" t="s">
        <v>1428</v>
      </c>
    </row>
    <row r="5007" spans="1:9" hidden="1" x14ac:dyDescent="0.25">
      <c r="A5007" t="s">
        <v>4130</v>
      </c>
      <c r="B5007" t="s">
        <v>698</v>
      </c>
      <c r="C5007" s="2">
        <f>HYPERLINK("https://cao.dolgi.msk.ru/account/1080217756/", 1080217756)</f>
        <v>1080217756</v>
      </c>
      <c r="D5007" t="s">
        <v>4215</v>
      </c>
      <c r="E5007">
        <v>-6285.32</v>
      </c>
      <c r="F5007">
        <v>-1.31</v>
      </c>
      <c r="G5007" t="s">
        <v>12</v>
      </c>
      <c r="I5007" t="s">
        <v>1428</v>
      </c>
    </row>
    <row r="5008" spans="1:9" hidden="1" x14ac:dyDescent="0.25">
      <c r="A5008" t="s">
        <v>4130</v>
      </c>
      <c r="B5008" t="s">
        <v>700</v>
      </c>
      <c r="C5008" s="2">
        <f>HYPERLINK("https://cao.dolgi.msk.ru/account/1080217764/", 1080217764)</f>
        <v>1080217764</v>
      </c>
      <c r="D5008" t="s">
        <v>4216</v>
      </c>
      <c r="E5008">
        <v>-4668.2299999999996</v>
      </c>
      <c r="F5008">
        <v>-1.19</v>
      </c>
      <c r="G5008" t="s">
        <v>12</v>
      </c>
      <c r="I5008" t="s">
        <v>1428</v>
      </c>
    </row>
    <row r="5009" spans="1:9" hidden="1" x14ac:dyDescent="0.25">
      <c r="A5009" t="s">
        <v>4130</v>
      </c>
      <c r="B5009" t="s">
        <v>702</v>
      </c>
      <c r="C5009" s="2">
        <f>HYPERLINK("https://cao.dolgi.msk.ru/account/1080217772/", 1080217772)</f>
        <v>1080217772</v>
      </c>
      <c r="D5009" t="s">
        <v>4217</v>
      </c>
      <c r="E5009">
        <v>-10948.15</v>
      </c>
      <c r="F5009">
        <v>-1.23</v>
      </c>
      <c r="G5009" t="s">
        <v>12</v>
      </c>
      <c r="I5009" t="s">
        <v>1428</v>
      </c>
    </row>
    <row r="5010" spans="1:9" hidden="1" x14ac:dyDescent="0.25">
      <c r="A5010" t="s">
        <v>4218</v>
      </c>
      <c r="B5010" t="s">
        <v>10</v>
      </c>
      <c r="C5010" s="2">
        <f>HYPERLINK("https://cao.dolgi.msk.ru/account/1080262979/", 1080262979)</f>
        <v>1080262979</v>
      </c>
      <c r="D5010" t="s">
        <v>4219</v>
      </c>
      <c r="E5010">
        <v>0</v>
      </c>
      <c r="F5010">
        <v>0</v>
      </c>
      <c r="G5010" t="s">
        <v>12</v>
      </c>
      <c r="I5010" t="s">
        <v>1050</v>
      </c>
    </row>
    <row r="5011" spans="1:9" hidden="1" x14ac:dyDescent="0.25">
      <c r="A5011" t="s">
        <v>4218</v>
      </c>
      <c r="B5011" t="s">
        <v>16</v>
      </c>
      <c r="C5011" s="2">
        <f>HYPERLINK("https://cao.dolgi.msk.ru/account/1080262987/", 1080262987)</f>
        <v>1080262987</v>
      </c>
      <c r="D5011" t="s">
        <v>4220</v>
      </c>
      <c r="E5011">
        <v>-7302.73</v>
      </c>
      <c r="F5011">
        <v>-1.04</v>
      </c>
      <c r="G5011" t="s">
        <v>12</v>
      </c>
      <c r="I5011" t="s">
        <v>1050</v>
      </c>
    </row>
    <row r="5012" spans="1:9" hidden="1" x14ac:dyDescent="0.25">
      <c r="A5012" t="s">
        <v>4218</v>
      </c>
      <c r="B5012" t="s">
        <v>18</v>
      </c>
      <c r="C5012" s="2">
        <f>HYPERLINK("https://cao.dolgi.msk.ru/account/1080262995/", 1080262995)</f>
        <v>1080262995</v>
      </c>
      <c r="D5012" t="s">
        <v>4221</v>
      </c>
      <c r="E5012">
        <v>-3501.3</v>
      </c>
      <c r="F5012">
        <v>-0.66</v>
      </c>
      <c r="G5012" t="s">
        <v>12</v>
      </c>
      <c r="I5012" t="s">
        <v>1050</v>
      </c>
    </row>
    <row r="5013" spans="1:9" hidden="1" x14ac:dyDescent="0.25">
      <c r="A5013" t="s">
        <v>4218</v>
      </c>
      <c r="B5013" t="s">
        <v>20</v>
      </c>
      <c r="C5013" s="2">
        <f>HYPERLINK("https://cao.dolgi.msk.ru/account/1080263007/", 1080263007)</f>
        <v>1080263007</v>
      </c>
      <c r="D5013" t="s">
        <v>4222</v>
      </c>
      <c r="E5013">
        <v>-20271.2</v>
      </c>
      <c r="F5013">
        <v>-3.37</v>
      </c>
      <c r="G5013" t="s">
        <v>12</v>
      </c>
      <c r="I5013" t="s">
        <v>1050</v>
      </c>
    </row>
    <row r="5014" spans="1:9" hidden="1" x14ac:dyDescent="0.25">
      <c r="A5014" t="s">
        <v>4218</v>
      </c>
      <c r="B5014" t="s">
        <v>21</v>
      </c>
      <c r="C5014" s="2">
        <f>HYPERLINK("https://cao.dolgi.msk.ru/account/1080263015/", 1080263015)</f>
        <v>1080263015</v>
      </c>
      <c r="D5014" t="s">
        <v>4223</v>
      </c>
      <c r="E5014">
        <v>-7609.1</v>
      </c>
      <c r="F5014">
        <v>-1</v>
      </c>
      <c r="G5014" t="s">
        <v>12</v>
      </c>
      <c r="I5014" t="s">
        <v>1050</v>
      </c>
    </row>
    <row r="5015" spans="1:9" hidden="1" x14ac:dyDescent="0.25">
      <c r="A5015" t="s">
        <v>4218</v>
      </c>
      <c r="B5015" t="s">
        <v>22</v>
      </c>
      <c r="C5015" s="2">
        <f>HYPERLINK("https://cao.dolgi.msk.ru/account/1080263023/", 1080263023)</f>
        <v>1080263023</v>
      </c>
      <c r="D5015" t="s">
        <v>4224</v>
      </c>
      <c r="E5015">
        <v>-7640.75</v>
      </c>
      <c r="F5015">
        <v>-1.01</v>
      </c>
      <c r="G5015" t="s">
        <v>12</v>
      </c>
      <c r="I5015" t="s">
        <v>1050</v>
      </c>
    </row>
    <row r="5016" spans="1:9" hidden="1" x14ac:dyDescent="0.25">
      <c r="A5016" t="s">
        <v>4218</v>
      </c>
      <c r="B5016" t="s">
        <v>23</v>
      </c>
      <c r="C5016" s="2">
        <f>HYPERLINK("https://cao.dolgi.msk.ru/account/1080263031/", 1080263031)</f>
        <v>1080263031</v>
      </c>
      <c r="D5016" t="s">
        <v>4225</v>
      </c>
      <c r="E5016">
        <v>11.18</v>
      </c>
      <c r="F5016">
        <v>0</v>
      </c>
      <c r="G5016" t="s">
        <v>12</v>
      </c>
      <c r="I5016" t="s">
        <v>1050</v>
      </c>
    </row>
    <row r="5017" spans="1:9" hidden="1" x14ac:dyDescent="0.25">
      <c r="A5017" t="s">
        <v>4218</v>
      </c>
      <c r="B5017" t="s">
        <v>24</v>
      </c>
      <c r="C5017" s="2">
        <f>HYPERLINK("https://cao.dolgi.msk.ru/account/1080263058/", 1080263058)</f>
        <v>1080263058</v>
      </c>
      <c r="D5017" t="s">
        <v>4226</v>
      </c>
      <c r="E5017">
        <v>-7825.3</v>
      </c>
      <c r="F5017">
        <v>-1.1100000000000001</v>
      </c>
      <c r="G5017" t="s">
        <v>12</v>
      </c>
      <c r="I5017" t="s">
        <v>1050</v>
      </c>
    </row>
    <row r="5018" spans="1:9" hidden="1" x14ac:dyDescent="0.25">
      <c r="A5018" t="s">
        <v>4218</v>
      </c>
      <c r="B5018" t="s">
        <v>27</v>
      </c>
      <c r="C5018" s="2">
        <f>HYPERLINK("https://cao.dolgi.msk.ru/account/1080263066/", 1080263066)</f>
        <v>1080263066</v>
      </c>
      <c r="D5018" t="s">
        <v>4227</v>
      </c>
      <c r="E5018">
        <v>-4353.6000000000004</v>
      </c>
      <c r="F5018">
        <v>-0.96</v>
      </c>
      <c r="G5018" t="s">
        <v>12</v>
      </c>
      <c r="I5018" t="s">
        <v>1050</v>
      </c>
    </row>
    <row r="5019" spans="1:9" hidden="1" x14ac:dyDescent="0.25">
      <c r="A5019" t="s">
        <v>4218</v>
      </c>
      <c r="B5019" t="s">
        <v>29</v>
      </c>
      <c r="C5019" s="2">
        <f>HYPERLINK("https://cao.dolgi.msk.ru/account/1080263074/", 1080263074)</f>
        <v>1080263074</v>
      </c>
      <c r="D5019" t="s">
        <v>4228</v>
      </c>
      <c r="E5019">
        <v>-6851.6</v>
      </c>
      <c r="F5019">
        <v>-0.98</v>
      </c>
      <c r="G5019" t="s">
        <v>12</v>
      </c>
      <c r="I5019" t="s">
        <v>1050</v>
      </c>
    </row>
    <row r="5020" spans="1:9" hidden="1" x14ac:dyDescent="0.25">
      <c r="A5020" t="s">
        <v>4218</v>
      </c>
      <c r="B5020" t="s">
        <v>31</v>
      </c>
      <c r="C5020" s="2">
        <f>HYPERLINK("https://cao.dolgi.msk.ru/account/1080263082/", 1080263082)</f>
        <v>1080263082</v>
      </c>
      <c r="D5020" t="s">
        <v>4229</v>
      </c>
      <c r="E5020">
        <v>-7046.37</v>
      </c>
      <c r="F5020">
        <v>-0.85</v>
      </c>
      <c r="G5020" t="s">
        <v>12</v>
      </c>
      <c r="I5020" t="s">
        <v>1050</v>
      </c>
    </row>
    <row r="5021" spans="1:9" hidden="1" x14ac:dyDescent="0.25">
      <c r="A5021" t="s">
        <v>4218</v>
      </c>
      <c r="B5021" t="s">
        <v>33</v>
      </c>
      <c r="C5021" s="2">
        <f>HYPERLINK("https://cao.dolgi.msk.ru/account/1080263103/", 1080263103)</f>
        <v>1080263103</v>
      </c>
      <c r="D5021" t="s">
        <v>4230</v>
      </c>
      <c r="E5021">
        <v>-477.7</v>
      </c>
      <c r="G5021" t="s">
        <v>14</v>
      </c>
      <c r="I5021" t="s">
        <v>1050</v>
      </c>
    </row>
    <row r="5022" spans="1:9" hidden="1" x14ac:dyDescent="0.25">
      <c r="A5022" t="s">
        <v>4218</v>
      </c>
      <c r="B5022" t="s">
        <v>33</v>
      </c>
      <c r="C5022" s="2">
        <f>HYPERLINK("https://cao.dolgi.msk.ru/account/1080263111/", 1080263111)</f>
        <v>1080263111</v>
      </c>
      <c r="D5022" t="s">
        <v>4231</v>
      </c>
      <c r="E5022">
        <v>-4463.0600000000004</v>
      </c>
      <c r="F5022">
        <v>-1.08</v>
      </c>
      <c r="G5022" t="s">
        <v>12</v>
      </c>
      <c r="I5022" t="s">
        <v>1050</v>
      </c>
    </row>
    <row r="5023" spans="1:9" hidden="1" x14ac:dyDescent="0.25">
      <c r="A5023" t="s">
        <v>4218</v>
      </c>
      <c r="B5023" t="s">
        <v>34</v>
      </c>
      <c r="C5023" s="2">
        <f>HYPERLINK("https://cao.dolgi.msk.ru/account/1080263138/", 1080263138)</f>
        <v>1080263138</v>
      </c>
      <c r="D5023" t="s">
        <v>4232</v>
      </c>
      <c r="E5023">
        <v>-7706.22</v>
      </c>
      <c r="F5023">
        <v>-0.89</v>
      </c>
      <c r="G5023" t="s">
        <v>12</v>
      </c>
      <c r="I5023" t="s">
        <v>1050</v>
      </c>
    </row>
    <row r="5024" spans="1:9" hidden="1" x14ac:dyDescent="0.25">
      <c r="A5024" t="s">
        <v>4218</v>
      </c>
      <c r="B5024" t="s">
        <v>36</v>
      </c>
      <c r="C5024" s="2">
        <f>HYPERLINK("https://cao.dolgi.msk.ru/account/1080263146/", 1080263146)</f>
        <v>1080263146</v>
      </c>
      <c r="D5024" t="s">
        <v>4233</v>
      </c>
      <c r="E5024">
        <v>-7983.35</v>
      </c>
      <c r="F5024">
        <v>-1.06</v>
      </c>
      <c r="G5024" t="s">
        <v>12</v>
      </c>
      <c r="I5024" t="s">
        <v>1050</v>
      </c>
    </row>
    <row r="5025" spans="1:9" hidden="1" x14ac:dyDescent="0.25">
      <c r="A5025" t="s">
        <v>4218</v>
      </c>
      <c r="B5025" t="s">
        <v>38</v>
      </c>
      <c r="C5025" s="2">
        <f>HYPERLINK("https://cao.dolgi.msk.ru/account/1080263154/", 1080263154)</f>
        <v>1080263154</v>
      </c>
      <c r="D5025" t="s">
        <v>4234</v>
      </c>
      <c r="E5025">
        <v>-6881.67</v>
      </c>
      <c r="F5025">
        <v>-1.01</v>
      </c>
      <c r="G5025" t="s">
        <v>12</v>
      </c>
      <c r="I5025" t="s">
        <v>1050</v>
      </c>
    </row>
    <row r="5026" spans="1:9" hidden="1" x14ac:dyDescent="0.25">
      <c r="A5026" t="s">
        <v>4218</v>
      </c>
      <c r="B5026" t="s">
        <v>39</v>
      </c>
      <c r="C5026" s="2">
        <f>HYPERLINK("https://cao.dolgi.msk.ru/account/1080263162/", 1080263162)</f>
        <v>1080263162</v>
      </c>
      <c r="D5026" t="s">
        <v>4235</v>
      </c>
      <c r="E5026">
        <v>56.01</v>
      </c>
      <c r="F5026">
        <v>0.01</v>
      </c>
      <c r="G5026" t="s">
        <v>12</v>
      </c>
      <c r="I5026" t="s">
        <v>1050</v>
      </c>
    </row>
    <row r="5027" spans="1:9" hidden="1" x14ac:dyDescent="0.25">
      <c r="A5027" t="s">
        <v>4218</v>
      </c>
      <c r="B5027" t="s">
        <v>40</v>
      </c>
      <c r="C5027" s="2">
        <f>HYPERLINK("https://cao.dolgi.msk.ru/account/1080263189/", 1080263189)</f>
        <v>1080263189</v>
      </c>
      <c r="D5027" t="s">
        <v>4236</v>
      </c>
      <c r="E5027">
        <v>-11203.89</v>
      </c>
      <c r="F5027">
        <v>-0.89</v>
      </c>
      <c r="G5027" t="s">
        <v>12</v>
      </c>
      <c r="I5027" t="s">
        <v>1050</v>
      </c>
    </row>
    <row r="5028" spans="1:9" hidden="1" x14ac:dyDescent="0.25">
      <c r="A5028" t="s">
        <v>4218</v>
      </c>
      <c r="B5028" t="s">
        <v>41</v>
      </c>
      <c r="C5028" s="2">
        <f>HYPERLINK("https://cao.dolgi.msk.ru/account/1080263197/", 1080263197)</f>
        <v>1080263197</v>
      </c>
      <c r="D5028" t="s">
        <v>4237</v>
      </c>
      <c r="E5028">
        <v>-5800.43</v>
      </c>
      <c r="F5028">
        <v>-1</v>
      </c>
      <c r="G5028" t="s">
        <v>12</v>
      </c>
      <c r="I5028" t="s">
        <v>1050</v>
      </c>
    </row>
    <row r="5029" spans="1:9" hidden="1" x14ac:dyDescent="0.25">
      <c r="A5029" t="s">
        <v>4218</v>
      </c>
      <c r="B5029" t="s">
        <v>42</v>
      </c>
      <c r="C5029" s="2">
        <f>HYPERLINK("https://cao.dolgi.msk.ru/account/1080263218/", 1080263218)</f>
        <v>1080263218</v>
      </c>
      <c r="D5029" t="s">
        <v>4238</v>
      </c>
      <c r="E5029">
        <v>-71.98</v>
      </c>
      <c r="F5029">
        <v>-0.01</v>
      </c>
      <c r="G5029" t="s">
        <v>12</v>
      </c>
      <c r="I5029" t="s">
        <v>1050</v>
      </c>
    </row>
    <row r="5030" spans="1:9" hidden="1" x14ac:dyDescent="0.25">
      <c r="A5030" t="s">
        <v>4218</v>
      </c>
      <c r="B5030" t="s">
        <v>44</v>
      </c>
      <c r="C5030" s="2">
        <f>HYPERLINK("https://cao.dolgi.msk.ru/account/1080263226/", 1080263226)</f>
        <v>1080263226</v>
      </c>
      <c r="D5030" t="s">
        <v>4239</v>
      </c>
      <c r="E5030">
        <v>-4331.3999999999996</v>
      </c>
      <c r="F5030">
        <v>-1.07</v>
      </c>
      <c r="G5030" t="s">
        <v>12</v>
      </c>
      <c r="I5030" t="s">
        <v>1050</v>
      </c>
    </row>
    <row r="5031" spans="1:9" hidden="1" x14ac:dyDescent="0.25">
      <c r="A5031" t="s">
        <v>4218</v>
      </c>
      <c r="B5031" t="s">
        <v>66</v>
      </c>
      <c r="C5031" s="2">
        <f>HYPERLINK("https://cao.dolgi.msk.ru/account/1080263234/", 1080263234)</f>
        <v>1080263234</v>
      </c>
      <c r="D5031" t="s">
        <v>4240</v>
      </c>
      <c r="E5031">
        <v>-9440.4</v>
      </c>
      <c r="F5031">
        <v>-1.0900000000000001</v>
      </c>
      <c r="G5031" t="s">
        <v>12</v>
      </c>
      <c r="I5031" t="s">
        <v>1050</v>
      </c>
    </row>
    <row r="5032" spans="1:9" hidden="1" x14ac:dyDescent="0.25">
      <c r="A5032" t="s">
        <v>4218</v>
      </c>
      <c r="B5032" t="s">
        <v>68</v>
      </c>
      <c r="C5032" s="2">
        <f>HYPERLINK("https://cao.dolgi.msk.ru/account/1080263242/", 1080263242)</f>
        <v>1080263242</v>
      </c>
      <c r="D5032" t="s">
        <v>4241</v>
      </c>
      <c r="E5032">
        <v>-7156.56</v>
      </c>
      <c r="F5032">
        <v>-1.02</v>
      </c>
      <c r="G5032" t="s">
        <v>12</v>
      </c>
      <c r="I5032" t="s">
        <v>1050</v>
      </c>
    </row>
    <row r="5033" spans="1:9" hidden="1" x14ac:dyDescent="0.25">
      <c r="A5033" t="s">
        <v>4218</v>
      </c>
      <c r="B5033" t="s">
        <v>70</v>
      </c>
      <c r="C5033" s="2">
        <f>HYPERLINK("https://cao.dolgi.msk.ru/account/1080263269/", 1080263269)</f>
        <v>1080263269</v>
      </c>
      <c r="D5033" t="s">
        <v>4242</v>
      </c>
      <c r="E5033">
        <v>-7771.23</v>
      </c>
      <c r="F5033">
        <v>-1.02</v>
      </c>
      <c r="G5033" t="s">
        <v>12</v>
      </c>
      <c r="I5033" t="s">
        <v>1050</v>
      </c>
    </row>
    <row r="5034" spans="1:9" hidden="1" x14ac:dyDescent="0.25">
      <c r="A5034" t="s">
        <v>4218</v>
      </c>
      <c r="B5034" t="s">
        <v>72</v>
      </c>
      <c r="C5034" s="2">
        <f>HYPERLINK("https://cao.dolgi.msk.ru/account/1080263277/", 1080263277)</f>
        <v>1080263277</v>
      </c>
      <c r="D5034" t="s">
        <v>4243</v>
      </c>
      <c r="E5034">
        <v>-4020.15</v>
      </c>
      <c r="F5034">
        <v>-0.83</v>
      </c>
      <c r="G5034" t="s">
        <v>12</v>
      </c>
      <c r="I5034" t="s">
        <v>1050</v>
      </c>
    </row>
    <row r="5035" spans="1:9" hidden="1" x14ac:dyDescent="0.25">
      <c r="A5035" t="s">
        <v>4218</v>
      </c>
      <c r="B5035" t="s">
        <v>74</v>
      </c>
      <c r="C5035" s="2">
        <f>HYPERLINK("https://cao.dolgi.msk.ru/account/1080263285/", 1080263285)</f>
        <v>1080263285</v>
      </c>
      <c r="D5035" t="s">
        <v>4244</v>
      </c>
      <c r="E5035">
        <v>-6177.28</v>
      </c>
      <c r="F5035">
        <v>-1.03</v>
      </c>
      <c r="G5035" t="s">
        <v>12</v>
      </c>
      <c r="I5035" t="s">
        <v>1050</v>
      </c>
    </row>
    <row r="5036" spans="1:9" hidden="1" x14ac:dyDescent="0.25">
      <c r="A5036" t="s">
        <v>4218</v>
      </c>
      <c r="B5036" t="s">
        <v>76</v>
      </c>
      <c r="C5036" s="2">
        <f>HYPERLINK("https://cao.dolgi.msk.ru/account/1080263293/", 1080263293)</f>
        <v>1080263293</v>
      </c>
      <c r="D5036" t="s">
        <v>4245</v>
      </c>
      <c r="E5036">
        <v>-7930.93</v>
      </c>
      <c r="F5036">
        <v>-1.01</v>
      </c>
      <c r="G5036" t="s">
        <v>12</v>
      </c>
      <c r="I5036" t="s">
        <v>1050</v>
      </c>
    </row>
    <row r="5037" spans="1:9" hidden="1" x14ac:dyDescent="0.25">
      <c r="A5037" t="s">
        <v>4218</v>
      </c>
      <c r="B5037" t="s">
        <v>78</v>
      </c>
      <c r="C5037" s="2">
        <f>HYPERLINK("https://cao.dolgi.msk.ru/account/1080263306/", 1080263306)</f>
        <v>1080263306</v>
      </c>
      <c r="D5037" t="s">
        <v>4246</v>
      </c>
      <c r="E5037">
        <v>21.85</v>
      </c>
      <c r="F5037">
        <v>0</v>
      </c>
      <c r="G5037" t="s">
        <v>12</v>
      </c>
      <c r="I5037" t="s">
        <v>1050</v>
      </c>
    </row>
    <row r="5038" spans="1:9" hidden="1" x14ac:dyDescent="0.25">
      <c r="A5038" t="s">
        <v>4218</v>
      </c>
      <c r="B5038" t="s">
        <v>80</v>
      </c>
      <c r="C5038" s="2">
        <f>HYPERLINK("https://cao.dolgi.msk.ru/account/1080263314/", 1080263314)</f>
        <v>1080263314</v>
      </c>
      <c r="D5038" t="s">
        <v>4247</v>
      </c>
      <c r="E5038">
        <v>-9509.5</v>
      </c>
      <c r="F5038">
        <v>-0.99</v>
      </c>
      <c r="G5038" t="s">
        <v>12</v>
      </c>
      <c r="I5038" t="s">
        <v>1050</v>
      </c>
    </row>
    <row r="5039" spans="1:9" hidden="1" x14ac:dyDescent="0.25">
      <c r="A5039" t="s">
        <v>4218</v>
      </c>
      <c r="B5039" t="s">
        <v>80</v>
      </c>
      <c r="C5039" s="2">
        <f>HYPERLINK("https://cao.dolgi.msk.ru/account/1083268874/", 1083268874)</f>
        <v>1083268874</v>
      </c>
      <c r="D5039" t="s">
        <v>15</v>
      </c>
      <c r="E5039">
        <v>-190.18</v>
      </c>
      <c r="G5039" t="s">
        <v>14</v>
      </c>
      <c r="I5039" t="s">
        <v>1050</v>
      </c>
    </row>
    <row r="5040" spans="1:9" hidden="1" x14ac:dyDescent="0.25">
      <c r="A5040" t="s">
        <v>4218</v>
      </c>
      <c r="B5040" t="s">
        <v>82</v>
      </c>
      <c r="C5040" s="2">
        <f>HYPERLINK("https://cao.dolgi.msk.ru/account/1080263322/", 1080263322)</f>
        <v>1080263322</v>
      </c>
      <c r="D5040" t="s">
        <v>4248</v>
      </c>
      <c r="E5040">
        <v>-7257.27</v>
      </c>
      <c r="F5040">
        <v>-1.23</v>
      </c>
      <c r="G5040" t="s">
        <v>12</v>
      </c>
      <c r="I5040" t="s">
        <v>1050</v>
      </c>
    </row>
    <row r="5041" spans="1:9" hidden="1" x14ac:dyDescent="0.25">
      <c r="A5041" t="s">
        <v>4218</v>
      </c>
      <c r="B5041" t="s">
        <v>84</v>
      </c>
      <c r="C5041" s="2">
        <f>HYPERLINK("https://cao.dolgi.msk.ru/account/1080263357/", 1080263357)</f>
        <v>1080263357</v>
      </c>
      <c r="D5041" t="s">
        <v>4249</v>
      </c>
      <c r="E5041">
        <v>-7296.65</v>
      </c>
      <c r="F5041">
        <v>-1.06</v>
      </c>
      <c r="G5041" t="s">
        <v>12</v>
      </c>
      <c r="I5041" t="s">
        <v>1050</v>
      </c>
    </row>
    <row r="5042" spans="1:9" hidden="1" x14ac:dyDescent="0.25">
      <c r="A5042" t="s">
        <v>4218</v>
      </c>
      <c r="B5042" t="s">
        <v>86</v>
      </c>
      <c r="C5042" s="2">
        <f>HYPERLINK("https://cao.dolgi.msk.ru/account/1080263365/", 1080263365)</f>
        <v>1080263365</v>
      </c>
      <c r="D5042" t="s">
        <v>4250</v>
      </c>
      <c r="E5042">
        <v>-9820.2999999999993</v>
      </c>
      <c r="F5042">
        <v>-0.97</v>
      </c>
      <c r="G5042" t="s">
        <v>12</v>
      </c>
      <c r="H5042" t="s">
        <v>7</v>
      </c>
      <c r="I5042" t="s">
        <v>1050</v>
      </c>
    </row>
    <row r="5043" spans="1:9" hidden="1" x14ac:dyDescent="0.25">
      <c r="A5043" t="s">
        <v>4218</v>
      </c>
      <c r="B5043" t="s">
        <v>86</v>
      </c>
      <c r="C5043" s="2">
        <f>HYPERLINK("https://cao.dolgi.msk.ru/account/1080263373/", 1080263373)</f>
        <v>1080263373</v>
      </c>
      <c r="D5043" t="s">
        <v>736</v>
      </c>
      <c r="E5043">
        <v>-4179.4799999999996</v>
      </c>
      <c r="F5043">
        <v>-0.98</v>
      </c>
      <c r="G5043" t="s">
        <v>12</v>
      </c>
      <c r="H5043" t="s">
        <v>7</v>
      </c>
      <c r="I5043" t="s">
        <v>1050</v>
      </c>
    </row>
    <row r="5044" spans="1:9" hidden="1" x14ac:dyDescent="0.25">
      <c r="A5044" t="s">
        <v>4218</v>
      </c>
      <c r="B5044" t="s">
        <v>88</v>
      </c>
      <c r="C5044" s="2">
        <f>HYPERLINK("https://cao.dolgi.msk.ru/account/1080263381/", 1080263381)</f>
        <v>1080263381</v>
      </c>
      <c r="D5044" t="s">
        <v>4251</v>
      </c>
      <c r="E5044">
        <v>-2516.7800000000002</v>
      </c>
      <c r="F5044">
        <v>-1.04</v>
      </c>
      <c r="G5044" t="s">
        <v>12</v>
      </c>
      <c r="H5044" t="s">
        <v>7</v>
      </c>
      <c r="I5044" t="s">
        <v>1050</v>
      </c>
    </row>
    <row r="5045" spans="1:9" hidden="1" x14ac:dyDescent="0.25">
      <c r="A5045" t="s">
        <v>4218</v>
      </c>
      <c r="B5045" t="s">
        <v>88</v>
      </c>
      <c r="C5045" s="2">
        <f>HYPERLINK("https://cao.dolgi.msk.ru/account/1080263402/", 1080263402)</f>
        <v>1080263402</v>
      </c>
      <c r="D5045" t="s">
        <v>4252</v>
      </c>
      <c r="E5045">
        <v>-3960.45</v>
      </c>
      <c r="F5045">
        <v>-0.96</v>
      </c>
      <c r="G5045" t="s">
        <v>12</v>
      </c>
      <c r="H5045" t="s">
        <v>7</v>
      </c>
      <c r="I5045" t="s">
        <v>1050</v>
      </c>
    </row>
    <row r="5046" spans="1:9" hidden="1" x14ac:dyDescent="0.25">
      <c r="A5046" t="s">
        <v>4218</v>
      </c>
      <c r="B5046" t="s">
        <v>90</v>
      </c>
      <c r="C5046" s="2">
        <f>HYPERLINK("https://cao.dolgi.msk.ru/account/1080263429/", 1080263429)</f>
        <v>1080263429</v>
      </c>
      <c r="D5046" t="s">
        <v>4253</v>
      </c>
      <c r="E5046">
        <v>-5989.11</v>
      </c>
      <c r="F5046">
        <v>-1.05</v>
      </c>
      <c r="G5046" t="s">
        <v>12</v>
      </c>
      <c r="I5046" t="s">
        <v>1050</v>
      </c>
    </row>
    <row r="5047" spans="1:9" hidden="1" x14ac:dyDescent="0.25">
      <c r="A5047" t="s">
        <v>4218</v>
      </c>
      <c r="B5047" t="s">
        <v>92</v>
      </c>
      <c r="C5047" s="2">
        <f>HYPERLINK("https://cao.dolgi.msk.ru/account/1080263437/", 1080263437)</f>
        <v>1080263437</v>
      </c>
      <c r="D5047" t="s">
        <v>4254</v>
      </c>
      <c r="E5047">
        <v>-8622</v>
      </c>
      <c r="F5047">
        <v>-1.08</v>
      </c>
      <c r="G5047" t="s">
        <v>12</v>
      </c>
      <c r="I5047" t="s">
        <v>1050</v>
      </c>
    </row>
    <row r="5048" spans="1:9" hidden="1" x14ac:dyDescent="0.25">
      <c r="A5048" t="s">
        <v>4218</v>
      </c>
      <c r="B5048" t="s">
        <v>94</v>
      </c>
      <c r="C5048" s="2">
        <f>HYPERLINK("https://cao.dolgi.msk.ru/account/1080263445/", 1080263445)</f>
        <v>1080263445</v>
      </c>
      <c r="D5048" t="s">
        <v>4255</v>
      </c>
      <c r="E5048">
        <v>0</v>
      </c>
      <c r="F5048">
        <v>0</v>
      </c>
      <c r="G5048" t="s">
        <v>12</v>
      </c>
      <c r="I5048" t="s">
        <v>1050</v>
      </c>
    </row>
    <row r="5049" spans="1:9" hidden="1" x14ac:dyDescent="0.25">
      <c r="A5049" t="s">
        <v>4218</v>
      </c>
      <c r="B5049" t="s">
        <v>94</v>
      </c>
      <c r="C5049" s="2">
        <f>HYPERLINK("https://cao.dolgi.msk.ru/account/1083295653/", 1083295653)</f>
        <v>1083295653</v>
      </c>
      <c r="D5049" t="s">
        <v>15</v>
      </c>
      <c r="E5049">
        <v>0</v>
      </c>
      <c r="G5049" t="s">
        <v>14</v>
      </c>
      <c r="I5049" t="s">
        <v>1050</v>
      </c>
    </row>
    <row r="5050" spans="1:9" hidden="1" x14ac:dyDescent="0.25">
      <c r="A5050" t="s">
        <v>4218</v>
      </c>
      <c r="B5050" t="s">
        <v>96</v>
      </c>
      <c r="C5050" s="2">
        <f>HYPERLINK("https://cao.dolgi.msk.ru/account/1080263453/", 1080263453)</f>
        <v>1080263453</v>
      </c>
      <c r="D5050" t="s">
        <v>4256</v>
      </c>
      <c r="E5050">
        <v>-6422.22</v>
      </c>
      <c r="F5050">
        <v>-0.99</v>
      </c>
      <c r="G5050" t="s">
        <v>12</v>
      </c>
      <c r="I5050" t="s">
        <v>1050</v>
      </c>
    </row>
    <row r="5051" spans="1:9" hidden="1" x14ac:dyDescent="0.25">
      <c r="A5051" t="s">
        <v>4218</v>
      </c>
      <c r="B5051" t="s">
        <v>98</v>
      </c>
      <c r="C5051" s="2">
        <f>HYPERLINK("https://cao.dolgi.msk.ru/account/1080263461/", 1080263461)</f>
        <v>1080263461</v>
      </c>
      <c r="D5051" t="s">
        <v>4257</v>
      </c>
      <c r="E5051">
        <v>-4682.42</v>
      </c>
      <c r="F5051">
        <v>-1.02</v>
      </c>
      <c r="G5051" t="s">
        <v>12</v>
      </c>
      <c r="I5051" t="s">
        <v>1050</v>
      </c>
    </row>
    <row r="5052" spans="1:9" hidden="1" x14ac:dyDescent="0.25">
      <c r="A5052" t="s">
        <v>4218</v>
      </c>
      <c r="B5052" t="s">
        <v>100</v>
      </c>
      <c r="C5052" s="2">
        <f>HYPERLINK("https://cao.dolgi.msk.ru/account/1080263488/", 1080263488)</f>
        <v>1080263488</v>
      </c>
      <c r="D5052" t="s">
        <v>4258</v>
      </c>
      <c r="E5052">
        <v>8906.77</v>
      </c>
      <c r="F5052">
        <v>0.85</v>
      </c>
      <c r="G5052" t="s">
        <v>12</v>
      </c>
      <c r="I5052" t="s">
        <v>1050</v>
      </c>
    </row>
    <row r="5053" spans="1:9" hidden="1" x14ac:dyDescent="0.25">
      <c r="A5053" t="s">
        <v>4218</v>
      </c>
      <c r="B5053" t="s">
        <v>102</v>
      </c>
      <c r="C5053" s="2">
        <f>HYPERLINK("https://cao.dolgi.msk.ru/account/1080263496/", 1080263496)</f>
        <v>1080263496</v>
      </c>
      <c r="D5053" t="s">
        <v>4259</v>
      </c>
      <c r="E5053">
        <v>-912.29</v>
      </c>
      <c r="F5053">
        <v>-0.13</v>
      </c>
      <c r="G5053" t="s">
        <v>12</v>
      </c>
      <c r="I5053" t="s">
        <v>1050</v>
      </c>
    </row>
    <row r="5054" spans="1:9" hidden="1" x14ac:dyDescent="0.25">
      <c r="A5054" t="s">
        <v>4218</v>
      </c>
      <c r="B5054" t="s">
        <v>104</v>
      </c>
      <c r="C5054" s="2">
        <f>HYPERLINK("https://cao.dolgi.msk.ru/account/1080263509/", 1080263509)</f>
        <v>1080263509</v>
      </c>
      <c r="D5054" t="s">
        <v>4260</v>
      </c>
      <c r="E5054">
        <v>-6149.05</v>
      </c>
      <c r="F5054">
        <v>-0.99</v>
      </c>
      <c r="G5054" t="s">
        <v>12</v>
      </c>
      <c r="I5054" t="s">
        <v>1050</v>
      </c>
    </row>
    <row r="5055" spans="1:9" hidden="1" x14ac:dyDescent="0.25">
      <c r="A5055" t="s">
        <v>4218</v>
      </c>
      <c r="B5055" t="s">
        <v>106</v>
      </c>
      <c r="C5055" s="2">
        <f>HYPERLINK("https://cao.dolgi.msk.ru/account/1080263517/", 1080263517)</f>
        <v>1080263517</v>
      </c>
      <c r="D5055" t="s">
        <v>4261</v>
      </c>
      <c r="E5055">
        <v>-8459.15</v>
      </c>
      <c r="F5055">
        <v>-1.07</v>
      </c>
      <c r="G5055" t="s">
        <v>12</v>
      </c>
      <c r="I5055" t="s">
        <v>1050</v>
      </c>
    </row>
    <row r="5056" spans="1:9" hidden="1" x14ac:dyDescent="0.25">
      <c r="A5056" t="s">
        <v>4218</v>
      </c>
      <c r="B5056" t="s">
        <v>108</v>
      </c>
      <c r="C5056" s="2">
        <f>HYPERLINK("https://cao.dolgi.msk.ru/account/1080263525/", 1080263525)</f>
        <v>1080263525</v>
      </c>
      <c r="D5056" t="s">
        <v>4262</v>
      </c>
      <c r="E5056">
        <v>-7189.96</v>
      </c>
      <c r="F5056">
        <v>-1.01</v>
      </c>
      <c r="G5056" t="s">
        <v>12</v>
      </c>
      <c r="I5056" t="s">
        <v>1050</v>
      </c>
    </row>
    <row r="5057" spans="1:9" hidden="1" x14ac:dyDescent="0.25">
      <c r="A5057" t="s">
        <v>4218</v>
      </c>
      <c r="B5057" t="s">
        <v>110</v>
      </c>
      <c r="C5057" s="2">
        <f>HYPERLINK("https://cao.dolgi.msk.ru/account/1080263533/", 1080263533)</f>
        <v>1080263533</v>
      </c>
      <c r="D5057" t="s">
        <v>4263</v>
      </c>
      <c r="E5057">
        <v>0</v>
      </c>
      <c r="F5057">
        <v>0</v>
      </c>
      <c r="G5057" t="s">
        <v>12</v>
      </c>
      <c r="I5057" t="s">
        <v>1050</v>
      </c>
    </row>
    <row r="5058" spans="1:9" hidden="1" x14ac:dyDescent="0.25">
      <c r="A5058" t="s">
        <v>4218</v>
      </c>
      <c r="B5058" t="s">
        <v>112</v>
      </c>
      <c r="C5058" s="2">
        <f>HYPERLINK("https://cao.dolgi.msk.ru/account/1080263541/", 1080263541)</f>
        <v>1080263541</v>
      </c>
      <c r="D5058" t="s">
        <v>4264</v>
      </c>
      <c r="E5058">
        <v>7930.05</v>
      </c>
      <c r="F5058">
        <v>1</v>
      </c>
      <c r="G5058" t="s">
        <v>12</v>
      </c>
      <c r="I5058" t="s">
        <v>1050</v>
      </c>
    </row>
    <row r="5059" spans="1:9" hidden="1" x14ac:dyDescent="0.25">
      <c r="A5059" t="s">
        <v>4218</v>
      </c>
      <c r="B5059" t="s">
        <v>114</v>
      </c>
      <c r="C5059" s="2">
        <f>HYPERLINK("https://cao.dolgi.msk.ru/account/1080263568/", 1080263568)</f>
        <v>1080263568</v>
      </c>
      <c r="D5059" t="s">
        <v>4265</v>
      </c>
      <c r="E5059">
        <v>-13061.11</v>
      </c>
      <c r="F5059">
        <v>-1.79</v>
      </c>
      <c r="G5059" t="s">
        <v>12</v>
      </c>
      <c r="I5059" t="s">
        <v>1050</v>
      </c>
    </row>
    <row r="5060" spans="1:9" hidden="1" x14ac:dyDescent="0.25">
      <c r="A5060" t="s">
        <v>4218</v>
      </c>
      <c r="B5060" t="s">
        <v>116</v>
      </c>
      <c r="C5060" s="2">
        <f>HYPERLINK("https://cao.dolgi.msk.ru/account/1080263576/", 1080263576)</f>
        <v>1080263576</v>
      </c>
      <c r="D5060" t="s">
        <v>4266</v>
      </c>
      <c r="E5060">
        <v>-6284.56</v>
      </c>
      <c r="F5060">
        <v>-1.1000000000000001</v>
      </c>
      <c r="G5060" t="s">
        <v>12</v>
      </c>
      <c r="I5060" t="s">
        <v>1050</v>
      </c>
    </row>
    <row r="5061" spans="1:9" hidden="1" x14ac:dyDescent="0.25">
      <c r="A5061" t="s">
        <v>4218</v>
      </c>
      <c r="B5061" t="s">
        <v>118</v>
      </c>
      <c r="C5061" s="2">
        <f>HYPERLINK("https://cao.dolgi.msk.ru/account/1080263584/", 1080263584)</f>
        <v>1080263584</v>
      </c>
      <c r="D5061" t="s">
        <v>4267</v>
      </c>
      <c r="E5061">
        <v>-5627.48</v>
      </c>
      <c r="F5061">
        <v>-0.91</v>
      </c>
      <c r="G5061" t="s">
        <v>12</v>
      </c>
      <c r="I5061" t="s">
        <v>1050</v>
      </c>
    </row>
    <row r="5062" spans="1:9" hidden="1" x14ac:dyDescent="0.25">
      <c r="A5062" t="s">
        <v>4218</v>
      </c>
      <c r="B5062" t="s">
        <v>120</v>
      </c>
      <c r="C5062" s="2">
        <f>HYPERLINK("https://cao.dolgi.msk.ru/account/1080263592/", 1080263592)</f>
        <v>1080263592</v>
      </c>
      <c r="D5062" t="s">
        <v>4268</v>
      </c>
      <c r="E5062">
        <v>109.89</v>
      </c>
      <c r="F5062">
        <v>0.01</v>
      </c>
      <c r="G5062" t="s">
        <v>12</v>
      </c>
      <c r="I5062" t="s">
        <v>1050</v>
      </c>
    </row>
    <row r="5063" spans="1:9" hidden="1" x14ac:dyDescent="0.25">
      <c r="A5063" t="s">
        <v>4269</v>
      </c>
      <c r="B5063" t="s">
        <v>122</v>
      </c>
      <c r="C5063" s="2">
        <f>HYPERLINK("https://cao.dolgi.msk.ru/account/1080263605/", 1080263605)</f>
        <v>1080263605</v>
      </c>
      <c r="D5063" t="s">
        <v>4270</v>
      </c>
      <c r="E5063">
        <v>0</v>
      </c>
      <c r="F5063">
        <v>0</v>
      </c>
      <c r="G5063" t="s">
        <v>12</v>
      </c>
      <c r="I5063" t="s">
        <v>1050</v>
      </c>
    </row>
    <row r="5064" spans="1:9" hidden="1" x14ac:dyDescent="0.25">
      <c r="A5064" t="s">
        <v>4269</v>
      </c>
      <c r="B5064" t="s">
        <v>124</v>
      </c>
      <c r="C5064" s="2">
        <f>HYPERLINK("https://cao.dolgi.msk.ru/account/1080263621/", 1080263621)</f>
        <v>1080263621</v>
      </c>
      <c r="D5064" t="s">
        <v>4271</v>
      </c>
      <c r="E5064">
        <v>-4647.51</v>
      </c>
      <c r="F5064">
        <v>-1.06</v>
      </c>
      <c r="G5064" t="s">
        <v>12</v>
      </c>
      <c r="I5064" t="s">
        <v>1050</v>
      </c>
    </row>
    <row r="5065" spans="1:9" hidden="1" x14ac:dyDescent="0.25">
      <c r="A5065" t="s">
        <v>4269</v>
      </c>
      <c r="B5065" t="s">
        <v>126</v>
      </c>
      <c r="C5065" s="2">
        <f>HYPERLINK("https://cao.dolgi.msk.ru/account/1080263648/", 1080263648)</f>
        <v>1080263648</v>
      </c>
      <c r="D5065" t="s">
        <v>4272</v>
      </c>
      <c r="E5065">
        <v>-4549.6499999999996</v>
      </c>
      <c r="F5065">
        <v>-1.04</v>
      </c>
      <c r="G5065" t="s">
        <v>12</v>
      </c>
      <c r="H5065" t="s">
        <v>7</v>
      </c>
      <c r="I5065" t="s">
        <v>1050</v>
      </c>
    </row>
    <row r="5066" spans="1:9" hidden="1" x14ac:dyDescent="0.25">
      <c r="A5066" t="s">
        <v>4269</v>
      </c>
      <c r="B5066" t="s">
        <v>126</v>
      </c>
      <c r="C5066" s="2">
        <f>HYPERLINK("https://cao.dolgi.msk.ru/account/1080263656/", 1080263656)</f>
        <v>1080263656</v>
      </c>
      <c r="D5066" t="s">
        <v>4272</v>
      </c>
      <c r="E5066">
        <v>-2920.86</v>
      </c>
      <c r="F5066">
        <v>-1.04</v>
      </c>
      <c r="G5066" t="s">
        <v>12</v>
      </c>
      <c r="H5066" t="s">
        <v>7</v>
      </c>
      <c r="I5066" t="s">
        <v>1050</v>
      </c>
    </row>
    <row r="5067" spans="1:9" hidden="1" x14ac:dyDescent="0.25">
      <c r="A5067" t="s">
        <v>4269</v>
      </c>
      <c r="B5067" t="s">
        <v>128</v>
      </c>
      <c r="C5067" s="2">
        <f>HYPERLINK("https://cao.dolgi.msk.ru/account/1080263664/", 1080263664)</f>
        <v>1080263664</v>
      </c>
      <c r="D5067" t="s">
        <v>4273</v>
      </c>
      <c r="E5067">
        <v>-1129.3800000000001</v>
      </c>
      <c r="F5067">
        <v>-0.19</v>
      </c>
      <c r="G5067" t="s">
        <v>12</v>
      </c>
      <c r="I5067" t="s">
        <v>1050</v>
      </c>
    </row>
    <row r="5068" spans="1:9" hidden="1" x14ac:dyDescent="0.25">
      <c r="A5068" t="s">
        <v>4269</v>
      </c>
      <c r="B5068" t="s">
        <v>130</v>
      </c>
      <c r="C5068" s="2">
        <f>HYPERLINK("https://cao.dolgi.msk.ru/account/1080263672/", 1080263672)</f>
        <v>1080263672</v>
      </c>
      <c r="D5068" t="s">
        <v>4274</v>
      </c>
      <c r="E5068">
        <v>-9416.0499999999993</v>
      </c>
      <c r="F5068">
        <v>-0.98</v>
      </c>
      <c r="G5068" t="s">
        <v>12</v>
      </c>
      <c r="I5068" t="s">
        <v>1050</v>
      </c>
    </row>
    <row r="5069" spans="1:9" hidden="1" x14ac:dyDescent="0.25">
      <c r="A5069" t="s">
        <v>4269</v>
      </c>
      <c r="B5069" t="s">
        <v>132</v>
      </c>
      <c r="C5069" s="2">
        <f>HYPERLINK("https://cao.dolgi.msk.ru/account/1080263699/", 1080263699)</f>
        <v>1080263699</v>
      </c>
      <c r="D5069" t="s">
        <v>4275</v>
      </c>
      <c r="E5069">
        <v>0</v>
      </c>
      <c r="F5069">
        <v>0</v>
      </c>
      <c r="G5069" t="s">
        <v>12</v>
      </c>
      <c r="I5069" t="s">
        <v>1050</v>
      </c>
    </row>
    <row r="5070" spans="1:9" hidden="1" x14ac:dyDescent="0.25">
      <c r="A5070" t="s">
        <v>4269</v>
      </c>
      <c r="B5070" t="s">
        <v>133</v>
      </c>
      <c r="C5070" s="2">
        <f>HYPERLINK("https://cao.dolgi.msk.ru/account/1080263701/", 1080263701)</f>
        <v>1080263701</v>
      </c>
      <c r="D5070" t="s">
        <v>62</v>
      </c>
      <c r="E5070">
        <v>-1388.68</v>
      </c>
      <c r="F5070">
        <v>-0.09</v>
      </c>
      <c r="G5070" t="s">
        <v>12</v>
      </c>
      <c r="I5070" t="s">
        <v>1050</v>
      </c>
    </row>
    <row r="5071" spans="1:9" hidden="1" x14ac:dyDescent="0.25">
      <c r="A5071" t="s">
        <v>4269</v>
      </c>
      <c r="B5071" t="s">
        <v>135</v>
      </c>
      <c r="C5071" s="2">
        <f>HYPERLINK("https://cao.dolgi.msk.ru/account/1080263728/", 1080263728)</f>
        <v>1080263728</v>
      </c>
      <c r="D5071" t="s">
        <v>4276</v>
      </c>
      <c r="E5071">
        <v>-8537.3700000000008</v>
      </c>
      <c r="F5071">
        <v>-1.05</v>
      </c>
      <c r="G5071" t="s">
        <v>12</v>
      </c>
      <c r="I5071" t="s">
        <v>1050</v>
      </c>
    </row>
    <row r="5072" spans="1:9" hidden="1" x14ac:dyDescent="0.25">
      <c r="A5072" t="s">
        <v>4269</v>
      </c>
      <c r="B5072" t="s">
        <v>137</v>
      </c>
      <c r="C5072" s="2">
        <f>HYPERLINK("https://cao.dolgi.msk.ru/account/1080263736/", 1080263736)</f>
        <v>1080263736</v>
      </c>
      <c r="D5072" t="s">
        <v>4277</v>
      </c>
      <c r="E5072">
        <v>-5886.51</v>
      </c>
      <c r="F5072">
        <v>-1.04</v>
      </c>
      <c r="G5072" t="s">
        <v>12</v>
      </c>
      <c r="I5072" t="s">
        <v>1050</v>
      </c>
    </row>
    <row r="5073" spans="1:9" hidden="1" x14ac:dyDescent="0.25">
      <c r="A5073" t="s">
        <v>4269</v>
      </c>
      <c r="B5073" t="s">
        <v>139</v>
      </c>
      <c r="C5073" s="2">
        <f>HYPERLINK("https://cao.dolgi.msk.ru/account/1080263744/", 1080263744)</f>
        <v>1080263744</v>
      </c>
      <c r="D5073" t="s">
        <v>4278</v>
      </c>
      <c r="E5073">
        <v>-5503.97</v>
      </c>
      <c r="F5073">
        <v>-1.17</v>
      </c>
      <c r="G5073" t="s">
        <v>12</v>
      </c>
      <c r="I5073" t="s">
        <v>1050</v>
      </c>
    </row>
    <row r="5074" spans="1:9" hidden="1" x14ac:dyDescent="0.25">
      <c r="A5074" t="s">
        <v>4269</v>
      </c>
      <c r="B5074" t="s">
        <v>141</v>
      </c>
      <c r="C5074" s="2">
        <f>HYPERLINK("https://cao.dolgi.msk.ru/account/1080263752/", 1080263752)</f>
        <v>1080263752</v>
      </c>
      <c r="D5074" t="s">
        <v>4279</v>
      </c>
      <c r="E5074">
        <v>-5518.9</v>
      </c>
      <c r="F5074">
        <v>-0.98</v>
      </c>
      <c r="G5074" t="s">
        <v>12</v>
      </c>
      <c r="I5074" t="s">
        <v>1050</v>
      </c>
    </row>
    <row r="5075" spans="1:9" hidden="1" x14ac:dyDescent="0.25">
      <c r="A5075" t="s">
        <v>4269</v>
      </c>
      <c r="B5075" t="s">
        <v>143</v>
      </c>
      <c r="C5075" s="2">
        <f>HYPERLINK("https://cao.dolgi.msk.ru/account/1080263779/", 1080263779)</f>
        <v>1080263779</v>
      </c>
      <c r="D5075" t="s">
        <v>4280</v>
      </c>
      <c r="E5075">
        <v>-8254.0499999999993</v>
      </c>
      <c r="F5075">
        <v>-1.0900000000000001</v>
      </c>
      <c r="G5075" t="s">
        <v>12</v>
      </c>
      <c r="I5075" t="s">
        <v>1050</v>
      </c>
    </row>
    <row r="5076" spans="1:9" hidden="1" x14ac:dyDescent="0.25">
      <c r="A5076" t="s">
        <v>4269</v>
      </c>
      <c r="B5076" t="s">
        <v>145</v>
      </c>
      <c r="C5076" s="2">
        <f>HYPERLINK("https://cao.dolgi.msk.ru/account/1080263787/", 1080263787)</f>
        <v>1080263787</v>
      </c>
      <c r="D5076" t="s">
        <v>4281</v>
      </c>
      <c r="E5076">
        <v>-9516.7900000000009</v>
      </c>
      <c r="F5076">
        <v>-1.01</v>
      </c>
      <c r="G5076" t="s">
        <v>12</v>
      </c>
      <c r="I5076" t="s">
        <v>1050</v>
      </c>
    </row>
    <row r="5077" spans="1:9" hidden="1" x14ac:dyDescent="0.25">
      <c r="A5077" t="s">
        <v>4269</v>
      </c>
      <c r="B5077" t="s">
        <v>147</v>
      </c>
      <c r="C5077" s="2">
        <f>HYPERLINK("https://cao.dolgi.msk.ru/account/1080263795/", 1080263795)</f>
        <v>1080263795</v>
      </c>
      <c r="D5077" t="s">
        <v>4282</v>
      </c>
      <c r="E5077">
        <v>-4187.5200000000004</v>
      </c>
      <c r="F5077">
        <v>-1.03</v>
      </c>
      <c r="G5077" t="s">
        <v>12</v>
      </c>
      <c r="I5077" t="s">
        <v>1050</v>
      </c>
    </row>
    <row r="5078" spans="1:9" hidden="1" x14ac:dyDescent="0.25">
      <c r="A5078" t="s">
        <v>4269</v>
      </c>
      <c r="B5078" t="s">
        <v>149</v>
      </c>
      <c r="C5078" s="2">
        <f>HYPERLINK("https://cao.dolgi.msk.ru/account/1080263808/", 1080263808)</f>
        <v>1080263808</v>
      </c>
      <c r="D5078" t="s">
        <v>4283</v>
      </c>
      <c r="E5078">
        <v>-7084.39</v>
      </c>
      <c r="F5078">
        <v>-0.98</v>
      </c>
      <c r="G5078" t="s">
        <v>12</v>
      </c>
      <c r="I5078" t="s">
        <v>1050</v>
      </c>
    </row>
    <row r="5079" spans="1:9" hidden="1" x14ac:dyDescent="0.25">
      <c r="A5079" t="s">
        <v>4269</v>
      </c>
      <c r="B5079" t="s">
        <v>151</v>
      </c>
      <c r="C5079" s="2">
        <f>HYPERLINK("https://cao.dolgi.msk.ru/account/1080263824/", 1080263824)</f>
        <v>1080263824</v>
      </c>
      <c r="D5079" t="s">
        <v>4284</v>
      </c>
      <c r="E5079">
        <v>-513.16</v>
      </c>
      <c r="F5079">
        <v>-0.06</v>
      </c>
      <c r="G5079" t="s">
        <v>12</v>
      </c>
      <c r="I5079" t="s">
        <v>1050</v>
      </c>
    </row>
    <row r="5080" spans="1:9" hidden="1" x14ac:dyDescent="0.25">
      <c r="A5080" t="s">
        <v>4269</v>
      </c>
      <c r="B5080" t="s">
        <v>153</v>
      </c>
      <c r="C5080" s="2">
        <f>HYPERLINK("https://cao.dolgi.msk.ru/account/1080263832/", 1080263832)</f>
        <v>1080263832</v>
      </c>
      <c r="D5080" t="s">
        <v>4285</v>
      </c>
      <c r="E5080">
        <v>-6946.81</v>
      </c>
      <c r="F5080">
        <v>-1.21</v>
      </c>
      <c r="G5080" t="s">
        <v>12</v>
      </c>
      <c r="I5080" t="s">
        <v>1050</v>
      </c>
    </row>
    <row r="5081" spans="1:9" hidden="1" x14ac:dyDescent="0.25">
      <c r="A5081" t="s">
        <v>4269</v>
      </c>
      <c r="B5081" t="s">
        <v>155</v>
      </c>
      <c r="C5081" s="2">
        <f>HYPERLINK("https://cao.dolgi.msk.ru/account/1080263859/", 1080263859)</f>
        <v>1080263859</v>
      </c>
      <c r="D5081" t="s">
        <v>4286</v>
      </c>
      <c r="E5081">
        <v>-8266.4699999999993</v>
      </c>
      <c r="F5081">
        <v>-0.97</v>
      </c>
      <c r="G5081" t="s">
        <v>12</v>
      </c>
      <c r="I5081" t="s">
        <v>1050</v>
      </c>
    </row>
    <row r="5082" spans="1:9" hidden="1" x14ac:dyDescent="0.25">
      <c r="A5082" t="s">
        <v>4269</v>
      </c>
      <c r="B5082" t="s">
        <v>157</v>
      </c>
      <c r="C5082" s="2">
        <f>HYPERLINK("https://cao.dolgi.msk.ru/account/1080263867/", 1080263867)</f>
        <v>1080263867</v>
      </c>
      <c r="D5082" t="s">
        <v>4287</v>
      </c>
      <c r="E5082">
        <v>-6141.81</v>
      </c>
      <c r="F5082">
        <v>-1.03</v>
      </c>
      <c r="G5082" t="s">
        <v>12</v>
      </c>
      <c r="I5082" t="s">
        <v>1050</v>
      </c>
    </row>
    <row r="5083" spans="1:9" hidden="1" x14ac:dyDescent="0.25">
      <c r="A5083" t="s">
        <v>4269</v>
      </c>
      <c r="B5083" t="s">
        <v>159</v>
      </c>
      <c r="C5083" s="2">
        <f>HYPERLINK("https://cao.dolgi.msk.ru/account/1080263875/", 1080263875)</f>
        <v>1080263875</v>
      </c>
      <c r="D5083" t="s">
        <v>4288</v>
      </c>
      <c r="E5083">
        <v>-5860.85</v>
      </c>
      <c r="F5083">
        <v>-0.95</v>
      </c>
      <c r="G5083" t="s">
        <v>12</v>
      </c>
      <c r="I5083" t="s">
        <v>1050</v>
      </c>
    </row>
    <row r="5084" spans="1:9" hidden="1" x14ac:dyDescent="0.25">
      <c r="A5084" t="s">
        <v>4269</v>
      </c>
      <c r="B5084" t="s">
        <v>161</v>
      </c>
      <c r="C5084" s="2">
        <f>HYPERLINK("https://cao.dolgi.msk.ru/account/1080263883/", 1080263883)</f>
        <v>1080263883</v>
      </c>
      <c r="D5084" t="s">
        <v>15</v>
      </c>
      <c r="E5084">
        <v>-507.87</v>
      </c>
      <c r="G5084" t="s">
        <v>14</v>
      </c>
      <c r="I5084" t="s">
        <v>1050</v>
      </c>
    </row>
    <row r="5085" spans="1:9" hidden="1" x14ac:dyDescent="0.25">
      <c r="A5085" t="s">
        <v>4269</v>
      </c>
      <c r="B5085" t="s">
        <v>161</v>
      </c>
      <c r="C5085" s="2">
        <f>HYPERLINK("https://cao.dolgi.msk.ru/account/1080263891/", 1080263891)</f>
        <v>1080263891</v>
      </c>
      <c r="D5085" t="s">
        <v>4289</v>
      </c>
      <c r="E5085">
        <v>-6168.09</v>
      </c>
      <c r="F5085">
        <v>-1.03</v>
      </c>
      <c r="G5085" t="s">
        <v>12</v>
      </c>
      <c r="I5085" t="s">
        <v>1050</v>
      </c>
    </row>
    <row r="5086" spans="1:9" hidden="1" x14ac:dyDescent="0.25">
      <c r="A5086" t="s">
        <v>4269</v>
      </c>
      <c r="B5086" t="s">
        <v>163</v>
      </c>
      <c r="C5086" s="2">
        <f>HYPERLINK("https://cao.dolgi.msk.ru/account/1080263904/", 1080263904)</f>
        <v>1080263904</v>
      </c>
      <c r="D5086" t="s">
        <v>4290</v>
      </c>
      <c r="E5086">
        <v>-5508.63</v>
      </c>
      <c r="F5086">
        <v>-1.07</v>
      </c>
      <c r="G5086" t="s">
        <v>12</v>
      </c>
      <c r="I5086" t="s">
        <v>1050</v>
      </c>
    </row>
    <row r="5087" spans="1:9" hidden="1" x14ac:dyDescent="0.25">
      <c r="A5087" t="s">
        <v>4269</v>
      </c>
      <c r="B5087" t="s">
        <v>571</v>
      </c>
      <c r="C5087" s="2">
        <f>HYPERLINK("https://cao.dolgi.msk.ru/account/1080263912/", 1080263912)</f>
        <v>1080263912</v>
      </c>
      <c r="D5087" t="s">
        <v>4291</v>
      </c>
      <c r="E5087">
        <v>-7943.25</v>
      </c>
      <c r="F5087">
        <v>-0.89</v>
      </c>
      <c r="G5087" t="s">
        <v>12</v>
      </c>
      <c r="I5087" t="s">
        <v>1050</v>
      </c>
    </row>
    <row r="5088" spans="1:9" hidden="1" x14ac:dyDescent="0.25">
      <c r="A5088" t="s">
        <v>4269</v>
      </c>
      <c r="B5088" t="s">
        <v>682</v>
      </c>
      <c r="C5088" s="2">
        <f>HYPERLINK("https://cao.dolgi.msk.ru/account/1080263939/", 1080263939)</f>
        <v>1080263939</v>
      </c>
      <c r="D5088" t="s">
        <v>4292</v>
      </c>
      <c r="E5088">
        <v>-3156.88</v>
      </c>
      <c r="F5088">
        <v>-1.01</v>
      </c>
      <c r="G5088" t="s">
        <v>12</v>
      </c>
      <c r="I5088" t="s">
        <v>1050</v>
      </c>
    </row>
    <row r="5089" spans="1:9" hidden="1" x14ac:dyDescent="0.25">
      <c r="A5089" t="s">
        <v>4269</v>
      </c>
      <c r="B5089" t="s">
        <v>578</v>
      </c>
      <c r="C5089" s="2">
        <f>HYPERLINK("https://cao.dolgi.msk.ru/account/1080263947/", 1080263947)</f>
        <v>1080263947</v>
      </c>
      <c r="D5089" t="s">
        <v>4293</v>
      </c>
      <c r="E5089">
        <v>-11193.73</v>
      </c>
      <c r="F5089">
        <v>-1.02</v>
      </c>
      <c r="G5089" t="s">
        <v>12</v>
      </c>
      <c r="I5089" t="s">
        <v>1050</v>
      </c>
    </row>
    <row r="5090" spans="1:9" hidden="1" x14ac:dyDescent="0.25">
      <c r="A5090" t="s">
        <v>4269</v>
      </c>
      <c r="B5090" t="s">
        <v>580</v>
      </c>
      <c r="C5090" s="2">
        <f>HYPERLINK("https://cao.dolgi.msk.ru/account/1080263955/", 1080263955)</f>
        <v>1080263955</v>
      </c>
      <c r="D5090" t="s">
        <v>4294</v>
      </c>
      <c r="E5090">
        <v>-7753.93</v>
      </c>
      <c r="F5090">
        <v>-1.01</v>
      </c>
      <c r="G5090" t="s">
        <v>12</v>
      </c>
      <c r="I5090" t="s">
        <v>1050</v>
      </c>
    </row>
    <row r="5091" spans="1:9" hidden="1" x14ac:dyDescent="0.25">
      <c r="A5091" t="s">
        <v>4269</v>
      </c>
      <c r="B5091" t="s">
        <v>686</v>
      </c>
      <c r="C5091" s="2">
        <f>HYPERLINK("https://cao.dolgi.msk.ru/account/1080263963/", 1080263963)</f>
        <v>1080263963</v>
      </c>
      <c r="D5091" t="s">
        <v>4295</v>
      </c>
      <c r="E5091">
        <v>-4769.58</v>
      </c>
      <c r="F5091">
        <v>-0.99</v>
      </c>
      <c r="G5091" t="s">
        <v>12</v>
      </c>
      <c r="I5091" t="s">
        <v>1050</v>
      </c>
    </row>
    <row r="5092" spans="1:9" hidden="1" x14ac:dyDescent="0.25">
      <c r="A5092" t="s">
        <v>4269</v>
      </c>
      <c r="B5092" t="s">
        <v>582</v>
      </c>
      <c r="C5092" s="2">
        <f>HYPERLINK("https://cao.dolgi.msk.ru/account/1080263971/", 1080263971)</f>
        <v>1080263971</v>
      </c>
      <c r="D5092" t="s">
        <v>4296</v>
      </c>
      <c r="E5092">
        <v>-4125.47</v>
      </c>
      <c r="F5092">
        <v>-1.2</v>
      </c>
      <c r="G5092" t="s">
        <v>12</v>
      </c>
      <c r="I5092" t="s">
        <v>1050</v>
      </c>
    </row>
    <row r="5093" spans="1:9" hidden="1" x14ac:dyDescent="0.25">
      <c r="A5093" t="s">
        <v>4269</v>
      </c>
      <c r="B5093" t="s">
        <v>584</v>
      </c>
      <c r="C5093" s="2">
        <f>HYPERLINK("https://cao.dolgi.msk.ru/account/1080263998/", 1080263998)</f>
        <v>1080263998</v>
      </c>
      <c r="D5093" t="s">
        <v>4297</v>
      </c>
      <c r="E5093">
        <v>-82.88</v>
      </c>
      <c r="F5093">
        <v>-0.04</v>
      </c>
      <c r="G5093" t="s">
        <v>14</v>
      </c>
      <c r="I5093" t="s">
        <v>1050</v>
      </c>
    </row>
    <row r="5094" spans="1:9" hidden="1" x14ac:dyDescent="0.25">
      <c r="A5094" t="s">
        <v>4269</v>
      </c>
      <c r="B5094" t="s">
        <v>584</v>
      </c>
      <c r="C5094" s="2">
        <f>HYPERLINK("https://cao.dolgi.msk.ru/account/1080264018/", 1080264018)</f>
        <v>1080264018</v>
      </c>
      <c r="D5094" t="s">
        <v>4298</v>
      </c>
      <c r="E5094">
        <v>552.83000000000004</v>
      </c>
      <c r="F5094">
        <v>0.14000000000000001</v>
      </c>
      <c r="G5094" t="s">
        <v>12</v>
      </c>
      <c r="I5094" t="s">
        <v>1050</v>
      </c>
    </row>
    <row r="5095" spans="1:9" hidden="1" x14ac:dyDescent="0.25">
      <c r="A5095" t="s">
        <v>4269</v>
      </c>
      <c r="B5095" t="s">
        <v>586</v>
      </c>
      <c r="C5095" s="2">
        <f>HYPERLINK("https://cao.dolgi.msk.ru/account/1080264026/", 1080264026)</f>
        <v>1080264026</v>
      </c>
      <c r="D5095" t="s">
        <v>4299</v>
      </c>
      <c r="E5095">
        <v>-13518.32</v>
      </c>
      <c r="F5095">
        <v>-1.79</v>
      </c>
      <c r="G5095" t="s">
        <v>12</v>
      </c>
      <c r="I5095" t="s">
        <v>1050</v>
      </c>
    </row>
    <row r="5096" spans="1:9" hidden="1" x14ac:dyDescent="0.25">
      <c r="A5096" t="s">
        <v>4269</v>
      </c>
      <c r="B5096" t="s">
        <v>588</v>
      </c>
      <c r="C5096" s="2">
        <f>HYPERLINK("https://cao.dolgi.msk.ru/account/1080264034/", 1080264034)</f>
        <v>1080264034</v>
      </c>
      <c r="D5096" t="s">
        <v>4300</v>
      </c>
      <c r="E5096">
        <v>-134.82</v>
      </c>
      <c r="F5096">
        <v>-0.03</v>
      </c>
      <c r="G5096" t="s">
        <v>12</v>
      </c>
      <c r="I5096" t="s">
        <v>1050</v>
      </c>
    </row>
    <row r="5097" spans="1:9" hidden="1" x14ac:dyDescent="0.25">
      <c r="A5097" t="s">
        <v>4269</v>
      </c>
      <c r="B5097" t="s">
        <v>590</v>
      </c>
      <c r="C5097" s="2">
        <f>HYPERLINK("https://cao.dolgi.msk.ru/account/1080264042/", 1080264042)</f>
        <v>1080264042</v>
      </c>
      <c r="D5097" t="s">
        <v>4301</v>
      </c>
      <c r="E5097">
        <v>19.399999999999999</v>
      </c>
      <c r="F5097">
        <v>0</v>
      </c>
      <c r="G5097" t="s">
        <v>12</v>
      </c>
      <c r="I5097" t="s">
        <v>1050</v>
      </c>
    </row>
    <row r="5098" spans="1:9" hidden="1" x14ac:dyDescent="0.25">
      <c r="A5098" t="s">
        <v>4269</v>
      </c>
      <c r="B5098" t="s">
        <v>693</v>
      </c>
      <c r="C5098" s="2">
        <f>HYPERLINK("https://cao.dolgi.msk.ru/account/1080264069/", 1080264069)</f>
        <v>1080264069</v>
      </c>
      <c r="D5098" t="s">
        <v>4302</v>
      </c>
      <c r="E5098">
        <v>-5293.69</v>
      </c>
      <c r="F5098">
        <v>-1.03</v>
      </c>
      <c r="G5098" t="s">
        <v>12</v>
      </c>
      <c r="I5098" t="s">
        <v>1050</v>
      </c>
    </row>
    <row r="5099" spans="1:9" hidden="1" x14ac:dyDescent="0.25">
      <c r="A5099" t="s">
        <v>4269</v>
      </c>
      <c r="B5099" t="s">
        <v>694</v>
      </c>
      <c r="C5099" s="2">
        <f>HYPERLINK("https://cao.dolgi.msk.ru/account/1080264077/", 1080264077)</f>
        <v>1080264077</v>
      </c>
      <c r="D5099" t="s">
        <v>4303</v>
      </c>
      <c r="E5099">
        <v>-7864.39</v>
      </c>
      <c r="F5099">
        <v>-1.01</v>
      </c>
      <c r="G5099" t="s">
        <v>12</v>
      </c>
      <c r="I5099" t="s">
        <v>1050</v>
      </c>
    </row>
    <row r="5100" spans="1:9" hidden="1" x14ac:dyDescent="0.25">
      <c r="A5100" t="s">
        <v>4269</v>
      </c>
      <c r="B5100" t="s">
        <v>696</v>
      </c>
      <c r="C5100" s="2">
        <f>HYPERLINK("https://cao.dolgi.msk.ru/account/1080264085/", 1080264085)</f>
        <v>1080264085</v>
      </c>
      <c r="D5100" t="s">
        <v>4304</v>
      </c>
      <c r="E5100">
        <v>-2318.1999999999998</v>
      </c>
      <c r="F5100">
        <v>-0.37</v>
      </c>
      <c r="G5100" t="s">
        <v>12</v>
      </c>
      <c r="I5100" t="s">
        <v>1050</v>
      </c>
    </row>
    <row r="5101" spans="1:9" hidden="1" x14ac:dyDescent="0.25">
      <c r="A5101" t="s">
        <v>4269</v>
      </c>
      <c r="B5101" t="s">
        <v>698</v>
      </c>
      <c r="C5101" s="2">
        <f>HYPERLINK("https://cao.dolgi.msk.ru/account/1080264093/", 1080264093)</f>
        <v>1080264093</v>
      </c>
      <c r="D5101" t="s">
        <v>4305</v>
      </c>
      <c r="E5101">
        <v>-152.35</v>
      </c>
      <c r="F5101">
        <v>-0.02</v>
      </c>
      <c r="G5101" t="s">
        <v>12</v>
      </c>
      <c r="I5101" t="s">
        <v>1050</v>
      </c>
    </row>
    <row r="5102" spans="1:9" hidden="1" x14ac:dyDescent="0.25">
      <c r="A5102" t="s">
        <v>4269</v>
      </c>
      <c r="B5102" t="s">
        <v>700</v>
      </c>
      <c r="C5102" s="2">
        <f>HYPERLINK("https://cao.dolgi.msk.ru/account/1080264106/", 1080264106)</f>
        <v>1080264106</v>
      </c>
      <c r="D5102" t="s">
        <v>4306</v>
      </c>
      <c r="E5102">
        <v>-16691.52</v>
      </c>
      <c r="F5102">
        <v>-2.0299999999999998</v>
      </c>
      <c r="G5102" t="s">
        <v>12</v>
      </c>
      <c r="I5102" t="s">
        <v>1050</v>
      </c>
    </row>
    <row r="5103" spans="1:9" hidden="1" x14ac:dyDescent="0.25">
      <c r="A5103" t="s">
        <v>4269</v>
      </c>
      <c r="B5103" t="s">
        <v>702</v>
      </c>
      <c r="C5103" s="2">
        <f>HYPERLINK("https://cao.dolgi.msk.ru/account/1080264114/", 1080264114)</f>
        <v>1080264114</v>
      </c>
      <c r="D5103" t="s">
        <v>4307</v>
      </c>
      <c r="E5103">
        <v>-7796.37</v>
      </c>
      <c r="F5103">
        <v>-0.63</v>
      </c>
      <c r="G5103" t="s">
        <v>12</v>
      </c>
      <c r="I5103" t="s">
        <v>1050</v>
      </c>
    </row>
    <row r="5104" spans="1:9" hidden="1" x14ac:dyDescent="0.25">
      <c r="A5104" t="s">
        <v>4269</v>
      </c>
      <c r="B5104" t="s">
        <v>703</v>
      </c>
      <c r="C5104" s="2">
        <f>HYPERLINK("https://cao.dolgi.msk.ru/account/1080264122/", 1080264122)</f>
        <v>1080264122</v>
      </c>
      <c r="D5104" t="s">
        <v>4308</v>
      </c>
      <c r="E5104">
        <v>-8021.25</v>
      </c>
      <c r="F5104">
        <v>-1.08</v>
      </c>
      <c r="G5104" t="s">
        <v>12</v>
      </c>
      <c r="I5104" t="s">
        <v>1050</v>
      </c>
    </row>
    <row r="5105" spans="1:9" hidden="1" x14ac:dyDescent="0.25">
      <c r="A5105" t="s">
        <v>4269</v>
      </c>
      <c r="B5105" t="s">
        <v>705</v>
      </c>
      <c r="C5105" s="2">
        <f>HYPERLINK("https://cao.dolgi.msk.ru/account/1080264149/", 1080264149)</f>
        <v>1080264149</v>
      </c>
      <c r="D5105" t="s">
        <v>4309</v>
      </c>
      <c r="E5105">
        <v>-154.21</v>
      </c>
      <c r="F5105">
        <v>-0.02</v>
      </c>
      <c r="G5105" t="s">
        <v>12</v>
      </c>
      <c r="I5105" t="s">
        <v>1050</v>
      </c>
    </row>
    <row r="5106" spans="1:9" hidden="1" x14ac:dyDescent="0.25">
      <c r="A5106" t="s">
        <v>4310</v>
      </c>
      <c r="B5106" t="s">
        <v>711</v>
      </c>
      <c r="C5106" s="2">
        <f>HYPERLINK("https://cao.dolgi.msk.ru/account/1080264157/", 1080264157)</f>
        <v>1080264157</v>
      </c>
      <c r="D5106" t="s">
        <v>4311</v>
      </c>
      <c r="E5106">
        <v>-7294.39</v>
      </c>
      <c r="F5106">
        <v>-1.05</v>
      </c>
      <c r="G5106" t="s">
        <v>12</v>
      </c>
      <c r="I5106" t="s">
        <v>1050</v>
      </c>
    </row>
    <row r="5107" spans="1:9" hidden="1" x14ac:dyDescent="0.25">
      <c r="A5107" t="s">
        <v>4310</v>
      </c>
      <c r="B5107" t="s">
        <v>713</v>
      </c>
      <c r="C5107" s="2">
        <f>HYPERLINK("https://cao.dolgi.msk.ru/account/1080264165/", 1080264165)</f>
        <v>1080264165</v>
      </c>
      <c r="D5107" t="s">
        <v>4312</v>
      </c>
      <c r="E5107">
        <v>-9220.08</v>
      </c>
      <c r="F5107">
        <v>-0.99</v>
      </c>
      <c r="G5107" t="s">
        <v>12</v>
      </c>
      <c r="I5107" t="s">
        <v>1050</v>
      </c>
    </row>
    <row r="5108" spans="1:9" hidden="1" x14ac:dyDescent="0.25">
      <c r="A5108" t="s">
        <v>4310</v>
      </c>
      <c r="B5108" t="s">
        <v>528</v>
      </c>
      <c r="C5108" s="2">
        <f>HYPERLINK("https://cao.dolgi.msk.ru/account/1080264173/", 1080264173)</f>
        <v>1080264173</v>
      </c>
      <c r="D5108" t="s">
        <v>4313</v>
      </c>
      <c r="E5108">
        <v>-7616.33</v>
      </c>
      <c r="F5108">
        <v>-1.04</v>
      </c>
      <c r="G5108" t="s">
        <v>12</v>
      </c>
      <c r="I5108" t="s">
        <v>1050</v>
      </c>
    </row>
    <row r="5109" spans="1:9" hidden="1" x14ac:dyDescent="0.25">
      <c r="A5109" t="s">
        <v>4310</v>
      </c>
      <c r="B5109" t="s">
        <v>530</v>
      </c>
      <c r="C5109" s="2">
        <f>HYPERLINK("https://cao.dolgi.msk.ru/account/1080264181/", 1080264181)</f>
        <v>1080264181</v>
      </c>
      <c r="D5109" t="s">
        <v>4314</v>
      </c>
      <c r="E5109">
        <v>-7417.79</v>
      </c>
      <c r="F5109">
        <v>-1.23</v>
      </c>
      <c r="G5109" t="s">
        <v>12</v>
      </c>
      <c r="I5109" t="s">
        <v>1050</v>
      </c>
    </row>
    <row r="5110" spans="1:9" hidden="1" x14ac:dyDescent="0.25">
      <c r="A5110" t="s">
        <v>4310</v>
      </c>
      <c r="B5110" t="s">
        <v>532</v>
      </c>
      <c r="C5110" s="2">
        <f>HYPERLINK("https://cao.dolgi.msk.ru/account/1080264202/", 1080264202)</f>
        <v>1080264202</v>
      </c>
      <c r="D5110" t="s">
        <v>4315</v>
      </c>
      <c r="E5110">
        <v>-4702.9799999999996</v>
      </c>
      <c r="F5110">
        <v>-1.08</v>
      </c>
      <c r="G5110" t="s">
        <v>12</v>
      </c>
      <c r="H5110" t="s">
        <v>7</v>
      </c>
      <c r="I5110" t="s">
        <v>1050</v>
      </c>
    </row>
    <row r="5111" spans="1:9" hidden="1" x14ac:dyDescent="0.25">
      <c r="A5111" t="s">
        <v>4310</v>
      </c>
      <c r="B5111" t="s">
        <v>532</v>
      </c>
      <c r="C5111" s="2">
        <f>HYPERLINK("https://cao.dolgi.msk.ru/account/1080264229/", 1080264229)</f>
        <v>1080264229</v>
      </c>
      <c r="D5111" t="s">
        <v>4316</v>
      </c>
      <c r="E5111">
        <v>-5873.9</v>
      </c>
      <c r="F5111">
        <v>-1.07</v>
      </c>
      <c r="G5111" t="s">
        <v>12</v>
      </c>
      <c r="H5111" t="s">
        <v>7</v>
      </c>
      <c r="I5111" t="s">
        <v>1050</v>
      </c>
    </row>
    <row r="5112" spans="1:9" hidden="1" x14ac:dyDescent="0.25">
      <c r="A5112" t="s">
        <v>4310</v>
      </c>
      <c r="B5112" t="s">
        <v>534</v>
      </c>
      <c r="C5112" s="2">
        <f>HYPERLINK("https://cao.dolgi.msk.ru/account/1080264237/", 1080264237)</f>
        <v>1080264237</v>
      </c>
      <c r="D5112" t="s">
        <v>4317</v>
      </c>
      <c r="E5112">
        <v>-8497.27</v>
      </c>
      <c r="F5112">
        <v>-1.04</v>
      </c>
      <c r="G5112" t="s">
        <v>12</v>
      </c>
      <c r="I5112" t="s">
        <v>1050</v>
      </c>
    </row>
    <row r="5113" spans="1:9" hidden="1" x14ac:dyDescent="0.25">
      <c r="A5113" t="s">
        <v>4310</v>
      </c>
      <c r="B5113" t="s">
        <v>536</v>
      </c>
      <c r="C5113" s="2">
        <f>HYPERLINK("https://cao.dolgi.msk.ru/account/1080264245/", 1080264245)</f>
        <v>1080264245</v>
      </c>
      <c r="D5113" t="s">
        <v>4318</v>
      </c>
      <c r="E5113">
        <v>-7489.65</v>
      </c>
      <c r="F5113">
        <v>-1.1200000000000001</v>
      </c>
      <c r="G5113" t="s">
        <v>12</v>
      </c>
      <c r="I5113" t="s">
        <v>1050</v>
      </c>
    </row>
    <row r="5114" spans="1:9" hidden="1" x14ac:dyDescent="0.25">
      <c r="A5114" t="s">
        <v>4310</v>
      </c>
      <c r="B5114" t="s">
        <v>538</v>
      </c>
      <c r="C5114" s="2">
        <f>HYPERLINK("https://cao.dolgi.msk.ru/account/1080264253/", 1080264253)</f>
        <v>1080264253</v>
      </c>
      <c r="D5114" t="s">
        <v>4319</v>
      </c>
      <c r="E5114">
        <v>-7750.75</v>
      </c>
      <c r="F5114">
        <v>-1.7</v>
      </c>
      <c r="G5114" t="s">
        <v>12</v>
      </c>
      <c r="I5114" t="s">
        <v>1050</v>
      </c>
    </row>
    <row r="5115" spans="1:9" hidden="1" x14ac:dyDescent="0.25">
      <c r="A5115" t="s">
        <v>4310</v>
      </c>
      <c r="B5115" t="s">
        <v>539</v>
      </c>
      <c r="C5115" s="2">
        <f>HYPERLINK("https://cao.dolgi.msk.ru/account/1080264261/", 1080264261)</f>
        <v>1080264261</v>
      </c>
      <c r="D5115" t="s">
        <v>4320</v>
      </c>
      <c r="E5115">
        <v>-550.11</v>
      </c>
      <c r="F5115">
        <v>-7.0000000000000007E-2</v>
      </c>
      <c r="G5115" t="s">
        <v>12</v>
      </c>
      <c r="I5115" t="s">
        <v>1050</v>
      </c>
    </row>
    <row r="5116" spans="1:9" hidden="1" x14ac:dyDescent="0.25">
      <c r="A5116" t="s">
        <v>4310</v>
      </c>
      <c r="B5116" t="s">
        <v>541</v>
      </c>
      <c r="C5116" s="2">
        <f>HYPERLINK("https://cao.dolgi.msk.ru/account/1080264288/", 1080264288)</f>
        <v>1080264288</v>
      </c>
      <c r="D5116" t="s">
        <v>4321</v>
      </c>
      <c r="E5116">
        <v>-9431.32</v>
      </c>
      <c r="F5116">
        <v>-1.1100000000000001</v>
      </c>
      <c r="G5116" t="s">
        <v>12</v>
      </c>
      <c r="I5116" t="s">
        <v>1050</v>
      </c>
    </row>
    <row r="5117" spans="1:9" hidden="1" x14ac:dyDescent="0.25">
      <c r="A5117" t="s">
        <v>4310</v>
      </c>
      <c r="B5117" t="s">
        <v>543</v>
      </c>
      <c r="C5117" s="2">
        <f>HYPERLINK("https://cao.dolgi.msk.ru/account/1080264296/", 1080264296)</f>
        <v>1080264296</v>
      </c>
      <c r="D5117" t="s">
        <v>4322</v>
      </c>
      <c r="E5117">
        <v>-6877</v>
      </c>
      <c r="F5117">
        <v>-0.91</v>
      </c>
      <c r="G5117" t="s">
        <v>12</v>
      </c>
      <c r="I5117" t="s">
        <v>1050</v>
      </c>
    </row>
    <row r="5118" spans="1:9" hidden="1" x14ac:dyDescent="0.25">
      <c r="A5118" t="s">
        <v>4310</v>
      </c>
      <c r="B5118" t="s">
        <v>545</v>
      </c>
      <c r="C5118" s="2">
        <f>HYPERLINK("https://cao.dolgi.msk.ru/account/1080264309/", 1080264309)</f>
        <v>1080264309</v>
      </c>
      <c r="D5118" t="s">
        <v>4323</v>
      </c>
      <c r="E5118">
        <v>-278.60000000000002</v>
      </c>
      <c r="F5118">
        <v>-0.04</v>
      </c>
      <c r="G5118" t="s">
        <v>12</v>
      </c>
      <c r="I5118" t="s">
        <v>1050</v>
      </c>
    </row>
    <row r="5119" spans="1:9" hidden="1" x14ac:dyDescent="0.25">
      <c r="A5119" t="s">
        <v>4310</v>
      </c>
      <c r="B5119" t="s">
        <v>546</v>
      </c>
      <c r="C5119" s="2">
        <f>HYPERLINK("https://cao.dolgi.msk.ru/account/1080264317/", 1080264317)</f>
        <v>1080264317</v>
      </c>
      <c r="D5119" t="s">
        <v>4324</v>
      </c>
      <c r="E5119">
        <v>-12374.85</v>
      </c>
      <c r="F5119">
        <v>-1.2</v>
      </c>
      <c r="G5119" t="s">
        <v>12</v>
      </c>
      <c r="I5119" t="s">
        <v>1050</v>
      </c>
    </row>
    <row r="5120" spans="1:9" hidden="1" x14ac:dyDescent="0.25">
      <c r="A5120" t="s">
        <v>4310</v>
      </c>
      <c r="B5120" t="s">
        <v>548</v>
      </c>
      <c r="C5120" s="2">
        <f>HYPERLINK("https://cao.dolgi.msk.ru/account/1080264325/", 1080264325)</f>
        <v>1080264325</v>
      </c>
      <c r="D5120" t="s">
        <v>4325</v>
      </c>
      <c r="E5120">
        <v>-137.31</v>
      </c>
      <c r="F5120">
        <v>-0.03</v>
      </c>
      <c r="G5120" t="s">
        <v>12</v>
      </c>
      <c r="H5120" t="s">
        <v>7</v>
      </c>
      <c r="I5120" t="s">
        <v>1050</v>
      </c>
    </row>
    <row r="5121" spans="1:9" hidden="1" x14ac:dyDescent="0.25">
      <c r="A5121" t="s">
        <v>4310</v>
      </c>
      <c r="B5121" t="s">
        <v>548</v>
      </c>
      <c r="C5121" s="2">
        <f>HYPERLINK("https://cao.dolgi.msk.ru/account/1080264333/", 1080264333)</f>
        <v>1080264333</v>
      </c>
      <c r="D5121" t="s">
        <v>4326</v>
      </c>
      <c r="E5121">
        <v>-3189.8</v>
      </c>
      <c r="F5121">
        <v>-1.1200000000000001</v>
      </c>
      <c r="G5121" t="s">
        <v>12</v>
      </c>
      <c r="H5121" t="s">
        <v>7</v>
      </c>
      <c r="I5121" t="s">
        <v>1050</v>
      </c>
    </row>
    <row r="5122" spans="1:9" hidden="1" x14ac:dyDescent="0.25">
      <c r="A5122" t="s">
        <v>4310</v>
      </c>
      <c r="B5122" t="s">
        <v>727</v>
      </c>
      <c r="C5122" s="2">
        <f>HYPERLINK("https://cao.dolgi.msk.ru/account/1080264341/", 1080264341)</f>
        <v>1080264341</v>
      </c>
      <c r="D5122" t="s">
        <v>4327</v>
      </c>
      <c r="E5122">
        <v>-6605.2</v>
      </c>
      <c r="F5122">
        <v>-0.92</v>
      </c>
      <c r="G5122" t="s">
        <v>12</v>
      </c>
      <c r="I5122" t="s">
        <v>1050</v>
      </c>
    </row>
    <row r="5123" spans="1:9" hidden="1" x14ac:dyDescent="0.25">
      <c r="A5123" t="s">
        <v>4310</v>
      </c>
      <c r="B5123" t="s">
        <v>551</v>
      </c>
      <c r="C5123" s="2">
        <f>HYPERLINK("https://cao.dolgi.msk.ru/account/1080264368/", 1080264368)</f>
        <v>1080264368</v>
      </c>
      <c r="D5123" t="s">
        <v>4328</v>
      </c>
      <c r="E5123">
        <v>-1889.73</v>
      </c>
      <c r="F5123">
        <v>-1.02</v>
      </c>
      <c r="G5123" t="s">
        <v>12</v>
      </c>
      <c r="I5123" t="s">
        <v>1050</v>
      </c>
    </row>
    <row r="5124" spans="1:9" hidden="1" x14ac:dyDescent="0.25">
      <c r="A5124" t="s">
        <v>4310</v>
      </c>
      <c r="B5124" t="s">
        <v>551</v>
      </c>
      <c r="C5124" s="2">
        <f>HYPERLINK("https://cao.dolgi.msk.ru/account/1083272005/", 1083272005)</f>
        <v>1083272005</v>
      </c>
      <c r="D5124" t="s">
        <v>15</v>
      </c>
      <c r="E5124">
        <v>-3506.47</v>
      </c>
      <c r="F5124">
        <v>-1</v>
      </c>
      <c r="G5124" t="s">
        <v>12</v>
      </c>
      <c r="I5124" t="s">
        <v>1050</v>
      </c>
    </row>
    <row r="5125" spans="1:9" hidden="1" x14ac:dyDescent="0.25">
      <c r="A5125" t="s">
        <v>4310</v>
      </c>
      <c r="B5125" t="s">
        <v>730</v>
      </c>
      <c r="C5125" s="2">
        <f>HYPERLINK("https://cao.dolgi.msk.ru/account/1080264376/", 1080264376)</f>
        <v>1080264376</v>
      </c>
      <c r="D5125" t="s">
        <v>4329</v>
      </c>
      <c r="E5125">
        <v>-11471.94</v>
      </c>
      <c r="F5125">
        <v>-1.01</v>
      </c>
      <c r="G5125" t="s">
        <v>12</v>
      </c>
      <c r="I5125" t="s">
        <v>1050</v>
      </c>
    </row>
    <row r="5126" spans="1:9" hidden="1" x14ac:dyDescent="0.25">
      <c r="A5126" t="s">
        <v>4310</v>
      </c>
      <c r="B5126" t="s">
        <v>732</v>
      </c>
      <c r="C5126" s="2">
        <f>HYPERLINK("https://cao.dolgi.msk.ru/account/1080264384/", 1080264384)</f>
        <v>1080264384</v>
      </c>
      <c r="D5126" t="s">
        <v>4330</v>
      </c>
      <c r="E5126">
        <v>-98.72</v>
      </c>
      <c r="F5126">
        <v>-0.01</v>
      </c>
      <c r="G5126" t="s">
        <v>12</v>
      </c>
      <c r="I5126" t="s">
        <v>1050</v>
      </c>
    </row>
    <row r="5127" spans="1:9" hidden="1" x14ac:dyDescent="0.25">
      <c r="A5127" t="s">
        <v>4310</v>
      </c>
      <c r="B5127" t="s">
        <v>553</v>
      </c>
      <c r="C5127" s="2">
        <f>HYPERLINK("https://cao.dolgi.msk.ru/account/1080264392/", 1080264392)</f>
        <v>1080264392</v>
      </c>
      <c r="D5127" t="s">
        <v>4331</v>
      </c>
      <c r="E5127">
        <v>-0.13</v>
      </c>
      <c r="F5127">
        <v>0</v>
      </c>
      <c r="G5127" t="s">
        <v>12</v>
      </c>
      <c r="I5127" t="s">
        <v>1050</v>
      </c>
    </row>
    <row r="5128" spans="1:9" hidden="1" x14ac:dyDescent="0.25">
      <c r="A5128" t="s">
        <v>4310</v>
      </c>
      <c r="B5128" t="s">
        <v>555</v>
      </c>
      <c r="C5128" s="2">
        <f>HYPERLINK("https://cao.dolgi.msk.ru/account/1080264405/", 1080264405)</f>
        <v>1080264405</v>
      </c>
      <c r="D5128" t="s">
        <v>4332</v>
      </c>
      <c r="E5128">
        <v>-6204.21</v>
      </c>
      <c r="F5128">
        <v>-1.1299999999999999</v>
      </c>
      <c r="G5128" t="s">
        <v>12</v>
      </c>
      <c r="I5128" t="s">
        <v>1050</v>
      </c>
    </row>
    <row r="5129" spans="1:9" hidden="1" x14ac:dyDescent="0.25">
      <c r="A5129" t="s">
        <v>4310</v>
      </c>
      <c r="B5129" t="s">
        <v>740</v>
      </c>
      <c r="C5129" s="2">
        <f>HYPERLINK("https://cao.dolgi.msk.ru/account/1080264413/", 1080264413)</f>
        <v>1080264413</v>
      </c>
      <c r="D5129" t="s">
        <v>4333</v>
      </c>
      <c r="E5129">
        <v>-4739.68</v>
      </c>
      <c r="F5129">
        <v>-1.01</v>
      </c>
      <c r="G5129" t="s">
        <v>12</v>
      </c>
      <c r="I5129" t="s">
        <v>1050</v>
      </c>
    </row>
    <row r="5130" spans="1:9" hidden="1" x14ac:dyDescent="0.25">
      <c r="A5130" t="s">
        <v>4310</v>
      </c>
      <c r="B5130" t="s">
        <v>742</v>
      </c>
      <c r="C5130" s="2">
        <f>HYPERLINK("https://cao.dolgi.msk.ru/account/1080264421/", 1080264421)</f>
        <v>1080264421</v>
      </c>
      <c r="D5130" t="s">
        <v>4334</v>
      </c>
      <c r="E5130">
        <v>-18531.21</v>
      </c>
      <c r="F5130">
        <v>-2.85</v>
      </c>
      <c r="G5130" t="s">
        <v>12</v>
      </c>
      <c r="I5130" t="s">
        <v>1050</v>
      </c>
    </row>
    <row r="5131" spans="1:9" hidden="1" x14ac:dyDescent="0.25">
      <c r="A5131" t="s">
        <v>4310</v>
      </c>
      <c r="B5131" t="s">
        <v>557</v>
      </c>
      <c r="C5131" s="2">
        <f>HYPERLINK("https://cao.dolgi.msk.ru/account/1080264448/", 1080264448)</f>
        <v>1080264448</v>
      </c>
      <c r="D5131" t="s">
        <v>4335</v>
      </c>
      <c r="E5131">
        <v>-7285.03</v>
      </c>
      <c r="F5131">
        <v>-1.03</v>
      </c>
      <c r="G5131" t="s">
        <v>12</v>
      </c>
      <c r="I5131" t="s">
        <v>1050</v>
      </c>
    </row>
    <row r="5132" spans="1:9" hidden="1" x14ac:dyDescent="0.25">
      <c r="A5132" t="s">
        <v>4310</v>
      </c>
      <c r="B5132" t="s">
        <v>558</v>
      </c>
      <c r="C5132" s="2">
        <f>HYPERLINK("https://cao.dolgi.msk.ru/account/1080264456/", 1080264456)</f>
        <v>1080264456</v>
      </c>
      <c r="D5132" t="s">
        <v>4336</v>
      </c>
      <c r="E5132">
        <v>-10768.99</v>
      </c>
      <c r="F5132">
        <v>-1.27</v>
      </c>
      <c r="G5132" t="s">
        <v>12</v>
      </c>
      <c r="I5132" t="s">
        <v>1050</v>
      </c>
    </row>
    <row r="5133" spans="1:9" hidden="1" x14ac:dyDescent="0.25">
      <c r="A5133" t="s">
        <v>4310</v>
      </c>
      <c r="B5133" t="s">
        <v>746</v>
      </c>
      <c r="C5133" s="2">
        <f>HYPERLINK("https://cao.dolgi.msk.ru/account/1080264464/", 1080264464)</f>
        <v>1080264464</v>
      </c>
      <c r="D5133" t="s">
        <v>4337</v>
      </c>
      <c r="E5133">
        <v>-11716.13</v>
      </c>
      <c r="F5133">
        <v>-2.68</v>
      </c>
      <c r="G5133" t="s">
        <v>12</v>
      </c>
      <c r="I5133" t="s">
        <v>1050</v>
      </c>
    </row>
    <row r="5134" spans="1:9" hidden="1" x14ac:dyDescent="0.25">
      <c r="A5134" t="s">
        <v>4310</v>
      </c>
      <c r="B5134" t="s">
        <v>748</v>
      </c>
      <c r="C5134" s="2">
        <f>HYPERLINK("https://cao.dolgi.msk.ru/account/1080264472/", 1080264472)</f>
        <v>1080264472</v>
      </c>
      <c r="D5134" t="s">
        <v>4338</v>
      </c>
      <c r="E5134">
        <v>-9806.69</v>
      </c>
      <c r="F5134">
        <v>-1.1399999999999999</v>
      </c>
      <c r="G5134" t="s">
        <v>12</v>
      </c>
      <c r="I5134" t="s">
        <v>1050</v>
      </c>
    </row>
    <row r="5135" spans="1:9" hidden="1" x14ac:dyDescent="0.25">
      <c r="A5135" t="s">
        <v>4310</v>
      </c>
      <c r="B5135" t="s">
        <v>750</v>
      </c>
      <c r="C5135" s="2">
        <f>HYPERLINK("https://cao.dolgi.msk.ru/account/1080264501/", 1080264501)</f>
        <v>1080264501</v>
      </c>
      <c r="D5135" t="s">
        <v>4339</v>
      </c>
      <c r="E5135">
        <v>-7679.18</v>
      </c>
      <c r="F5135">
        <v>-1.05</v>
      </c>
      <c r="G5135" t="s">
        <v>12</v>
      </c>
      <c r="I5135" t="s">
        <v>1050</v>
      </c>
    </row>
    <row r="5136" spans="1:9" hidden="1" x14ac:dyDescent="0.25">
      <c r="A5136" t="s">
        <v>4310</v>
      </c>
      <c r="B5136" t="s">
        <v>752</v>
      </c>
      <c r="C5136" s="2">
        <f>HYPERLINK("https://cao.dolgi.msk.ru/account/1080264528/", 1080264528)</f>
        <v>1080264528</v>
      </c>
      <c r="D5136" t="s">
        <v>4340</v>
      </c>
      <c r="E5136">
        <v>-10247.129999999999</v>
      </c>
      <c r="F5136">
        <v>-1.02</v>
      </c>
      <c r="G5136" t="s">
        <v>12</v>
      </c>
      <c r="I5136" t="s">
        <v>1050</v>
      </c>
    </row>
    <row r="5137" spans="1:9" hidden="1" x14ac:dyDescent="0.25">
      <c r="A5137" t="s">
        <v>4310</v>
      </c>
      <c r="B5137" t="s">
        <v>754</v>
      </c>
      <c r="C5137" s="2">
        <f>HYPERLINK("https://cao.dolgi.msk.ru/account/1080264536/", 1080264536)</f>
        <v>1080264536</v>
      </c>
      <c r="D5137" t="s">
        <v>4341</v>
      </c>
      <c r="E5137">
        <v>-2637.87</v>
      </c>
      <c r="F5137">
        <v>-1.0900000000000001</v>
      </c>
      <c r="G5137" t="s">
        <v>12</v>
      </c>
      <c r="H5137" t="s">
        <v>7</v>
      </c>
      <c r="I5137" t="s">
        <v>1050</v>
      </c>
    </row>
    <row r="5138" spans="1:9" hidden="1" x14ac:dyDescent="0.25">
      <c r="A5138" t="s">
        <v>4310</v>
      </c>
      <c r="B5138" t="s">
        <v>754</v>
      </c>
      <c r="C5138" s="2">
        <f>HYPERLINK("https://cao.dolgi.msk.ru/account/1080264544/", 1080264544)</f>
        <v>1080264544</v>
      </c>
      <c r="D5138" t="s">
        <v>4341</v>
      </c>
      <c r="E5138">
        <v>-3823.12</v>
      </c>
      <c r="F5138">
        <v>-0.68</v>
      </c>
      <c r="G5138" t="s">
        <v>12</v>
      </c>
      <c r="H5138" t="s">
        <v>7</v>
      </c>
      <c r="I5138" t="s">
        <v>1050</v>
      </c>
    </row>
    <row r="5139" spans="1:9" hidden="1" x14ac:dyDescent="0.25">
      <c r="A5139" t="s">
        <v>4310</v>
      </c>
      <c r="B5139" t="s">
        <v>756</v>
      </c>
      <c r="C5139" s="2">
        <f>HYPERLINK("https://cao.dolgi.msk.ru/account/1080264552/", 1080264552)</f>
        <v>1080264552</v>
      </c>
      <c r="D5139" t="s">
        <v>4342</v>
      </c>
      <c r="E5139">
        <v>7081.61</v>
      </c>
      <c r="F5139">
        <v>0.94</v>
      </c>
      <c r="G5139" t="s">
        <v>12</v>
      </c>
      <c r="I5139" t="s">
        <v>1050</v>
      </c>
    </row>
    <row r="5140" spans="1:9" hidden="1" x14ac:dyDescent="0.25">
      <c r="A5140" t="s">
        <v>4310</v>
      </c>
      <c r="B5140" t="s">
        <v>758</v>
      </c>
      <c r="C5140" s="2">
        <f>HYPERLINK("https://cao.dolgi.msk.ru/account/1080264579/", 1080264579)</f>
        <v>1080264579</v>
      </c>
      <c r="D5140" t="s">
        <v>4343</v>
      </c>
      <c r="E5140">
        <v>-8213.23</v>
      </c>
      <c r="F5140">
        <v>-1.31</v>
      </c>
      <c r="G5140" t="s">
        <v>12</v>
      </c>
      <c r="I5140" t="s">
        <v>1050</v>
      </c>
    </row>
    <row r="5141" spans="1:9" hidden="1" x14ac:dyDescent="0.25">
      <c r="A5141" t="s">
        <v>4310</v>
      </c>
      <c r="B5141" t="s">
        <v>760</v>
      </c>
      <c r="C5141" s="2">
        <f>HYPERLINK("https://cao.dolgi.msk.ru/account/1080264587/", 1080264587)</f>
        <v>1080264587</v>
      </c>
      <c r="D5141" t="s">
        <v>4344</v>
      </c>
      <c r="E5141">
        <v>-6585.47</v>
      </c>
      <c r="F5141">
        <v>-1.02</v>
      </c>
      <c r="G5141" t="s">
        <v>12</v>
      </c>
      <c r="I5141" t="s">
        <v>1050</v>
      </c>
    </row>
    <row r="5142" spans="1:9" hidden="1" x14ac:dyDescent="0.25">
      <c r="A5142" t="s">
        <v>4310</v>
      </c>
      <c r="B5142" t="s">
        <v>762</v>
      </c>
      <c r="C5142" s="2">
        <f>HYPERLINK("https://cao.dolgi.msk.ru/account/1080264595/", 1080264595)</f>
        <v>1080264595</v>
      </c>
      <c r="D5142" t="s">
        <v>4345</v>
      </c>
      <c r="E5142">
        <v>-6173.09</v>
      </c>
      <c r="F5142">
        <v>-1.03</v>
      </c>
      <c r="G5142" t="s">
        <v>12</v>
      </c>
      <c r="I5142" t="s">
        <v>1050</v>
      </c>
    </row>
    <row r="5143" spans="1:9" hidden="1" x14ac:dyDescent="0.25">
      <c r="A5143" t="s">
        <v>4310</v>
      </c>
      <c r="B5143" t="s">
        <v>764</v>
      </c>
      <c r="C5143" s="2">
        <f>HYPERLINK("https://cao.dolgi.msk.ru/account/1080264608/", 1080264608)</f>
        <v>1080264608</v>
      </c>
      <c r="D5143" t="s">
        <v>4346</v>
      </c>
      <c r="E5143">
        <v>-7565.81</v>
      </c>
      <c r="F5143">
        <v>-1.1299999999999999</v>
      </c>
      <c r="G5143" t="s">
        <v>12</v>
      </c>
      <c r="I5143" t="s">
        <v>1050</v>
      </c>
    </row>
    <row r="5144" spans="1:9" hidden="1" x14ac:dyDescent="0.25">
      <c r="A5144" t="s">
        <v>4310</v>
      </c>
      <c r="B5144" t="s">
        <v>766</v>
      </c>
      <c r="C5144" s="2">
        <f>HYPERLINK("https://cao.dolgi.msk.ru/account/1080264616/", 1080264616)</f>
        <v>1080264616</v>
      </c>
      <c r="D5144" t="s">
        <v>4347</v>
      </c>
      <c r="E5144">
        <v>-523.84</v>
      </c>
      <c r="F5144">
        <v>-7.0000000000000007E-2</v>
      </c>
      <c r="G5144" t="s">
        <v>12</v>
      </c>
      <c r="I5144" t="s">
        <v>1050</v>
      </c>
    </row>
    <row r="5145" spans="1:9" hidden="1" x14ac:dyDescent="0.25">
      <c r="A5145" t="s">
        <v>4310</v>
      </c>
      <c r="B5145" t="s">
        <v>768</v>
      </c>
      <c r="C5145" s="2">
        <f>HYPERLINK("https://cao.dolgi.msk.ru/account/1080264624/", 1080264624)</f>
        <v>1080264624</v>
      </c>
      <c r="D5145" t="s">
        <v>4348</v>
      </c>
      <c r="E5145">
        <v>-6541.89</v>
      </c>
      <c r="F5145">
        <v>-0.92</v>
      </c>
      <c r="G5145" t="s">
        <v>12</v>
      </c>
      <c r="I5145" t="s">
        <v>1050</v>
      </c>
    </row>
    <row r="5146" spans="1:9" hidden="1" x14ac:dyDescent="0.25">
      <c r="A5146" t="s">
        <v>4310</v>
      </c>
      <c r="B5146" t="s">
        <v>770</v>
      </c>
      <c r="C5146" s="2">
        <f>HYPERLINK("https://cao.dolgi.msk.ru/account/1080264632/", 1080264632)</f>
        <v>1080264632</v>
      </c>
      <c r="D5146" t="s">
        <v>4349</v>
      </c>
      <c r="E5146">
        <v>-4665.0200000000004</v>
      </c>
      <c r="F5146">
        <v>-1.01</v>
      </c>
      <c r="G5146" t="s">
        <v>12</v>
      </c>
      <c r="I5146" t="s">
        <v>1050</v>
      </c>
    </row>
    <row r="5147" spans="1:9" hidden="1" x14ac:dyDescent="0.25">
      <c r="A5147" t="s">
        <v>4310</v>
      </c>
      <c r="B5147" t="s">
        <v>772</v>
      </c>
      <c r="C5147" s="2">
        <f>HYPERLINK("https://cao.dolgi.msk.ru/account/1080264659/", 1080264659)</f>
        <v>1080264659</v>
      </c>
      <c r="D5147" t="s">
        <v>4350</v>
      </c>
      <c r="E5147">
        <v>-6603.77</v>
      </c>
      <c r="F5147">
        <v>-1</v>
      </c>
      <c r="G5147" t="s">
        <v>12</v>
      </c>
      <c r="I5147" t="s">
        <v>1050</v>
      </c>
    </row>
    <row r="5148" spans="1:9" hidden="1" x14ac:dyDescent="0.25">
      <c r="A5148" t="s">
        <v>4310</v>
      </c>
      <c r="B5148" t="s">
        <v>774</v>
      </c>
      <c r="C5148" s="2">
        <f>HYPERLINK("https://cao.dolgi.msk.ru/account/1080264667/", 1080264667)</f>
        <v>1080264667</v>
      </c>
      <c r="D5148" t="s">
        <v>15</v>
      </c>
      <c r="E5148">
        <v>-246.75</v>
      </c>
      <c r="F5148">
        <v>-0.05</v>
      </c>
      <c r="G5148" t="s">
        <v>12</v>
      </c>
      <c r="I5148" t="s">
        <v>1050</v>
      </c>
    </row>
    <row r="5149" spans="1:9" hidden="1" x14ac:dyDescent="0.25">
      <c r="A5149" t="s">
        <v>4310</v>
      </c>
      <c r="B5149" t="s">
        <v>776</v>
      </c>
      <c r="C5149" s="2">
        <f>HYPERLINK("https://cao.dolgi.msk.ru/account/1080264675/", 1080264675)</f>
        <v>1080264675</v>
      </c>
      <c r="D5149" t="s">
        <v>4351</v>
      </c>
      <c r="E5149">
        <v>-8417.84</v>
      </c>
      <c r="F5149">
        <v>-1.03</v>
      </c>
      <c r="G5149" t="s">
        <v>12</v>
      </c>
      <c r="I5149" t="s">
        <v>1050</v>
      </c>
    </row>
    <row r="5150" spans="1:9" hidden="1" x14ac:dyDescent="0.25">
      <c r="A5150" t="s">
        <v>4352</v>
      </c>
      <c r="B5150" t="s">
        <v>10</v>
      </c>
      <c r="C5150" s="2">
        <f>HYPERLINK("https://cao.dolgi.msk.ru/account/1080261036/", 1080261036)</f>
        <v>1080261036</v>
      </c>
      <c r="D5150" t="s">
        <v>4353</v>
      </c>
      <c r="E5150">
        <v>4.66</v>
      </c>
      <c r="F5150">
        <v>0</v>
      </c>
      <c r="G5150" t="s">
        <v>12</v>
      </c>
      <c r="I5150" t="s">
        <v>1050</v>
      </c>
    </row>
    <row r="5151" spans="1:9" hidden="1" x14ac:dyDescent="0.25">
      <c r="A5151" t="s">
        <v>4352</v>
      </c>
      <c r="B5151" t="s">
        <v>16</v>
      </c>
      <c r="C5151" s="2">
        <f>HYPERLINK("https://cao.dolgi.msk.ru/account/1080261044/", 1080261044)</f>
        <v>1080261044</v>
      </c>
      <c r="D5151" t="s">
        <v>4354</v>
      </c>
      <c r="E5151">
        <v>-8569.57</v>
      </c>
      <c r="F5151">
        <v>-1.01</v>
      </c>
      <c r="G5151" t="s">
        <v>12</v>
      </c>
      <c r="I5151" t="s">
        <v>1050</v>
      </c>
    </row>
    <row r="5152" spans="1:9" hidden="1" x14ac:dyDescent="0.25">
      <c r="A5152" t="s">
        <v>4352</v>
      </c>
      <c r="B5152" t="s">
        <v>18</v>
      </c>
      <c r="C5152" s="2">
        <f>HYPERLINK("https://cao.dolgi.msk.ru/account/1080261052/", 1080261052)</f>
        <v>1080261052</v>
      </c>
      <c r="D5152" t="s">
        <v>4355</v>
      </c>
      <c r="E5152">
        <v>-7859.81</v>
      </c>
      <c r="F5152">
        <v>-1</v>
      </c>
      <c r="G5152" t="s">
        <v>12</v>
      </c>
      <c r="I5152" t="s">
        <v>1050</v>
      </c>
    </row>
    <row r="5153" spans="1:9" x14ac:dyDescent="0.25">
      <c r="A5153" t="s">
        <v>4352</v>
      </c>
      <c r="B5153" t="s">
        <v>20</v>
      </c>
      <c r="C5153" s="2">
        <f>HYPERLINK("https://cao.dolgi.msk.ru/account/1080261079/", 1080261079)</f>
        <v>1080261079</v>
      </c>
      <c r="D5153" t="s">
        <v>4356</v>
      </c>
      <c r="E5153">
        <v>225523.62</v>
      </c>
      <c r="F5153">
        <v>43.94</v>
      </c>
      <c r="G5153" t="s">
        <v>12</v>
      </c>
      <c r="I5153" t="s">
        <v>1050</v>
      </c>
    </row>
    <row r="5154" spans="1:9" hidden="1" x14ac:dyDescent="0.25">
      <c r="A5154" t="s">
        <v>4352</v>
      </c>
      <c r="B5154" t="s">
        <v>21</v>
      </c>
      <c r="C5154" s="2">
        <f>HYPERLINK("https://cao.dolgi.msk.ru/account/1080261087/", 1080261087)</f>
        <v>1080261087</v>
      </c>
      <c r="D5154" t="s">
        <v>4357</v>
      </c>
      <c r="E5154">
        <v>-645.66</v>
      </c>
      <c r="F5154">
        <v>-0.11</v>
      </c>
      <c r="G5154" t="s">
        <v>12</v>
      </c>
      <c r="I5154" t="s">
        <v>1050</v>
      </c>
    </row>
    <row r="5155" spans="1:9" hidden="1" x14ac:dyDescent="0.25">
      <c r="A5155" t="s">
        <v>4352</v>
      </c>
      <c r="B5155" t="s">
        <v>22</v>
      </c>
      <c r="C5155" s="2">
        <f>HYPERLINK("https://cao.dolgi.msk.ru/account/1080261095/", 1080261095)</f>
        <v>1080261095</v>
      </c>
      <c r="D5155" t="s">
        <v>4358</v>
      </c>
      <c r="E5155">
        <v>-5457.49</v>
      </c>
      <c r="F5155">
        <v>-1.24</v>
      </c>
      <c r="G5155" t="s">
        <v>12</v>
      </c>
      <c r="I5155" t="s">
        <v>1050</v>
      </c>
    </row>
    <row r="5156" spans="1:9" hidden="1" x14ac:dyDescent="0.25">
      <c r="A5156" t="s">
        <v>4352</v>
      </c>
      <c r="B5156" t="s">
        <v>23</v>
      </c>
      <c r="C5156" s="2">
        <f>HYPERLINK("https://cao.dolgi.msk.ru/account/1080261108/", 1080261108)</f>
        <v>1080261108</v>
      </c>
      <c r="D5156" t="s">
        <v>62</v>
      </c>
      <c r="E5156">
        <v>-8609.1299999999992</v>
      </c>
      <c r="F5156">
        <v>-1.07</v>
      </c>
      <c r="G5156" t="s">
        <v>12</v>
      </c>
      <c r="I5156" t="s">
        <v>1050</v>
      </c>
    </row>
    <row r="5157" spans="1:9" hidden="1" x14ac:dyDescent="0.25">
      <c r="A5157" t="s">
        <v>4352</v>
      </c>
      <c r="B5157" t="s">
        <v>24</v>
      </c>
      <c r="C5157" s="2">
        <f>HYPERLINK("https://cao.dolgi.msk.ru/account/1080261116/", 1080261116)</f>
        <v>1080261116</v>
      </c>
      <c r="D5157" t="s">
        <v>4359</v>
      </c>
      <c r="E5157">
        <v>-6041.05</v>
      </c>
      <c r="F5157">
        <v>-0.81</v>
      </c>
      <c r="G5157" t="s">
        <v>12</v>
      </c>
      <c r="I5157" t="s">
        <v>1050</v>
      </c>
    </row>
    <row r="5158" spans="1:9" hidden="1" x14ac:dyDescent="0.25">
      <c r="A5158" t="s">
        <v>4352</v>
      </c>
      <c r="B5158" t="s">
        <v>27</v>
      </c>
      <c r="C5158" s="2">
        <f>HYPERLINK("https://cao.dolgi.msk.ru/account/1080261124/", 1080261124)</f>
        <v>1080261124</v>
      </c>
      <c r="D5158" t="s">
        <v>4360</v>
      </c>
      <c r="E5158">
        <v>-5442.14</v>
      </c>
      <c r="F5158">
        <v>-0.93</v>
      </c>
      <c r="G5158" t="s">
        <v>12</v>
      </c>
      <c r="I5158" t="s">
        <v>1050</v>
      </c>
    </row>
    <row r="5159" spans="1:9" hidden="1" x14ac:dyDescent="0.25">
      <c r="A5159" t="s">
        <v>4352</v>
      </c>
      <c r="B5159" t="s">
        <v>29</v>
      </c>
      <c r="C5159" s="2">
        <f>HYPERLINK("https://cao.dolgi.msk.ru/account/1080261132/", 1080261132)</f>
        <v>1080261132</v>
      </c>
      <c r="D5159" t="s">
        <v>4361</v>
      </c>
      <c r="E5159">
        <v>-11882.22</v>
      </c>
      <c r="F5159">
        <v>-1.96</v>
      </c>
      <c r="G5159" t="s">
        <v>12</v>
      </c>
      <c r="I5159" t="s">
        <v>1050</v>
      </c>
    </row>
    <row r="5160" spans="1:9" hidden="1" x14ac:dyDescent="0.25">
      <c r="A5160" t="s">
        <v>4352</v>
      </c>
      <c r="B5160" t="s">
        <v>31</v>
      </c>
      <c r="C5160" s="2">
        <f>HYPERLINK("https://cao.dolgi.msk.ru/account/1080261159/", 1080261159)</f>
        <v>1080261159</v>
      </c>
      <c r="D5160" t="s">
        <v>4362</v>
      </c>
      <c r="E5160">
        <v>-8163.69</v>
      </c>
      <c r="F5160">
        <v>-1.31</v>
      </c>
      <c r="G5160" t="s">
        <v>12</v>
      </c>
      <c r="I5160" t="s">
        <v>1050</v>
      </c>
    </row>
    <row r="5161" spans="1:9" hidden="1" x14ac:dyDescent="0.25">
      <c r="A5161" t="s">
        <v>4352</v>
      </c>
      <c r="B5161" t="s">
        <v>33</v>
      </c>
      <c r="C5161" s="2">
        <f>HYPERLINK("https://cao.dolgi.msk.ru/account/1080261167/", 1080261167)</f>
        <v>1080261167</v>
      </c>
      <c r="D5161" t="s">
        <v>4363</v>
      </c>
      <c r="E5161">
        <v>-5104.32</v>
      </c>
      <c r="F5161">
        <v>-1.02</v>
      </c>
      <c r="G5161" t="s">
        <v>12</v>
      </c>
      <c r="I5161" t="s">
        <v>1050</v>
      </c>
    </row>
    <row r="5162" spans="1:9" hidden="1" x14ac:dyDescent="0.25">
      <c r="A5162" t="s">
        <v>4352</v>
      </c>
      <c r="B5162" t="s">
        <v>34</v>
      </c>
      <c r="C5162" s="2">
        <f>HYPERLINK("https://cao.dolgi.msk.ru/account/1080261175/", 1080261175)</f>
        <v>1080261175</v>
      </c>
      <c r="D5162" t="s">
        <v>62</v>
      </c>
      <c r="E5162">
        <v>-5912.3</v>
      </c>
      <c r="F5162">
        <v>-0.96</v>
      </c>
      <c r="G5162" t="s">
        <v>12</v>
      </c>
      <c r="I5162" t="s">
        <v>1050</v>
      </c>
    </row>
    <row r="5163" spans="1:9" hidden="1" x14ac:dyDescent="0.25">
      <c r="A5163" t="s">
        <v>4352</v>
      </c>
      <c r="B5163" t="s">
        <v>36</v>
      </c>
      <c r="C5163" s="2">
        <f>HYPERLINK("https://cao.dolgi.msk.ru/account/1080261183/", 1080261183)</f>
        <v>1080261183</v>
      </c>
      <c r="D5163" t="s">
        <v>4364</v>
      </c>
      <c r="E5163">
        <v>-7626.71</v>
      </c>
      <c r="F5163">
        <v>-1.03</v>
      </c>
      <c r="G5163" t="s">
        <v>12</v>
      </c>
      <c r="I5163" t="s">
        <v>1050</v>
      </c>
    </row>
    <row r="5164" spans="1:9" hidden="1" x14ac:dyDescent="0.25">
      <c r="A5164" t="s">
        <v>4352</v>
      </c>
      <c r="B5164" t="s">
        <v>38</v>
      </c>
      <c r="C5164" s="2">
        <f>HYPERLINK("https://cao.dolgi.msk.ru/account/1080261191/", 1080261191)</f>
        <v>1080261191</v>
      </c>
      <c r="D5164" t="s">
        <v>4365</v>
      </c>
      <c r="E5164">
        <v>3463.63</v>
      </c>
      <c r="F5164">
        <v>0.5</v>
      </c>
      <c r="G5164" t="s">
        <v>12</v>
      </c>
      <c r="I5164" t="s">
        <v>1050</v>
      </c>
    </row>
    <row r="5165" spans="1:9" hidden="1" x14ac:dyDescent="0.25">
      <c r="A5165" t="s">
        <v>4352</v>
      </c>
      <c r="B5165" t="s">
        <v>39</v>
      </c>
      <c r="C5165" s="2">
        <f>HYPERLINK("https://cao.dolgi.msk.ru/account/1080261204/", 1080261204)</f>
        <v>1080261204</v>
      </c>
      <c r="D5165" t="s">
        <v>4366</v>
      </c>
      <c r="E5165">
        <v>47.52</v>
      </c>
      <c r="F5165">
        <v>0.01</v>
      </c>
      <c r="G5165" t="s">
        <v>12</v>
      </c>
      <c r="I5165" t="s">
        <v>1050</v>
      </c>
    </row>
    <row r="5166" spans="1:9" hidden="1" x14ac:dyDescent="0.25">
      <c r="A5166" t="s">
        <v>4352</v>
      </c>
      <c r="B5166" t="s">
        <v>40</v>
      </c>
      <c r="C5166" s="2">
        <f>HYPERLINK("https://cao.dolgi.msk.ru/account/1080261212/", 1080261212)</f>
        <v>1080261212</v>
      </c>
      <c r="D5166" t="s">
        <v>4367</v>
      </c>
      <c r="E5166">
        <v>-5562.97</v>
      </c>
      <c r="F5166">
        <v>-1.1000000000000001</v>
      </c>
      <c r="G5166" t="s">
        <v>12</v>
      </c>
      <c r="I5166" t="s">
        <v>1050</v>
      </c>
    </row>
    <row r="5167" spans="1:9" hidden="1" x14ac:dyDescent="0.25">
      <c r="A5167" t="s">
        <v>4352</v>
      </c>
      <c r="B5167" t="s">
        <v>41</v>
      </c>
      <c r="C5167" s="2">
        <f>HYPERLINK("https://cao.dolgi.msk.ru/account/1080261239/", 1080261239)</f>
        <v>1080261239</v>
      </c>
      <c r="D5167" t="s">
        <v>4368</v>
      </c>
      <c r="E5167">
        <v>-5182.2299999999996</v>
      </c>
      <c r="F5167">
        <v>-1.1299999999999999</v>
      </c>
      <c r="G5167" t="s">
        <v>12</v>
      </c>
      <c r="I5167" t="s">
        <v>1050</v>
      </c>
    </row>
    <row r="5168" spans="1:9" hidden="1" x14ac:dyDescent="0.25">
      <c r="A5168" t="s">
        <v>4352</v>
      </c>
      <c r="B5168" t="s">
        <v>42</v>
      </c>
      <c r="C5168" s="2">
        <f>HYPERLINK("https://cao.dolgi.msk.ru/account/1080261247/", 1080261247)</f>
        <v>1080261247</v>
      </c>
      <c r="D5168" t="s">
        <v>4369</v>
      </c>
      <c r="E5168">
        <v>-7226.07</v>
      </c>
      <c r="F5168">
        <v>-0.87</v>
      </c>
      <c r="G5168" t="s">
        <v>12</v>
      </c>
      <c r="I5168" t="s">
        <v>1050</v>
      </c>
    </row>
    <row r="5169" spans="1:9" hidden="1" x14ac:dyDescent="0.25">
      <c r="A5169" t="s">
        <v>4352</v>
      </c>
      <c r="B5169" t="s">
        <v>44</v>
      </c>
      <c r="C5169" s="2">
        <f>HYPERLINK("https://cao.dolgi.msk.ru/account/1080261263/", 1080261263)</f>
        <v>1080261263</v>
      </c>
      <c r="D5169" t="s">
        <v>4370</v>
      </c>
      <c r="E5169">
        <v>-7017.68</v>
      </c>
      <c r="F5169">
        <v>-0.98</v>
      </c>
      <c r="G5169" t="s">
        <v>12</v>
      </c>
      <c r="I5169" t="s">
        <v>1050</v>
      </c>
    </row>
    <row r="5170" spans="1:9" hidden="1" x14ac:dyDescent="0.25">
      <c r="A5170" t="s">
        <v>4352</v>
      </c>
      <c r="B5170" t="s">
        <v>66</v>
      </c>
      <c r="C5170" s="2">
        <f>HYPERLINK("https://cao.dolgi.msk.ru/account/1080261271/", 1080261271)</f>
        <v>1080261271</v>
      </c>
      <c r="D5170" t="s">
        <v>4371</v>
      </c>
      <c r="E5170">
        <v>-6640.59</v>
      </c>
      <c r="F5170">
        <v>-1.01</v>
      </c>
      <c r="G5170" t="s">
        <v>12</v>
      </c>
      <c r="I5170" t="s">
        <v>1050</v>
      </c>
    </row>
    <row r="5171" spans="1:9" hidden="1" x14ac:dyDescent="0.25">
      <c r="A5171" t="s">
        <v>4352</v>
      </c>
      <c r="B5171" t="s">
        <v>68</v>
      </c>
      <c r="C5171" s="2">
        <f>HYPERLINK("https://cao.dolgi.msk.ru/account/1080261298/", 1080261298)</f>
        <v>1080261298</v>
      </c>
      <c r="D5171" t="s">
        <v>4372</v>
      </c>
      <c r="E5171">
        <v>-5693.13</v>
      </c>
      <c r="F5171">
        <v>-1.1399999999999999</v>
      </c>
      <c r="G5171" t="s">
        <v>12</v>
      </c>
      <c r="I5171" t="s">
        <v>1050</v>
      </c>
    </row>
    <row r="5172" spans="1:9" hidden="1" x14ac:dyDescent="0.25">
      <c r="A5172" t="s">
        <v>4352</v>
      </c>
      <c r="B5172" t="s">
        <v>70</v>
      </c>
      <c r="C5172" s="2">
        <f>HYPERLINK("https://cao.dolgi.msk.ru/account/1080261319/", 1080261319)</f>
        <v>1080261319</v>
      </c>
      <c r="D5172" t="s">
        <v>4373</v>
      </c>
      <c r="E5172">
        <v>-14702.8</v>
      </c>
      <c r="F5172">
        <v>-2.96</v>
      </c>
      <c r="G5172" t="s">
        <v>12</v>
      </c>
      <c r="I5172" t="s">
        <v>1050</v>
      </c>
    </row>
    <row r="5173" spans="1:9" hidden="1" x14ac:dyDescent="0.25">
      <c r="A5173" t="s">
        <v>4352</v>
      </c>
      <c r="B5173" t="s">
        <v>72</v>
      </c>
      <c r="C5173" s="2">
        <f>HYPERLINK("https://cao.dolgi.msk.ru/account/1080261327/", 1080261327)</f>
        <v>1080261327</v>
      </c>
      <c r="D5173" t="s">
        <v>4374</v>
      </c>
      <c r="E5173">
        <v>-4515.17</v>
      </c>
      <c r="F5173">
        <v>-1.06</v>
      </c>
      <c r="G5173" t="s">
        <v>12</v>
      </c>
      <c r="I5173" t="s">
        <v>1050</v>
      </c>
    </row>
    <row r="5174" spans="1:9" hidden="1" x14ac:dyDescent="0.25">
      <c r="A5174" t="s">
        <v>4352</v>
      </c>
      <c r="B5174" t="s">
        <v>74</v>
      </c>
      <c r="C5174" s="2">
        <f>HYPERLINK("https://cao.dolgi.msk.ru/account/1080261335/", 1080261335)</f>
        <v>1080261335</v>
      </c>
      <c r="D5174" t="s">
        <v>4375</v>
      </c>
      <c r="E5174">
        <v>1595.89</v>
      </c>
      <c r="F5174">
        <v>0.35</v>
      </c>
      <c r="G5174" t="s">
        <v>12</v>
      </c>
      <c r="H5174" t="s">
        <v>7</v>
      </c>
      <c r="I5174" t="s">
        <v>1050</v>
      </c>
    </row>
    <row r="5175" spans="1:9" hidden="1" x14ac:dyDescent="0.25">
      <c r="A5175" t="s">
        <v>4352</v>
      </c>
      <c r="B5175" t="s">
        <v>74</v>
      </c>
      <c r="C5175" s="2">
        <f>HYPERLINK("https://cao.dolgi.msk.ru/account/1080261343/", 1080261343)</f>
        <v>1080261343</v>
      </c>
      <c r="D5175" t="s">
        <v>4375</v>
      </c>
      <c r="E5175">
        <v>-169.42</v>
      </c>
      <c r="F5175">
        <v>-0.11</v>
      </c>
      <c r="G5175" t="s">
        <v>12</v>
      </c>
      <c r="H5175" t="s">
        <v>7</v>
      </c>
      <c r="I5175" t="s">
        <v>1050</v>
      </c>
    </row>
    <row r="5176" spans="1:9" hidden="1" x14ac:dyDescent="0.25">
      <c r="A5176" t="s">
        <v>4352</v>
      </c>
      <c r="B5176" t="s">
        <v>76</v>
      </c>
      <c r="C5176" s="2">
        <f>HYPERLINK("https://cao.dolgi.msk.ru/account/1080261351/", 1080261351)</f>
        <v>1080261351</v>
      </c>
      <c r="D5176" t="s">
        <v>4376</v>
      </c>
      <c r="E5176">
        <v>-4445.87</v>
      </c>
      <c r="F5176">
        <v>-1.21</v>
      </c>
      <c r="G5176" t="s">
        <v>12</v>
      </c>
      <c r="I5176" t="s">
        <v>1050</v>
      </c>
    </row>
    <row r="5177" spans="1:9" hidden="1" x14ac:dyDescent="0.25">
      <c r="A5177" t="s">
        <v>4352</v>
      </c>
      <c r="B5177" t="s">
        <v>78</v>
      </c>
      <c r="C5177" s="2">
        <f>HYPERLINK("https://cao.dolgi.msk.ru/account/1080261378/", 1080261378)</f>
        <v>1080261378</v>
      </c>
      <c r="D5177" t="s">
        <v>4377</v>
      </c>
      <c r="E5177">
        <v>-4238.2700000000004</v>
      </c>
      <c r="F5177">
        <v>-0.97</v>
      </c>
      <c r="G5177" t="s">
        <v>12</v>
      </c>
      <c r="I5177" t="s">
        <v>1050</v>
      </c>
    </row>
    <row r="5178" spans="1:9" hidden="1" x14ac:dyDescent="0.25">
      <c r="A5178" t="s">
        <v>4352</v>
      </c>
      <c r="B5178" t="s">
        <v>80</v>
      </c>
      <c r="C5178" s="2">
        <f>HYPERLINK("https://cao.dolgi.msk.ru/account/1080261386/", 1080261386)</f>
        <v>1080261386</v>
      </c>
      <c r="D5178" t="s">
        <v>4378</v>
      </c>
      <c r="E5178">
        <v>-6079.88</v>
      </c>
      <c r="F5178">
        <v>-1.02</v>
      </c>
      <c r="G5178" t="s">
        <v>12</v>
      </c>
      <c r="I5178" t="s">
        <v>1050</v>
      </c>
    </row>
    <row r="5179" spans="1:9" hidden="1" x14ac:dyDescent="0.25">
      <c r="A5179" t="s">
        <v>4352</v>
      </c>
      <c r="B5179" t="s">
        <v>82</v>
      </c>
      <c r="C5179" s="2">
        <f>HYPERLINK("https://cao.dolgi.msk.ru/account/1080261394/", 1080261394)</f>
        <v>1080261394</v>
      </c>
      <c r="D5179" t="s">
        <v>4379</v>
      </c>
      <c r="E5179">
        <v>-6903.6</v>
      </c>
      <c r="F5179">
        <v>-1.02</v>
      </c>
      <c r="G5179" t="s">
        <v>12</v>
      </c>
      <c r="I5179" t="s">
        <v>1050</v>
      </c>
    </row>
    <row r="5180" spans="1:9" hidden="1" x14ac:dyDescent="0.25">
      <c r="A5180" t="s">
        <v>4352</v>
      </c>
      <c r="B5180" t="s">
        <v>84</v>
      </c>
      <c r="C5180" s="2">
        <f>HYPERLINK("https://cao.dolgi.msk.ru/account/1080261407/", 1080261407)</f>
        <v>1080261407</v>
      </c>
      <c r="D5180" t="s">
        <v>4380</v>
      </c>
      <c r="E5180">
        <v>-7281.45</v>
      </c>
      <c r="F5180">
        <v>-1.22</v>
      </c>
      <c r="G5180" t="s">
        <v>12</v>
      </c>
      <c r="I5180" t="s">
        <v>1050</v>
      </c>
    </row>
    <row r="5181" spans="1:9" hidden="1" x14ac:dyDescent="0.25">
      <c r="A5181" t="s">
        <v>4352</v>
      </c>
      <c r="B5181" t="s">
        <v>86</v>
      </c>
      <c r="C5181" s="2">
        <f>HYPERLINK("https://cao.dolgi.msk.ru/account/1080261415/", 1080261415)</f>
        <v>1080261415</v>
      </c>
      <c r="D5181" t="s">
        <v>4381</v>
      </c>
      <c r="E5181">
        <v>0</v>
      </c>
      <c r="F5181">
        <v>0</v>
      </c>
      <c r="G5181" t="s">
        <v>12</v>
      </c>
      <c r="I5181" t="s">
        <v>1050</v>
      </c>
    </row>
    <row r="5182" spans="1:9" hidden="1" x14ac:dyDescent="0.25">
      <c r="A5182" t="s">
        <v>4352</v>
      </c>
      <c r="B5182" t="s">
        <v>88</v>
      </c>
      <c r="C5182" s="2">
        <f>HYPERLINK("https://cao.dolgi.msk.ru/account/1080261423/", 1080261423)</f>
        <v>1080261423</v>
      </c>
      <c r="D5182" t="s">
        <v>4382</v>
      </c>
      <c r="E5182">
        <v>-6619.12</v>
      </c>
      <c r="F5182">
        <v>-1.02</v>
      </c>
      <c r="G5182" t="s">
        <v>12</v>
      </c>
      <c r="I5182" t="s">
        <v>1050</v>
      </c>
    </row>
    <row r="5183" spans="1:9" x14ac:dyDescent="0.25">
      <c r="A5183" t="s">
        <v>4352</v>
      </c>
      <c r="B5183" t="s">
        <v>90</v>
      </c>
      <c r="C5183" s="2">
        <f>HYPERLINK("https://cao.dolgi.msk.ru/account/1080261431/", 1080261431)</f>
        <v>1080261431</v>
      </c>
      <c r="D5183" t="s">
        <v>4383</v>
      </c>
      <c r="E5183">
        <v>9476.1</v>
      </c>
      <c r="F5183">
        <v>1.28</v>
      </c>
      <c r="G5183" t="s">
        <v>12</v>
      </c>
      <c r="I5183" t="s">
        <v>1050</v>
      </c>
    </row>
    <row r="5184" spans="1:9" hidden="1" x14ac:dyDescent="0.25">
      <c r="A5184" t="s">
        <v>4352</v>
      </c>
      <c r="B5184" t="s">
        <v>92</v>
      </c>
      <c r="C5184" s="2">
        <f>HYPERLINK("https://cao.dolgi.msk.ru/account/1080261458/", 1080261458)</f>
        <v>1080261458</v>
      </c>
      <c r="D5184" t="s">
        <v>4384</v>
      </c>
      <c r="E5184">
        <v>-6397.75</v>
      </c>
      <c r="F5184">
        <v>-1.08</v>
      </c>
      <c r="G5184" t="s">
        <v>12</v>
      </c>
      <c r="I5184" t="s">
        <v>1050</v>
      </c>
    </row>
    <row r="5185" spans="1:9" hidden="1" x14ac:dyDescent="0.25">
      <c r="A5185" t="s">
        <v>4352</v>
      </c>
      <c r="B5185" t="s">
        <v>94</v>
      </c>
      <c r="C5185" s="2">
        <f>HYPERLINK("https://cao.dolgi.msk.ru/account/1080261466/", 1080261466)</f>
        <v>1080261466</v>
      </c>
      <c r="D5185" t="s">
        <v>4385</v>
      </c>
      <c r="E5185">
        <v>633.16999999999996</v>
      </c>
      <c r="F5185">
        <v>0.11</v>
      </c>
      <c r="G5185" t="s">
        <v>12</v>
      </c>
      <c r="I5185" t="s">
        <v>1050</v>
      </c>
    </row>
    <row r="5186" spans="1:9" hidden="1" x14ac:dyDescent="0.25">
      <c r="A5186" t="s">
        <v>4352</v>
      </c>
      <c r="B5186" t="s">
        <v>96</v>
      </c>
      <c r="C5186" s="2">
        <f>HYPERLINK("https://cao.dolgi.msk.ru/account/1080261474/", 1080261474)</f>
        <v>1080261474</v>
      </c>
      <c r="D5186" t="s">
        <v>4386</v>
      </c>
      <c r="E5186">
        <v>-12048.82</v>
      </c>
      <c r="F5186">
        <v>-1.21</v>
      </c>
      <c r="G5186" t="s">
        <v>12</v>
      </c>
      <c r="I5186" t="s">
        <v>1050</v>
      </c>
    </row>
    <row r="5187" spans="1:9" x14ac:dyDescent="0.25">
      <c r="A5187" t="s">
        <v>4352</v>
      </c>
      <c r="B5187" t="s">
        <v>98</v>
      </c>
      <c r="C5187" s="2">
        <f>HYPERLINK("https://cao.dolgi.msk.ru/account/1080261482/", 1080261482)</f>
        <v>1080261482</v>
      </c>
      <c r="D5187" t="s">
        <v>4387</v>
      </c>
      <c r="E5187">
        <v>6653.12</v>
      </c>
      <c r="F5187">
        <v>1.01</v>
      </c>
      <c r="G5187" t="s">
        <v>12</v>
      </c>
      <c r="I5187" t="s">
        <v>1050</v>
      </c>
    </row>
    <row r="5188" spans="1:9" hidden="1" x14ac:dyDescent="0.25">
      <c r="A5188" t="s">
        <v>4352</v>
      </c>
      <c r="B5188" t="s">
        <v>100</v>
      </c>
      <c r="C5188" s="2">
        <f>HYPERLINK("https://cao.dolgi.msk.ru/account/1080261503/", 1080261503)</f>
        <v>1080261503</v>
      </c>
      <c r="D5188" t="s">
        <v>4388</v>
      </c>
      <c r="E5188">
        <v>-19.399999999999999</v>
      </c>
      <c r="F5188">
        <v>0</v>
      </c>
      <c r="G5188" t="s">
        <v>12</v>
      </c>
      <c r="I5188" t="s">
        <v>1050</v>
      </c>
    </row>
    <row r="5189" spans="1:9" hidden="1" x14ac:dyDescent="0.25">
      <c r="A5189" t="s">
        <v>4352</v>
      </c>
      <c r="B5189" t="s">
        <v>102</v>
      </c>
      <c r="C5189" s="2">
        <f>HYPERLINK("https://cao.dolgi.msk.ru/account/1080261511/", 1080261511)</f>
        <v>1080261511</v>
      </c>
      <c r="D5189" t="s">
        <v>4389</v>
      </c>
      <c r="E5189">
        <v>-4223.75</v>
      </c>
      <c r="F5189">
        <v>-0.99</v>
      </c>
      <c r="G5189" t="s">
        <v>12</v>
      </c>
      <c r="I5189" t="s">
        <v>1050</v>
      </c>
    </row>
    <row r="5190" spans="1:9" hidden="1" x14ac:dyDescent="0.25">
      <c r="A5190" t="s">
        <v>4352</v>
      </c>
      <c r="B5190" t="s">
        <v>104</v>
      </c>
      <c r="C5190" s="2">
        <f>HYPERLINK("https://cao.dolgi.msk.ru/account/1080261538/", 1080261538)</f>
        <v>1080261538</v>
      </c>
      <c r="D5190" t="s">
        <v>4390</v>
      </c>
      <c r="E5190">
        <v>0</v>
      </c>
      <c r="G5190" t="s">
        <v>12</v>
      </c>
      <c r="I5190" t="s">
        <v>1050</v>
      </c>
    </row>
    <row r="5191" spans="1:9" hidden="1" x14ac:dyDescent="0.25">
      <c r="A5191" t="s">
        <v>4352</v>
      </c>
      <c r="B5191" t="s">
        <v>106</v>
      </c>
      <c r="C5191" s="2">
        <f>HYPERLINK("https://cao.dolgi.msk.ru/account/1080261546/", 1080261546)</f>
        <v>1080261546</v>
      </c>
      <c r="D5191" t="s">
        <v>4391</v>
      </c>
      <c r="E5191">
        <v>-7643.1</v>
      </c>
      <c r="F5191">
        <v>-1.01</v>
      </c>
      <c r="G5191" t="s">
        <v>12</v>
      </c>
      <c r="I5191" t="s">
        <v>1050</v>
      </c>
    </row>
    <row r="5192" spans="1:9" hidden="1" x14ac:dyDescent="0.25">
      <c r="A5192" t="s">
        <v>4352</v>
      </c>
      <c r="B5192" t="s">
        <v>108</v>
      </c>
      <c r="C5192" s="2">
        <f>HYPERLINK("https://cao.dolgi.msk.ru/account/1080261554/", 1080261554)</f>
        <v>1080261554</v>
      </c>
      <c r="D5192" t="s">
        <v>4392</v>
      </c>
      <c r="E5192">
        <v>-7102.45</v>
      </c>
      <c r="F5192">
        <v>-1.03</v>
      </c>
      <c r="G5192" t="s">
        <v>12</v>
      </c>
      <c r="I5192" t="s">
        <v>1050</v>
      </c>
    </row>
    <row r="5193" spans="1:9" x14ac:dyDescent="0.25">
      <c r="A5193" t="s">
        <v>4352</v>
      </c>
      <c r="B5193" t="s">
        <v>112</v>
      </c>
      <c r="C5193" s="2">
        <f>HYPERLINK("https://cao.dolgi.msk.ru/account/1080261562/", 1080261562)</f>
        <v>1080261562</v>
      </c>
      <c r="D5193" t="s">
        <v>4393</v>
      </c>
      <c r="E5193">
        <v>162847.82999999999</v>
      </c>
      <c r="F5193">
        <v>25.33</v>
      </c>
      <c r="G5193" t="s">
        <v>12</v>
      </c>
      <c r="I5193" t="s">
        <v>1050</v>
      </c>
    </row>
    <row r="5194" spans="1:9" hidden="1" x14ac:dyDescent="0.25">
      <c r="A5194" t="s">
        <v>4352</v>
      </c>
      <c r="B5194" t="s">
        <v>114</v>
      </c>
      <c r="C5194" s="2">
        <f>HYPERLINK("https://cao.dolgi.msk.ru/account/1080261589/", 1080261589)</f>
        <v>1080261589</v>
      </c>
      <c r="D5194" t="s">
        <v>4394</v>
      </c>
      <c r="E5194">
        <v>-9772.39</v>
      </c>
      <c r="F5194">
        <v>-0.83</v>
      </c>
      <c r="G5194" t="s">
        <v>12</v>
      </c>
      <c r="I5194" t="s">
        <v>1050</v>
      </c>
    </row>
    <row r="5195" spans="1:9" hidden="1" x14ac:dyDescent="0.25">
      <c r="A5195" t="s">
        <v>4352</v>
      </c>
      <c r="B5195" t="s">
        <v>116</v>
      </c>
      <c r="C5195" s="2">
        <f>HYPERLINK("https://cao.dolgi.msk.ru/account/1080261597/", 1080261597)</f>
        <v>1080261597</v>
      </c>
      <c r="D5195" t="s">
        <v>4395</v>
      </c>
      <c r="E5195">
        <v>-7473.07</v>
      </c>
      <c r="F5195">
        <v>-0.99</v>
      </c>
      <c r="G5195" t="s">
        <v>12</v>
      </c>
      <c r="H5195" t="s">
        <v>7</v>
      </c>
      <c r="I5195" t="s">
        <v>1050</v>
      </c>
    </row>
    <row r="5196" spans="1:9" hidden="1" x14ac:dyDescent="0.25">
      <c r="A5196" t="s">
        <v>4352</v>
      </c>
      <c r="B5196" t="s">
        <v>116</v>
      </c>
      <c r="C5196" s="2">
        <f>HYPERLINK("https://cao.dolgi.msk.ru/account/1080261618/", 1080261618)</f>
        <v>1080261618</v>
      </c>
      <c r="D5196" t="s">
        <v>4395</v>
      </c>
      <c r="E5196">
        <v>-3011.14</v>
      </c>
      <c r="F5196">
        <v>-1.33</v>
      </c>
      <c r="G5196" t="s">
        <v>12</v>
      </c>
      <c r="H5196" t="s">
        <v>7</v>
      </c>
      <c r="I5196" t="s">
        <v>1050</v>
      </c>
    </row>
    <row r="5197" spans="1:9" hidden="1" x14ac:dyDescent="0.25">
      <c r="A5197" t="s">
        <v>4352</v>
      </c>
      <c r="B5197" t="s">
        <v>118</v>
      </c>
      <c r="C5197" s="2">
        <f>HYPERLINK("https://cao.dolgi.msk.ru/account/1080261626/", 1080261626)</f>
        <v>1080261626</v>
      </c>
      <c r="D5197" t="s">
        <v>4396</v>
      </c>
      <c r="E5197">
        <v>-67.900000000000006</v>
      </c>
      <c r="F5197">
        <v>-0.01</v>
      </c>
      <c r="G5197" t="s">
        <v>12</v>
      </c>
      <c r="I5197" t="s">
        <v>1050</v>
      </c>
    </row>
    <row r="5198" spans="1:9" hidden="1" x14ac:dyDescent="0.25">
      <c r="A5198" t="s">
        <v>4352</v>
      </c>
      <c r="B5198" t="s">
        <v>120</v>
      </c>
      <c r="C5198" s="2">
        <f>HYPERLINK("https://cao.dolgi.msk.ru/account/1080261634/", 1080261634)</f>
        <v>1080261634</v>
      </c>
      <c r="D5198" t="s">
        <v>4397</v>
      </c>
      <c r="E5198">
        <v>2.74</v>
      </c>
      <c r="F5198">
        <v>0</v>
      </c>
      <c r="G5198" t="s">
        <v>12</v>
      </c>
      <c r="I5198" t="s">
        <v>1050</v>
      </c>
    </row>
    <row r="5199" spans="1:9" hidden="1" x14ac:dyDescent="0.25">
      <c r="A5199" t="s">
        <v>4352</v>
      </c>
      <c r="B5199" t="s">
        <v>120</v>
      </c>
      <c r="C5199" s="2">
        <f>HYPERLINK("https://cao.dolgi.msk.ru/account/1089125903/", 1089125903)</f>
        <v>1089125903</v>
      </c>
      <c r="D5199" t="s">
        <v>15</v>
      </c>
      <c r="E5199">
        <v>0</v>
      </c>
      <c r="F5199">
        <v>0</v>
      </c>
      <c r="G5199" t="s">
        <v>12</v>
      </c>
      <c r="I5199" t="s">
        <v>1050</v>
      </c>
    </row>
    <row r="5200" spans="1:9" hidden="1" x14ac:dyDescent="0.25">
      <c r="A5200" t="s">
        <v>4352</v>
      </c>
      <c r="B5200" t="s">
        <v>120</v>
      </c>
      <c r="C5200" s="2">
        <f>HYPERLINK("https://cao.dolgi.msk.ru/account/1089125911/", 1089125911)</f>
        <v>1089125911</v>
      </c>
      <c r="D5200" t="s">
        <v>15</v>
      </c>
      <c r="E5200">
        <v>-939.68</v>
      </c>
      <c r="F5200">
        <v>-0.35</v>
      </c>
      <c r="G5200" t="s">
        <v>12</v>
      </c>
      <c r="I5200" t="s">
        <v>1050</v>
      </c>
    </row>
    <row r="5201" spans="1:9" hidden="1" x14ac:dyDescent="0.25">
      <c r="A5201" t="s">
        <v>4352</v>
      </c>
      <c r="B5201" t="s">
        <v>122</v>
      </c>
      <c r="C5201" s="2">
        <f>HYPERLINK("https://cao.dolgi.msk.ru/account/1080261642/", 1080261642)</f>
        <v>1080261642</v>
      </c>
      <c r="D5201" t="s">
        <v>4398</v>
      </c>
      <c r="E5201">
        <v>-6734.04</v>
      </c>
      <c r="F5201">
        <v>-1.01</v>
      </c>
      <c r="G5201" t="s">
        <v>12</v>
      </c>
      <c r="I5201" t="s">
        <v>1050</v>
      </c>
    </row>
    <row r="5202" spans="1:9" hidden="1" x14ac:dyDescent="0.25">
      <c r="A5202" t="s">
        <v>4352</v>
      </c>
      <c r="B5202" t="s">
        <v>124</v>
      </c>
      <c r="C5202" s="2">
        <f>HYPERLINK("https://cao.dolgi.msk.ru/account/1080261669/", 1080261669)</f>
        <v>1080261669</v>
      </c>
      <c r="D5202" t="s">
        <v>4399</v>
      </c>
      <c r="E5202">
        <v>-98.07</v>
      </c>
      <c r="F5202">
        <v>-0.02</v>
      </c>
      <c r="G5202" t="s">
        <v>12</v>
      </c>
      <c r="I5202" t="s">
        <v>1050</v>
      </c>
    </row>
    <row r="5203" spans="1:9" hidden="1" x14ac:dyDescent="0.25">
      <c r="A5203" t="s">
        <v>4352</v>
      </c>
      <c r="B5203" t="s">
        <v>126</v>
      </c>
      <c r="C5203" s="2">
        <f>HYPERLINK("https://cao.dolgi.msk.ru/account/1080261677/", 1080261677)</f>
        <v>1080261677</v>
      </c>
      <c r="D5203" t="s">
        <v>4400</v>
      </c>
      <c r="E5203">
        <v>-5640</v>
      </c>
      <c r="F5203">
        <v>-1.04</v>
      </c>
      <c r="G5203" t="s">
        <v>12</v>
      </c>
      <c r="I5203" t="s">
        <v>1050</v>
      </c>
    </row>
    <row r="5204" spans="1:9" hidden="1" x14ac:dyDescent="0.25">
      <c r="A5204" t="s">
        <v>4352</v>
      </c>
      <c r="B5204" t="s">
        <v>128</v>
      </c>
      <c r="C5204" s="2">
        <f>HYPERLINK("https://cao.dolgi.msk.ru/account/1080261685/", 1080261685)</f>
        <v>1080261685</v>
      </c>
      <c r="D5204" t="s">
        <v>4401</v>
      </c>
      <c r="E5204">
        <v>-905.44</v>
      </c>
      <c r="F5204">
        <v>-0.12</v>
      </c>
      <c r="G5204" t="s">
        <v>12</v>
      </c>
      <c r="I5204" t="s">
        <v>1050</v>
      </c>
    </row>
    <row r="5205" spans="1:9" hidden="1" x14ac:dyDescent="0.25">
      <c r="A5205" t="s">
        <v>4352</v>
      </c>
      <c r="B5205" t="s">
        <v>130</v>
      </c>
      <c r="C5205" s="2">
        <f>HYPERLINK("https://cao.dolgi.msk.ru/account/1080261693/", 1080261693)</f>
        <v>1080261693</v>
      </c>
      <c r="D5205" t="s">
        <v>4402</v>
      </c>
      <c r="E5205">
        <v>-7575.51</v>
      </c>
      <c r="F5205">
        <v>-1.03</v>
      </c>
      <c r="G5205" t="s">
        <v>12</v>
      </c>
      <c r="I5205" t="s">
        <v>1050</v>
      </c>
    </row>
    <row r="5206" spans="1:9" hidden="1" x14ac:dyDescent="0.25">
      <c r="A5206" t="s">
        <v>4352</v>
      </c>
      <c r="B5206" t="s">
        <v>132</v>
      </c>
      <c r="C5206" s="2">
        <f>HYPERLINK("https://cao.dolgi.msk.ru/account/1080261706/", 1080261706)</f>
        <v>1080261706</v>
      </c>
      <c r="D5206" t="s">
        <v>4403</v>
      </c>
      <c r="E5206">
        <v>-5243.29</v>
      </c>
      <c r="F5206">
        <v>-1.01</v>
      </c>
      <c r="G5206" t="s">
        <v>12</v>
      </c>
      <c r="I5206" t="s">
        <v>1050</v>
      </c>
    </row>
    <row r="5207" spans="1:9" hidden="1" x14ac:dyDescent="0.25">
      <c r="A5207" t="s">
        <v>4352</v>
      </c>
      <c r="B5207" t="s">
        <v>133</v>
      </c>
      <c r="C5207" s="2">
        <f>HYPERLINK("https://cao.dolgi.msk.ru/account/1080261714/", 1080261714)</f>
        <v>1080261714</v>
      </c>
      <c r="D5207" t="s">
        <v>4404</v>
      </c>
      <c r="E5207">
        <v>0</v>
      </c>
      <c r="F5207">
        <v>0</v>
      </c>
      <c r="G5207" t="s">
        <v>12</v>
      </c>
      <c r="I5207" t="s">
        <v>1050</v>
      </c>
    </row>
    <row r="5208" spans="1:9" hidden="1" x14ac:dyDescent="0.25">
      <c r="A5208" t="s">
        <v>4352</v>
      </c>
      <c r="B5208" t="s">
        <v>135</v>
      </c>
      <c r="C5208" s="2">
        <f>HYPERLINK("https://cao.dolgi.msk.ru/account/1080261722/", 1080261722)</f>
        <v>1080261722</v>
      </c>
      <c r="D5208" t="s">
        <v>4397</v>
      </c>
      <c r="E5208">
        <v>-6361.87</v>
      </c>
      <c r="F5208">
        <v>-0.97</v>
      </c>
      <c r="G5208" t="s">
        <v>12</v>
      </c>
      <c r="I5208" t="s">
        <v>1050</v>
      </c>
    </row>
    <row r="5209" spans="1:9" hidden="1" x14ac:dyDescent="0.25">
      <c r="A5209" t="s">
        <v>4352</v>
      </c>
      <c r="B5209" t="s">
        <v>137</v>
      </c>
      <c r="C5209" s="2">
        <f>HYPERLINK("https://cao.dolgi.msk.ru/account/1080261749/", 1080261749)</f>
        <v>1080261749</v>
      </c>
      <c r="D5209" t="s">
        <v>4405</v>
      </c>
      <c r="E5209">
        <v>-9720.1299999999992</v>
      </c>
      <c r="F5209">
        <v>-0.83</v>
      </c>
      <c r="G5209" t="s">
        <v>12</v>
      </c>
      <c r="I5209" t="s">
        <v>1050</v>
      </c>
    </row>
    <row r="5210" spans="1:9" hidden="1" x14ac:dyDescent="0.25">
      <c r="A5210" t="s">
        <v>4352</v>
      </c>
      <c r="B5210" t="s">
        <v>139</v>
      </c>
      <c r="C5210" s="2">
        <f>HYPERLINK("https://cao.dolgi.msk.ru/account/1080261757/", 1080261757)</f>
        <v>1080261757</v>
      </c>
      <c r="D5210" t="s">
        <v>4406</v>
      </c>
      <c r="E5210">
        <v>-11340.55</v>
      </c>
      <c r="F5210">
        <v>-2.0499999999999998</v>
      </c>
      <c r="G5210" t="s">
        <v>12</v>
      </c>
      <c r="I5210" t="s">
        <v>1050</v>
      </c>
    </row>
    <row r="5211" spans="1:9" hidden="1" x14ac:dyDescent="0.25">
      <c r="A5211" t="s">
        <v>4352</v>
      </c>
      <c r="B5211" t="s">
        <v>141</v>
      </c>
      <c r="C5211" s="2">
        <f>HYPERLINK("https://cao.dolgi.msk.ru/account/1080261765/", 1080261765)</f>
        <v>1080261765</v>
      </c>
      <c r="D5211" t="s">
        <v>4407</v>
      </c>
      <c r="E5211">
        <v>-3974.61</v>
      </c>
      <c r="F5211">
        <v>-0.94</v>
      </c>
      <c r="G5211" t="s">
        <v>12</v>
      </c>
      <c r="I5211" t="s">
        <v>1050</v>
      </c>
    </row>
    <row r="5212" spans="1:9" hidden="1" x14ac:dyDescent="0.25">
      <c r="A5212" t="s">
        <v>4352</v>
      </c>
      <c r="B5212" t="s">
        <v>143</v>
      </c>
      <c r="C5212" s="2">
        <f>HYPERLINK("https://cao.dolgi.msk.ru/account/1080261773/", 1080261773)</f>
        <v>1080261773</v>
      </c>
      <c r="D5212" t="s">
        <v>4408</v>
      </c>
      <c r="E5212">
        <v>-8822.4699999999993</v>
      </c>
      <c r="F5212">
        <v>-0.98</v>
      </c>
      <c r="G5212" t="s">
        <v>12</v>
      </c>
      <c r="I5212" t="s">
        <v>1050</v>
      </c>
    </row>
    <row r="5213" spans="1:9" hidden="1" x14ac:dyDescent="0.25">
      <c r="A5213" t="s">
        <v>4352</v>
      </c>
      <c r="B5213" t="s">
        <v>145</v>
      </c>
      <c r="C5213" s="2">
        <f>HYPERLINK("https://cao.dolgi.msk.ru/account/1080261781/", 1080261781)</f>
        <v>1080261781</v>
      </c>
      <c r="D5213" t="s">
        <v>4409</v>
      </c>
      <c r="E5213">
        <v>-8715.3700000000008</v>
      </c>
      <c r="F5213">
        <v>-1.1000000000000001</v>
      </c>
      <c r="G5213" t="s">
        <v>12</v>
      </c>
      <c r="I5213" t="s">
        <v>1050</v>
      </c>
    </row>
    <row r="5214" spans="1:9" hidden="1" x14ac:dyDescent="0.25">
      <c r="A5214" t="s">
        <v>4352</v>
      </c>
      <c r="B5214" t="s">
        <v>147</v>
      </c>
      <c r="C5214" s="2">
        <f>HYPERLINK("https://cao.dolgi.msk.ru/account/1080261802/", 1080261802)</f>
        <v>1080261802</v>
      </c>
      <c r="D5214" t="s">
        <v>4410</v>
      </c>
      <c r="E5214">
        <v>-4023.98</v>
      </c>
      <c r="F5214">
        <v>-1.05</v>
      </c>
      <c r="G5214" t="s">
        <v>12</v>
      </c>
      <c r="I5214" t="s">
        <v>1050</v>
      </c>
    </row>
    <row r="5215" spans="1:9" hidden="1" x14ac:dyDescent="0.25">
      <c r="A5215" t="s">
        <v>4352</v>
      </c>
      <c r="B5215" t="s">
        <v>149</v>
      </c>
      <c r="C5215" s="2">
        <f>HYPERLINK("https://cao.dolgi.msk.ru/account/1080261829/", 1080261829)</f>
        <v>1080261829</v>
      </c>
      <c r="D5215" t="s">
        <v>4411</v>
      </c>
      <c r="E5215">
        <v>-1644.7</v>
      </c>
      <c r="F5215">
        <v>-0.3</v>
      </c>
      <c r="G5215" t="s">
        <v>12</v>
      </c>
      <c r="I5215" t="s">
        <v>1050</v>
      </c>
    </row>
    <row r="5216" spans="1:9" hidden="1" x14ac:dyDescent="0.25">
      <c r="A5216" t="s">
        <v>4352</v>
      </c>
      <c r="B5216" t="s">
        <v>151</v>
      </c>
      <c r="C5216" s="2">
        <f>HYPERLINK("https://cao.dolgi.msk.ru/account/1080261837/", 1080261837)</f>
        <v>1080261837</v>
      </c>
      <c r="D5216" t="s">
        <v>4412</v>
      </c>
      <c r="E5216">
        <v>-6382.53</v>
      </c>
      <c r="F5216">
        <v>-0.98</v>
      </c>
      <c r="G5216" t="s">
        <v>12</v>
      </c>
      <c r="I5216" t="s">
        <v>1050</v>
      </c>
    </row>
    <row r="5217" spans="1:9" hidden="1" x14ac:dyDescent="0.25">
      <c r="A5217" t="s">
        <v>4352</v>
      </c>
      <c r="B5217" t="s">
        <v>153</v>
      </c>
      <c r="C5217" s="2">
        <f>HYPERLINK("https://cao.dolgi.msk.ru/account/1080261845/", 1080261845)</f>
        <v>1080261845</v>
      </c>
      <c r="D5217" t="s">
        <v>4413</v>
      </c>
      <c r="E5217">
        <v>-164.98</v>
      </c>
      <c r="F5217">
        <v>-0.03</v>
      </c>
      <c r="G5217" t="s">
        <v>12</v>
      </c>
      <c r="I5217" t="s">
        <v>1050</v>
      </c>
    </row>
    <row r="5218" spans="1:9" hidden="1" x14ac:dyDescent="0.25">
      <c r="A5218" t="s">
        <v>4414</v>
      </c>
      <c r="B5218" t="s">
        <v>155</v>
      </c>
      <c r="C5218" s="2">
        <f>HYPERLINK("https://cao.dolgi.msk.ru/account/1080261853/", 1080261853)</f>
        <v>1080261853</v>
      </c>
      <c r="D5218" t="s">
        <v>4415</v>
      </c>
      <c r="E5218">
        <v>-7214.37</v>
      </c>
      <c r="F5218">
        <v>-1.01</v>
      </c>
      <c r="G5218" t="s">
        <v>12</v>
      </c>
      <c r="I5218" t="s">
        <v>1050</v>
      </c>
    </row>
    <row r="5219" spans="1:9" hidden="1" x14ac:dyDescent="0.25">
      <c r="A5219" t="s">
        <v>4414</v>
      </c>
      <c r="B5219" t="s">
        <v>157</v>
      </c>
      <c r="C5219" s="2">
        <f>HYPERLINK("https://cao.dolgi.msk.ru/account/1080261861/", 1080261861)</f>
        <v>1080261861</v>
      </c>
      <c r="D5219" t="s">
        <v>4416</v>
      </c>
      <c r="E5219">
        <v>-3167.82</v>
      </c>
      <c r="F5219">
        <v>-1.02</v>
      </c>
      <c r="G5219" t="s">
        <v>12</v>
      </c>
      <c r="H5219" t="s">
        <v>7</v>
      </c>
      <c r="I5219" t="s">
        <v>1050</v>
      </c>
    </row>
    <row r="5220" spans="1:9" x14ac:dyDescent="0.25">
      <c r="A5220" t="s">
        <v>4414</v>
      </c>
      <c r="B5220" t="s">
        <v>157</v>
      </c>
      <c r="C5220" s="2">
        <f>HYPERLINK("https://cao.dolgi.msk.ru/account/1080261888/", 1080261888)</f>
        <v>1080261888</v>
      </c>
      <c r="D5220" t="s">
        <v>4416</v>
      </c>
      <c r="E5220">
        <v>12966.08</v>
      </c>
      <c r="F5220">
        <v>7.2</v>
      </c>
      <c r="G5220" t="s">
        <v>12</v>
      </c>
      <c r="H5220" t="s">
        <v>7</v>
      </c>
      <c r="I5220" t="s">
        <v>1050</v>
      </c>
    </row>
    <row r="5221" spans="1:9" hidden="1" x14ac:dyDescent="0.25">
      <c r="A5221" t="s">
        <v>4414</v>
      </c>
      <c r="B5221" t="s">
        <v>159</v>
      </c>
      <c r="C5221" s="2">
        <f>HYPERLINK("https://cao.dolgi.msk.ru/account/1080261896/", 1080261896)</f>
        <v>1080261896</v>
      </c>
      <c r="D5221" t="s">
        <v>4417</v>
      </c>
      <c r="E5221">
        <v>-8319.27</v>
      </c>
      <c r="F5221">
        <v>-0.92</v>
      </c>
      <c r="G5221" t="s">
        <v>12</v>
      </c>
      <c r="I5221" t="s">
        <v>1050</v>
      </c>
    </row>
    <row r="5222" spans="1:9" hidden="1" x14ac:dyDescent="0.25">
      <c r="A5222" t="s">
        <v>4414</v>
      </c>
      <c r="B5222" t="s">
        <v>161</v>
      </c>
      <c r="C5222" s="2">
        <f>HYPERLINK("https://cao.dolgi.msk.ru/account/1080261909/", 1080261909)</f>
        <v>1080261909</v>
      </c>
      <c r="D5222" t="s">
        <v>4418</v>
      </c>
      <c r="E5222">
        <v>-1741.67</v>
      </c>
      <c r="F5222">
        <v>-0.26</v>
      </c>
      <c r="G5222" t="s">
        <v>12</v>
      </c>
      <c r="I5222" t="s">
        <v>1050</v>
      </c>
    </row>
    <row r="5223" spans="1:9" hidden="1" x14ac:dyDescent="0.25">
      <c r="A5223" t="s">
        <v>4414</v>
      </c>
      <c r="B5223" t="s">
        <v>163</v>
      </c>
      <c r="C5223" s="2">
        <f>HYPERLINK("https://cao.dolgi.msk.ru/account/1080261917/", 1080261917)</f>
        <v>1080261917</v>
      </c>
      <c r="D5223" t="s">
        <v>4419</v>
      </c>
      <c r="E5223">
        <v>-490.23</v>
      </c>
      <c r="F5223">
        <v>-7.0000000000000007E-2</v>
      </c>
      <c r="G5223" t="s">
        <v>12</v>
      </c>
      <c r="I5223" t="s">
        <v>1050</v>
      </c>
    </row>
    <row r="5224" spans="1:9" hidden="1" x14ac:dyDescent="0.25">
      <c r="A5224" t="s">
        <v>4414</v>
      </c>
      <c r="B5224" t="s">
        <v>571</v>
      </c>
      <c r="C5224" s="2">
        <f>HYPERLINK("https://cao.dolgi.msk.ru/account/1080261925/", 1080261925)</f>
        <v>1080261925</v>
      </c>
      <c r="D5224" t="s">
        <v>4420</v>
      </c>
      <c r="E5224">
        <v>-12585.76</v>
      </c>
      <c r="F5224">
        <v>-1.91</v>
      </c>
      <c r="G5224" t="s">
        <v>12</v>
      </c>
      <c r="I5224" t="s">
        <v>1050</v>
      </c>
    </row>
    <row r="5225" spans="1:9" hidden="1" x14ac:dyDescent="0.25">
      <c r="A5225" t="s">
        <v>4414</v>
      </c>
      <c r="B5225" t="s">
        <v>682</v>
      </c>
      <c r="C5225" s="2">
        <f>HYPERLINK("https://cao.dolgi.msk.ru/account/1080261933/", 1080261933)</f>
        <v>1080261933</v>
      </c>
      <c r="D5225" t="s">
        <v>4421</v>
      </c>
      <c r="E5225">
        <v>0</v>
      </c>
      <c r="F5225">
        <v>0</v>
      </c>
      <c r="G5225" t="s">
        <v>12</v>
      </c>
      <c r="I5225" t="s">
        <v>1050</v>
      </c>
    </row>
    <row r="5226" spans="1:9" hidden="1" x14ac:dyDescent="0.25">
      <c r="A5226" t="s">
        <v>4414</v>
      </c>
      <c r="B5226" t="s">
        <v>578</v>
      </c>
      <c r="C5226" s="2">
        <f>HYPERLINK("https://cao.dolgi.msk.ru/account/1080261941/", 1080261941)</f>
        <v>1080261941</v>
      </c>
      <c r="D5226" t="s">
        <v>4422</v>
      </c>
      <c r="E5226">
        <v>-5648.74</v>
      </c>
      <c r="F5226">
        <v>-1.01</v>
      </c>
      <c r="G5226" t="s">
        <v>12</v>
      </c>
      <c r="I5226" t="s">
        <v>1050</v>
      </c>
    </row>
    <row r="5227" spans="1:9" hidden="1" x14ac:dyDescent="0.25">
      <c r="A5227" t="s">
        <v>4414</v>
      </c>
      <c r="B5227" t="s">
        <v>580</v>
      </c>
      <c r="C5227" s="2">
        <f>HYPERLINK("https://cao.dolgi.msk.ru/account/1080261968/", 1080261968)</f>
        <v>1080261968</v>
      </c>
      <c r="D5227" t="s">
        <v>4423</v>
      </c>
      <c r="E5227">
        <v>-6460.01</v>
      </c>
      <c r="F5227">
        <v>-1.03</v>
      </c>
      <c r="G5227" t="s">
        <v>12</v>
      </c>
      <c r="I5227" t="s">
        <v>1050</v>
      </c>
    </row>
    <row r="5228" spans="1:9" hidden="1" x14ac:dyDescent="0.25">
      <c r="A5228" t="s">
        <v>4414</v>
      </c>
      <c r="B5228" t="s">
        <v>686</v>
      </c>
      <c r="C5228" s="2">
        <f>HYPERLINK("https://cao.dolgi.msk.ru/account/1080261976/", 1080261976)</f>
        <v>1080261976</v>
      </c>
      <c r="D5228" t="s">
        <v>15</v>
      </c>
      <c r="E5228">
        <v>-8171.2</v>
      </c>
      <c r="F5228">
        <v>-1.02</v>
      </c>
      <c r="G5228" t="s">
        <v>12</v>
      </c>
      <c r="I5228" t="s">
        <v>1050</v>
      </c>
    </row>
    <row r="5229" spans="1:9" hidden="1" x14ac:dyDescent="0.25">
      <c r="A5229" t="s">
        <v>4414</v>
      </c>
      <c r="B5229" t="s">
        <v>582</v>
      </c>
      <c r="C5229" s="2">
        <f>HYPERLINK("https://cao.dolgi.msk.ru/account/1080261984/", 1080261984)</f>
        <v>1080261984</v>
      </c>
      <c r="D5229" t="s">
        <v>4424</v>
      </c>
      <c r="E5229">
        <v>-5647.05</v>
      </c>
      <c r="F5229">
        <v>-1.01</v>
      </c>
      <c r="G5229" t="s">
        <v>12</v>
      </c>
      <c r="I5229" t="s">
        <v>1050</v>
      </c>
    </row>
    <row r="5230" spans="1:9" hidden="1" x14ac:dyDescent="0.25">
      <c r="A5230" t="s">
        <v>4414</v>
      </c>
      <c r="B5230" t="s">
        <v>584</v>
      </c>
      <c r="C5230" s="2">
        <f>HYPERLINK("https://cao.dolgi.msk.ru/account/1080261992/", 1080261992)</f>
        <v>1080261992</v>
      </c>
      <c r="D5230" t="s">
        <v>4425</v>
      </c>
      <c r="E5230">
        <v>96.96</v>
      </c>
      <c r="F5230">
        <v>0.01</v>
      </c>
      <c r="G5230" t="s">
        <v>12</v>
      </c>
      <c r="I5230" t="s">
        <v>1050</v>
      </c>
    </row>
    <row r="5231" spans="1:9" hidden="1" x14ac:dyDescent="0.25">
      <c r="A5231" t="s">
        <v>4414</v>
      </c>
      <c r="B5231" t="s">
        <v>586</v>
      </c>
      <c r="C5231" s="2">
        <f>HYPERLINK("https://cao.dolgi.msk.ru/account/1080262004/", 1080262004)</f>
        <v>1080262004</v>
      </c>
      <c r="D5231" t="s">
        <v>4426</v>
      </c>
      <c r="E5231">
        <v>-7308.91</v>
      </c>
      <c r="F5231">
        <v>-0.96</v>
      </c>
      <c r="G5231" t="s">
        <v>12</v>
      </c>
      <c r="I5231" t="s">
        <v>1050</v>
      </c>
    </row>
    <row r="5232" spans="1:9" hidden="1" x14ac:dyDescent="0.25">
      <c r="A5232" t="s">
        <v>4414</v>
      </c>
      <c r="B5232" t="s">
        <v>588</v>
      </c>
      <c r="C5232" s="2">
        <f>HYPERLINK("https://cao.dolgi.msk.ru/account/1080262012/", 1080262012)</f>
        <v>1080262012</v>
      </c>
      <c r="D5232" t="s">
        <v>4427</v>
      </c>
      <c r="E5232">
        <v>0</v>
      </c>
      <c r="F5232">
        <v>0</v>
      </c>
      <c r="G5232" t="s">
        <v>12</v>
      </c>
      <c r="I5232" t="s">
        <v>1050</v>
      </c>
    </row>
    <row r="5233" spans="1:9" hidden="1" x14ac:dyDescent="0.25">
      <c r="A5233" t="s">
        <v>4414</v>
      </c>
      <c r="B5233" t="s">
        <v>590</v>
      </c>
      <c r="C5233" s="2">
        <f>HYPERLINK("https://cao.dolgi.msk.ru/account/1080262039/", 1080262039)</f>
        <v>1080262039</v>
      </c>
      <c r="D5233" t="s">
        <v>4428</v>
      </c>
      <c r="E5233">
        <v>2291.6999999999998</v>
      </c>
      <c r="F5233">
        <v>0.35</v>
      </c>
      <c r="G5233" t="s">
        <v>12</v>
      </c>
      <c r="I5233" t="s">
        <v>1050</v>
      </c>
    </row>
    <row r="5234" spans="1:9" hidden="1" x14ac:dyDescent="0.25">
      <c r="A5234" t="s">
        <v>4414</v>
      </c>
      <c r="B5234" t="s">
        <v>693</v>
      </c>
      <c r="C5234" s="2">
        <f>HYPERLINK("https://cao.dolgi.msk.ru/account/1080262047/", 1080262047)</f>
        <v>1080262047</v>
      </c>
      <c r="D5234" t="s">
        <v>4429</v>
      </c>
      <c r="E5234">
        <v>-4428.25</v>
      </c>
      <c r="F5234">
        <v>-1.02</v>
      </c>
      <c r="G5234" t="s">
        <v>12</v>
      </c>
      <c r="I5234" t="s">
        <v>1050</v>
      </c>
    </row>
    <row r="5235" spans="1:9" hidden="1" x14ac:dyDescent="0.25">
      <c r="A5235" t="s">
        <v>4414</v>
      </c>
      <c r="B5235" t="s">
        <v>694</v>
      </c>
      <c r="C5235" s="2">
        <f>HYPERLINK("https://cao.dolgi.msk.ru/account/1080262055/", 1080262055)</f>
        <v>1080262055</v>
      </c>
      <c r="D5235" t="s">
        <v>4430</v>
      </c>
      <c r="E5235">
        <v>-11545.86</v>
      </c>
      <c r="F5235">
        <v>-1.23</v>
      </c>
      <c r="G5235" t="s">
        <v>12</v>
      </c>
      <c r="I5235" t="s">
        <v>1050</v>
      </c>
    </row>
    <row r="5236" spans="1:9" hidden="1" x14ac:dyDescent="0.25">
      <c r="A5236" t="s">
        <v>4414</v>
      </c>
      <c r="B5236" t="s">
        <v>696</v>
      </c>
      <c r="C5236" s="2">
        <f>HYPERLINK("https://cao.dolgi.msk.ru/account/1080262063/", 1080262063)</f>
        <v>1080262063</v>
      </c>
      <c r="D5236" t="s">
        <v>4431</v>
      </c>
      <c r="E5236">
        <v>0</v>
      </c>
      <c r="F5236">
        <v>0</v>
      </c>
      <c r="G5236" t="s">
        <v>12</v>
      </c>
      <c r="I5236" t="s">
        <v>1050</v>
      </c>
    </row>
    <row r="5237" spans="1:9" hidden="1" x14ac:dyDescent="0.25">
      <c r="A5237" t="s">
        <v>4414</v>
      </c>
      <c r="B5237" t="s">
        <v>698</v>
      </c>
      <c r="C5237" s="2">
        <f>HYPERLINK("https://cao.dolgi.msk.ru/account/1080262071/", 1080262071)</f>
        <v>1080262071</v>
      </c>
      <c r="D5237" t="s">
        <v>4432</v>
      </c>
      <c r="E5237">
        <v>-3669.84</v>
      </c>
      <c r="F5237">
        <v>-1.03</v>
      </c>
      <c r="G5237" t="s">
        <v>12</v>
      </c>
      <c r="H5237" t="s">
        <v>7</v>
      </c>
      <c r="I5237" t="s">
        <v>1050</v>
      </c>
    </row>
    <row r="5238" spans="1:9" x14ac:dyDescent="0.25">
      <c r="A5238" t="s">
        <v>4414</v>
      </c>
      <c r="B5238" t="s">
        <v>698</v>
      </c>
      <c r="C5238" s="2">
        <f>HYPERLINK("https://cao.dolgi.msk.ru/account/1080262098/", 1080262098)</f>
        <v>1080262098</v>
      </c>
      <c r="D5238" t="s">
        <v>15</v>
      </c>
      <c r="E5238">
        <v>132538.26</v>
      </c>
      <c r="F5238">
        <v>75.7</v>
      </c>
      <c r="G5238" t="s">
        <v>12</v>
      </c>
      <c r="H5238" t="s">
        <v>7</v>
      </c>
      <c r="I5238" t="s">
        <v>1050</v>
      </c>
    </row>
    <row r="5239" spans="1:9" hidden="1" x14ac:dyDescent="0.25">
      <c r="A5239" t="s">
        <v>4414</v>
      </c>
      <c r="B5239" t="s">
        <v>698</v>
      </c>
      <c r="C5239" s="2">
        <f>HYPERLINK("https://cao.dolgi.msk.ru/account/1080262143/", 1080262143)</f>
        <v>1080262143</v>
      </c>
      <c r="D5239" t="s">
        <v>4432</v>
      </c>
      <c r="E5239">
        <v>-2579.0700000000002</v>
      </c>
      <c r="F5239">
        <v>-1.01</v>
      </c>
      <c r="G5239" t="s">
        <v>12</v>
      </c>
      <c r="H5239" t="s">
        <v>7</v>
      </c>
      <c r="I5239" t="s">
        <v>1050</v>
      </c>
    </row>
    <row r="5240" spans="1:9" hidden="1" x14ac:dyDescent="0.25">
      <c r="A5240" t="s">
        <v>4414</v>
      </c>
      <c r="B5240" t="s">
        <v>700</v>
      </c>
      <c r="C5240" s="2">
        <f>HYPERLINK("https://cao.dolgi.msk.ru/account/1080262119/", 1080262119)</f>
        <v>1080262119</v>
      </c>
      <c r="D5240" t="s">
        <v>4433</v>
      </c>
      <c r="E5240">
        <v>-5467.46</v>
      </c>
      <c r="F5240">
        <v>-1.01</v>
      </c>
      <c r="G5240" t="s">
        <v>12</v>
      </c>
      <c r="I5240" t="s">
        <v>1050</v>
      </c>
    </row>
    <row r="5241" spans="1:9" hidden="1" x14ac:dyDescent="0.25">
      <c r="A5241" t="s">
        <v>4414</v>
      </c>
      <c r="B5241" t="s">
        <v>702</v>
      </c>
      <c r="C5241" s="2">
        <f>HYPERLINK("https://cao.dolgi.msk.ru/account/1080262127/", 1080262127)</f>
        <v>1080262127</v>
      </c>
      <c r="D5241" t="s">
        <v>4434</v>
      </c>
      <c r="E5241">
        <v>-1214.56</v>
      </c>
      <c r="F5241">
        <v>-15.04</v>
      </c>
      <c r="G5241" t="s">
        <v>12</v>
      </c>
      <c r="H5241" t="s">
        <v>7</v>
      </c>
      <c r="I5241" t="s">
        <v>1050</v>
      </c>
    </row>
    <row r="5242" spans="1:9" hidden="1" x14ac:dyDescent="0.25">
      <c r="A5242" t="s">
        <v>4414</v>
      </c>
      <c r="B5242" t="s">
        <v>702</v>
      </c>
      <c r="C5242" s="2">
        <f>HYPERLINK("https://cao.dolgi.msk.ru/account/1080262135/", 1080262135)</f>
        <v>1080262135</v>
      </c>
      <c r="D5242" t="s">
        <v>4435</v>
      </c>
      <c r="E5242">
        <v>-2688.07</v>
      </c>
      <c r="F5242">
        <v>-1.31</v>
      </c>
      <c r="G5242" t="s">
        <v>12</v>
      </c>
      <c r="H5242" t="s">
        <v>7</v>
      </c>
      <c r="I5242" t="s">
        <v>1050</v>
      </c>
    </row>
    <row r="5243" spans="1:9" hidden="1" x14ac:dyDescent="0.25">
      <c r="A5243" t="s">
        <v>4414</v>
      </c>
      <c r="B5243" t="s">
        <v>703</v>
      </c>
      <c r="C5243" s="2">
        <f>HYPERLINK("https://cao.dolgi.msk.ru/account/1080262151/", 1080262151)</f>
        <v>1080262151</v>
      </c>
      <c r="D5243" t="s">
        <v>4436</v>
      </c>
      <c r="E5243">
        <v>-12981.48</v>
      </c>
      <c r="F5243">
        <v>-4.07</v>
      </c>
      <c r="G5243" t="s">
        <v>12</v>
      </c>
      <c r="H5243" t="s">
        <v>7</v>
      </c>
      <c r="I5243" t="s">
        <v>1050</v>
      </c>
    </row>
    <row r="5244" spans="1:9" hidden="1" x14ac:dyDescent="0.25">
      <c r="A5244" t="s">
        <v>4414</v>
      </c>
      <c r="B5244" t="s">
        <v>703</v>
      </c>
      <c r="C5244" s="2">
        <f>HYPERLINK("https://cao.dolgi.msk.ru/account/1080320593/", 1080320593)</f>
        <v>1080320593</v>
      </c>
      <c r="D5244" t="s">
        <v>4436</v>
      </c>
      <c r="E5244">
        <v>-2877.45</v>
      </c>
      <c r="F5244">
        <v>-1.08</v>
      </c>
      <c r="G5244" t="s">
        <v>12</v>
      </c>
      <c r="H5244" t="s">
        <v>7</v>
      </c>
      <c r="I5244" t="s">
        <v>1050</v>
      </c>
    </row>
    <row r="5245" spans="1:9" hidden="1" x14ac:dyDescent="0.25">
      <c r="A5245" t="s">
        <v>4414</v>
      </c>
      <c r="B5245" t="s">
        <v>705</v>
      </c>
      <c r="C5245" s="2">
        <f>HYPERLINK("https://cao.dolgi.msk.ru/account/1080262178/", 1080262178)</f>
        <v>1080262178</v>
      </c>
      <c r="D5245" t="s">
        <v>4437</v>
      </c>
      <c r="E5245">
        <v>-12858.53</v>
      </c>
      <c r="F5245">
        <v>-1.01</v>
      </c>
      <c r="G5245" t="s">
        <v>12</v>
      </c>
      <c r="I5245" t="s">
        <v>1050</v>
      </c>
    </row>
    <row r="5246" spans="1:9" hidden="1" x14ac:dyDescent="0.25">
      <c r="A5246" t="s">
        <v>4414</v>
      </c>
      <c r="B5246" t="s">
        <v>705</v>
      </c>
      <c r="C5246" s="2">
        <f>HYPERLINK("https://cao.dolgi.msk.ru/account/1089127087/", 1089127087)</f>
        <v>1089127087</v>
      </c>
      <c r="D5246" t="s">
        <v>15</v>
      </c>
      <c r="E5246">
        <v>0</v>
      </c>
      <c r="G5246" t="s">
        <v>14</v>
      </c>
      <c r="I5246" t="s">
        <v>1050</v>
      </c>
    </row>
    <row r="5247" spans="1:9" hidden="1" x14ac:dyDescent="0.25">
      <c r="A5247" t="s">
        <v>4414</v>
      </c>
      <c r="B5247" t="s">
        <v>707</v>
      </c>
      <c r="C5247" s="2">
        <f>HYPERLINK("https://cao.dolgi.msk.ru/account/1080262186/", 1080262186)</f>
        <v>1080262186</v>
      </c>
      <c r="D5247" t="s">
        <v>4438</v>
      </c>
      <c r="E5247">
        <v>-12235.01</v>
      </c>
      <c r="F5247">
        <v>-2.0099999999999998</v>
      </c>
      <c r="G5247" t="s">
        <v>12</v>
      </c>
      <c r="I5247" t="s">
        <v>1050</v>
      </c>
    </row>
    <row r="5248" spans="1:9" hidden="1" x14ac:dyDescent="0.25">
      <c r="A5248" t="s">
        <v>4414</v>
      </c>
      <c r="B5248" t="s">
        <v>709</v>
      </c>
      <c r="C5248" s="2">
        <f>HYPERLINK("https://cao.dolgi.msk.ru/account/1080262194/", 1080262194)</f>
        <v>1080262194</v>
      </c>
      <c r="D5248" t="s">
        <v>4439</v>
      </c>
      <c r="E5248">
        <v>-7218.28</v>
      </c>
      <c r="F5248">
        <v>-1</v>
      </c>
      <c r="G5248" t="s">
        <v>12</v>
      </c>
      <c r="I5248" t="s">
        <v>1050</v>
      </c>
    </row>
    <row r="5249" spans="1:9" x14ac:dyDescent="0.25">
      <c r="A5249" t="s">
        <v>4414</v>
      </c>
      <c r="B5249" t="s">
        <v>711</v>
      </c>
      <c r="C5249" s="2">
        <f>HYPERLINK("https://cao.dolgi.msk.ru/account/1080262207/", 1080262207)</f>
        <v>1080262207</v>
      </c>
      <c r="D5249" t="s">
        <v>4440</v>
      </c>
      <c r="E5249">
        <v>14816.71</v>
      </c>
      <c r="F5249">
        <v>1.46</v>
      </c>
      <c r="G5249" t="s">
        <v>12</v>
      </c>
      <c r="I5249" t="s">
        <v>1050</v>
      </c>
    </row>
    <row r="5250" spans="1:9" hidden="1" x14ac:dyDescent="0.25">
      <c r="A5250" t="s">
        <v>4414</v>
      </c>
      <c r="B5250" t="s">
        <v>713</v>
      </c>
      <c r="C5250" s="2">
        <f>HYPERLINK("https://cao.dolgi.msk.ru/account/1080262215/", 1080262215)</f>
        <v>1080262215</v>
      </c>
      <c r="D5250" t="s">
        <v>4441</v>
      </c>
      <c r="E5250">
        <v>38.799999999999997</v>
      </c>
      <c r="F5250">
        <v>0.01</v>
      </c>
      <c r="G5250" t="s">
        <v>12</v>
      </c>
      <c r="I5250" t="s">
        <v>1050</v>
      </c>
    </row>
    <row r="5251" spans="1:9" hidden="1" x14ac:dyDescent="0.25">
      <c r="A5251" t="s">
        <v>4414</v>
      </c>
      <c r="B5251" t="s">
        <v>528</v>
      </c>
      <c r="C5251" s="2">
        <f>HYPERLINK("https://cao.dolgi.msk.ru/account/1080262223/", 1080262223)</f>
        <v>1080262223</v>
      </c>
      <c r="D5251" t="s">
        <v>4442</v>
      </c>
      <c r="E5251">
        <v>-6069.32</v>
      </c>
      <c r="F5251">
        <v>-0.8</v>
      </c>
      <c r="G5251" t="s">
        <v>12</v>
      </c>
      <c r="I5251" t="s">
        <v>1050</v>
      </c>
    </row>
    <row r="5252" spans="1:9" hidden="1" x14ac:dyDescent="0.25">
      <c r="A5252" t="s">
        <v>4414</v>
      </c>
      <c r="B5252" t="s">
        <v>530</v>
      </c>
      <c r="C5252" s="2">
        <f>HYPERLINK("https://cao.dolgi.msk.ru/account/1080262231/", 1080262231)</f>
        <v>1080262231</v>
      </c>
      <c r="D5252" t="s">
        <v>4443</v>
      </c>
      <c r="E5252">
        <v>-5090.88</v>
      </c>
      <c r="F5252">
        <v>-1.05</v>
      </c>
      <c r="G5252" t="s">
        <v>12</v>
      </c>
      <c r="I5252" t="s">
        <v>1050</v>
      </c>
    </row>
    <row r="5253" spans="1:9" hidden="1" x14ac:dyDescent="0.25">
      <c r="A5253" t="s">
        <v>4414</v>
      </c>
      <c r="B5253" t="s">
        <v>532</v>
      </c>
      <c r="C5253" s="2">
        <f>HYPERLINK("https://cao.dolgi.msk.ru/account/1080262258/", 1080262258)</f>
        <v>1080262258</v>
      </c>
      <c r="D5253" t="s">
        <v>4444</v>
      </c>
      <c r="E5253">
        <v>-8212.7000000000007</v>
      </c>
      <c r="F5253">
        <v>-1.07</v>
      </c>
      <c r="G5253" t="s">
        <v>12</v>
      </c>
      <c r="I5253" t="s">
        <v>1050</v>
      </c>
    </row>
    <row r="5254" spans="1:9" hidden="1" x14ac:dyDescent="0.25">
      <c r="A5254" t="s">
        <v>4414</v>
      </c>
      <c r="B5254" t="s">
        <v>534</v>
      </c>
      <c r="C5254" s="2">
        <f>HYPERLINK("https://cao.dolgi.msk.ru/account/1080262266/", 1080262266)</f>
        <v>1080262266</v>
      </c>
      <c r="D5254" t="s">
        <v>4445</v>
      </c>
      <c r="E5254">
        <v>-17365.39</v>
      </c>
      <c r="F5254">
        <v>-1.95</v>
      </c>
      <c r="G5254" t="s">
        <v>12</v>
      </c>
      <c r="I5254" t="s">
        <v>1050</v>
      </c>
    </row>
    <row r="5255" spans="1:9" hidden="1" x14ac:dyDescent="0.25">
      <c r="A5255" t="s">
        <v>4414</v>
      </c>
      <c r="B5255" t="s">
        <v>536</v>
      </c>
      <c r="C5255" s="2">
        <f>HYPERLINK("https://cao.dolgi.msk.ru/account/1080262274/", 1080262274)</f>
        <v>1080262274</v>
      </c>
      <c r="D5255" t="s">
        <v>4446</v>
      </c>
      <c r="E5255">
        <v>-38.799999999999997</v>
      </c>
      <c r="F5255">
        <v>0</v>
      </c>
      <c r="G5255" t="s">
        <v>12</v>
      </c>
      <c r="I5255" t="s">
        <v>1050</v>
      </c>
    </row>
    <row r="5256" spans="1:9" hidden="1" x14ac:dyDescent="0.25">
      <c r="A5256" t="s">
        <v>4414</v>
      </c>
      <c r="B5256" t="s">
        <v>538</v>
      </c>
      <c r="C5256" s="2">
        <f>HYPERLINK("https://cao.dolgi.msk.ru/account/1080262282/", 1080262282)</f>
        <v>1080262282</v>
      </c>
      <c r="D5256" t="s">
        <v>4447</v>
      </c>
      <c r="E5256">
        <v>0</v>
      </c>
      <c r="F5256">
        <v>0</v>
      </c>
      <c r="G5256" t="s">
        <v>12</v>
      </c>
      <c r="I5256" t="s">
        <v>1050</v>
      </c>
    </row>
    <row r="5257" spans="1:9" hidden="1" x14ac:dyDescent="0.25">
      <c r="A5257" t="s">
        <v>4414</v>
      </c>
      <c r="B5257" t="s">
        <v>538</v>
      </c>
      <c r="C5257" s="2">
        <f>HYPERLINK("https://cao.dolgi.msk.ru/account/1089126252/", 1089126252)</f>
        <v>1089126252</v>
      </c>
      <c r="D5257" t="s">
        <v>15</v>
      </c>
      <c r="E5257">
        <v>-55.73</v>
      </c>
      <c r="G5257" t="s">
        <v>14</v>
      </c>
      <c r="I5257" t="s">
        <v>1050</v>
      </c>
    </row>
    <row r="5258" spans="1:9" hidden="1" x14ac:dyDescent="0.25">
      <c r="A5258" t="s">
        <v>4414</v>
      </c>
      <c r="B5258" t="s">
        <v>539</v>
      </c>
      <c r="C5258" s="2">
        <f>HYPERLINK("https://cao.dolgi.msk.ru/account/1080262303/", 1080262303)</f>
        <v>1080262303</v>
      </c>
      <c r="D5258" t="s">
        <v>4448</v>
      </c>
      <c r="E5258">
        <v>0</v>
      </c>
      <c r="F5258">
        <v>0</v>
      </c>
      <c r="G5258" t="s">
        <v>12</v>
      </c>
      <c r="I5258" t="s">
        <v>1050</v>
      </c>
    </row>
    <row r="5259" spans="1:9" hidden="1" x14ac:dyDescent="0.25">
      <c r="A5259" t="s">
        <v>4414</v>
      </c>
      <c r="B5259" t="s">
        <v>541</v>
      </c>
      <c r="C5259" s="2">
        <f>HYPERLINK("https://cao.dolgi.msk.ru/account/1080262311/", 1080262311)</f>
        <v>1080262311</v>
      </c>
      <c r="D5259" t="s">
        <v>4449</v>
      </c>
      <c r="E5259">
        <v>-7452.54</v>
      </c>
      <c r="F5259">
        <v>-1.02</v>
      </c>
      <c r="G5259" t="s">
        <v>12</v>
      </c>
      <c r="I5259" t="s">
        <v>1050</v>
      </c>
    </row>
    <row r="5260" spans="1:9" hidden="1" x14ac:dyDescent="0.25">
      <c r="A5260" t="s">
        <v>4414</v>
      </c>
      <c r="B5260" t="s">
        <v>543</v>
      </c>
      <c r="C5260" s="2">
        <f>HYPERLINK("https://cao.dolgi.msk.ru/account/1080262338/", 1080262338)</f>
        <v>1080262338</v>
      </c>
      <c r="D5260" t="s">
        <v>4450</v>
      </c>
      <c r="E5260">
        <v>-4556.8100000000004</v>
      </c>
      <c r="F5260">
        <v>-1.01</v>
      </c>
      <c r="G5260" t="s">
        <v>12</v>
      </c>
      <c r="I5260" t="s">
        <v>1050</v>
      </c>
    </row>
    <row r="5261" spans="1:9" hidden="1" x14ac:dyDescent="0.25">
      <c r="A5261" t="s">
        <v>4414</v>
      </c>
      <c r="B5261" t="s">
        <v>545</v>
      </c>
      <c r="C5261" s="2">
        <f>HYPERLINK("https://cao.dolgi.msk.ru/account/1080262346/", 1080262346)</f>
        <v>1080262346</v>
      </c>
      <c r="D5261" t="s">
        <v>4451</v>
      </c>
      <c r="E5261">
        <v>-4964.92</v>
      </c>
      <c r="F5261">
        <v>-1.02</v>
      </c>
      <c r="G5261" t="s">
        <v>12</v>
      </c>
      <c r="I5261" t="s">
        <v>1050</v>
      </c>
    </row>
    <row r="5262" spans="1:9" hidden="1" x14ac:dyDescent="0.25">
      <c r="A5262" t="s">
        <v>4414</v>
      </c>
      <c r="B5262" t="s">
        <v>546</v>
      </c>
      <c r="C5262" s="2">
        <f>HYPERLINK("https://cao.dolgi.msk.ru/account/1080262354/", 1080262354)</f>
        <v>1080262354</v>
      </c>
      <c r="D5262" t="s">
        <v>4452</v>
      </c>
      <c r="E5262">
        <v>0</v>
      </c>
      <c r="F5262">
        <v>0</v>
      </c>
      <c r="G5262" t="s">
        <v>12</v>
      </c>
      <c r="I5262" t="s">
        <v>1050</v>
      </c>
    </row>
    <row r="5263" spans="1:9" hidden="1" x14ac:dyDescent="0.25">
      <c r="A5263" t="s">
        <v>4414</v>
      </c>
      <c r="B5263" t="s">
        <v>548</v>
      </c>
      <c r="C5263" s="2">
        <f>HYPERLINK("https://cao.dolgi.msk.ru/account/1080262362/", 1080262362)</f>
        <v>1080262362</v>
      </c>
      <c r="D5263" t="s">
        <v>4453</v>
      </c>
      <c r="E5263">
        <v>-7336.14</v>
      </c>
      <c r="F5263">
        <v>-1.04</v>
      </c>
      <c r="G5263" t="s">
        <v>12</v>
      </c>
      <c r="I5263" t="s">
        <v>1050</v>
      </c>
    </row>
    <row r="5264" spans="1:9" hidden="1" x14ac:dyDescent="0.25">
      <c r="A5264" t="s">
        <v>4414</v>
      </c>
      <c r="B5264" t="s">
        <v>727</v>
      </c>
      <c r="C5264" s="2">
        <f>HYPERLINK("https://cao.dolgi.msk.ru/account/1080262389/", 1080262389)</f>
        <v>1080262389</v>
      </c>
      <c r="D5264" t="s">
        <v>4454</v>
      </c>
      <c r="E5264">
        <v>-6669.08</v>
      </c>
      <c r="F5264">
        <v>-0.97</v>
      </c>
      <c r="G5264" t="s">
        <v>12</v>
      </c>
      <c r="I5264" t="s">
        <v>1050</v>
      </c>
    </row>
    <row r="5265" spans="1:9" hidden="1" x14ac:dyDescent="0.25">
      <c r="A5265" t="s">
        <v>4414</v>
      </c>
      <c r="B5265" t="s">
        <v>551</v>
      </c>
      <c r="C5265" s="2">
        <f>HYPERLINK("https://cao.dolgi.msk.ru/account/1080262397/", 1080262397)</f>
        <v>1080262397</v>
      </c>
      <c r="D5265" t="s">
        <v>4455</v>
      </c>
      <c r="E5265">
        <v>-5897.73</v>
      </c>
      <c r="F5265">
        <v>-1.02</v>
      </c>
      <c r="G5265" t="s">
        <v>12</v>
      </c>
      <c r="I5265" t="s">
        <v>1050</v>
      </c>
    </row>
    <row r="5266" spans="1:9" hidden="1" x14ac:dyDescent="0.25">
      <c r="A5266" t="s">
        <v>4414</v>
      </c>
      <c r="B5266" t="s">
        <v>551</v>
      </c>
      <c r="C5266" s="2">
        <f>HYPERLINK("https://cao.dolgi.msk.ru/account/1089118041/", 1089118041)</f>
        <v>1089118041</v>
      </c>
      <c r="D5266" t="s">
        <v>15</v>
      </c>
      <c r="G5266" t="s">
        <v>14</v>
      </c>
      <c r="I5266" t="s">
        <v>1050</v>
      </c>
    </row>
    <row r="5267" spans="1:9" hidden="1" x14ac:dyDescent="0.25">
      <c r="A5267" t="s">
        <v>4414</v>
      </c>
      <c r="B5267" t="s">
        <v>730</v>
      </c>
      <c r="C5267" s="2">
        <f>HYPERLINK("https://cao.dolgi.msk.ru/account/1080262418/", 1080262418)</f>
        <v>1080262418</v>
      </c>
      <c r="D5267" t="s">
        <v>4456</v>
      </c>
      <c r="E5267">
        <v>-4875.3</v>
      </c>
      <c r="F5267">
        <v>-1</v>
      </c>
      <c r="G5267" t="s">
        <v>12</v>
      </c>
      <c r="I5267" t="s">
        <v>1050</v>
      </c>
    </row>
    <row r="5268" spans="1:9" hidden="1" x14ac:dyDescent="0.25">
      <c r="A5268" t="s">
        <v>4457</v>
      </c>
      <c r="B5268" t="s">
        <v>732</v>
      </c>
      <c r="C5268" s="2">
        <f>HYPERLINK("https://cao.dolgi.msk.ru/account/1080262426/", 1080262426)</f>
        <v>1080262426</v>
      </c>
      <c r="D5268" t="s">
        <v>4458</v>
      </c>
      <c r="E5268">
        <v>4371.21</v>
      </c>
      <c r="F5268">
        <v>0.5</v>
      </c>
      <c r="G5268" t="s">
        <v>12</v>
      </c>
      <c r="I5268" t="s">
        <v>1050</v>
      </c>
    </row>
    <row r="5269" spans="1:9" hidden="1" x14ac:dyDescent="0.25">
      <c r="A5269" t="s">
        <v>4457</v>
      </c>
      <c r="B5269" t="s">
        <v>553</v>
      </c>
      <c r="C5269" s="2">
        <f>HYPERLINK("https://cao.dolgi.msk.ru/account/1080262434/", 1080262434)</f>
        <v>1080262434</v>
      </c>
      <c r="D5269" t="s">
        <v>736</v>
      </c>
      <c r="E5269">
        <v>-12896.73</v>
      </c>
      <c r="F5269">
        <v>-0.94</v>
      </c>
      <c r="G5269" t="s">
        <v>12</v>
      </c>
      <c r="I5269" t="s">
        <v>1050</v>
      </c>
    </row>
    <row r="5270" spans="1:9" hidden="1" x14ac:dyDescent="0.25">
      <c r="A5270" t="s">
        <v>4457</v>
      </c>
      <c r="B5270" t="s">
        <v>738</v>
      </c>
      <c r="C5270" s="2">
        <f>HYPERLINK("https://cao.dolgi.msk.ru/account/1080262442/", 1080262442)</f>
        <v>1080262442</v>
      </c>
      <c r="D5270" t="s">
        <v>4459</v>
      </c>
      <c r="E5270">
        <v>-4660.55</v>
      </c>
      <c r="F5270">
        <v>-1.03</v>
      </c>
      <c r="G5270" t="s">
        <v>12</v>
      </c>
      <c r="I5270" t="s">
        <v>1050</v>
      </c>
    </row>
    <row r="5271" spans="1:9" hidden="1" x14ac:dyDescent="0.25">
      <c r="A5271" t="s">
        <v>4457</v>
      </c>
      <c r="B5271" t="s">
        <v>740</v>
      </c>
      <c r="C5271" s="2">
        <f>HYPERLINK("https://cao.dolgi.msk.ru/account/1080262469/", 1080262469)</f>
        <v>1080262469</v>
      </c>
      <c r="D5271" t="s">
        <v>1082</v>
      </c>
      <c r="E5271">
        <v>-9146.7999999999993</v>
      </c>
      <c r="F5271">
        <v>-1.1000000000000001</v>
      </c>
      <c r="G5271" t="s">
        <v>12</v>
      </c>
      <c r="I5271" t="s">
        <v>1050</v>
      </c>
    </row>
    <row r="5272" spans="1:9" hidden="1" x14ac:dyDescent="0.25">
      <c r="A5272" t="s">
        <v>4457</v>
      </c>
      <c r="B5272" t="s">
        <v>742</v>
      </c>
      <c r="C5272" s="2">
        <f>HYPERLINK("https://cao.dolgi.msk.ru/account/1080262477/", 1080262477)</f>
        <v>1080262477</v>
      </c>
      <c r="D5272" t="s">
        <v>62</v>
      </c>
      <c r="E5272">
        <v>-7869.87</v>
      </c>
      <c r="F5272">
        <v>-1.1000000000000001</v>
      </c>
      <c r="G5272" t="s">
        <v>12</v>
      </c>
      <c r="I5272" t="s">
        <v>1050</v>
      </c>
    </row>
    <row r="5273" spans="1:9" x14ac:dyDescent="0.25">
      <c r="A5273" t="s">
        <v>4457</v>
      </c>
      <c r="B5273" t="s">
        <v>557</v>
      </c>
      <c r="C5273" s="2">
        <f>HYPERLINK("https://cao.dolgi.msk.ru/account/1080262485/", 1080262485)</f>
        <v>1080262485</v>
      </c>
      <c r="D5273" t="s">
        <v>4460</v>
      </c>
      <c r="E5273">
        <v>7628.02</v>
      </c>
      <c r="F5273">
        <v>1.28</v>
      </c>
      <c r="G5273" t="s">
        <v>12</v>
      </c>
      <c r="I5273" t="s">
        <v>1050</v>
      </c>
    </row>
    <row r="5274" spans="1:9" hidden="1" x14ac:dyDescent="0.25">
      <c r="A5274" t="s">
        <v>4457</v>
      </c>
      <c r="B5274" t="s">
        <v>558</v>
      </c>
      <c r="C5274" s="2">
        <f>HYPERLINK("https://cao.dolgi.msk.ru/account/1080262493/", 1080262493)</f>
        <v>1080262493</v>
      </c>
      <c r="D5274" t="s">
        <v>4461</v>
      </c>
      <c r="E5274">
        <v>-4512.53</v>
      </c>
      <c r="F5274">
        <v>-1.1399999999999999</v>
      </c>
      <c r="G5274" t="s">
        <v>12</v>
      </c>
      <c r="H5274" t="s">
        <v>7</v>
      </c>
      <c r="I5274" t="s">
        <v>1050</v>
      </c>
    </row>
    <row r="5275" spans="1:9" hidden="1" x14ac:dyDescent="0.25">
      <c r="A5275" t="s">
        <v>4457</v>
      </c>
      <c r="B5275" t="s">
        <v>558</v>
      </c>
      <c r="C5275" s="2">
        <f>HYPERLINK("https://cao.dolgi.msk.ru/account/1080262506/", 1080262506)</f>
        <v>1080262506</v>
      </c>
      <c r="D5275" t="s">
        <v>4462</v>
      </c>
      <c r="E5275">
        <v>-2484.08</v>
      </c>
      <c r="F5275">
        <v>-1.29</v>
      </c>
      <c r="G5275" t="s">
        <v>12</v>
      </c>
      <c r="H5275" t="s">
        <v>7</v>
      </c>
      <c r="I5275" t="s">
        <v>1050</v>
      </c>
    </row>
    <row r="5276" spans="1:9" hidden="1" x14ac:dyDescent="0.25">
      <c r="A5276" t="s">
        <v>4457</v>
      </c>
      <c r="B5276" t="s">
        <v>746</v>
      </c>
      <c r="C5276" s="2">
        <f>HYPERLINK("https://cao.dolgi.msk.ru/account/1080262514/", 1080262514)</f>
        <v>1080262514</v>
      </c>
      <c r="D5276" t="s">
        <v>4463</v>
      </c>
      <c r="E5276">
        <v>0</v>
      </c>
      <c r="G5276" t="s">
        <v>14</v>
      </c>
      <c r="I5276" t="s">
        <v>1050</v>
      </c>
    </row>
    <row r="5277" spans="1:9" hidden="1" x14ac:dyDescent="0.25">
      <c r="A5277" t="s">
        <v>4457</v>
      </c>
      <c r="B5277" t="s">
        <v>746</v>
      </c>
      <c r="C5277" s="2">
        <f>HYPERLINK("https://cao.dolgi.msk.ru/account/1080262522/", 1080262522)</f>
        <v>1080262522</v>
      </c>
      <c r="D5277" t="s">
        <v>4464</v>
      </c>
      <c r="E5277">
        <v>-11173</v>
      </c>
      <c r="F5277">
        <v>-1.3</v>
      </c>
      <c r="G5277" t="s">
        <v>12</v>
      </c>
      <c r="I5277" t="s">
        <v>1050</v>
      </c>
    </row>
    <row r="5278" spans="1:9" hidden="1" x14ac:dyDescent="0.25">
      <c r="A5278" t="s">
        <v>4457</v>
      </c>
      <c r="B5278" t="s">
        <v>748</v>
      </c>
      <c r="C5278" s="2">
        <f>HYPERLINK("https://cao.dolgi.msk.ru/account/1080262549/", 1080262549)</f>
        <v>1080262549</v>
      </c>
      <c r="D5278" t="s">
        <v>4465</v>
      </c>
      <c r="E5278">
        <v>-6344.61</v>
      </c>
      <c r="F5278">
        <v>-1.1299999999999999</v>
      </c>
      <c r="G5278" t="s">
        <v>12</v>
      </c>
      <c r="I5278" t="s">
        <v>1050</v>
      </c>
    </row>
    <row r="5279" spans="1:9" hidden="1" x14ac:dyDescent="0.25">
      <c r="A5279" t="s">
        <v>4457</v>
      </c>
      <c r="B5279" t="s">
        <v>750</v>
      </c>
      <c r="C5279" s="2">
        <f>HYPERLINK("https://cao.dolgi.msk.ru/account/1080262557/", 1080262557)</f>
        <v>1080262557</v>
      </c>
      <c r="D5279" t="s">
        <v>4466</v>
      </c>
      <c r="E5279">
        <v>-4467.04</v>
      </c>
      <c r="F5279">
        <v>-1.1499999999999999</v>
      </c>
      <c r="G5279" t="s">
        <v>12</v>
      </c>
      <c r="I5279" t="s">
        <v>1050</v>
      </c>
    </row>
    <row r="5280" spans="1:9" hidden="1" x14ac:dyDescent="0.25">
      <c r="A5280" t="s">
        <v>4457</v>
      </c>
      <c r="B5280" t="s">
        <v>752</v>
      </c>
      <c r="C5280" s="2">
        <f>HYPERLINK("https://cao.dolgi.msk.ru/account/1080262565/", 1080262565)</f>
        <v>1080262565</v>
      </c>
      <c r="D5280" t="s">
        <v>4467</v>
      </c>
      <c r="E5280">
        <v>95.95</v>
      </c>
      <c r="F5280">
        <v>0.02</v>
      </c>
      <c r="G5280" t="s">
        <v>12</v>
      </c>
      <c r="I5280" t="s">
        <v>1050</v>
      </c>
    </row>
    <row r="5281" spans="1:9" hidden="1" x14ac:dyDescent="0.25">
      <c r="A5281" t="s">
        <v>4457</v>
      </c>
      <c r="B5281" t="s">
        <v>754</v>
      </c>
      <c r="C5281" s="2">
        <f>HYPERLINK("https://cao.dolgi.msk.ru/account/1080262573/", 1080262573)</f>
        <v>1080262573</v>
      </c>
      <c r="D5281" t="s">
        <v>4468</v>
      </c>
      <c r="E5281">
        <v>0</v>
      </c>
      <c r="F5281">
        <v>0</v>
      </c>
      <c r="G5281" t="s">
        <v>12</v>
      </c>
      <c r="I5281" t="s">
        <v>1050</v>
      </c>
    </row>
    <row r="5282" spans="1:9" hidden="1" x14ac:dyDescent="0.25">
      <c r="A5282" t="s">
        <v>4457</v>
      </c>
      <c r="B5282" t="s">
        <v>756</v>
      </c>
      <c r="C5282" s="2">
        <f>HYPERLINK("https://cao.dolgi.msk.ru/account/1080262581/", 1080262581)</f>
        <v>1080262581</v>
      </c>
      <c r="D5282" t="s">
        <v>4469</v>
      </c>
      <c r="E5282">
        <v>-7158.41</v>
      </c>
      <c r="F5282">
        <v>-1.05</v>
      </c>
      <c r="G5282" t="s">
        <v>12</v>
      </c>
      <c r="I5282" t="s">
        <v>1050</v>
      </c>
    </row>
    <row r="5283" spans="1:9" hidden="1" x14ac:dyDescent="0.25">
      <c r="A5283" t="s">
        <v>4457</v>
      </c>
      <c r="B5283" t="s">
        <v>758</v>
      </c>
      <c r="C5283" s="2">
        <f>HYPERLINK("https://cao.dolgi.msk.ru/account/1080262602/", 1080262602)</f>
        <v>1080262602</v>
      </c>
      <c r="D5283" t="s">
        <v>4470</v>
      </c>
      <c r="E5283">
        <v>-315.27999999999997</v>
      </c>
      <c r="F5283">
        <v>-0.06</v>
      </c>
      <c r="G5283" t="s">
        <v>12</v>
      </c>
      <c r="I5283" t="s">
        <v>1050</v>
      </c>
    </row>
    <row r="5284" spans="1:9" hidden="1" x14ac:dyDescent="0.25">
      <c r="A5284" t="s">
        <v>4457</v>
      </c>
      <c r="B5284" t="s">
        <v>760</v>
      </c>
      <c r="C5284" s="2">
        <f>HYPERLINK("https://cao.dolgi.msk.ru/account/1080262629/", 1080262629)</f>
        <v>1080262629</v>
      </c>
      <c r="D5284" t="s">
        <v>4471</v>
      </c>
      <c r="E5284">
        <v>-14227.21</v>
      </c>
      <c r="F5284">
        <v>-0.98</v>
      </c>
      <c r="G5284" t="s">
        <v>12</v>
      </c>
      <c r="I5284" t="s">
        <v>1050</v>
      </c>
    </row>
    <row r="5285" spans="1:9" hidden="1" x14ac:dyDescent="0.25">
      <c r="A5285" t="s">
        <v>4457</v>
      </c>
      <c r="B5285" t="s">
        <v>762</v>
      </c>
      <c r="C5285" s="2">
        <f>HYPERLINK("https://cao.dolgi.msk.ru/account/1080262637/", 1080262637)</f>
        <v>1080262637</v>
      </c>
      <c r="D5285" t="s">
        <v>4472</v>
      </c>
      <c r="E5285">
        <v>24.3</v>
      </c>
      <c r="F5285">
        <v>0</v>
      </c>
      <c r="G5285" t="s">
        <v>12</v>
      </c>
      <c r="I5285" t="s">
        <v>1050</v>
      </c>
    </row>
    <row r="5286" spans="1:9" x14ac:dyDescent="0.25">
      <c r="A5286" t="s">
        <v>4457</v>
      </c>
      <c r="B5286" t="s">
        <v>764</v>
      </c>
      <c r="C5286" s="2">
        <f>HYPERLINK("https://cao.dolgi.msk.ru/account/1080262645/", 1080262645)</f>
        <v>1080262645</v>
      </c>
      <c r="D5286" t="s">
        <v>4473</v>
      </c>
      <c r="E5286">
        <v>22977.09</v>
      </c>
      <c r="F5286">
        <v>3.34</v>
      </c>
      <c r="G5286" t="s">
        <v>12</v>
      </c>
      <c r="I5286" t="s">
        <v>1050</v>
      </c>
    </row>
    <row r="5287" spans="1:9" x14ac:dyDescent="0.25">
      <c r="A5287" t="s">
        <v>4457</v>
      </c>
      <c r="B5287" t="s">
        <v>766</v>
      </c>
      <c r="C5287" s="2">
        <f>HYPERLINK("https://cao.dolgi.msk.ru/account/1080262653/", 1080262653)</f>
        <v>1080262653</v>
      </c>
      <c r="D5287" t="s">
        <v>4474</v>
      </c>
      <c r="E5287">
        <v>39552.99</v>
      </c>
      <c r="F5287">
        <v>2.4900000000000002</v>
      </c>
      <c r="G5287" t="s">
        <v>12</v>
      </c>
      <c r="I5287" t="s">
        <v>1050</v>
      </c>
    </row>
    <row r="5288" spans="1:9" hidden="1" x14ac:dyDescent="0.25">
      <c r="A5288" t="s">
        <v>4457</v>
      </c>
      <c r="B5288" t="s">
        <v>768</v>
      </c>
      <c r="C5288" s="2">
        <f>HYPERLINK("https://cao.dolgi.msk.ru/account/1080262661/", 1080262661)</f>
        <v>1080262661</v>
      </c>
      <c r="D5288" t="s">
        <v>4475</v>
      </c>
      <c r="E5288">
        <v>-13255.89</v>
      </c>
      <c r="F5288">
        <v>-1.05</v>
      </c>
      <c r="G5288" t="s">
        <v>12</v>
      </c>
      <c r="I5288" t="s">
        <v>1050</v>
      </c>
    </row>
    <row r="5289" spans="1:9" hidden="1" x14ac:dyDescent="0.25">
      <c r="A5289" t="s">
        <v>4457</v>
      </c>
      <c r="B5289" t="s">
        <v>770</v>
      </c>
      <c r="C5289" s="2">
        <f>HYPERLINK("https://cao.dolgi.msk.ru/account/1080262696/", 1080262696)</f>
        <v>1080262696</v>
      </c>
      <c r="D5289" t="s">
        <v>4476</v>
      </c>
      <c r="E5289">
        <v>-3264.67</v>
      </c>
      <c r="F5289">
        <v>-1.1299999999999999</v>
      </c>
      <c r="G5289" t="s">
        <v>12</v>
      </c>
      <c r="I5289" t="s">
        <v>1050</v>
      </c>
    </row>
    <row r="5290" spans="1:9" hidden="1" x14ac:dyDescent="0.25">
      <c r="A5290" t="s">
        <v>4457</v>
      </c>
      <c r="B5290" t="s">
        <v>770</v>
      </c>
      <c r="C5290" s="2">
        <f>HYPERLINK("https://cao.dolgi.msk.ru/account/1089134551/", 1089134551)</f>
        <v>1089134551</v>
      </c>
      <c r="D5290" t="s">
        <v>4477</v>
      </c>
      <c r="E5290">
        <v>-1787.36</v>
      </c>
      <c r="F5290">
        <v>-1.0900000000000001</v>
      </c>
      <c r="G5290" t="s">
        <v>12</v>
      </c>
      <c r="I5290" t="s">
        <v>1050</v>
      </c>
    </row>
    <row r="5291" spans="1:9" hidden="1" x14ac:dyDescent="0.25">
      <c r="A5291" t="s">
        <v>4457</v>
      </c>
      <c r="B5291" t="s">
        <v>772</v>
      </c>
      <c r="C5291" s="2">
        <f>HYPERLINK("https://cao.dolgi.msk.ru/account/1080262688/", 1080262688)</f>
        <v>1080262688</v>
      </c>
      <c r="D5291" t="s">
        <v>4478</v>
      </c>
      <c r="E5291">
        <v>-9621.2199999999993</v>
      </c>
      <c r="F5291">
        <v>-1.0900000000000001</v>
      </c>
      <c r="G5291" t="s">
        <v>12</v>
      </c>
      <c r="I5291" t="s">
        <v>1050</v>
      </c>
    </row>
    <row r="5292" spans="1:9" hidden="1" x14ac:dyDescent="0.25">
      <c r="A5292" t="s">
        <v>4457</v>
      </c>
      <c r="B5292" t="s">
        <v>774</v>
      </c>
      <c r="C5292" s="2">
        <f>HYPERLINK("https://cao.dolgi.msk.ru/account/1080262709/", 1080262709)</f>
        <v>1080262709</v>
      </c>
      <c r="D5292" t="s">
        <v>4479</v>
      </c>
      <c r="E5292">
        <v>-5580.74</v>
      </c>
      <c r="F5292">
        <v>-1.1499999999999999</v>
      </c>
      <c r="G5292" t="s">
        <v>12</v>
      </c>
      <c r="I5292" t="s">
        <v>1050</v>
      </c>
    </row>
    <row r="5293" spans="1:9" hidden="1" x14ac:dyDescent="0.25">
      <c r="A5293" t="s">
        <v>4457</v>
      </c>
      <c r="B5293" t="s">
        <v>782</v>
      </c>
      <c r="C5293" s="2">
        <f>HYPERLINK("https://cao.dolgi.msk.ru/account/1080262717/", 1080262717)</f>
        <v>1080262717</v>
      </c>
      <c r="D5293" t="s">
        <v>4480</v>
      </c>
      <c r="E5293">
        <v>-9778.81</v>
      </c>
      <c r="F5293">
        <v>-2.04</v>
      </c>
      <c r="G5293" t="s">
        <v>12</v>
      </c>
      <c r="I5293" t="s">
        <v>1050</v>
      </c>
    </row>
    <row r="5294" spans="1:9" hidden="1" x14ac:dyDescent="0.25">
      <c r="A5294" t="s">
        <v>4457</v>
      </c>
      <c r="B5294" t="s">
        <v>784</v>
      </c>
      <c r="C5294" s="2">
        <f>HYPERLINK("https://cao.dolgi.msk.ru/account/1080262725/", 1080262725)</f>
        <v>1080262725</v>
      </c>
      <c r="D5294" t="s">
        <v>4481</v>
      </c>
      <c r="E5294">
        <v>-5026.7</v>
      </c>
      <c r="F5294">
        <v>-1.05</v>
      </c>
      <c r="G5294" t="s">
        <v>12</v>
      </c>
      <c r="H5294" t="s">
        <v>7</v>
      </c>
      <c r="I5294" t="s">
        <v>1050</v>
      </c>
    </row>
    <row r="5295" spans="1:9" hidden="1" x14ac:dyDescent="0.25">
      <c r="A5295" t="s">
        <v>4457</v>
      </c>
      <c r="B5295" t="s">
        <v>784</v>
      </c>
      <c r="C5295" s="2">
        <f>HYPERLINK("https://cao.dolgi.msk.ru/account/1080262733/", 1080262733)</f>
        <v>1080262733</v>
      </c>
      <c r="D5295" t="s">
        <v>4481</v>
      </c>
      <c r="E5295">
        <v>0</v>
      </c>
      <c r="F5295">
        <v>0</v>
      </c>
      <c r="G5295" t="s">
        <v>12</v>
      </c>
      <c r="H5295" t="s">
        <v>7</v>
      </c>
      <c r="I5295" t="s">
        <v>1050</v>
      </c>
    </row>
    <row r="5296" spans="1:9" hidden="1" x14ac:dyDescent="0.25">
      <c r="A5296" t="s">
        <v>4457</v>
      </c>
      <c r="B5296" t="s">
        <v>786</v>
      </c>
      <c r="C5296" s="2">
        <f>HYPERLINK("https://cao.dolgi.msk.ru/account/1080262741/", 1080262741)</f>
        <v>1080262741</v>
      </c>
      <c r="D5296" t="s">
        <v>4482</v>
      </c>
      <c r="E5296">
        <v>-11159.31</v>
      </c>
      <c r="F5296">
        <v>-1.05</v>
      </c>
      <c r="G5296" t="s">
        <v>12</v>
      </c>
      <c r="I5296" t="s">
        <v>1050</v>
      </c>
    </row>
    <row r="5297" spans="1:9" hidden="1" x14ac:dyDescent="0.25">
      <c r="A5297" t="s">
        <v>4457</v>
      </c>
      <c r="B5297" t="s">
        <v>788</v>
      </c>
      <c r="C5297" s="2">
        <f>HYPERLINK("https://cao.dolgi.msk.ru/account/1080262768/", 1080262768)</f>
        <v>1080262768</v>
      </c>
      <c r="D5297" t="s">
        <v>4483</v>
      </c>
      <c r="E5297">
        <v>-11659.1</v>
      </c>
      <c r="F5297">
        <v>-2.4900000000000002</v>
      </c>
      <c r="G5297" t="s">
        <v>12</v>
      </c>
      <c r="I5297" t="s">
        <v>1050</v>
      </c>
    </row>
    <row r="5298" spans="1:9" hidden="1" x14ac:dyDescent="0.25">
      <c r="A5298" t="s">
        <v>4457</v>
      </c>
      <c r="B5298" t="s">
        <v>789</v>
      </c>
      <c r="C5298" s="2">
        <f>HYPERLINK("https://cao.dolgi.msk.ru/account/1080262776/", 1080262776)</f>
        <v>1080262776</v>
      </c>
      <c r="D5298" t="s">
        <v>4484</v>
      </c>
      <c r="E5298">
        <v>-5463.02</v>
      </c>
      <c r="F5298">
        <v>-0.94</v>
      </c>
      <c r="G5298" t="s">
        <v>12</v>
      </c>
      <c r="I5298" t="s">
        <v>1050</v>
      </c>
    </row>
    <row r="5299" spans="1:9" hidden="1" x14ac:dyDescent="0.25">
      <c r="A5299" t="s">
        <v>4457</v>
      </c>
      <c r="B5299" t="s">
        <v>790</v>
      </c>
      <c r="C5299" s="2">
        <f>HYPERLINK("https://cao.dolgi.msk.ru/account/1080262784/", 1080262784)</f>
        <v>1080262784</v>
      </c>
      <c r="D5299" t="s">
        <v>4485</v>
      </c>
      <c r="E5299">
        <v>-7795.18</v>
      </c>
      <c r="F5299">
        <v>-0.95</v>
      </c>
      <c r="G5299" t="s">
        <v>12</v>
      </c>
      <c r="I5299" t="s">
        <v>1050</v>
      </c>
    </row>
    <row r="5300" spans="1:9" hidden="1" x14ac:dyDescent="0.25">
      <c r="A5300" t="s">
        <v>4457</v>
      </c>
      <c r="B5300" t="s">
        <v>792</v>
      </c>
      <c r="C5300" s="2">
        <f>HYPERLINK("https://cao.dolgi.msk.ru/account/1080262792/", 1080262792)</f>
        <v>1080262792</v>
      </c>
      <c r="D5300" t="s">
        <v>62</v>
      </c>
      <c r="E5300">
        <v>-8667.58</v>
      </c>
      <c r="F5300">
        <v>-1.1299999999999999</v>
      </c>
      <c r="G5300" t="s">
        <v>12</v>
      </c>
      <c r="I5300" t="s">
        <v>1050</v>
      </c>
    </row>
    <row r="5301" spans="1:9" hidden="1" x14ac:dyDescent="0.25">
      <c r="A5301" t="s">
        <v>4457</v>
      </c>
      <c r="B5301" t="s">
        <v>794</v>
      </c>
      <c r="C5301" s="2">
        <f>HYPERLINK("https://cao.dolgi.msk.ru/account/1080262805/", 1080262805)</f>
        <v>1080262805</v>
      </c>
      <c r="D5301" t="s">
        <v>4486</v>
      </c>
      <c r="E5301">
        <v>-6815.31</v>
      </c>
      <c r="F5301">
        <v>-1.21</v>
      </c>
      <c r="G5301" t="s">
        <v>12</v>
      </c>
      <c r="I5301" t="s">
        <v>1050</v>
      </c>
    </row>
    <row r="5302" spans="1:9" hidden="1" x14ac:dyDescent="0.25">
      <c r="A5302" t="s">
        <v>4457</v>
      </c>
      <c r="B5302" t="s">
        <v>796</v>
      </c>
      <c r="C5302" s="2">
        <f>HYPERLINK("https://cao.dolgi.msk.ru/account/1080262813/", 1080262813)</f>
        <v>1080262813</v>
      </c>
      <c r="D5302" t="s">
        <v>4487</v>
      </c>
      <c r="E5302">
        <v>-6978.22</v>
      </c>
      <c r="F5302">
        <v>-1.06</v>
      </c>
      <c r="G5302" t="s">
        <v>12</v>
      </c>
      <c r="I5302" t="s">
        <v>1050</v>
      </c>
    </row>
    <row r="5303" spans="1:9" hidden="1" x14ac:dyDescent="0.25">
      <c r="A5303" t="s">
        <v>4457</v>
      </c>
      <c r="B5303" t="s">
        <v>798</v>
      </c>
      <c r="C5303" s="2">
        <f>HYPERLINK("https://cao.dolgi.msk.ru/account/1080262821/", 1080262821)</f>
        <v>1080262821</v>
      </c>
      <c r="D5303" t="s">
        <v>4488</v>
      </c>
      <c r="E5303">
        <v>-3691.65</v>
      </c>
      <c r="F5303">
        <v>-1.03</v>
      </c>
      <c r="G5303" t="s">
        <v>12</v>
      </c>
      <c r="I5303" t="s">
        <v>1050</v>
      </c>
    </row>
    <row r="5304" spans="1:9" hidden="1" x14ac:dyDescent="0.25">
      <c r="A5304" t="s">
        <v>4457</v>
      </c>
      <c r="B5304" t="s">
        <v>800</v>
      </c>
      <c r="C5304" s="2">
        <f>HYPERLINK("https://cao.dolgi.msk.ru/account/1080262848/", 1080262848)</f>
        <v>1080262848</v>
      </c>
      <c r="D5304" t="s">
        <v>4489</v>
      </c>
      <c r="E5304">
        <v>-4535.3900000000003</v>
      </c>
      <c r="F5304">
        <v>-1.1399999999999999</v>
      </c>
      <c r="G5304" t="s">
        <v>12</v>
      </c>
      <c r="I5304" t="s">
        <v>1050</v>
      </c>
    </row>
    <row r="5305" spans="1:9" hidden="1" x14ac:dyDescent="0.25">
      <c r="A5305" t="s">
        <v>4457</v>
      </c>
      <c r="B5305" t="s">
        <v>802</v>
      </c>
      <c r="C5305" s="2">
        <f>HYPERLINK("https://cao.dolgi.msk.ru/account/1080262856/", 1080262856)</f>
        <v>1080262856</v>
      </c>
      <c r="D5305" t="s">
        <v>4490</v>
      </c>
      <c r="E5305">
        <v>-4821.84</v>
      </c>
      <c r="F5305">
        <v>-1.1200000000000001</v>
      </c>
      <c r="G5305" t="s">
        <v>12</v>
      </c>
      <c r="I5305" t="s">
        <v>1050</v>
      </c>
    </row>
    <row r="5306" spans="1:9" hidden="1" x14ac:dyDescent="0.25">
      <c r="A5306" t="s">
        <v>4457</v>
      </c>
      <c r="B5306" t="s">
        <v>804</v>
      </c>
      <c r="C5306" s="2">
        <f>HYPERLINK("https://cao.dolgi.msk.ru/account/1080262864/", 1080262864)</f>
        <v>1080262864</v>
      </c>
      <c r="D5306" t="s">
        <v>4491</v>
      </c>
      <c r="E5306">
        <v>-11321.91</v>
      </c>
      <c r="F5306">
        <v>-2.13</v>
      </c>
      <c r="G5306" t="s">
        <v>12</v>
      </c>
      <c r="I5306" t="s">
        <v>1050</v>
      </c>
    </row>
    <row r="5307" spans="1:9" hidden="1" x14ac:dyDescent="0.25">
      <c r="A5307" t="s">
        <v>4457</v>
      </c>
      <c r="B5307" t="s">
        <v>806</v>
      </c>
      <c r="C5307" s="2">
        <f>HYPERLINK("https://cao.dolgi.msk.ru/account/1080262872/", 1080262872)</f>
        <v>1080262872</v>
      </c>
      <c r="D5307" t="s">
        <v>4492</v>
      </c>
      <c r="E5307">
        <v>-8254.3799999999992</v>
      </c>
      <c r="F5307">
        <v>-1</v>
      </c>
      <c r="G5307" t="s">
        <v>12</v>
      </c>
      <c r="I5307" t="s">
        <v>1050</v>
      </c>
    </row>
    <row r="5308" spans="1:9" hidden="1" x14ac:dyDescent="0.25">
      <c r="A5308" t="s">
        <v>4457</v>
      </c>
      <c r="B5308" t="s">
        <v>808</v>
      </c>
      <c r="C5308" s="2">
        <f>HYPERLINK("https://cao.dolgi.msk.ru/account/1080262899/", 1080262899)</f>
        <v>1080262899</v>
      </c>
      <c r="D5308" t="s">
        <v>4493</v>
      </c>
      <c r="E5308">
        <v>-5538.05</v>
      </c>
      <c r="F5308">
        <v>-1.07</v>
      </c>
      <c r="G5308" t="s">
        <v>12</v>
      </c>
      <c r="I5308" t="s">
        <v>1050</v>
      </c>
    </row>
    <row r="5309" spans="1:9" hidden="1" x14ac:dyDescent="0.25">
      <c r="A5309" t="s">
        <v>4457</v>
      </c>
      <c r="B5309" t="s">
        <v>810</v>
      </c>
      <c r="C5309" s="2">
        <f>HYPERLINK("https://cao.dolgi.msk.ru/account/1080262901/", 1080262901)</f>
        <v>1080262901</v>
      </c>
      <c r="D5309" t="s">
        <v>4494</v>
      </c>
      <c r="E5309">
        <v>-7716.67</v>
      </c>
      <c r="F5309">
        <v>-1.1200000000000001</v>
      </c>
      <c r="G5309" t="s">
        <v>12</v>
      </c>
      <c r="I5309" t="s">
        <v>1050</v>
      </c>
    </row>
    <row r="5310" spans="1:9" hidden="1" x14ac:dyDescent="0.25">
      <c r="A5310" t="s">
        <v>4457</v>
      </c>
      <c r="B5310" t="s">
        <v>812</v>
      </c>
      <c r="C5310" s="2">
        <f>HYPERLINK("https://cao.dolgi.msk.ru/account/1080262928/", 1080262928)</f>
        <v>1080262928</v>
      </c>
      <c r="D5310" t="s">
        <v>4495</v>
      </c>
      <c r="E5310">
        <v>-21215.38</v>
      </c>
      <c r="F5310">
        <v>-3.83</v>
      </c>
      <c r="G5310" t="s">
        <v>12</v>
      </c>
      <c r="I5310" t="s">
        <v>1050</v>
      </c>
    </row>
    <row r="5311" spans="1:9" hidden="1" x14ac:dyDescent="0.25">
      <c r="A5311" t="s">
        <v>4457</v>
      </c>
      <c r="B5311" t="s">
        <v>814</v>
      </c>
      <c r="C5311" s="2">
        <f>HYPERLINK("https://cao.dolgi.msk.ru/account/1080262936/", 1080262936)</f>
        <v>1080262936</v>
      </c>
      <c r="D5311" t="s">
        <v>62</v>
      </c>
      <c r="E5311">
        <v>-6189.36</v>
      </c>
      <c r="F5311">
        <v>-1.1499999999999999</v>
      </c>
      <c r="G5311" t="s">
        <v>12</v>
      </c>
      <c r="I5311" t="s">
        <v>1050</v>
      </c>
    </row>
    <row r="5312" spans="1:9" hidden="1" x14ac:dyDescent="0.25">
      <c r="A5312" t="s">
        <v>4457</v>
      </c>
      <c r="B5312" t="s">
        <v>816</v>
      </c>
      <c r="C5312" s="2">
        <f>HYPERLINK("https://cao.dolgi.msk.ru/account/1080262944/", 1080262944)</f>
        <v>1080262944</v>
      </c>
      <c r="D5312" t="s">
        <v>4496</v>
      </c>
      <c r="E5312">
        <v>-15733.06</v>
      </c>
      <c r="F5312">
        <v>-2.68</v>
      </c>
      <c r="G5312" t="s">
        <v>12</v>
      </c>
      <c r="I5312" t="s">
        <v>1050</v>
      </c>
    </row>
    <row r="5313" spans="1:9" hidden="1" x14ac:dyDescent="0.25">
      <c r="A5313" t="s">
        <v>4457</v>
      </c>
      <c r="B5313" t="s">
        <v>818</v>
      </c>
      <c r="C5313" s="2">
        <f>HYPERLINK("https://cao.dolgi.msk.ru/account/1080262952/", 1080262952)</f>
        <v>1080262952</v>
      </c>
      <c r="D5313" t="s">
        <v>4497</v>
      </c>
      <c r="E5313">
        <v>-4542.83</v>
      </c>
      <c r="F5313">
        <v>-1.2</v>
      </c>
      <c r="G5313" t="s">
        <v>12</v>
      </c>
      <c r="I5313" t="s">
        <v>1050</v>
      </c>
    </row>
    <row r="5314" spans="1:9" hidden="1" x14ac:dyDescent="0.25">
      <c r="A5314" t="s">
        <v>4498</v>
      </c>
      <c r="B5314" t="s">
        <v>151</v>
      </c>
      <c r="C5314" s="2">
        <f>HYPERLINK("https://cao.dolgi.msk.ru/account/1080266953/", 1080266953)</f>
        <v>1080266953</v>
      </c>
      <c r="D5314" t="s">
        <v>4499</v>
      </c>
      <c r="E5314">
        <v>-7017.3</v>
      </c>
      <c r="F5314">
        <v>-1.0900000000000001</v>
      </c>
      <c r="G5314" t="s">
        <v>12</v>
      </c>
      <c r="I5314" t="s">
        <v>1050</v>
      </c>
    </row>
    <row r="5315" spans="1:9" hidden="1" x14ac:dyDescent="0.25">
      <c r="A5315" t="s">
        <v>4498</v>
      </c>
      <c r="B5315" t="s">
        <v>153</v>
      </c>
      <c r="C5315" s="2">
        <f>HYPERLINK("https://cao.dolgi.msk.ru/account/1080266996/", 1080266996)</f>
        <v>1080266996</v>
      </c>
      <c r="D5315" t="s">
        <v>4500</v>
      </c>
      <c r="E5315">
        <v>-7123.28</v>
      </c>
      <c r="F5315">
        <v>-1.07</v>
      </c>
      <c r="G5315" t="s">
        <v>12</v>
      </c>
      <c r="I5315" t="s">
        <v>1050</v>
      </c>
    </row>
    <row r="5316" spans="1:9" hidden="1" x14ac:dyDescent="0.25">
      <c r="A5316" t="s">
        <v>4498</v>
      </c>
      <c r="B5316" t="s">
        <v>155</v>
      </c>
      <c r="C5316" s="2">
        <f>HYPERLINK("https://cao.dolgi.msk.ru/account/1080266961/", 1080266961)</f>
        <v>1080266961</v>
      </c>
      <c r="D5316" t="s">
        <v>4501</v>
      </c>
      <c r="E5316">
        <v>-4832.1499999999996</v>
      </c>
      <c r="F5316">
        <v>-0.94</v>
      </c>
      <c r="G5316" t="s">
        <v>12</v>
      </c>
      <c r="I5316" t="s">
        <v>1050</v>
      </c>
    </row>
    <row r="5317" spans="1:9" hidden="1" x14ac:dyDescent="0.25">
      <c r="A5317" t="s">
        <v>4498</v>
      </c>
      <c r="B5317" t="s">
        <v>157</v>
      </c>
      <c r="C5317" s="2">
        <f>HYPERLINK("https://cao.dolgi.msk.ru/account/1080266988/", 1080266988)</f>
        <v>1080266988</v>
      </c>
      <c r="D5317" t="s">
        <v>4502</v>
      </c>
      <c r="E5317">
        <v>-5859.76</v>
      </c>
      <c r="F5317">
        <v>-1.03</v>
      </c>
      <c r="G5317" t="s">
        <v>12</v>
      </c>
      <c r="I5317" t="s">
        <v>1050</v>
      </c>
    </row>
    <row r="5318" spans="1:9" hidden="1" x14ac:dyDescent="0.25">
      <c r="A5318" t="s">
        <v>4498</v>
      </c>
      <c r="B5318" t="s">
        <v>159</v>
      </c>
      <c r="C5318" s="2">
        <f>HYPERLINK("https://cao.dolgi.msk.ru/account/1080267008/", 1080267008)</f>
        <v>1080267008</v>
      </c>
      <c r="D5318" t="s">
        <v>4503</v>
      </c>
      <c r="E5318">
        <v>-8209.35</v>
      </c>
      <c r="F5318">
        <v>-1.2</v>
      </c>
      <c r="G5318" t="s">
        <v>12</v>
      </c>
      <c r="I5318" t="s">
        <v>1050</v>
      </c>
    </row>
    <row r="5319" spans="1:9" hidden="1" x14ac:dyDescent="0.25">
      <c r="A5319" t="s">
        <v>4498</v>
      </c>
      <c r="B5319" t="s">
        <v>159</v>
      </c>
      <c r="C5319" s="2">
        <f>HYPERLINK("https://cao.dolgi.msk.ru/account/1080267016/", 1080267016)</f>
        <v>1080267016</v>
      </c>
      <c r="D5319" t="s">
        <v>4503</v>
      </c>
      <c r="E5319">
        <v>-994.87</v>
      </c>
      <c r="G5319" t="s">
        <v>14</v>
      </c>
      <c r="I5319" t="s">
        <v>1050</v>
      </c>
    </row>
    <row r="5320" spans="1:9" hidden="1" x14ac:dyDescent="0.25">
      <c r="A5320" t="s">
        <v>4498</v>
      </c>
      <c r="B5320" t="s">
        <v>161</v>
      </c>
      <c r="C5320" s="2">
        <f>HYPERLINK("https://cao.dolgi.msk.ru/account/1080267024/", 1080267024)</f>
        <v>1080267024</v>
      </c>
      <c r="D5320" t="s">
        <v>4504</v>
      </c>
      <c r="E5320">
        <v>-6359.73</v>
      </c>
      <c r="F5320">
        <v>-1.06</v>
      </c>
      <c r="G5320" t="s">
        <v>12</v>
      </c>
      <c r="I5320" t="s">
        <v>1050</v>
      </c>
    </row>
    <row r="5321" spans="1:9" hidden="1" x14ac:dyDescent="0.25">
      <c r="A5321" t="s">
        <v>4498</v>
      </c>
      <c r="B5321" t="s">
        <v>163</v>
      </c>
      <c r="C5321" s="2">
        <f>HYPERLINK("https://cao.dolgi.msk.ru/account/1080267032/", 1080267032)</f>
        <v>1080267032</v>
      </c>
      <c r="D5321" t="s">
        <v>4505</v>
      </c>
      <c r="E5321">
        <v>-3803.27</v>
      </c>
      <c r="F5321">
        <v>-0.98</v>
      </c>
      <c r="G5321" t="s">
        <v>12</v>
      </c>
      <c r="I5321" t="s">
        <v>1050</v>
      </c>
    </row>
    <row r="5322" spans="1:9" hidden="1" x14ac:dyDescent="0.25">
      <c r="A5322" t="s">
        <v>4498</v>
      </c>
      <c r="B5322" t="s">
        <v>571</v>
      </c>
      <c r="C5322" s="2">
        <f>HYPERLINK("https://cao.dolgi.msk.ru/account/1080267059/", 1080267059)</f>
        <v>1080267059</v>
      </c>
      <c r="D5322" t="s">
        <v>4506</v>
      </c>
      <c r="E5322">
        <v>0</v>
      </c>
      <c r="F5322">
        <v>0</v>
      </c>
      <c r="G5322" t="s">
        <v>12</v>
      </c>
      <c r="I5322" t="s">
        <v>1050</v>
      </c>
    </row>
    <row r="5323" spans="1:9" hidden="1" x14ac:dyDescent="0.25">
      <c r="A5323" t="s">
        <v>4498</v>
      </c>
      <c r="B5323" t="s">
        <v>682</v>
      </c>
      <c r="C5323" s="2">
        <f>HYPERLINK("https://cao.dolgi.msk.ru/account/1080267067/", 1080267067)</f>
        <v>1080267067</v>
      </c>
      <c r="D5323" t="s">
        <v>4507</v>
      </c>
      <c r="E5323">
        <v>-202.25</v>
      </c>
      <c r="F5323">
        <v>-0.01</v>
      </c>
      <c r="G5323" t="s">
        <v>12</v>
      </c>
      <c r="I5323" t="s">
        <v>1050</v>
      </c>
    </row>
    <row r="5324" spans="1:9" hidden="1" x14ac:dyDescent="0.25">
      <c r="A5324" t="s">
        <v>4498</v>
      </c>
      <c r="B5324" t="s">
        <v>578</v>
      </c>
      <c r="C5324" s="2">
        <f>HYPERLINK("https://cao.dolgi.msk.ru/account/1080267075/", 1080267075)</f>
        <v>1080267075</v>
      </c>
      <c r="D5324" t="s">
        <v>4508</v>
      </c>
      <c r="E5324">
        <v>-5925.25</v>
      </c>
      <c r="F5324">
        <v>-0.99</v>
      </c>
      <c r="G5324" t="s">
        <v>12</v>
      </c>
      <c r="I5324" t="s">
        <v>1050</v>
      </c>
    </row>
    <row r="5325" spans="1:9" hidden="1" x14ac:dyDescent="0.25">
      <c r="A5325" t="s">
        <v>4498</v>
      </c>
      <c r="B5325" t="s">
        <v>580</v>
      </c>
      <c r="C5325" s="2">
        <f>HYPERLINK("https://cao.dolgi.msk.ru/account/1080267083/", 1080267083)</f>
        <v>1080267083</v>
      </c>
      <c r="D5325" t="s">
        <v>4509</v>
      </c>
      <c r="E5325">
        <v>-5717.49</v>
      </c>
      <c r="F5325">
        <v>-0.69</v>
      </c>
      <c r="G5325" t="s">
        <v>12</v>
      </c>
      <c r="I5325" t="s">
        <v>1050</v>
      </c>
    </row>
    <row r="5326" spans="1:9" hidden="1" x14ac:dyDescent="0.25">
      <c r="A5326" t="s">
        <v>4498</v>
      </c>
      <c r="B5326" t="s">
        <v>686</v>
      </c>
      <c r="C5326" s="2">
        <f>HYPERLINK("https://cao.dolgi.msk.ru/account/1080267091/", 1080267091)</f>
        <v>1080267091</v>
      </c>
      <c r="D5326" t="s">
        <v>4510</v>
      </c>
      <c r="E5326">
        <v>495.46</v>
      </c>
      <c r="F5326">
        <v>0.08</v>
      </c>
      <c r="G5326" t="s">
        <v>12</v>
      </c>
      <c r="I5326" t="s">
        <v>1050</v>
      </c>
    </row>
    <row r="5327" spans="1:9" hidden="1" x14ac:dyDescent="0.25">
      <c r="A5327" t="s">
        <v>4498</v>
      </c>
      <c r="B5327" t="s">
        <v>582</v>
      </c>
      <c r="C5327" s="2">
        <f>HYPERLINK("https://cao.dolgi.msk.ru/account/1080267104/", 1080267104)</f>
        <v>1080267104</v>
      </c>
      <c r="D5327" t="s">
        <v>4511</v>
      </c>
      <c r="E5327">
        <v>-5951.52</v>
      </c>
      <c r="F5327">
        <v>-1.05</v>
      </c>
      <c r="G5327" t="s">
        <v>12</v>
      </c>
      <c r="I5327" t="s">
        <v>1050</v>
      </c>
    </row>
    <row r="5328" spans="1:9" hidden="1" x14ac:dyDescent="0.25">
      <c r="A5328" t="s">
        <v>4498</v>
      </c>
      <c r="B5328" t="s">
        <v>584</v>
      </c>
      <c r="C5328" s="2">
        <f>HYPERLINK("https://cao.dolgi.msk.ru/account/1080267112/", 1080267112)</f>
        <v>1080267112</v>
      </c>
      <c r="D5328" t="s">
        <v>4512</v>
      </c>
      <c r="E5328">
        <v>-6669.5</v>
      </c>
      <c r="F5328">
        <v>-1.01</v>
      </c>
      <c r="G5328" t="s">
        <v>12</v>
      </c>
      <c r="I5328" t="s">
        <v>1050</v>
      </c>
    </row>
    <row r="5329" spans="1:9" hidden="1" x14ac:dyDescent="0.25">
      <c r="A5329" t="s">
        <v>4498</v>
      </c>
      <c r="B5329" t="s">
        <v>586</v>
      </c>
      <c r="C5329" s="2">
        <f>HYPERLINK("https://cao.dolgi.msk.ru/account/1080267139/", 1080267139)</f>
        <v>1080267139</v>
      </c>
      <c r="D5329" t="s">
        <v>4513</v>
      </c>
      <c r="E5329">
        <v>-5908.77</v>
      </c>
      <c r="F5329">
        <v>-0.93</v>
      </c>
      <c r="G5329" t="s">
        <v>12</v>
      </c>
      <c r="I5329" t="s">
        <v>1050</v>
      </c>
    </row>
    <row r="5330" spans="1:9" hidden="1" x14ac:dyDescent="0.25">
      <c r="A5330" t="s">
        <v>4498</v>
      </c>
      <c r="B5330" t="s">
        <v>588</v>
      </c>
      <c r="C5330" s="2">
        <f>HYPERLINK("https://cao.dolgi.msk.ru/account/1080267147/", 1080267147)</f>
        <v>1080267147</v>
      </c>
      <c r="D5330" t="s">
        <v>4514</v>
      </c>
      <c r="E5330">
        <v>1049.28</v>
      </c>
      <c r="F5330">
        <v>0.21</v>
      </c>
      <c r="G5330" t="s">
        <v>12</v>
      </c>
      <c r="I5330" t="s">
        <v>1050</v>
      </c>
    </row>
    <row r="5331" spans="1:9" hidden="1" x14ac:dyDescent="0.25">
      <c r="A5331" t="s">
        <v>4498</v>
      </c>
      <c r="B5331" t="s">
        <v>590</v>
      </c>
      <c r="C5331" s="2">
        <f>HYPERLINK("https://cao.dolgi.msk.ru/account/1080267155/", 1080267155)</f>
        <v>1080267155</v>
      </c>
      <c r="D5331" t="s">
        <v>4515</v>
      </c>
      <c r="E5331">
        <v>-6115.07</v>
      </c>
      <c r="F5331">
        <v>-0.66</v>
      </c>
      <c r="G5331" t="s">
        <v>12</v>
      </c>
      <c r="I5331" t="s">
        <v>1050</v>
      </c>
    </row>
    <row r="5332" spans="1:9" hidden="1" x14ac:dyDescent="0.25">
      <c r="A5332" t="s">
        <v>4498</v>
      </c>
      <c r="B5332" t="s">
        <v>693</v>
      </c>
      <c r="C5332" s="2">
        <f>HYPERLINK("https://cao.dolgi.msk.ru/account/1080267163/", 1080267163)</f>
        <v>1080267163</v>
      </c>
      <c r="D5332" t="s">
        <v>4516</v>
      </c>
      <c r="E5332">
        <v>-5161.45</v>
      </c>
      <c r="F5332">
        <v>-1.01</v>
      </c>
      <c r="G5332" t="s">
        <v>12</v>
      </c>
      <c r="I5332" t="s">
        <v>1050</v>
      </c>
    </row>
    <row r="5333" spans="1:9" hidden="1" x14ac:dyDescent="0.25">
      <c r="A5333" t="s">
        <v>4498</v>
      </c>
      <c r="B5333" t="s">
        <v>694</v>
      </c>
      <c r="C5333" s="2">
        <f>HYPERLINK("https://cao.dolgi.msk.ru/account/1080267171/", 1080267171)</f>
        <v>1080267171</v>
      </c>
      <c r="D5333" t="s">
        <v>4517</v>
      </c>
      <c r="E5333">
        <v>-6538.47</v>
      </c>
      <c r="F5333">
        <v>-1.02</v>
      </c>
      <c r="G5333" t="s">
        <v>12</v>
      </c>
      <c r="I5333" t="s">
        <v>1050</v>
      </c>
    </row>
    <row r="5334" spans="1:9" hidden="1" x14ac:dyDescent="0.25">
      <c r="A5334" t="s">
        <v>4498</v>
      </c>
      <c r="B5334" t="s">
        <v>696</v>
      </c>
      <c r="C5334" s="2">
        <f>HYPERLINK("https://cao.dolgi.msk.ru/account/1080267198/", 1080267198)</f>
        <v>1080267198</v>
      </c>
      <c r="D5334" t="s">
        <v>4518</v>
      </c>
      <c r="E5334">
        <v>-6561.45</v>
      </c>
      <c r="F5334">
        <v>-1.02</v>
      </c>
      <c r="G5334" t="s">
        <v>12</v>
      </c>
      <c r="I5334" t="s">
        <v>1050</v>
      </c>
    </row>
    <row r="5335" spans="1:9" hidden="1" x14ac:dyDescent="0.25">
      <c r="A5335" t="s">
        <v>4498</v>
      </c>
      <c r="B5335" t="s">
        <v>698</v>
      </c>
      <c r="C5335" s="2">
        <f>HYPERLINK("https://cao.dolgi.msk.ru/account/1080267219/", 1080267219)</f>
        <v>1080267219</v>
      </c>
      <c r="D5335" t="s">
        <v>4519</v>
      </c>
      <c r="E5335">
        <v>629.32000000000005</v>
      </c>
      <c r="F5335">
        <v>0.12</v>
      </c>
      <c r="G5335" t="s">
        <v>12</v>
      </c>
      <c r="I5335" t="s">
        <v>1050</v>
      </c>
    </row>
    <row r="5336" spans="1:9" hidden="1" x14ac:dyDescent="0.25">
      <c r="A5336" t="s">
        <v>4498</v>
      </c>
      <c r="B5336" t="s">
        <v>4520</v>
      </c>
      <c r="C5336" s="2">
        <f>HYPERLINK("https://cao.dolgi.msk.ru/account/1080267227/", 1080267227)</f>
        <v>1080267227</v>
      </c>
      <c r="D5336" t="s">
        <v>62</v>
      </c>
      <c r="E5336">
        <v>-4118.87</v>
      </c>
      <c r="F5336">
        <v>-0.95</v>
      </c>
      <c r="G5336" t="s">
        <v>12</v>
      </c>
      <c r="I5336" t="s">
        <v>1050</v>
      </c>
    </row>
    <row r="5337" spans="1:9" hidden="1" x14ac:dyDescent="0.25">
      <c r="A5337" t="s">
        <v>4498</v>
      </c>
      <c r="B5337" t="s">
        <v>700</v>
      </c>
      <c r="C5337" s="2">
        <f>HYPERLINK("https://cao.dolgi.msk.ru/account/1080267235/", 1080267235)</f>
        <v>1080267235</v>
      </c>
      <c r="D5337" t="s">
        <v>4521</v>
      </c>
      <c r="E5337">
        <v>-3690.56</v>
      </c>
      <c r="F5337">
        <v>-1.03</v>
      </c>
      <c r="G5337" t="s">
        <v>12</v>
      </c>
      <c r="I5337" t="s">
        <v>1050</v>
      </c>
    </row>
    <row r="5338" spans="1:9" hidden="1" x14ac:dyDescent="0.25">
      <c r="A5338" t="s">
        <v>4498</v>
      </c>
      <c r="B5338" t="s">
        <v>702</v>
      </c>
      <c r="C5338" s="2">
        <f>HYPERLINK("https://cao.dolgi.msk.ru/account/1080267243/", 1080267243)</f>
        <v>1080267243</v>
      </c>
      <c r="D5338" t="s">
        <v>4522</v>
      </c>
      <c r="E5338">
        <v>-6054.25</v>
      </c>
      <c r="F5338">
        <v>-1.1100000000000001</v>
      </c>
      <c r="G5338" t="s">
        <v>12</v>
      </c>
      <c r="I5338" t="s">
        <v>1050</v>
      </c>
    </row>
    <row r="5339" spans="1:9" x14ac:dyDescent="0.25">
      <c r="A5339" t="s">
        <v>4498</v>
      </c>
      <c r="B5339" t="s">
        <v>703</v>
      </c>
      <c r="C5339" s="2">
        <f>HYPERLINK("https://cao.dolgi.msk.ru/account/1080267251/", 1080267251)</f>
        <v>1080267251</v>
      </c>
      <c r="D5339" t="s">
        <v>15</v>
      </c>
      <c r="E5339">
        <v>181718.87</v>
      </c>
      <c r="F5339">
        <v>20.59</v>
      </c>
      <c r="G5339" t="s">
        <v>12</v>
      </c>
      <c r="I5339" t="s">
        <v>1050</v>
      </c>
    </row>
    <row r="5340" spans="1:9" hidden="1" x14ac:dyDescent="0.25">
      <c r="A5340" t="s">
        <v>4498</v>
      </c>
      <c r="B5340" t="s">
        <v>705</v>
      </c>
      <c r="C5340" s="2">
        <f>HYPERLINK("https://cao.dolgi.msk.ru/account/1080267278/", 1080267278)</f>
        <v>1080267278</v>
      </c>
      <c r="D5340" t="s">
        <v>4523</v>
      </c>
      <c r="E5340">
        <v>-7814.59</v>
      </c>
      <c r="F5340">
        <v>-1.24</v>
      </c>
      <c r="G5340" t="s">
        <v>12</v>
      </c>
      <c r="I5340" t="s">
        <v>1050</v>
      </c>
    </row>
    <row r="5341" spans="1:9" x14ac:dyDescent="0.25">
      <c r="A5341" t="s">
        <v>4498</v>
      </c>
      <c r="B5341" t="s">
        <v>707</v>
      </c>
      <c r="C5341" s="2">
        <f>HYPERLINK("https://cao.dolgi.msk.ru/account/1080267286/", 1080267286)</f>
        <v>1080267286</v>
      </c>
      <c r="D5341" t="s">
        <v>4524</v>
      </c>
      <c r="E5341">
        <v>4325.2299999999996</v>
      </c>
      <c r="F5341">
        <v>1.06</v>
      </c>
      <c r="G5341" t="s">
        <v>12</v>
      </c>
      <c r="I5341" t="s">
        <v>1050</v>
      </c>
    </row>
    <row r="5342" spans="1:9" hidden="1" x14ac:dyDescent="0.25">
      <c r="A5342" t="s">
        <v>4498</v>
      </c>
      <c r="B5342" t="s">
        <v>707</v>
      </c>
      <c r="C5342" s="2">
        <f>HYPERLINK("https://cao.dolgi.msk.ru/account/1083274705/", 1083274705)</f>
        <v>1083274705</v>
      </c>
      <c r="D5342" t="s">
        <v>15</v>
      </c>
      <c r="E5342">
        <v>-3581.46</v>
      </c>
      <c r="F5342">
        <v>-2.23</v>
      </c>
      <c r="G5342" t="s">
        <v>12</v>
      </c>
      <c r="I5342" t="s">
        <v>1050</v>
      </c>
    </row>
    <row r="5343" spans="1:9" hidden="1" x14ac:dyDescent="0.25">
      <c r="A5343" t="s">
        <v>4498</v>
      </c>
      <c r="B5343" t="s">
        <v>709</v>
      </c>
      <c r="C5343" s="2">
        <f>HYPERLINK("https://cao.dolgi.msk.ru/account/1080267294/", 1080267294)</f>
        <v>1080267294</v>
      </c>
      <c r="D5343" t="s">
        <v>15</v>
      </c>
      <c r="E5343">
        <v>703.72</v>
      </c>
      <c r="F5343">
        <v>0.13</v>
      </c>
      <c r="G5343" t="s">
        <v>12</v>
      </c>
      <c r="I5343" t="s">
        <v>1050</v>
      </c>
    </row>
    <row r="5344" spans="1:9" hidden="1" x14ac:dyDescent="0.25">
      <c r="A5344" t="s">
        <v>4498</v>
      </c>
      <c r="B5344" t="s">
        <v>711</v>
      </c>
      <c r="C5344" s="2">
        <f>HYPERLINK("https://cao.dolgi.msk.ru/account/1080267307/", 1080267307)</f>
        <v>1080267307</v>
      </c>
      <c r="D5344" t="s">
        <v>4525</v>
      </c>
      <c r="E5344">
        <v>0</v>
      </c>
      <c r="F5344">
        <v>0</v>
      </c>
      <c r="G5344" t="s">
        <v>12</v>
      </c>
      <c r="I5344" t="s">
        <v>1050</v>
      </c>
    </row>
    <row r="5345" spans="1:9" hidden="1" x14ac:dyDescent="0.25">
      <c r="A5345" t="s">
        <v>4498</v>
      </c>
      <c r="B5345" t="s">
        <v>713</v>
      </c>
      <c r="C5345" s="2">
        <f>HYPERLINK("https://cao.dolgi.msk.ru/account/1080267315/", 1080267315)</f>
        <v>1080267315</v>
      </c>
      <c r="D5345" t="s">
        <v>4526</v>
      </c>
      <c r="E5345">
        <v>4476.25</v>
      </c>
      <c r="F5345">
        <v>0.67</v>
      </c>
      <c r="G5345" t="s">
        <v>12</v>
      </c>
      <c r="I5345" t="s">
        <v>1050</v>
      </c>
    </row>
    <row r="5346" spans="1:9" hidden="1" x14ac:dyDescent="0.25">
      <c r="A5346" t="s">
        <v>4498</v>
      </c>
      <c r="B5346" t="s">
        <v>528</v>
      </c>
      <c r="C5346" s="2">
        <f>HYPERLINK("https://cao.dolgi.msk.ru/account/1080267323/", 1080267323)</f>
        <v>1080267323</v>
      </c>
      <c r="D5346" t="s">
        <v>4527</v>
      </c>
      <c r="E5346">
        <v>-4807.0200000000004</v>
      </c>
      <c r="F5346">
        <v>-1.06</v>
      </c>
      <c r="G5346" t="s">
        <v>12</v>
      </c>
      <c r="I5346" t="s">
        <v>1050</v>
      </c>
    </row>
    <row r="5347" spans="1:9" hidden="1" x14ac:dyDescent="0.25">
      <c r="A5347" t="s">
        <v>4498</v>
      </c>
      <c r="B5347" t="s">
        <v>530</v>
      </c>
      <c r="C5347" s="2">
        <f>HYPERLINK("https://cao.dolgi.msk.ru/account/1080267331/", 1080267331)</f>
        <v>1080267331</v>
      </c>
      <c r="D5347" t="s">
        <v>4528</v>
      </c>
      <c r="E5347">
        <v>-8003.93</v>
      </c>
      <c r="F5347">
        <v>-1.23</v>
      </c>
      <c r="G5347" t="s">
        <v>12</v>
      </c>
      <c r="I5347" t="s">
        <v>1050</v>
      </c>
    </row>
    <row r="5348" spans="1:9" hidden="1" x14ac:dyDescent="0.25">
      <c r="A5348" t="s">
        <v>4498</v>
      </c>
      <c r="B5348" t="s">
        <v>532</v>
      </c>
      <c r="C5348" s="2">
        <f>HYPERLINK("https://cao.dolgi.msk.ru/account/1080267358/", 1080267358)</f>
        <v>1080267358</v>
      </c>
      <c r="D5348" t="s">
        <v>4529</v>
      </c>
      <c r="E5348">
        <v>-8213.48</v>
      </c>
      <c r="F5348">
        <v>-1</v>
      </c>
      <c r="G5348" t="s">
        <v>12</v>
      </c>
      <c r="I5348" t="s">
        <v>1050</v>
      </c>
    </row>
    <row r="5349" spans="1:9" hidden="1" x14ac:dyDescent="0.25">
      <c r="A5349" t="s">
        <v>4498</v>
      </c>
      <c r="B5349" t="s">
        <v>534</v>
      </c>
      <c r="C5349" s="2">
        <f>HYPERLINK("https://cao.dolgi.msk.ru/account/1080267366/", 1080267366)</f>
        <v>1080267366</v>
      </c>
      <c r="D5349" t="s">
        <v>62</v>
      </c>
      <c r="E5349">
        <v>-7728.14</v>
      </c>
      <c r="F5349">
        <v>-1</v>
      </c>
      <c r="G5349" t="s">
        <v>12</v>
      </c>
      <c r="I5349" t="s">
        <v>1050</v>
      </c>
    </row>
    <row r="5350" spans="1:9" hidden="1" x14ac:dyDescent="0.25">
      <c r="A5350" t="s">
        <v>4498</v>
      </c>
      <c r="B5350" t="s">
        <v>536</v>
      </c>
      <c r="C5350" s="2">
        <f>HYPERLINK("https://cao.dolgi.msk.ru/account/1080267374/", 1080267374)</f>
        <v>1080267374</v>
      </c>
      <c r="D5350" t="s">
        <v>4530</v>
      </c>
      <c r="E5350">
        <v>-6785.17</v>
      </c>
      <c r="F5350">
        <v>-0.96</v>
      </c>
      <c r="G5350" t="s">
        <v>12</v>
      </c>
      <c r="I5350" t="s">
        <v>1050</v>
      </c>
    </row>
    <row r="5351" spans="1:9" hidden="1" x14ac:dyDescent="0.25">
      <c r="A5351" t="s">
        <v>4498</v>
      </c>
      <c r="B5351" t="s">
        <v>538</v>
      </c>
      <c r="C5351" s="2">
        <f>HYPERLINK("https://cao.dolgi.msk.ru/account/1080267382/", 1080267382)</f>
        <v>1080267382</v>
      </c>
      <c r="D5351" t="s">
        <v>4531</v>
      </c>
      <c r="E5351">
        <v>-9221.2800000000007</v>
      </c>
      <c r="F5351">
        <v>-1.46</v>
      </c>
      <c r="G5351" t="s">
        <v>12</v>
      </c>
      <c r="I5351" t="s">
        <v>1050</v>
      </c>
    </row>
    <row r="5352" spans="1:9" hidden="1" x14ac:dyDescent="0.25">
      <c r="A5352" t="s">
        <v>4498</v>
      </c>
      <c r="B5352" t="s">
        <v>539</v>
      </c>
      <c r="C5352" s="2">
        <f>HYPERLINK("https://cao.dolgi.msk.ru/account/1080267403/", 1080267403)</f>
        <v>1080267403</v>
      </c>
      <c r="D5352" t="s">
        <v>4532</v>
      </c>
      <c r="E5352">
        <v>-7527.48</v>
      </c>
      <c r="F5352">
        <v>-1.03</v>
      </c>
      <c r="G5352" t="s">
        <v>12</v>
      </c>
      <c r="I5352" t="s">
        <v>1050</v>
      </c>
    </row>
    <row r="5353" spans="1:9" hidden="1" x14ac:dyDescent="0.25">
      <c r="A5353" t="s">
        <v>4498</v>
      </c>
      <c r="B5353" t="s">
        <v>541</v>
      </c>
      <c r="C5353" s="2">
        <f>HYPERLINK("https://cao.dolgi.msk.ru/account/1080267411/", 1080267411)</f>
        <v>1080267411</v>
      </c>
      <c r="D5353" t="s">
        <v>4533</v>
      </c>
      <c r="E5353">
        <v>-6701.51</v>
      </c>
      <c r="F5353">
        <v>-1.03</v>
      </c>
      <c r="G5353" t="s">
        <v>12</v>
      </c>
      <c r="I5353" t="s">
        <v>1050</v>
      </c>
    </row>
    <row r="5354" spans="1:9" hidden="1" x14ac:dyDescent="0.25">
      <c r="A5354" t="s">
        <v>4498</v>
      </c>
      <c r="B5354" t="s">
        <v>543</v>
      </c>
      <c r="C5354" s="2">
        <f>HYPERLINK("https://cao.dolgi.msk.ru/account/1080267438/", 1080267438)</f>
        <v>1080267438</v>
      </c>
      <c r="D5354" t="s">
        <v>4534</v>
      </c>
      <c r="E5354">
        <v>3455.41</v>
      </c>
      <c r="F5354">
        <v>0.5</v>
      </c>
      <c r="G5354" t="s">
        <v>12</v>
      </c>
      <c r="I5354" t="s">
        <v>1050</v>
      </c>
    </row>
    <row r="5355" spans="1:9" hidden="1" x14ac:dyDescent="0.25">
      <c r="A5355" t="s">
        <v>4498</v>
      </c>
      <c r="B5355" t="s">
        <v>545</v>
      </c>
      <c r="C5355" s="2">
        <f>HYPERLINK("https://cao.dolgi.msk.ru/account/1080267446/", 1080267446)</f>
        <v>1080267446</v>
      </c>
      <c r="D5355" t="s">
        <v>4535</v>
      </c>
      <c r="E5355">
        <v>-3294.14</v>
      </c>
      <c r="F5355">
        <v>-1.02</v>
      </c>
      <c r="G5355" t="s">
        <v>12</v>
      </c>
      <c r="I5355" t="s">
        <v>1050</v>
      </c>
    </row>
    <row r="5356" spans="1:9" hidden="1" x14ac:dyDescent="0.25">
      <c r="A5356" t="s">
        <v>4498</v>
      </c>
      <c r="B5356" t="s">
        <v>546</v>
      </c>
      <c r="C5356" s="2">
        <f>HYPERLINK("https://cao.dolgi.msk.ru/account/1080267454/", 1080267454)</f>
        <v>1080267454</v>
      </c>
      <c r="D5356" t="s">
        <v>4536</v>
      </c>
      <c r="E5356">
        <v>-4221.32</v>
      </c>
      <c r="F5356">
        <v>-1.08</v>
      </c>
      <c r="G5356" t="s">
        <v>12</v>
      </c>
      <c r="I5356" t="s">
        <v>1050</v>
      </c>
    </row>
    <row r="5357" spans="1:9" hidden="1" x14ac:dyDescent="0.25">
      <c r="A5357" t="s">
        <v>4498</v>
      </c>
      <c r="B5357" t="s">
        <v>546</v>
      </c>
      <c r="C5357" s="2">
        <f>HYPERLINK("https://cao.dolgi.msk.ru/account/1089124767/", 1089124767)</f>
        <v>1089124767</v>
      </c>
      <c r="D5357" t="s">
        <v>4536</v>
      </c>
      <c r="E5357">
        <v>-1460.33</v>
      </c>
      <c r="F5357">
        <v>-0.7</v>
      </c>
      <c r="G5357" t="s">
        <v>12</v>
      </c>
      <c r="I5357" t="s">
        <v>1050</v>
      </c>
    </row>
    <row r="5358" spans="1:9" hidden="1" x14ac:dyDescent="0.25">
      <c r="A5358" t="s">
        <v>4498</v>
      </c>
      <c r="B5358" t="s">
        <v>548</v>
      </c>
      <c r="C5358" s="2">
        <f>HYPERLINK("https://cao.dolgi.msk.ru/account/1080267462/", 1080267462)</f>
        <v>1080267462</v>
      </c>
      <c r="D5358" t="s">
        <v>4537</v>
      </c>
      <c r="E5358">
        <v>-14329.46</v>
      </c>
      <c r="F5358">
        <v>-3.28</v>
      </c>
      <c r="G5358" t="s">
        <v>12</v>
      </c>
      <c r="I5358" t="s">
        <v>1050</v>
      </c>
    </row>
    <row r="5359" spans="1:9" hidden="1" x14ac:dyDescent="0.25">
      <c r="A5359" t="s">
        <v>4498</v>
      </c>
      <c r="B5359" t="s">
        <v>727</v>
      </c>
      <c r="C5359" s="2">
        <f>HYPERLINK("https://cao.dolgi.msk.ru/account/1080267489/", 1080267489)</f>
        <v>1080267489</v>
      </c>
      <c r="D5359" t="s">
        <v>4538</v>
      </c>
      <c r="E5359">
        <v>-4316.91</v>
      </c>
      <c r="F5359">
        <v>-1.0900000000000001</v>
      </c>
      <c r="G5359" t="s">
        <v>12</v>
      </c>
      <c r="I5359" t="s">
        <v>1050</v>
      </c>
    </row>
    <row r="5360" spans="1:9" hidden="1" x14ac:dyDescent="0.25">
      <c r="A5360" t="s">
        <v>4498</v>
      </c>
      <c r="B5360" t="s">
        <v>4539</v>
      </c>
      <c r="C5360" s="2">
        <f>HYPERLINK("https://cao.dolgi.msk.ru/account/1080267497/", 1080267497)</f>
        <v>1080267497</v>
      </c>
      <c r="D5360" t="s">
        <v>62</v>
      </c>
      <c r="E5360">
        <v>-5982.78</v>
      </c>
      <c r="F5360">
        <v>-0.99</v>
      </c>
      <c r="G5360" t="s">
        <v>12</v>
      </c>
      <c r="I5360" t="s">
        <v>1050</v>
      </c>
    </row>
    <row r="5361" spans="1:9" hidden="1" x14ac:dyDescent="0.25">
      <c r="A5361" t="s">
        <v>4540</v>
      </c>
      <c r="B5361" t="s">
        <v>551</v>
      </c>
      <c r="C5361" s="2">
        <f>HYPERLINK("https://cao.dolgi.msk.ru/account/1080267518/", 1080267518)</f>
        <v>1080267518</v>
      </c>
      <c r="D5361" t="s">
        <v>4541</v>
      </c>
      <c r="E5361">
        <v>-4904.57</v>
      </c>
      <c r="F5361">
        <v>-0.97</v>
      </c>
      <c r="G5361" t="s">
        <v>12</v>
      </c>
      <c r="I5361" t="s">
        <v>1050</v>
      </c>
    </row>
    <row r="5362" spans="1:9" hidden="1" x14ac:dyDescent="0.25">
      <c r="A5362" t="s">
        <v>4540</v>
      </c>
      <c r="B5362" t="s">
        <v>730</v>
      </c>
      <c r="C5362" s="2">
        <f>HYPERLINK("https://cao.dolgi.msk.ru/account/1080267526/", 1080267526)</f>
        <v>1080267526</v>
      </c>
      <c r="D5362" t="s">
        <v>4542</v>
      </c>
      <c r="E5362">
        <v>-5905.78</v>
      </c>
      <c r="F5362">
        <v>-0.87</v>
      </c>
      <c r="G5362" t="s">
        <v>12</v>
      </c>
      <c r="I5362" t="s">
        <v>1050</v>
      </c>
    </row>
    <row r="5363" spans="1:9" hidden="1" x14ac:dyDescent="0.25">
      <c r="A5363" t="s">
        <v>4540</v>
      </c>
      <c r="B5363" t="s">
        <v>732</v>
      </c>
      <c r="C5363" s="2">
        <f>HYPERLINK("https://cao.dolgi.msk.ru/account/1080267534/", 1080267534)</f>
        <v>1080267534</v>
      </c>
      <c r="D5363" t="s">
        <v>4543</v>
      </c>
      <c r="E5363">
        <v>-3244.65</v>
      </c>
      <c r="F5363">
        <v>-0.99</v>
      </c>
      <c r="G5363" t="s">
        <v>12</v>
      </c>
      <c r="I5363" t="s">
        <v>1050</v>
      </c>
    </row>
    <row r="5364" spans="1:9" hidden="1" x14ac:dyDescent="0.25">
      <c r="A5364" t="s">
        <v>4540</v>
      </c>
      <c r="B5364" t="s">
        <v>553</v>
      </c>
      <c r="C5364" s="2">
        <f>HYPERLINK("https://cao.dolgi.msk.ru/account/1080267542/", 1080267542)</f>
        <v>1080267542</v>
      </c>
      <c r="D5364" t="s">
        <v>4544</v>
      </c>
      <c r="E5364">
        <v>0</v>
      </c>
      <c r="F5364">
        <v>0</v>
      </c>
      <c r="G5364" t="s">
        <v>12</v>
      </c>
      <c r="I5364" t="s">
        <v>1050</v>
      </c>
    </row>
    <row r="5365" spans="1:9" hidden="1" x14ac:dyDescent="0.25">
      <c r="A5365" t="s">
        <v>4540</v>
      </c>
      <c r="B5365" t="s">
        <v>555</v>
      </c>
      <c r="C5365" s="2">
        <f>HYPERLINK("https://cao.dolgi.msk.ru/account/1080267569/", 1080267569)</f>
        <v>1080267569</v>
      </c>
      <c r="D5365" t="s">
        <v>4545</v>
      </c>
      <c r="E5365">
        <v>-3722.84</v>
      </c>
      <c r="F5365">
        <v>-0.47</v>
      </c>
      <c r="G5365" t="s">
        <v>12</v>
      </c>
      <c r="I5365" t="s">
        <v>1050</v>
      </c>
    </row>
    <row r="5366" spans="1:9" hidden="1" x14ac:dyDescent="0.25">
      <c r="A5366" t="s">
        <v>4540</v>
      </c>
      <c r="B5366" t="s">
        <v>736</v>
      </c>
      <c r="C5366" s="2">
        <f>HYPERLINK("https://cao.dolgi.msk.ru/account/1080267577/", 1080267577)</f>
        <v>1080267577</v>
      </c>
      <c r="D5366" t="s">
        <v>4546</v>
      </c>
      <c r="E5366">
        <v>534.65</v>
      </c>
      <c r="F5366">
        <v>0.05</v>
      </c>
      <c r="G5366" t="s">
        <v>12</v>
      </c>
      <c r="I5366" t="s">
        <v>1050</v>
      </c>
    </row>
    <row r="5367" spans="1:9" hidden="1" x14ac:dyDescent="0.25">
      <c r="A5367" t="s">
        <v>4540</v>
      </c>
      <c r="B5367" t="s">
        <v>738</v>
      </c>
      <c r="C5367" s="2">
        <f>HYPERLINK("https://cao.dolgi.msk.ru/account/1080267585/", 1080267585)</f>
        <v>1080267585</v>
      </c>
      <c r="D5367" t="s">
        <v>4547</v>
      </c>
      <c r="E5367">
        <v>0</v>
      </c>
      <c r="F5367">
        <v>0</v>
      </c>
      <c r="G5367" t="s">
        <v>12</v>
      </c>
      <c r="I5367" t="s">
        <v>1050</v>
      </c>
    </row>
    <row r="5368" spans="1:9" hidden="1" x14ac:dyDescent="0.25">
      <c r="A5368" t="s">
        <v>4540</v>
      </c>
      <c r="B5368" t="s">
        <v>740</v>
      </c>
      <c r="C5368" s="2">
        <f>HYPERLINK("https://cao.dolgi.msk.ru/account/1080267593/", 1080267593)</f>
        <v>1080267593</v>
      </c>
      <c r="D5368" t="s">
        <v>4548</v>
      </c>
      <c r="E5368">
        <v>-1879.57</v>
      </c>
      <c r="F5368">
        <v>-0.5</v>
      </c>
      <c r="G5368" t="s">
        <v>12</v>
      </c>
      <c r="I5368" t="s">
        <v>1050</v>
      </c>
    </row>
    <row r="5369" spans="1:9" hidden="1" x14ac:dyDescent="0.25">
      <c r="A5369" t="s">
        <v>4540</v>
      </c>
      <c r="B5369" t="s">
        <v>742</v>
      </c>
      <c r="C5369" s="2">
        <f>HYPERLINK("https://cao.dolgi.msk.ru/account/1080267606/", 1080267606)</f>
        <v>1080267606</v>
      </c>
      <c r="D5369" t="s">
        <v>4549</v>
      </c>
      <c r="E5369">
        <v>-106.85</v>
      </c>
      <c r="F5369">
        <v>-0.03</v>
      </c>
      <c r="G5369" t="s">
        <v>12</v>
      </c>
      <c r="I5369" t="s">
        <v>1050</v>
      </c>
    </row>
    <row r="5370" spans="1:9" hidden="1" x14ac:dyDescent="0.25">
      <c r="A5370" t="s">
        <v>4540</v>
      </c>
      <c r="B5370" t="s">
        <v>557</v>
      </c>
      <c r="C5370" s="2">
        <f>HYPERLINK("https://cao.dolgi.msk.ru/account/1080267614/", 1080267614)</f>
        <v>1080267614</v>
      </c>
      <c r="D5370" t="s">
        <v>4550</v>
      </c>
      <c r="E5370">
        <v>-4634.79</v>
      </c>
      <c r="F5370">
        <v>-0.86</v>
      </c>
      <c r="G5370" t="s">
        <v>12</v>
      </c>
      <c r="I5370" t="s">
        <v>1050</v>
      </c>
    </row>
    <row r="5371" spans="1:9" hidden="1" x14ac:dyDescent="0.25">
      <c r="A5371" t="s">
        <v>4540</v>
      </c>
      <c r="B5371" t="s">
        <v>558</v>
      </c>
      <c r="C5371" s="2">
        <f>HYPERLINK("https://cao.dolgi.msk.ru/account/1080267622/", 1080267622)</f>
        <v>1080267622</v>
      </c>
      <c r="D5371" t="s">
        <v>4551</v>
      </c>
      <c r="E5371">
        <v>-5870.79</v>
      </c>
      <c r="F5371">
        <v>-0.85</v>
      </c>
      <c r="G5371" t="s">
        <v>12</v>
      </c>
      <c r="I5371" t="s">
        <v>1050</v>
      </c>
    </row>
    <row r="5372" spans="1:9" hidden="1" x14ac:dyDescent="0.25">
      <c r="A5372" t="s">
        <v>4540</v>
      </c>
      <c r="B5372" t="s">
        <v>746</v>
      </c>
      <c r="C5372" s="2">
        <f>HYPERLINK("https://cao.dolgi.msk.ru/account/1080267649/", 1080267649)</f>
        <v>1080267649</v>
      </c>
      <c r="D5372" t="s">
        <v>4552</v>
      </c>
      <c r="E5372">
        <v>-1592.55</v>
      </c>
      <c r="F5372">
        <v>-0.33</v>
      </c>
      <c r="G5372" t="s">
        <v>12</v>
      </c>
      <c r="I5372" t="s">
        <v>1050</v>
      </c>
    </row>
    <row r="5373" spans="1:9" hidden="1" x14ac:dyDescent="0.25">
      <c r="A5373" t="s">
        <v>4540</v>
      </c>
      <c r="B5373" t="s">
        <v>748</v>
      </c>
      <c r="C5373" s="2">
        <f>HYPERLINK("https://cao.dolgi.msk.ru/account/1080267657/", 1080267657)</f>
        <v>1080267657</v>
      </c>
      <c r="D5373" t="s">
        <v>4553</v>
      </c>
      <c r="E5373">
        <v>-5461.97</v>
      </c>
      <c r="F5373">
        <v>-1.02</v>
      </c>
      <c r="G5373" t="s">
        <v>12</v>
      </c>
      <c r="I5373" t="s">
        <v>1050</v>
      </c>
    </row>
    <row r="5374" spans="1:9" hidden="1" x14ac:dyDescent="0.25">
      <c r="A5374" t="s">
        <v>4540</v>
      </c>
      <c r="B5374" t="s">
        <v>750</v>
      </c>
      <c r="C5374" s="2">
        <f>HYPERLINK("https://cao.dolgi.msk.ru/account/1080267665/", 1080267665)</f>
        <v>1080267665</v>
      </c>
      <c r="D5374" t="s">
        <v>4554</v>
      </c>
      <c r="E5374">
        <v>-11099.4</v>
      </c>
      <c r="F5374">
        <v>-1.04</v>
      </c>
      <c r="G5374" t="s">
        <v>12</v>
      </c>
      <c r="I5374" t="s">
        <v>1050</v>
      </c>
    </row>
    <row r="5375" spans="1:9" hidden="1" x14ac:dyDescent="0.25">
      <c r="A5375" t="s">
        <v>4540</v>
      </c>
      <c r="B5375" t="s">
        <v>752</v>
      </c>
      <c r="C5375" s="2">
        <f>HYPERLINK("https://cao.dolgi.msk.ru/account/1080267673/", 1080267673)</f>
        <v>1080267673</v>
      </c>
      <c r="D5375" t="s">
        <v>4555</v>
      </c>
      <c r="E5375">
        <v>-27473.45</v>
      </c>
      <c r="F5375">
        <v>-2.38</v>
      </c>
      <c r="G5375" t="s">
        <v>12</v>
      </c>
      <c r="I5375" t="s">
        <v>1050</v>
      </c>
    </row>
    <row r="5376" spans="1:9" hidden="1" x14ac:dyDescent="0.25">
      <c r="A5376" t="s">
        <v>4540</v>
      </c>
      <c r="B5376" t="s">
        <v>754</v>
      </c>
      <c r="C5376" s="2">
        <f>HYPERLINK("https://cao.dolgi.msk.ru/account/1080267681/", 1080267681)</f>
        <v>1080267681</v>
      </c>
      <c r="D5376" t="s">
        <v>4556</v>
      </c>
      <c r="E5376">
        <v>4934.38</v>
      </c>
      <c r="F5376">
        <v>0.95</v>
      </c>
      <c r="G5376" t="s">
        <v>12</v>
      </c>
      <c r="I5376" t="s">
        <v>1050</v>
      </c>
    </row>
    <row r="5377" spans="1:9" hidden="1" x14ac:dyDescent="0.25">
      <c r="A5377" t="s">
        <v>4540</v>
      </c>
      <c r="B5377" t="s">
        <v>756</v>
      </c>
      <c r="C5377" s="2">
        <f>HYPERLINK("https://cao.dolgi.msk.ru/account/1080267702/", 1080267702)</f>
        <v>1080267702</v>
      </c>
      <c r="D5377" t="s">
        <v>4557</v>
      </c>
      <c r="E5377">
        <v>-13268.95</v>
      </c>
      <c r="F5377">
        <v>-1.02</v>
      </c>
      <c r="G5377" t="s">
        <v>12</v>
      </c>
      <c r="I5377" t="s">
        <v>1050</v>
      </c>
    </row>
    <row r="5378" spans="1:9" hidden="1" x14ac:dyDescent="0.25">
      <c r="A5378" t="s">
        <v>4540</v>
      </c>
      <c r="B5378" t="s">
        <v>758</v>
      </c>
      <c r="C5378" s="2">
        <f>HYPERLINK("https://cao.dolgi.msk.ru/account/1080267729/", 1080267729)</f>
        <v>1080267729</v>
      </c>
      <c r="D5378" t="s">
        <v>4558</v>
      </c>
      <c r="E5378">
        <v>-7973.74</v>
      </c>
      <c r="F5378">
        <v>-1.02</v>
      </c>
      <c r="G5378" t="s">
        <v>12</v>
      </c>
      <c r="I5378" t="s">
        <v>1050</v>
      </c>
    </row>
    <row r="5379" spans="1:9" hidden="1" x14ac:dyDescent="0.25">
      <c r="A5379" t="s">
        <v>4540</v>
      </c>
      <c r="B5379" t="s">
        <v>760</v>
      </c>
      <c r="C5379" s="2">
        <f>HYPERLINK("https://cao.dolgi.msk.ru/account/1080267737/", 1080267737)</f>
        <v>1080267737</v>
      </c>
      <c r="D5379" t="s">
        <v>4559</v>
      </c>
      <c r="E5379">
        <v>-5991.5</v>
      </c>
      <c r="F5379">
        <v>-1.02</v>
      </c>
      <c r="G5379" t="s">
        <v>12</v>
      </c>
      <c r="I5379" t="s">
        <v>1050</v>
      </c>
    </row>
    <row r="5380" spans="1:9" hidden="1" x14ac:dyDescent="0.25">
      <c r="A5380" t="s">
        <v>4540</v>
      </c>
      <c r="B5380" t="s">
        <v>762</v>
      </c>
      <c r="C5380" s="2">
        <f>HYPERLINK("https://cao.dolgi.msk.ru/account/1080267745/", 1080267745)</f>
        <v>1080267745</v>
      </c>
      <c r="D5380" t="s">
        <v>4560</v>
      </c>
      <c r="E5380">
        <v>-16494.740000000002</v>
      </c>
      <c r="F5380">
        <v>-2.63</v>
      </c>
      <c r="G5380" t="s">
        <v>12</v>
      </c>
      <c r="I5380" t="s">
        <v>1050</v>
      </c>
    </row>
    <row r="5381" spans="1:9" hidden="1" x14ac:dyDescent="0.25">
      <c r="A5381" t="s">
        <v>4540</v>
      </c>
      <c r="B5381" t="s">
        <v>762</v>
      </c>
      <c r="C5381" s="2">
        <f>HYPERLINK("https://cao.dolgi.msk.ru/account/1083283951/", 1083283951)</f>
        <v>1083283951</v>
      </c>
      <c r="D5381" t="s">
        <v>15</v>
      </c>
      <c r="E5381">
        <v>-15604.22</v>
      </c>
      <c r="G5381" t="s">
        <v>14</v>
      </c>
      <c r="I5381" t="s">
        <v>1050</v>
      </c>
    </row>
    <row r="5382" spans="1:9" hidden="1" x14ac:dyDescent="0.25">
      <c r="A5382" t="s">
        <v>4540</v>
      </c>
      <c r="B5382" t="s">
        <v>764</v>
      </c>
      <c r="C5382" s="2">
        <f>HYPERLINK("https://cao.dolgi.msk.ru/account/1080267753/", 1080267753)</f>
        <v>1080267753</v>
      </c>
      <c r="D5382" t="s">
        <v>4561</v>
      </c>
      <c r="E5382">
        <v>-7802.44</v>
      </c>
      <c r="F5382">
        <v>-1.02</v>
      </c>
      <c r="G5382" t="s">
        <v>12</v>
      </c>
      <c r="I5382" t="s">
        <v>1050</v>
      </c>
    </row>
    <row r="5383" spans="1:9" hidden="1" x14ac:dyDescent="0.25">
      <c r="A5383" t="s">
        <v>4540</v>
      </c>
      <c r="B5383" t="s">
        <v>766</v>
      </c>
      <c r="C5383" s="2">
        <f>HYPERLINK("https://cao.dolgi.msk.ru/account/1080267761/", 1080267761)</f>
        <v>1080267761</v>
      </c>
      <c r="D5383" t="s">
        <v>4562</v>
      </c>
      <c r="E5383">
        <v>-6961.6</v>
      </c>
      <c r="F5383">
        <v>-0.73</v>
      </c>
      <c r="G5383" t="s">
        <v>12</v>
      </c>
      <c r="I5383" t="s">
        <v>1050</v>
      </c>
    </row>
    <row r="5384" spans="1:9" hidden="1" x14ac:dyDescent="0.25">
      <c r="A5384" t="s">
        <v>4540</v>
      </c>
      <c r="B5384" t="s">
        <v>768</v>
      </c>
      <c r="C5384" s="2">
        <f>HYPERLINK("https://cao.dolgi.msk.ru/account/1080267788/", 1080267788)</f>
        <v>1080267788</v>
      </c>
      <c r="D5384" t="s">
        <v>4563</v>
      </c>
      <c r="E5384">
        <v>0</v>
      </c>
      <c r="F5384">
        <v>0</v>
      </c>
      <c r="G5384" t="s">
        <v>12</v>
      </c>
      <c r="I5384" t="s">
        <v>1050</v>
      </c>
    </row>
    <row r="5385" spans="1:9" hidden="1" x14ac:dyDescent="0.25">
      <c r="A5385" t="s">
        <v>4540</v>
      </c>
      <c r="B5385" t="s">
        <v>768</v>
      </c>
      <c r="C5385" s="2">
        <f>HYPERLINK("https://cao.dolgi.msk.ru/account/1083283329/", 1083283329)</f>
        <v>1083283329</v>
      </c>
      <c r="D5385" t="s">
        <v>15</v>
      </c>
      <c r="E5385">
        <v>705.47</v>
      </c>
      <c r="G5385" t="s">
        <v>14</v>
      </c>
      <c r="I5385" t="s">
        <v>1050</v>
      </c>
    </row>
    <row r="5386" spans="1:9" hidden="1" x14ac:dyDescent="0.25">
      <c r="A5386" t="s">
        <v>4540</v>
      </c>
      <c r="B5386" t="s">
        <v>770</v>
      </c>
      <c r="C5386" s="2">
        <f>HYPERLINK("https://cao.dolgi.msk.ru/account/1080267796/", 1080267796)</f>
        <v>1080267796</v>
      </c>
      <c r="D5386" t="s">
        <v>4564</v>
      </c>
      <c r="E5386">
        <v>-3950.38</v>
      </c>
      <c r="F5386">
        <v>-0.98</v>
      </c>
      <c r="G5386" t="s">
        <v>12</v>
      </c>
      <c r="I5386" t="s">
        <v>1050</v>
      </c>
    </row>
    <row r="5387" spans="1:9" hidden="1" x14ac:dyDescent="0.25">
      <c r="A5387" t="s">
        <v>4540</v>
      </c>
      <c r="B5387" t="s">
        <v>772</v>
      </c>
      <c r="C5387" s="2">
        <f>HYPERLINK("https://cao.dolgi.msk.ru/account/1080268078/", 1080268078)</f>
        <v>1080268078</v>
      </c>
      <c r="D5387" t="s">
        <v>4565</v>
      </c>
      <c r="E5387">
        <v>6882.67</v>
      </c>
      <c r="F5387">
        <v>0.92</v>
      </c>
      <c r="G5387" t="s">
        <v>12</v>
      </c>
      <c r="I5387" t="s">
        <v>1050</v>
      </c>
    </row>
    <row r="5388" spans="1:9" hidden="1" x14ac:dyDescent="0.25">
      <c r="A5388" t="s">
        <v>4540</v>
      </c>
      <c r="B5388" t="s">
        <v>774</v>
      </c>
      <c r="C5388" s="2">
        <f>HYPERLINK("https://cao.dolgi.msk.ru/account/1080268094/", 1080268094)</f>
        <v>1080268094</v>
      </c>
      <c r="D5388" t="s">
        <v>4566</v>
      </c>
      <c r="E5388">
        <v>494.36</v>
      </c>
      <c r="F5388">
        <v>0.1</v>
      </c>
      <c r="G5388" t="s">
        <v>12</v>
      </c>
      <c r="I5388" t="s">
        <v>1050</v>
      </c>
    </row>
    <row r="5389" spans="1:9" hidden="1" x14ac:dyDescent="0.25">
      <c r="A5389" t="s">
        <v>4540</v>
      </c>
      <c r="B5389" t="s">
        <v>776</v>
      </c>
      <c r="C5389" s="2">
        <f>HYPERLINK("https://cao.dolgi.msk.ru/account/1080268086/", 1080268086)</f>
        <v>1080268086</v>
      </c>
      <c r="D5389" t="s">
        <v>62</v>
      </c>
      <c r="E5389">
        <v>-7616.76</v>
      </c>
      <c r="F5389">
        <v>-0.91</v>
      </c>
      <c r="G5389" t="s">
        <v>12</v>
      </c>
      <c r="I5389" t="s">
        <v>1050</v>
      </c>
    </row>
    <row r="5390" spans="1:9" x14ac:dyDescent="0.25">
      <c r="A5390" t="s">
        <v>4540</v>
      </c>
      <c r="B5390" t="s">
        <v>778</v>
      </c>
      <c r="C5390" s="2">
        <f>HYPERLINK("https://cao.dolgi.msk.ru/account/1080267964/", 1080267964)</f>
        <v>1080267964</v>
      </c>
      <c r="D5390" t="s">
        <v>4567</v>
      </c>
      <c r="E5390">
        <v>192613.32</v>
      </c>
      <c r="F5390">
        <v>22.92</v>
      </c>
      <c r="G5390" t="s">
        <v>12</v>
      </c>
      <c r="H5390" t="s">
        <v>7</v>
      </c>
      <c r="I5390" t="s">
        <v>1050</v>
      </c>
    </row>
    <row r="5391" spans="1:9" hidden="1" x14ac:dyDescent="0.25">
      <c r="A5391" t="s">
        <v>4540</v>
      </c>
      <c r="B5391" t="s">
        <v>778</v>
      </c>
      <c r="C5391" s="2">
        <f>HYPERLINK("https://cao.dolgi.msk.ru/account/1080268107/", 1080268107)</f>
        <v>1080268107</v>
      </c>
      <c r="D5391" t="s">
        <v>4567</v>
      </c>
      <c r="E5391">
        <v>-172.04</v>
      </c>
      <c r="F5391">
        <v>-0.03</v>
      </c>
      <c r="G5391" t="s">
        <v>12</v>
      </c>
      <c r="H5391" t="s">
        <v>7</v>
      </c>
      <c r="I5391" t="s">
        <v>1050</v>
      </c>
    </row>
    <row r="5392" spans="1:9" hidden="1" x14ac:dyDescent="0.25">
      <c r="A5392" t="s">
        <v>4540</v>
      </c>
      <c r="B5392" t="s">
        <v>780</v>
      </c>
      <c r="C5392" s="2">
        <f>HYPERLINK("https://cao.dolgi.msk.ru/account/1080267809/", 1080267809)</f>
        <v>1080267809</v>
      </c>
      <c r="D5392" t="s">
        <v>4568</v>
      </c>
      <c r="E5392">
        <v>-5713.21</v>
      </c>
      <c r="F5392">
        <v>-1.01</v>
      </c>
      <c r="G5392" t="s">
        <v>12</v>
      </c>
      <c r="I5392" t="s">
        <v>1050</v>
      </c>
    </row>
    <row r="5393" spans="1:9" hidden="1" x14ac:dyDescent="0.25">
      <c r="A5393" t="s">
        <v>4540</v>
      </c>
      <c r="B5393" t="s">
        <v>781</v>
      </c>
      <c r="C5393" s="2">
        <f>HYPERLINK("https://cao.dolgi.msk.ru/account/1080267817/", 1080267817)</f>
        <v>1080267817</v>
      </c>
      <c r="D5393" t="s">
        <v>4569</v>
      </c>
      <c r="E5393">
        <v>-60.16</v>
      </c>
      <c r="F5393">
        <v>-0.02</v>
      </c>
      <c r="G5393" t="s">
        <v>12</v>
      </c>
      <c r="I5393" t="s">
        <v>1050</v>
      </c>
    </row>
    <row r="5394" spans="1:9" hidden="1" x14ac:dyDescent="0.25">
      <c r="A5394" t="s">
        <v>4540</v>
      </c>
      <c r="B5394" t="s">
        <v>782</v>
      </c>
      <c r="C5394" s="2">
        <f>HYPERLINK("https://cao.dolgi.msk.ru/account/1080267825/", 1080267825)</f>
        <v>1080267825</v>
      </c>
      <c r="D5394" t="s">
        <v>4570</v>
      </c>
      <c r="E5394">
        <v>-6470.99</v>
      </c>
      <c r="F5394">
        <v>-0.97</v>
      </c>
      <c r="G5394" t="s">
        <v>12</v>
      </c>
      <c r="I5394" t="s">
        <v>1050</v>
      </c>
    </row>
    <row r="5395" spans="1:9" hidden="1" x14ac:dyDescent="0.25">
      <c r="A5395" t="s">
        <v>4540</v>
      </c>
      <c r="B5395" t="s">
        <v>784</v>
      </c>
      <c r="C5395" s="2">
        <f>HYPERLINK("https://cao.dolgi.msk.ru/account/1080267833/", 1080267833)</f>
        <v>1080267833</v>
      </c>
      <c r="D5395" t="s">
        <v>4571</v>
      </c>
      <c r="E5395">
        <v>-71.98</v>
      </c>
      <c r="F5395">
        <v>-0.02</v>
      </c>
      <c r="G5395" t="s">
        <v>12</v>
      </c>
      <c r="I5395" t="s">
        <v>1050</v>
      </c>
    </row>
    <row r="5396" spans="1:9" hidden="1" x14ac:dyDescent="0.25">
      <c r="A5396" t="s">
        <v>4540</v>
      </c>
      <c r="B5396" t="s">
        <v>786</v>
      </c>
      <c r="C5396" s="2">
        <f>HYPERLINK("https://cao.dolgi.msk.ru/account/1080267841/", 1080267841)</f>
        <v>1080267841</v>
      </c>
      <c r="D5396" t="s">
        <v>15</v>
      </c>
      <c r="E5396">
        <v>-6236.21</v>
      </c>
      <c r="F5396">
        <v>-0.82</v>
      </c>
      <c r="G5396" t="s">
        <v>12</v>
      </c>
      <c r="I5396" t="s">
        <v>1050</v>
      </c>
    </row>
    <row r="5397" spans="1:9" hidden="1" x14ac:dyDescent="0.25">
      <c r="A5397" t="s">
        <v>4540</v>
      </c>
      <c r="B5397" t="s">
        <v>788</v>
      </c>
      <c r="C5397" s="2">
        <f>HYPERLINK("https://cao.dolgi.msk.ru/account/1080267876/", 1080267876)</f>
        <v>1080267876</v>
      </c>
      <c r="D5397" t="s">
        <v>4572</v>
      </c>
      <c r="E5397">
        <v>-1153.73</v>
      </c>
      <c r="F5397">
        <v>-0.18</v>
      </c>
      <c r="G5397" t="s">
        <v>12</v>
      </c>
      <c r="I5397" t="s">
        <v>1050</v>
      </c>
    </row>
    <row r="5398" spans="1:9" hidden="1" x14ac:dyDescent="0.25">
      <c r="A5398" t="s">
        <v>4540</v>
      </c>
      <c r="B5398" t="s">
        <v>789</v>
      </c>
      <c r="C5398" s="2">
        <f>HYPERLINK("https://cao.dolgi.msk.ru/account/1080267884/", 1080267884)</f>
        <v>1080267884</v>
      </c>
      <c r="D5398" t="s">
        <v>4573</v>
      </c>
      <c r="E5398">
        <v>-5032.88</v>
      </c>
      <c r="F5398">
        <v>-0.99</v>
      </c>
      <c r="G5398" t="s">
        <v>12</v>
      </c>
      <c r="I5398" t="s">
        <v>1050</v>
      </c>
    </row>
    <row r="5399" spans="1:9" hidden="1" x14ac:dyDescent="0.25">
      <c r="A5399" t="s">
        <v>4540</v>
      </c>
      <c r="B5399" t="s">
        <v>790</v>
      </c>
      <c r="C5399" s="2">
        <f>HYPERLINK("https://cao.dolgi.msk.ru/account/1080267892/", 1080267892)</f>
        <v>1080267892</v>
      </c>
      <c r="D5399" t="s">
        <v>4574</v>
      </c>
      <c r="E5399">
        <v>-7452.8</v>
      </c>
      <c r="F5399">
        <v>-1.08</v>
      </c>
      <c r="G5399" t="s">
        <v>12</v>
      </c>
      <c r="I5399" t="s">
        <v>1050</v>
      </c>
    </row>
    <row r="5400" spans="1:9" hidden="1" x14ac:dyDescent="0.25">
      <c r="A5400" t="s">
        <v>4540</v>
      </c>
      <c r="B5400" t="s">
        <v>792</v>
      </c>
      <c r="C5400" s="2">
        <f>HYPERLINK("https://cao.dolgi.msk.ru/account/1080267905/", 1080267905)</f>
        <v>1080267905</v>
      </c>
      <c r="D5400" t="s">
        <v>4575</v>
      </c>
      <c r="E5400">
        <v>-7514.49</v>
      </c>
      <c r="F5400">
        <v>-1</v>
      </c>
      <c r="G5400" t="s">
        <v>12</v>
      </c>
      <c r="I5400" t="s">
        <v>1050</v>
      </c>
    </row>
    <row r="5401" spans="1:9" hidden="1" x14ac:dyDescent="0.25">
      <c r="A5401" t="s">
        <v>4540</v>
      </c>
      <c r="B5401" t="s">
        <v>794</v>
      </c>
      <c r="C5401" s="2">
        <f>HYPERLINK("https://cao.dolgi.msk.ru/account/1080267913/", 1080267913)</f>
        <v>1080267913</v>
      </c>
      <c r="D5401" t="s">
        <v>4576</v>
      </c>
      <c r="E5401">
        <v>-8117.07</v>
      </c>
      <c r="F5401">
        <v>-1.23</v>
      </c>
      <c r="G5401" t="s">
        <v>12</v>
      </c>
      <c r="I5401" t="s">
        <v>1050</v>
      </c>
    </row>
    <row r="5402" spans="1:9" hidden="1" x14ac:dyDescent="0.25">
      <c r="A5402" t="s">
        <v>4540</v>
      </c>
      <c r="B5402" t="s">
        <v>796</v>
      </c>
      <c r="C5402" s="2">
        <f>HYPERLINK("https://cao.dolgi.msk.ru/account/1080267921/", 1080267921)</f>
        <v>1080267921</v>
      </c>
      <c r="D5402" t="s">
        <v>4577</v>
      </c>
      <c r="E5402">
        <v>-7247.93</v>
      </c>
      <c r="F5402">
        <v>-1</v>
      </c>
      <c r="G5402" t="s">
        <v>12</v>
      </c>
      <c r="I5402" t="s">
        <v>1050</v>
      </c>
    </row>
    <row r="5403" spans="1:9" hidden="1" x14ac:dyDescent="0.25">
      <c r="A5403" t="s">
        <v>4540</v>
      </c>
      <c r="B5403" t="s">
        <v>798</v>
      </c>
      <c r="C5403" s="2">
        <f>HYPERLINK("https://cao.dolgi.msk.ru/account/1080267948/", 1080267948)</f>
        <v>1080267948</v>
      </c>
      <c r="D5403" t="s">
        <v>4578</v>
      </c>
      <c r="E5403">
        <v>-5951.86</v>
      </c>
      <c r="F5403">
        <v>-1.1100000000000001</v>
      </c>
      <c r="G5403" t="s">
        <v>12</v>
      </c>
      <c r="I5403" t="s">
        <v>1050</v>
      </c>
    </row>
    <row r="5404" spans="1:9" hidden="1" x14ac:dyDescent="0.25">
      <c r="A5404" t="s">
        <v>4540</v>
      </c>
      <c r="B5404" t="s">
        <v>800</v>
      </c>
      <c r="C5404" s="2">
        <f>HYPERLINK("https://cao.dolgi.msk.ru/account/1080267956/", 1080267956)</f>
        <v>1080267956</v>
      </c>
      <c r="D5404" t="s">
        <v>4579</v>
      </c>
      <c r="E5404">
        <v>-6019.66</v>
      </c>
      <c r="F5404">
        <v>-1.04</v>
      </c>
      <c r="G5404" t="s">
        <v>12</v>
      </c>
      <c r="I5404" t="s">
        <v>1050</v>
      </c>
    </row>
    <row r="5405" spans="1:9" hidden="1" x14ac:dyDescent="0.25">
      <c r="A5405" t="s">
        <v>4540</v>
      </c>
      <c r="B5405" t="s">
        <v>802</v>
      </c>
      <c r="C5405" s="2">
        <f>HYPERLINK("https://cao.dolgi.msk.ru/account/1080267972/", 1080267972)</f>
        <v>1080267972</v>
      </c>
      <c r="D5405" t="s">
        <v>4580</v>
      </c>
      <c r="E5405">
        <v>-7994.29</v>
      </c>
      <c r="F5405">
        <v>-0.86</v>
      </c>
      <c r="G5405" t="s">
        <v>12</v>
      </c>
      <c r="I5405" t="s">
        <v>1050</v>
      </c>
    </row>
    <row r="5406" spans="1:9" hidden="1" x14ac:dyDescent="0.25">
      <c r="A5406" t="s">
        <v>4540</v>
      </c>
      <c r="B5406" t="s">
        <v>804</v>
      </c>
      <c r="C5406" s="2">
        <f>HYPERLINK("https://cao.dolgi.msk.ru/account/1080267999/", 1080267999)</f>
        <v>1080267999</v>
      </c>
      <c r="D5406" t="s">
        <v>4581</v>
      </c>
      <c r="E5406">
        <v>-4518.0600000000004</v>
      </c>
      <c r="F5406">
        <v>-0.99</v>
      </c>
      <c r="G5406" t="s">
        <v>12</v>
      </c>
      <c r="I5406" t="s">
        <v>1050</v>
      </c>
    </row>
    <row r="5407" spans="1:9" hidden="1" x14ac:dyDescent="0.25">
      <c r="A5407" t="s">
        <v>4540</v>
      </c>
      <c r="B5407" t="s">
        <v>806</v>
      </c>
      <c r="C5407" s="2">
        <f>HYPERLINK("https://cao.dolgi.msk.ru/account/1080268019/", 1080268019)</f>
        <v>1080268019</v>
      </c>
      <c r="D5407" t="s">
        <v>4582</v>
      </c>
      <c r="E5407">
        <v>15.9</v>
      </c>
      <c r="F5407">
        <v>0</v>
      </c>
      <c r="G5407" t="s">
        <v>12</v>
      </c>
      <c r="I5407" t="s">
        <v>1050</v>
      </c>
    </row>
    <row r="5408" spans="1:9" hidden="1" x14ac:dyDescent="0.25">
      <c r="A5408" t="s">
        <v>4540</v>
      </c>
      <c r="B5408" t="s">
        <v>808</v>
      </c>
      <c r="C5408" s="2">
        <f>HYPERLINK("https://cao.dolgi.msk.ru/account/1080268027/", 1080268027)</f>
        <v>1080268027</v>
      </c>
      <c r="D5408" t="s">
        <v>15</v>
      </c>
      <c r="E5408">
        <v>0</v>
      </c>
      <c r="G5408" t="s">
        <v>14</v>
      </c>
      <c r="I5408" t="s">
        <v>1050</v>
      </c>
    </row>
    <row r="5409" spans="1:9" hidden="1" x14ac:dyDescent="0.25">
      <c r="A5409" t="s">
        <v>4540</v>
      </c>
      <c r="B5409" t="s">
        <v>808</v>
      </c>
      <c r="C5409" s="2">
        <f>HYPERLINK("https://cao.dolgi.msk.ru/account/1083322244/", 1083322244)</f>
        <v>1083322244</v>
      </c>
      <c r="D5409" t="s">
        <v>4583</v>
      </c>
      <c r="E5409">
        <v>-1408.48</v>
      </c>
      <c r="F5409">
        <v>-0.15</v>
      </c>
      <c r="G5409" t="s">
        <v>12</v>
      </c>
      <c r="I5409" t="s">
        <v>1050</v>
      </c>
    </row>
    <row r="5410" spans="1:9" hidden="1" x14ac:dyDescent="0.25">
      <c r="A5410" t="s">
        <v>4540</v>
      </c>
      <c r="B5410" t="s">
        <v>810</v>
      </c>
      <c r="C5410" s="2">
        <f>HYPERLINK("https://cao.dolgi.msk.ru/account/1080268035/", 1080268035)</f>
        <v>1080268035</v>
      </c>
      <c r="D5410" t="s">
        <v>4584</v>
      </c>
      <c r="E5410">
        <v>0</v>
      </c>
      <c r="F5410">
        <v>0</v>
      </c>
      <c r="G5410" t="s">
        <v>12</v>
      </c>
      <c r="I5410" t="s">
        <v>1050</v>
      </c>
    </row>
    <row r="5411" spans="1:9" hidden="1" x14ac:dyDescent="0.25">
      <c r="A5411" t="s">
        <v>4540</v>
      </c>
      <c r="B5411" t="s">
        <v>812</v>
      </c>
      <c r="C5411" s="2">
        <f>HYPERLINK("https://cao.dolgi.msk.ru/account/1080268043/", 1080268043)</f>
        <v>1080268043</v>
      </c>
      <c r="D5411" t="s">
        <v>4585</v>
      </c>
      <c r="E5411">
        <v>0</v>
      </c>
      <c r="F5411">
        <v>0</v>
      </c>
      <c r="G5411" t="s">
        <v>12</v>
      </c>
      <c r="I5411" t="s">
        <v>1050</v>
      </c>
    </row>
    <row r="5412" spans="1:9" hidden="1" x14ac:dyDescent="0.25">
      <c r="A5412" t="s">
        <v>4540</v>
      </c>
      <c r="B5412" t="s">
        <v>814</v>
      </c>
      <c r="C5412" s="2">
        <f>HYPERLINK("https://cao.dolgi.msk.ru/account/1080268051/", 1080268051)</f>
        <v>1080268051</v>
      </c>
      <c r="D5412" t="s">
        <v>4586</v>
      </c>
      <c r="E5412">
        <v>-13878.76</v>
      </c>
      <c r="F5412">
        <v>-2.89</v>
      </c>
      <c r="G5412" t="s">
        <v>12</v>
      </c>
      <c r="I5412" t="s">
        <v>1050</v>
      </c>
    </row>
    <row r="5413" spans="1:9" hidden="1" x14ac:dyDescent="0.25">
      <c r="A5413" t="s">
        <v>4587</v>
      </c>
      <c r="B5413" t="s">
        <v>816</v>
      </c>
      <c r="C5413" s="2">
        <f>HYPERLINK("https://cao.dolgi.msk.ru/account/1080268115/", 1080268115)</f>
        <v>1080268115</v>
      </c>
      <c r="D5413" t="s">
        <v>4588</v>
      </c>
      <c r="E5413">
        <v>-412.5</v>
      </c>
      <c r="F5413">
        <v>-0.11</v>
      </c>
      <c r="G5413" t="s">
        <v>12</v>
      </c>
      <c r="I5413" t="s">
        <v>1050</v>
      </c>
    </row>
    <row r="5414" spans="1:9" hidden="1" x14ac:dyDescent="0.25">
      <c r="A5414" t="s">
        <v>4587</v>
      </c>
      <c r="B5414" t="s">
        <v>818</v>
      </c>
      <c r="C5414" s="2">
        <f>HYPERLINK("https://cao.dolgi.msk.ru/account/1080268123/", 1080268123)</f>
        <v>1080268123</v>
      </c>
      <c r="D5414" t="s">
        <v>4589</v>
      </c>
      <c r="E5414">
        <v>-6823.47</v>
      </c>
      <c r="F5414">
        <v>-0.98</v>
      </c>
      <c r="G5414" t="s">
        <v>12</v>
      </c>
      <c r="I5414" t="s">
        <v>1050</v>
      </c>
    </row>
    <row r="5415" spans="1:9" hidden="1" x14ac:dyDescent="0.25">
      <c r="A5415" t="s">
        <v>4587</v>
      </c>
      <c r="B5415" t="s">
        <v>820</v>
      </c>
      <c r="C5415" s="2">
        <f>HYPERLINK("https://cao.dolgi.msk.ru/account/1080268131/", 1080268131)</f>
        <v>1080268131</v>
      </c>
      <c r="D5415" t="s">
        <v>4590</v>
      </c>
      <c r="E5415">
        <v>-217.06</v>
      </c>
      <c r="F5415">
        <v>-0.12</v>
      </c>
      <c r="G5415" t="s">
        <v>12</v>
      </c>
      <c r="I5415" t="s">
        <v>1050</v>
      </c>
    </row>
    <row r="5416" spans="1:9" hidden="1" x14ac:dyDescent="0.25">
      <c r="A5416" t="s">
        <v>4587</v>
      </c>
      <c r="B5416" t="s">
        <v>820</v>
      </c>
      <c r="C5416" s="2">
        <f>HYPERLINK("https://cao.dolgi.msk.ru/account/1083283695/", 1083283695)</f>
        <v>1083283695</v>
      </c>
      <c r="D5416" t="s">
        <v>15</v>
      </c>
      <c r="E5416">
        <v>-2224.6799999999998</v>
      </c>
      <c r="F5416">
        <v>-0.45</v>
      </c>
      <c r="G5416" t="s">
        <v>14</v>
      </c>
      <c r="I5416" t="s">
        <v>1050</v>
      </c>
    </row>
    <row r="5417" spans="1:9" hidden="1" x14ac:dyDescent="0.25">
      <c r="A5417" t="s">
        <v>4587</v>
      </c>
      <c r="B5417" t="s">
        <v>822</v>
      </c>
      <c r="C5417" s="2">
        <f>HYPERLINK("https://cao.dolgi.msk.ru/account/1080268158/", 1080268158)</f>
        <v>1080268158</v>
      </c>
      <c r="D5417" t="s">
        <v>4591</v>
      </c>
      <c r="E5417">
        <v>-5130.33</v>
      </c>
      <c r="F5417">
        <v>-1.1299999999999999</v>
      </c>
      <c r="G5417" t="s">
        <v>12</v>
      </c>
      <c r="I5417" t="s">
        <v>1050</v>
      </c>
    </row>
    <row r="5418" spans="1:9" hidden="1" x14ac:dyDescent="0.25">
      <c r="A5418" t="s">
        <v>4587</v>
      </c>
      <c r="B5418" t="s">
        <v>824</v>
      </c>
      <c r="C5418" s="2">
        <f>HYPERLINK("https://cao.dolgi.msk.ru/account/1080268166/", 1080268166)</f>
        <v>1080268166</v>
      </c>
      <c r="D5418" t="s">
        <v>15</v>
      </c>
      <c r="E5418">
        <v>0</v>
      </c>
      <c r="F5418">
        <v>0</v>
      </c>
      <c r="G5418" t="s">
        <v>12</v>
      </c>
      <c r="I5418" t="s">
        <v>1050</v>
      </c>
    </row>
    <row r="5419" spans="1:9" x14ac:dyDescent="0.25">
      <c r="A5419" t="s">
        <v>4587</v>
      </c>
      <c r="B5419" t="s">
        <v>826</v>
      </c>
      <c r="C5419" s="2">
        <f>HYPERLINK("https://cao.dolgi.msk.ru/account/1080268174/", 1080268174)</f>
        <v>1080268174</v>
      </c>
      <c r="D5419" t="s">
        <v>4592</v>
      </c>
      <c r="E5419">
        <v>50191.68</v>
      </c>
      <c r="F5419">
        <v>5.64</v>
      </c>
      <c r="G5419" t="s">
        <v>12</v>
      </c>
      <c r="I5419" t="s">
        <v>1050</v>
      </c>
    </row>
    <row r="5420" spans="1:9" hidden="1" x14ac:dyDescent="0.25">
      <c r="A5420" t="s">
        <v>4587</v>
      </c>
      <c r="B5420" t="s">
        <v>828</v>
      </c>
      <c r="C5420" s="2">
        <f>HYPERLINK("https://cao.dolgi.msk.ru/account/1080268182/", 1080268182)</f>
        <v>1080268182</v>
      </c>
      <c r="D5420" t="s">
        <v>4593</v>
      </c>
      <c r="E5420">
        <v>-5005.3999999999996</v>
      </c>
      <c r="F5420">
        <v>-1.1100000000000001</v>
      </c>
      <c r="G5420" t="s">
        <v>12</v>
      </c>
      <c r="I5420" t="s">
        <v>1050</v>
      </c>
    </row>
    <row r="5421" spans="1:9" hidden="1" x14ac:dyDescent="0.25">
      <c r="A5421" t="s">
        <v>4587</v>
      </c>
      <c r="B5421" t="s">
        <v>830</v>
      </c>
      <c r="C5421" s="2">
        <f>HYPERLINK("https://cao.dolgi.msk.ru/account/1080268203/", 1080268203)</f>
        <v>1080268203</v>
      </c>
      <c r="D5421" t="s">
        <v>4594</v>
      </c>
      <c r="E5421">
        <v>-3545.8</v>
      </c>
      <c r="F5421">
        <v>-1.08</v>
      </c>
      <c r="G5421" t="s">
        <v>12</v>
      </c>
      <c r="I5421" t="s">
        <v>1050</v>
      </c>
    </row>
    <row r="5422" spans="1:9" hidden="1" x14ac:dyDescent="0.25">
      <c r="A5422" t="s">
        <v>4587</v>
      </c>
      <c r="B5422" t="s">
        <v>831</v>
      </c>
      <c r="C5422" s="2">
        <f>HYPERLINK("https://cao.dolgi.msk.ru/account/1080268211/", 1080268211)</f>
        <v>1080268211</v>
      </c>
      <c r="D5422" t="s">
        <v>15</v>
      </c>
      <c r="E5422">
        <v>-5343.64</v>
      </c>
      <c r="F5422">
        <v>-1.1599999999999999</v>
      </c>
      <c r="G5422" t="s">
        <v>12</v>
      </c>
      <c r="I5422" t="s">
        <v>1050</v>
      </c>
    </row>
    <row r="5423" spans="1:9" hidden="1" x14ac:dyDescent="0.25">
      <c r="A5423" t="s">
        <v>4587</v>
      </c>
      <c r="B5423" t="s">
        <v>833</v>
      </c>
      <c r="C5423" s="2">
        <f>HYPERLINK("https://cao.dolgi.msk.ru/account/1080268238/", 1080268238)</f>
        <v>1080268238</v>
      </c>
      <c r="D5423" t="s">
        <v>4595</v>
      </c>
      <c r="E5423">
        <v>-3441.38</v>
      </c>
      <c r="F5423">
        <v>-1.1000000000000001</v>
      </c>
      <c r="G5423" t="s">
        <v>12</v>
      </c>
      <c r="H5423" t="s">
        <v>7</v>
      </c>
      <c r="I5423" t="s">
        <v>1050</v>
      </c>
    </row>
    <row r="5424" spans="1:9" hidden="1" x14ac:dyDescent="0.25">
      <c r="A5424" t="s">
        <v>4587</v>
      </c>
      <c r="B5424" t="s">
        <v>833</v>
      </c>
      <c r="C5424" s="2">
        <f>HYPERLINK("https://cao.dolgi.msk.ru/account/1080268246/", 1080268246)</f>
        <v>1080268246</v>
      </c>
      <c r="D5424" t="s">
        <v>4595</v>
      </c>
      <c r="E5424">
        <v>-1269.07</v>
      </c>
      <c r="F5424">
        <v>-0.91</v>
      </c>
      <c r="G5424" t="s">
        <v>12</v>
      </c>
      <c r="H5424" t="s">
        <v>7</v>
      </c>
      <c r="I5424" t="s">
        <v>1050</v>
      </c>
    </row>
    <row r="5425" spans="1:9" x14ac:dyDescent="0.25">
      <c r="A5425" t="s">
        <v>4587</v>
      </c>
      <c r="B5425" t="s">
        <v>833</v>
      </c>
      <c r="C5425" s="2">
        <f>HYPERLINK("https://cao.dolgi.msk.ru/account/1080324834/", 1080324834)</f>
        <v>1080324834</v>
      </c>
      <c r="D5425" t="s">
        <v>4595</v>
      </c>
      <c r="E5425">
        <v>169609.8</v>
      </c>
      <c r="F5425">
        <v>59.86</v>
      </c>
      <c r="G5425" t="s">
        <v>12</v>
      </c>
      <c r="H5425" t="s">
        <v>7</v>
      </c>
      <c r="I5425" t="s">
        <v>1050</v>
      </c>
    </row>
    <row r="5426" spans="1:9" hidden="1" x14ac:dyDescent="0.25">
      <c r="A5426" t="s">
        <v>4587</v>
      </c>
      <c r="B5426" t="s">
        <v>835</v>
      </c>
      <c r="C5426" s="2">
        <f>HYPERLINK("https://cao.dolgi.msk.ru/account/1080268254/", 1080268254)</f>
        <v>1080268254</v>
      </c>
      <c r="D5426" t="s">
        <v>4596</v>
      </c>
      <c r="E5426">
        <v>-3572.91</v>
      </c>
      <c r="F5426">
        <v>-1.08</v>
      </c>
      <c r="G5426" t="s">
        <v>12</v>
      </c>
      <c r="I5426" t="s">
        <v>1050</v>
      </c>
    </row>
    <row r="5427" spans="1:9" hidden="1" x14ac:dyDescent="0.25">
      <c r="A5427" t="s">
        <v>4587</v>
      </c>
      <c r="B5427" t="s">
        <v>837</v>
      </c>
      <c r="C5427" s="2">
        <f>HYPERLINK("https://cao.dolgi.msk.ru/account/1080268262/", 1080268262)</f>
        <v>1080268262</v>
      </c>
      <c r="D5427" t="s">
        <v>4597</v>
      </c>
      <c r="E5427">
        <v>520.91</v>
      </c>
      <c r="F5427">
        <v>0.11</v>
      </c>
      <c r="G5427" t="s">
        <v>12</v>
      </c>
      <c r="I5427" t="s">
        <v>1050</v>
      </c>
    </row>
    <row r="5428" spans="1:9" hidden="1" x14ac:dyDescent="0.25">
      <c r="A5428" t="s">
        <v>4587</v>
      </c>
      <c r="B5428" t="s">
        <v>838</v>
      </c>
      <c r="C5428" s="2">
        <f>HYPERLINK("https://cao.dolgi.msk.ru/account/1080268289/", 1080268289)</f>
        <v>1080268289</v>
      </c>
      <c r="D5428" t="s">
        <v>4598</v>
      </c>
      <c r="E5428">
        <v>-494.03</v>
      </c>
      <c r="F5428">
        <v>-0.1</v>
      </c>
      <c r="G5428" t="s">
        <v>12</v>
      </c>
      <c r="I5428" t="s">
        <v>1050</v>
      </c>
    </row>
    <row r="5429" spans="1:9" hidden="1" x14ac:dyDescent="0.25">
      <c r="A5429" t="s">
        <v>4587</v>
      </c>
      <c r="B5429" t="s">
        <v>840</v>
      </c>
      <c r="C5429" s="2">
        <f>HYPERLINK("https://cao.dolgi.msk.ru/account/1080268297/", 1080268297)</f>
        <v>1080268297</v>
      </c>
      <c r="D5429" t="s">
        <v>4599</v>
      </c>
      <c r="E5429">
        <v>-8025.25</v>
      </c>
      <c r="F5429">
        <v>-1.1000000000000001</v>
      </c>
      <c r="G5429" t="s">
        <v>12</v>
      </c>
      <c r="I5429" t="s">
        <v>1050</v>
      </c>
    </row>
    <row r="5430" spans="1:9" hidden="1" x14ac:dyDescent="0.25">
      <c r="A5430" t="s">
        <v>4587</v>
      </c>
      <c r="B5430" t="s">
        <v>842</v>
      </c>
      <c r="C5430" s="2">
        <f>HYPERLINK("https://cao.dolgi.msk.ru/account/1080268318/", 1080268318)</f>
        <v>1080268318</v>
      </c>
      <c r="D5430" t="s">
        <v>4600</v>
      </c>
      <c r="E5430">
        <v>-8435.43</v>
      </c>
      <c r="F5430">
        <v>-1.46</v>
      </c>
      <c r="G5430" t="s">
        <v>12</v>
      </c>
      <c r="I5430" t="s">
        <v>1050</v>
      </c>
    </row>
    <row r="5431" spans="1:9" hidden="1" x14ac:dyDescent="0.25">
      <c r="A5431" t="s">
        <v>4587</v>
      </c>
      <c r="B5431" t="s">
        <v>844</v>
      </c>
      <c r="C5431" s="2">
        <f>HYPERLINK("https://cao.dolgi.msk.ru/account/1080268326/", 1080268326)</f>
        <v>1080268326</v>
      </c>
      <c r="D5431" t="s">
        <v>4601</v>
      </c>
      <c r="E5431">
        <v>-5165.29</v>
      </c>
      <c r="F5431">
        <v>-0.86</v>
      </c>
      <c r="G5431" t="s">
        <v>12</v>
      </c>
      <c r="I5431" t="s">
        <v>1050</v>
      </c>
    </row>
    <row r="5432" spans="1:9" hidden="1" x14ac:dyDescent="0.25">
      <c r="A5432" t="s">
        <v>4587</v>
      </c>
      <c r="B5432" t="s">
        <v>846</v>
      </c>
      <c r="C5432" s="2">
        <f>HYPERLINK("https://cao.dolgi.msk.ru/account/1080268334/", 1080268334)</f>
        <v>1080268334</v>
      </c>
      <c r="D5432" t="s">
        <v>4602</v>
      </c>
      <c r="E5432">
        <v>0</v>
      </c>
      <c r="F5432">
        <v>0</v>
      </c>
      <c r="G5432" t="s">
        <v>12</v>
      </c>
      <c r="I5432" t="s">
        <v>1050</v>
      </c>
    </row>
    <row r="5433" spans="1:9" hidden="1" x14ac:dyDescent="0.25">
      <c r="A5433" t="s">
        <v>4587</v>
      </c>
      <c r="B5433" t="s">
        <v>848</v>
      </c>
      <c r="C5433" s="2">
        <f>HYPERLINK("https://cao.dolgi.msk.ru/account/1080268369/", 1080268369)</f>
        <v>1080268369</v>
      </c>
      <c r="D5433" t="s">
        <v>4603</v>
      </c>
      <c r="E5433">
        <v>-10231.16</v>
      </c>
      <c r="F5433">
        <v>-1</v>
      </c>
      <c r="G5433" t="s">
        <v>12</v>
      </c>
      <c r="I5433" t="s">
        <v>1050</v>
      </c>
    </row>
    <row r="5434" spans="1:9" hidden="1" x14ac:dyDescent="0.25">
      <c r="A5434" t="s">
        <v>4587</v>
      </c>
      <c r="B5434" t="s">
        <v>850</v>
      </c>
      <c r="C5434" s="2">
        <f>HYPERLINK("https://cao.dolgi.msk.ru/account/1080268422/", 1080268422)</f>
        <v>1080268422</v>
      </c>
      <c r="D5434" t="s">
        <v>4604</v>
      </c>
      <c r="E5434">
        <v>-8734.49</v>
      </c>
      <c r="F5434">
        <v>-1.44</v>
      </c>
      <c r="G5434" t="s">
        <v>12</v>
      </c>
      <c r="I5434" t="s">
        <v>1050</v>
      </c>
    </row>
    <row r="5435" spans="1:9" hidden="1" x14ac:dyDescent="0.25">
      <c r="A5435" t="s">
        <v>4587</v>
      </c>
      <c r="B5435" t="s">
        <v>852</v>
      </c>
      <c r="C5435" s="2">
        <f>HYPERLINK("https://cao.dolgi.msk.ru/account/1080268449/", 1080268449)</f>
        <v>1080268449</v>
      </c>
      <c r="D5435" t="s">
        <v>4605</v>
      </c>
      <c r="E5435">
        <v>-6213.63</v>
      </c>
      <c r="F5435">
        <v>-1.04</v>
      </c>
      <c r="G5435" t="s">
        <v>12</v>
      </c>
      <c r="I5435" t="s">
        <v>1050</v>
      </c>
    </row>
    <row r="5436" spans="1:9" hidden="1" x14ac:dyDescent="0.25">
      <c r="A5436" t="s">
        <v>4587</v>
      </c>
      <c r="B5436" t="s">
        <v>854</v>
      </c>
      <c r="C5436" s="2">
        <f>HYPERLINK("https://cao.dolgi.msk.ru/account/1080268457/", 1080268457)</f>
        <v>1080268457</v>
      </c>
      <c r="D5436" t="s">
        <v>4606</v>
      </c>
      <c r="E5436">
        <v>-77.88</v>
      </c>
      <c r="F5436">
        <v>-0.01</v>
      </c>
      <c r="G5436" t="s">
        <v>12</v>
      </c>
      <c r="I5436" t="s">
        <v>1050</v>
      </c>
    </row>
    <row r="5437" spans="1:9" hidden="1" x14ac:dyDescent="0.25">
      <c r="A5437" t="s">
        <v>4587</v>
      </c>
      <c r="B5437" t="s">
        <v>856</v>
      </c>
      <c r="C5437" s="2">
        <f>HYPERLINK("https://cao.dolgi.msk.ru/account/1080268465/", 1080268465)</f>
        <v>1080268465</v>
      </c>
      <c r="D5437" t="s">
        <v>4607</v>
      </c>
      <c r="E5437">
        <v>-7118.89</v>
      </c>
      <c r="F5437">
        <v>-1.02</v>
      </c>
      <c r="G5437" t="s">
        <v>12</v>
      </c>
      <c r="I5437" t="s">
        <v>1050</v>
      </c>
    </row>
    <row r="5438" spans="1:9" hidden="1" x14ac:dyDescent="0.25">
      <c r="A5438" t="s">
        <v>4587</v>
      </c>
      <c r="B5438" t="s">
        <v>858</v>
      </c>
      <c r="C5438" s="2">
        <f>HYPERLINK("https://cao.dolgi.msk.ru/account/1080268473/", 1080268473)</f>
        <v>1080268473</v>
      </c>
      <c r="D5438" t="s">
        <v>4608</v>
      </c>
      <c r="E5438">
        <v>-1193.95</v>
      </c>
      <c r="F5438">
        <v>-0.16</v>
      </c>
      <c r="G5438" t="s">
        <v>12</v>
      </c>
      <c r="I5438" t="s">
        <v>1050</v>
      </c>
    </row>
    <row r="5439" spans="1:9" hidden="1" x14ac:dyDescent="0.25">
      <c r="A5439" t="s">
        <v>4587</v>
      </c>
      <c r="B5439" t="s">
        <v>860</v>
      </c>
      <c r="C5439" s="2">
        <f>HYPERLINK("https://cao.dolgi.msk.ru/account/1080268481/", 1080268481)</f>
        <v>1080268481</v>
      </c>
      <c r="D5439" t="s">
        <v>4342</v>
      </c>
      <c r="E5439">
        <v>6770.89</v>
      </c>
      <c r="F5439">
        <v>0.96</v>
      </c>
      <c r="G5439" t="s">
        <v>12</v>
      </c>
      <c r="I5439" t="s">
        <v>1050</v>
      </c>
    </row>
    <row r="5440" spans="1:9" hidden="1" x14ac:dyDescent="0.25">
      <c r="A5440" t="s">
        <v>4587</v>
      </c>
      <c r="B5440" t="s">
        <v>862</v>
      </c>
      <c r="C5440" s="2">
        <f>HYPERLINK("https://cao.dolgi.msk.ru/account/1080268502/", 1080268502)</f>
        <v>1080268502</v>
      </c>
      <c r="D5440" t="s">
        <v>62</v>
      </c>
      <c r="E5440">
        <v>-3892.2</v>
      </c>
      <c r="F5440">
        <v>-1.1200000000000001</v>
      </c>
      <c r="G5440" t="s">
        <v>12</v>
      </c>
      <c r="I5440" t="s">
        <v>1050</v>
      </c>
    </row>
    <row r="5441" spans="1:9" hidden="1" x14ac:dyDescent="0.25">
      <c r="A5441" t="s">
        <v>4587</v>
      </c>
      <c r="B5441" t="s">
        <v>864</v>
      </c>
      <c r="C5441" s="2">
        <f>HYPERLINK("https://cao.dolgi.msk.ru/account/1080268529/", 1080268529)</f>
        <v>1080268529</v>
      </c>
      <c r="D5441" t="s">
        <v>4609</v>
      </c>
      <c r="E5441">
        <v>-4720.4799999999996</v>
      </c>
      <c r="F5441">
        <v>-1.1000000000000001</v>
      </c>
      <c r="G5441" t="s">
        <v>12</v>
      </c>
      <c r="I5441" t="s">
        <v>1050</v>
      </c>
    </row>
    <row r="5442" spans="1:9" hidden="1" x14ac:dyDescent="0.25">
      <c r="A5442" t="s">
        <v>4587</v>
      </c>
      <c r="B5442" t="s">
        <v>866</v>
      </c>
      <c r="C5442" s="2">
        <f>HYPERLINK("https://cao.dolgi.msk.ru/account/1080268537/", 1080268537)</f>
        <v>1080268537</v>
      </c>
      <c r="D5442" t="s">
        <v>4610</v>
      </c>
      <c r="E5442">
        <v>86.8</v>
      </c>
      <c r="F5442">
        <v>0.01</v>
      </c>
      <c r="G5442" t="s">
        <v>12</v>
      </c>
      <c r="I5442" t="s">
        <v>1050</v>
      </c>
    </row>
    <row r="5443" spans="1:9" hidden="1" x14ac:dyDescent="0.25">
      <c r="A5443" t="s">
        <v>4587</v>
      </c>
      <c r="B5443" t="s">
        <v>868</v>
      </c>
      <c r="C5443" s="2">
        <f>HYPERLINK("https://cao.dolgi.msk.ru/account/1080268545/", 1080268545)</f>
        <v>1080268545</v>
      </c>
      <c r="D5443" t="s">
        <v>4611</v>
      </c>
      <c r="E5443">
        <v>-5566.21</v>
      </c>
      <c r="F5443">
        <v>-1.1000000000000001</v>
      </c>
      <c r="G5443" t="s">
        <v>12</v>
      </c>
      <c r="I5443" t="s">
        <v>1050</v>
      </c>
    </row>
    <row r="5444" spans="1:9" x14ac:dyDescent="0.25">
      <c r="A5444" t="s">
        <v>4587</v>
      </c>
      <c r="B5444" t="s">
        <v>870</v>
      </c>
      <c r="C5444" s="2">
        <f>HYPERLINK("https://cao.dolgi.msk.ru/account/1080268553/", 1080268553)</f>
        <v>1080268553</v>
      </c>
      <c r="D5444" t="s">
        <v>4612</v>
      </c>
      <c r="E5444">
        <v>22325.87</v>
      </c>
      <c r="F5444">
        <v>4.74</v>
      </c>
      <c r="G5444" t="s">
        <v>12</v>
      </c>
      <c r="I5444" t="s">
        <v>1050</v>
      </c>
    </row>
    <row r="5445" spans="1:9" hidden="1" x14ac:dyDescent="0.25">
      <c r="A5445" t="s">
        <v>4587</v>
      </c>
      <c r="B5445" t="s">
        <v>872</v>
      </c>
      <c r="C5445" s="2">
        <f>HYPERLINK("https://cao.dolgi.msk.ru/account/1080268561/", 1080268561)</f>
        <v>1080268561</v>
      </c>
      <c r="D5445" t="s">
        <v>4613</v>
      </c>
      <c r="E5445">
        <v>-7451.13</v>
      </c>
      <c r="F5445">
        <v>-1.0900000000000001</v>
      </c>
      <c r="G5445" t="s">
        <v>12</v>
      </c>
      <c r="I5445" t="s">
        <v>1050</v>
      </c>
    </row>
    <row r="5446" spans="1:9" hidden="1" x14ac:dyDescent="0.25">
      <c r="A5446" t="s">
        <v>4587</v>
      </c>
      <c r="B5446" t="s">
        <v>874</v>
      </c>
      <c r="C5446" s="2">
        <f>HYPERLINK("https://cao.dolgi.msk.ru/account/1080268588/", 1080268588)</f>
        <v>1080268588</v>
      </c>
      <c r="D5446" t="s">
        <v>15</v>
      </c>
      <c r="E5446">
        <v>0</v>
      </c>
      <c r="G5446" t="s">
        <v>14</v>
      </c>
      <c r="I5446" t="s">
        <v>1050</v>
      </c>
    </row>
    <row r="5447" spans="1:9" hidden="1" x14ac:dyDescent="0.25">
      <c r="A5447" t="s">
        <v>4587</v>
      </c>
      <c r="B5447" t="s">
        <v>874</v>
      </c>
      <c r="C5447" s="2">
        <f>HYPERLINK("https://cao.dolgi.msk.ru/account/1083273593/", 1083273593)</f>
        <v>1083273593</v>
      </c>
      <c r="D5447" t="s">
        <v>15</v>
      </c>
      <c r="E5447">
        <v>-361.45</v>
      </c>
      <c r="F5447">
        <v>-0.05</v>
      </c>
      <c r="G5447" t="s">
        <v>12</v>
      </c>
      <c r="I5447" t="s">
        <v>1050</v>
      </c>
    </row>
    <row r="5448" spans="1:9" hidden="1" x14ac:dyDescent="0.25">
      <c r="A5448" t="s">
        <v>4587</v>
      </c>
      <c r="B5448" t="s">
        <v>874</v>
      </c>
      <c r="C5448" s="2">
        <f>HYPERLINK("https://cao.dolgi.msk.ru/account/1083371134/", 1083371134)</f>
        <v>1083371134</v>
      </c>
      <c r="D5448" t="s">
        <v>15</v>
      </c>
      <c r="E5448">
        <v>-3781.78</v>
      </c>
      <c r="F5448">
        <v>-1.29</v>
      </c>
      <c r="G5448" t="s">
        <v>12</v>
      </c>
      <c r="I5448" t="s">
        <v>1050</v>
      </c>
    </row>
    <row r="5449" spans="1:9" hidden="1" x14ac:dyDescent="0.25">
      <c r="A5449" t="s">
        <v>4587</v>
      </c>
      <c r="B5449" t="s">
        <v>875</v>
      </c>
      <c r="C5449" s="2">
        <f>HYPERLINK("https://cao.dolgi.msk.ru/account/1080268596/", 1080268596)</f>
        <v>1080268596</v>
      </c>
      <c r="D5449" t="s">
        <v>62</v>
      </c>
      <c r="E5449">
        <v>-8810.99</v>
      </c>
      <c r="F5449">
        <v>-1.1499999999999999</v>
      </c>
      <c r="G5449" t="s">
        <v>12</v>
      </c>
      <c r="I5449" t="s">
        <v>1050</v>
      </c>
    </row>
    <row r="5450" spans="1:9" hidden="1" x14ac:dyDescent="0.25">
      <c r="A5450" t="s">
        <v>4587</v>
      </c>
      <c r="B5450" t="s">
        <v>877</v>
      </c>
      <c r="C5450" s="2">
        <f>HYPERLINK("https://cao.dolgi.msk.ru/account/1080268609/", 1080268609)</f>
        <v>1080268609</v>
      </c>
      <c r="D5450" t="s">
        <v>4614</v>
      </c>
      <c r="E5450">
        <v>-6565.89</v>
      </c>
      <c r="F5450">
        <v>-1.17</v>
      </c>
      <c r="G5450" t="s">
        <v>12</v>
      </c>
      <c r="I5450" t="s">
        <v>1050</v>
      </c>
    </row>
    <row r="5451" spans="1:9" hidden="1" x14ac:dyDescent="0.25">
      <c r="A5451" t="s">
        <v>4587</v>
      </c>
      <c r="B5451" t="s">
        <v>879</v>
      </c>
      <c r="C5451" s="2">
        <f>HYPERLINK("https://cao.dolgi.msk.ru/account/1080268617/", 1080268617)</f>
        <v>1080268617</v>
      </c>
      <c r="D5451" t="s">
        <v>4615</v>
      </c>
      <c r="E5451">
        <v>-7077.83</v>
      </c>
      <c r="F5451">
        <v>-1.1499999999999999</v>
      </c>
      <c r="G5451" t="s">
        <v>12</v>
      </c>
      <c r="I5451" t="s">
        <v>1050</v>
      </c>
    </row>
    <row r="5452" spans="1:9" hidden="1" x14ac:dyDescent="0.25">
      <c r="A5452" t="s">
        <v>4587</v>
      </c>
      <c r="B5452" t="s">
        <v>881</v>
      </c>
      <c r="C5452" s="2">
        <f>HYPERLINK("https://cao.dolgi.msk.ru/account/1080268625/", 1080268625)</f>
        <v>1080268625</v>
      </c>
      <c r="D5452" t="s">
        <v>4616</v>
      </c>
      <c r="E5452">
        <v>-7254.43</v>
      </c>
      <c r="F5452">
        <v>-1.07</v>
      </c>
      <c r="G5452" t="s">
        <v>12</v>
      </c>
      <c r="I5452" t="s">
        <v>1050</v>
      </c>
    </row>
    <row r="5453" spans="1:9" hidden="1" x14ac:dyDescent="0.25">
      <c r="A5453" t="s">
        <v>4587</v>
      </c>
      <c r="B5453" t="s">
        <v>883</v>
      </c>
      <c r="C5453" s="2">
        <f>HYPERLINK("https://cao.dolgi.msk.ru/account/1080268633/", 1080268633)</f>
        <v>1080268633</v>
      </c>
      <c r="D5453" t="s">
        <v>4617</v>
      </c>
      <c r="E5453">
        <v>-58.2</v>
      </c>
      <c r="F5453">
        <v>-0.01</v>
      </c>
      <c r="G5453" t="s">
        <v>12</v>
      </c>
      <c r="I5453" t="s">
        <v>1050</v>
      </c>
    </row>
    <row r="5454" spans="1:9" hidden="1" x14ac:dyDescent="0.25">
      <c r="A5454" t="s">
        <v>4587</v>
      </c>
      <c r="B5454" t="s">
        <v>3443</v>
      </c>
      <c r="C5454" s="2">
        <f>HYPERLINK("https://cao.dolgi.msk.ru/account/1080268641/", 1080268641)</f>
        <v>1080268641</v>
      </c>
      <c r="D5454" t="s">
        <v>4618</v>
      </c>
      <c r="E5454">
        <v>6706.5</v>
      </c>
      <c r="F5454">
        <v>1</v>
      </c>
      <c r="G5454" t="s">
        <v>12</v>
      </c>
      <c r="I5454" t="s">
        <v>1050</v>
      </c>
    </row>
    <row r="5455" spans="1:9" hidden="1" x14ac:dyDescent="0.25">
      <c r="A5455" t="s">
        <v>4587</v>
      </c>
      <c r="B5455" t="s">
        <v>3445</v>
      </c>
      <c r="C5455" s="2">
        <f>HYPERLINK("https://cao.dolgi.msk.ru/account/1080268668/", 1080268668)</f>
        <v>1080268668</v>
      </c>
      <c r="D5455" t="s">
        <v>4619</v>
      </c>
      <c r="E5455">
        <v>-2858.4</v>
      </c>
      <c r="G5455" t="s">
        <v>14</v>
      </c>
      <c r="I5455" t="s">
        <v>1050</v>
      </c>
    </row>
    <row r="5456" spans="1:9" hidden="1" x14ac:dyDescent="0.25">
      <c r="A5456" t="s">
        <v>4587</v>
      </c>
      <c r="B5456" t="s">
        <v>3445</v>
      </c>
      <c r="C5456" s="2">
        <f>HYPERLINK("https://cao.dolgi.msk.ru/account/1080268676/", 1080268676)</f>
        <v>1080268676</v>
      </c>
      <c r="D5456" t="s">
        <v>4620</v>
      </c>
      <c r="E5456">
        <v>-5574.46</v>
      </c>
      <c r="F5456">
        <v>-1.1499999999999999</v>
      </c>
      <c r="G5456" t="s">
        <v>12</v>
      </c>
      <c r="I5456" t="s">
        <v>1050</v>
      </c>
    </row>
    <row r="5457" spans="1:9" hidden="1" x14ac:dyDescent="0.25">
      <c r="A5457" t="s">
        <v>4587</v>
      </c>
      <c r="B5457" t="s">
        <v>3447</v>
      </c>
      <c r="C5457" s="2">
        <f>HYPERLINK("https://cao.dolgi.msk.ru/account/1080268684/", 1080268684)</f>
        <v>1080268684</v>
      </c>
      <c r="D5457" t="s">
        <v>4621</v>
      </c>
      <c r="E5457">
        <v>-9456.1</v>
      </c>
      <c r="F5457">
        <v>-0.47</v>
      </c>
      <c r="G5457" t="s">
        <v>12</v>
      </c>
      <c r="I5457" t="s">
        <v>1050</v>
      </c>
    </row>
    <row r="5458" spans="1:9" hidden="1" x14ac:dyDescent="0.25">
      <c r="A5458" t="s">
        <v>4587</v>
      </c>
      <c r="B5458" t="s">
        <v>3449</v>
      </c>
      <c r="C5458" s="2">
        <f>HYPERLINK("https://cao.dolgi.msk.ru/account/1080268692/", 1080268692)</f>
        <v>1080268692</v>
      </c>
      <c r="D5458" t="s">
        <v>4622</v>
      </c>
      <c r="E5458">
        <v>-8306.5499999999993</v>
      </c>
      <c r="F5458">
        <v>-1.1100000000000001</v>
      </c>
      <c r="G5458" t="s">
        <v>12</v>
      </c>
      <c r="I5458" t="s">
        <v>1050</v>
      </c>
    </row>
    <row r="5459" spans="1:9" hidden="1" x14ac:dyDescent="0.25">
      <c r="A5459" t="s">
        <v>4587</v>
      </c>
      <c r="B5459" t="s">
        <v>3451</v>
      </c>
      <c r="C5459" s="2">
        <f>HYPERLINK("https://cao.dolgi.msk.ru/account/1080268705/", 1080268705)</f>
        <v>1080268705</v>
      </c>
      <c r="D5459" t="s">
        <v>4623</v>
      </c>
      <c r="E5459">
        <v>6296.83</v>
      </c>
      <c r="F5459">
        <v>0.98</v>
      </c>
      <c r="G5459" t="s">
        <v>12</v>
      </c>
      <c r="I5459" t="s">
        <v>1050</v>
      </c>
    </row>
    <row r="5460" spans="1:9" hidden="1" x14ac:dyDescent="0.25">
      <c r="A5460" t="s">
        <v>4587</v>
      </c>
      <c r="B5460" t="s">
        <v>3452</v>
      </c>
      <c r="C5460" s="2">
        <f>HYPERLINK("https://cao.dolgi.msk.ru/account/1080268713/", 1080268713)</f>
        <v>1080268713</v>
      </c>
      <c r="D5460" t="s">
        <v>4624</v>
      </c>
      <c r="E5460">
        <v>-3.73</v>
      </c>
      <c r="F5460">
        <v>0</v>
      </c>
      <c r="G5460" t="s">
        <v>12</v>
      </c>
      <c r="I5460" t="s">
        <v>1050</v>
      </c>
    </row>
    <row r="5461" spans="1:9" hidden="1" x14ac:dyDescent="0.25">
      <c r="A5461" t="s">
        <v>4587</v>
      </c>
      <c r="B5461" t="s">
        <v>3454</v>
      </c>
      <c r="C5461" s="2">
        <f>HYPERLINK("https://cao.dolgi.msk.ru/account/1080268721/", 1080268721)</f>
        <v>1080268721</v>
      </c>
      <c r="D5461" t="s">
        <v>4625</v>
      </c>
      <c r="E5461">
        <v>-117.96</v>
      </c>
      <c r="F5461">
        <v>-0.02</v>
      </c>
      <c r="G5461" t="s">
        <v>12</v>
      </c>
      <c r="I5461" t="s">
        <v>1050</v>
      </c>
    </row>
    <row r="5462" spans="1:9" hidden="1" x14ac:dyDescent="0.25">
      <c r="A5462" t="s">
        <v>4587</v>
      </c>
      <c r="B5462" t="s">
        <v>3456</v>
      </c>
      <c r="C5462" s="2">
        <f>HYPERLINK("https://cao.dolgi.msk.ru/account/1080268748/", 1080268748)</f>
        <v>1080268748</v>
      </c>
      <c r="D5462" t="s">
        <v>4626</v>
      </c>
      <c r="E5462">
        <v>6735.79</v>
      </c>
      <c r="F5462">
        <v>1</v>
      </c>
      <c r="G5462" t="s">
        <v>12</v>
      </c>
      <c r="I5462" t="s">
        <v>1050</v>
      </c>
    </row>
    <row r="5463" spans="1:9" hidden="1" x14ac:dyDescent="0.25">
      <c r="A5463" t="s">
        <v>4587</v>
      </c>
      <c r="B5463" t="s">
        <v>3458</v>
      </c>
      <c r="C5463" s="2">
        <f>HYPERLINK("https://cao.dolgi.msk.ru/account/1080268756/", 1080268756)</f>
        <v>1080268756</v>
      </c>
      <c r="D5463" t="s">
        <v>4627</v>
      </c>
      <c r="E5463">
        <v>-4960.57</v>
      </c>
      <c r="F5463">
        <v>-1.1100000000000001</v>
      </c>
      <c r="G5463" t="s">
        <v>12</v>
      </c>
      <c r="I5463" t="s">
        <v>1050</v>
      </c>
    </row>
    <row r="5464" spans="1:9" hidden="1" x14ac:dyDescent="0.25">
      <c r="A5464" t="s">
        <v>4587</v>
      </c>
      <c r="B5464" t="s">
        <v>3460</v>
      </c>
      <c r="C5464" s="2">
        <f>HYPERLINK("https://cao.dolgi.msk.ru/account/1080268764/", 1080268764)</f>
        <v>1080268764</v>
      </c>
      <c r="D5464" t="s">
        <v>62</v>
      </c>
      <c r="E5464">
        <v>-7844.38</v>
      </c>
      <c r="F5464">
        <v>-1.21</v>
      </c>
      <c r="G5464" t="s">
        <v>12</v>
      </c>
      <c r="I5464" t="s">
        <v>1050</v>
      </c>
    </row>
    <row r="5465" spans="1:9" hidden="1" x14ac:dyDescent="0.25">
      <c r="A5465" t="s">
        <v>4587</v>
      </c>
      <c r="B5465" t="s">
        <v>3462</v>
      </c>
      <c r="C5465" s="2">
        <f>HYPERLINK("https://cao.dolgi.msk.ru/account/1080268772/", 1080268772)</f>
        <v>1080268772</v>
      </c>
      <c r="D5465" t="s">
        <v>4628</v>
      </c>
      <c r="E5465">
        <v>-7600.2</v>
      </c>
      <c r="F5465">
        <v>-1.08</v>
      </c>
      <c r="G5465" t="s">
        <v>12</v>
      </c>
      <c r="I5465" t="s">
        <v>1050</v>
      </c>
    </row>
    <row r="5466" spans="1:9" hidden="1" x14ac:dyDescent="0.25">
      <c r="A5466" t="s">
        <v>4587</v>
      </c>
      <c r="B5466" t="s">
        <v>3463</v>
      </c>
      <c r="C5466" s="2">
        <f>HYPERLINK("https://cao.dolgi.msk.ru/account/1080268799/", 1080268799)</f>
        <v>1080268799</v>
      </c>
      <c r="D5466" t="s">
        <v>4629</v>
      </c>
      <c r="E5466">
        <v>-6643.11</v>
      </c>
      <c r="F5466">
        <v>-1.1100000000000001</v>
      </c>
      <c r="G5466" t="s">
        <v>12</v>
      </c>
      <c r="I5466" t="s">
        <v>1050</v>
      </c>
    </row>
    <row r="5467" spans="1:9" hidden="1" x14ac:dyDescent="0.25">
      <c r="A5467" t="s">
        <v>4630</v>
      </c>
      <c r="B5467" t="s">
        <v>10</v>
      </c>
      <c r="C5467" s="2">
        <f>HYPERLINK("https://cao.dolgi.msk.ru/account/1080279746/", 1080279746)</f>
        <v>1080279746</v>
      </c>
      <c r="D5467" t="s">
        <v>4631</v>
      </c>
      <c r="E5467">
        <v>4704.38</v>
      </c>
      <c r="F5467">
        <v>0.43</v>
      </c>
      <c r="G5467" t="s">
        <v>12</v>
      </c>
      <c r="I5467" t="s">
        <v>1050</v>
      </c>
    </row>
    <row r="5468" spans="1:9" hidden="1" x14ac:dyDescent="0.25">
      <c r="A5468" t="s">
        <v>4630</v>
      </c>
      <c r="B5468" t="s">
        <v>16</v>
      </c>
      <c r="C5468" s="2">
        <f>HYPERLINK("https://cao.dolgi.msk.ru/account/1080279754/", 1080279754)</f>
        <v>1080279754</v>
      </c>
      <c r="D5468" t="s">
        <v>4632</v>
      </c>
      <c r="E5468">
        <v>-709.57</v>
      </c>
      <c r="F5468">
        <v>-0.12</v>
      </c>
      <c r="G5468" t="s">
        <v>12</v>
      </c>
      <c r="I5468" t="s">
        <v>1050</v>
      </c>
    </row>
    <row r="5469" spans="1:9" x14ac:dyDescent="0.25">
      <c r="A5469" t="s">
        <v>4630</v>
      </c>
      <c r="B5469" t="s">
        <v>18</v>
      </c>
      <c r="C5469" s="2">
        <f>HYPERLINK("https://cao.dolgi.msk.ru/account/1080279762/", 1080279762)</f>
        <v>1080279762</v>
      </c>
      <c r="D5469" t="s">
        <v>4633</v>
      </c>
      <c r="E5469">
        <v>14271.81</v>
      </c>
      <c r="F5469">
        <v>1.98</v>
      </c>
      <c r="G5469" t="s">
        <v>12</v>
      </c>
      <c r="I5469" t="s">
        <v>1050</v>
      </c>
    </row>
    <row r="5470" spans="1:9" x14ac:dyDescent="0.25">
      <c r="A5470" t="s">
        <v>4630</v>
      </c>
      <c r="B5470" t="s">
        <v>20</v>
      </c>
      <c r="C5470" s="2">
        <f>HYPERLINK("https://cao.dolgi.msk.ru/account/1080279789/", 1080279789)</f>
        <v>1080279789</v>
      </c>
      <c r="D5470" t="s">
        <v>4634</v>
      </c>
      <c r="E5470">
        <v>28285.31</v>
      </c>
      <c r="F5470">
        <v>3.34</v>
      </c>
      <c r="G5470" t="s">
        <v>12</v>
      </c>
      <c r="I5470" t="s">
        <v>1050</v>
      </c>
    </row>
    <row r="5471" spans="1:9" hidden="1" x14ac:dyDescent="0.25">
      <c r="A5471" t="s">
        <v>4630</v>
      </c>
      <c r="B5471" t="s">
        <v>21</v>
      </c>
      <c r="C5471" s="2">
        <f>HYPERLINK("https://cao.dolgi.msk.ru/account/1080279797/", 1080279797)</f>
        <v>1080279797</v>
      </c>
      <c r="D5471" t="s">
        <v>4635</v>
      </c>
      <c r="E5471">
        <v>-9496.8700000000008</v>
      </c>
      <c r="F5471">
        <v>-1.19</v>
      </c>
      <c r="G5471" t="s">
        <v>12</v>
      </c>
      <c r="I5471" t="s">
        <v>1050</v>
      </c>
    </row>
    <row r="5472" spans="1:9" hidden="1" x14ac:dyDescent="0.25">
      <c r="A5472" t="s">
        <v>4630</v>
      </c>
      <c r="B5472" t="s">
        <v>22</v>
      </c>
      <c r="C5472" s="2">
        <f>HYPERLINK("https://cao.dolgi.msk.ru/account/1080279818/", 1080279818)</f>
        <v>1080279818</v>
      </c>
      <c r="D5472" t="s">
        <v>4636</v>
      </c>
      <c r="E5472">
        <v>-8935.89</v>
      </c>
      <c r="F5472">
        <v>-1.05</v>
      </c>
      <c r="G5472" t="s">
        <v>12</v>
      </c>
      <c r="I5472" t="s">
        <v>1050</v>
      </c>
    </row>
    <row r="5473" spans="1:9" hidden="1" x14ac:dyDescent="0.25">
      <c r="A5473" t="s">
        <v>4630</v>
      </c>
      <c r="B5473" t="s">
        <v>23</v>
      </c>
      <c r="C5473" s="2">
        <f>HYPERLINK("https://cao.dolgi.msk.ru/account/1080279826/", 1080279826)</f>
        <v>1080279826</v>
      </c>
      <c r="D5473" t="s">
        <v>4637</v>
      </c>
      <c r="E5473">
        <v>0</v>
      </c>
      <c r="F5473">
        <v>0</v>
      </c>
      <c r="G5473" t="s">
        <v>12</v>
      </c>
      <c r="I5473" t="s">
        <v>1050</v>
      </c>
    </row>
    <row r="5474" spans="1:9" hidden="1" x14ac:dyDescent="0.25">
      <c r="A5474" t="s">
        <v>4630</v>
      </c>
      <c r="B5474" t="s">
        <v>24</v>
      </c>
      <c r="C5474" s="2">
        <f>HYPERLINK("https://cao.dolgi.msk.ru/account/1080279834/", 1080279834)</f>
        <v>1080279834</v>
      </c>
      <c r="D5474" t="s">
        <v>4638</v>
      </c>
      <c r="E5474">
        <v>-7065.41</v>
      </c>
      <c r="F5474">
        <v>-1.07</v>
      </c>
      <c r="G5474" t="s">
        <v>12</v>
      </c>
      <c r="I5474" t="s">
        <v>1050</v>
      </c>
    </row>
    <row r="5475" spans="1:9" hidden="1" x14ac:dyDescent="0.25">
      <c r="A5475" t="s">
        <v>4630</v>
      </c>
      <c r="B5475" t="s">
        <v>27</v>
      </c>
      <c r="C5475" s="2">
        <f>HYPERLINK("https://cao.dolgi.msk.ru/account/1080279842/", 1080279842)</f>
        <v>1080279842</v>
      </c>
      <c r="D5475" t="s">
        <v>4639</v>
      </c>
      <c r="E5475">
        <v>-7150.2</v>
      </c>
      <c r="F5475">
        <v>-1.02</v>
      </c>
      <c r="G5475" t="s">
        <v>12</v>
      </c>
      <c r="I5475" t="s">
        <v>1050</v>
      </c>
    </row>
    <row r="5476" spans="1:9" hidden="1" x14ac:dyDescent="0.25">
      <c r="A5476" t="s">
        <v>4630</v>
      </c>
      <c r="B5476" t="s">
        <v>29</v>
      </c>
      <c r="C5476" s="2">
        <f>HYPERLINK("https://cao.dolgi.msk.ru/account/1080279869/", 1080279869)</f>
        <v>1080279869</v>
      </c>
      <c r="D5476" t="s">
        <v>4640</v>
      </c>
      <c r="E5476">
        <v>-9947.17</v>
      </c>
      <c r="F5476">
        <v>-1.19</v>
      </c>
      <c r="G5476" t="s">
        <v>12</v>
      </c>
      <c r="I5476" t="s">
        <v>1050</v>
      </c>
    </row>
    <row r="5477" spans="1:9" hidden="1" x14ac:dyDescent="0.25">
      <c r="A5477" t="s">
        <v>4630</v>
      </c>
      <c r="B5477" t="s">
        <v>31</v>
      </c>
      <c r="C5477" s="2">
        <f>HYPERLINK("https://cao.dolgi.msk.ru/account/1080279877/", 1080279877)</f>
        <v>1080279877</v>
      </c>
      <c r="D5477" t="s">
        <v>4641</v>
      </c>
      <c r="E5477">
        <v>-48.5</v>
      </c>
      <c r="F5477">
        <v>0</v>
      </c>
      <c r="G5477" t="s">
        <v>12</v>
      </c>
      <c r="I5477" t="s">
        <v>1050</v>
      </c>
    </row>
    <row r="5478" spans="1:9" hidden="1" x14ac:dyDescent="0.25">
      <c r="A5478" t="s">
        <v>4630</v>
      </c>
      <c r="B5478" t="s">
        <v>33</v>
      </c>
      <c r="C5478" s="2">
        <f>HYPERLINK("https://cao.dolgi.msk.ru/account/1080279885/", 1080279885)</f>
        <v>1080279885</v>
      </c>
      <c r="D5478" t="s">
        <v>4642</v>
      </c>
      <c r="E5478">
        <v>-31770.880000000001</v>
      </c>
      <c r="F5478">
        <v>-2.02</v>
      </c>
      <c r="G5478" t="s">
        <v>12</v>
      </c>
      <c r="I5478" t="s">
        <v>1050</v>
      </c>
    </row>
    <row r="5479" spans="1:9" hidden="1" x14ac:dyDescent="0.25">
      <c r="A5479" t="s">
        <v>4630</v>
      </c>
      <c r="B5479" t="s">
        <v>34</v>
      </c>
      <c r="C5479" s="2">
        <f>HYPERLINK("https://cao.dolgi.msk.ru/account/1080279893/", 1080279893)</f>
        <v>1080279893</v>
      </c>
      <c r="D5479" t="s">
        <v>4643</v>
      </c>
      <c r="E5479">
        <v>-1593.45</v>
      </c>
      <c r="F5479">
        <v>-0.24</v>
      </c>
      <c r="G5479" t="s">
        <v>12</v>
      </c>
      <c r="I5479" t="s">
        <v>1050</v>
      </c>
    </row>
    <row r="5480" spans="1:9" hidden="1" x14ac:dyDescent="0.25">
      <c r="A5480" t="s">
        <v>4630</v>
      </c>
      <c r="B5480" t="s">
        <v>36</v>
      </c>
      <c r="C5480" s="2">
        <f>HYPERLINK("https://cao.dolgi.msk.ru/account/1080279906/", 1080279906)</f>
        <v>1080279906</v>
      </c>
      <c r="D5480" t="s">
        <v>4644</v>
      </c>
      <c r="E5480">
        <v>-24097.37</v>
      </c>
      <c r="F5480">
        <v>-2.25</v>
      </c>
      <c r="G5480" t="s">
        <v>12</v>
      </c>
      <c r="I5480" t="s">
        <v>1050</v>
      </c>
    </row>
    <row r="5481" spans="1:9" hidden="1" x14ac:dyDescent="0.25">
      <c r="A5481" t="s">
        <v>4630</v>
      </c>
      <c r="B5481" t="s">
        <v>38</v>
      </c>
      <c r="C5481" s="2">
        <f>HYPERLINK("https://cao.dolgi.msk.ru/account/1080279914/", 1080279914)</f>
        <v>1080279914</v>
      </c>
      <c r="D5481" t="s">
        <v>4645</v>
      </c>
      <c r="E5481">
        <v>-8975.0400000000009</v>
      </c>
      <c r="F5481">
        <v>-1.02</v>
      </c>
      <c r="G5481" t="s">
        <v>12</v>
      </c>
      <c r="I5481" t="s">
        <v>1050</v>
      </c>
    </row>
    <row r="5482" spans="1:9" hidden="1" x14ac:dyDescent="0.25">
      <c r="A5482" t="s">
        <v>4630</v>
      </c>
      <c r="B5482" t="s">
        <v>39</v>
      </c>
      <c r="C5482" s="2">
        <f>HYPERLINK("https://cao.dolgi.msk.ru/account/1080279922/", 1080279922)</f>
        <v>1080279922</v>
      </c>
      <c r="D5482" t="s">
        <v>4646</v>
      </c>
      <c r="E5482">
        <v>-28858.23</v>
      </c>
      <c r="F5482">
        <v>-6.34</v>
      </c>
      <c r="G5482" t="s">
        <v>12</v>
      </c>
      <c r="I5482" t="s">
        <v>1050</v>
      </c>
    </row>
    <row r="5483" spans="1:9" hidden="1" x14ac:dyDescent="0.25">
      <c r="A5483" t="s">
        <v>4630</v>
      </c>
      <c r="B5483" t="s">
        <v>40</v>
      </c>
      <c r="C5483" s="2">
        <f>HYPERLINK("https://cao.dolgi.msk.ru/account/1080279949/", 1080279949)</f>
        <v>1080279949</v>
      </c>
      <c r="D5483" t="s">
        <v>4647</v>
      </c>
      <c r="E5483">
        <v>-8225.6200000000008</v>
      </c>
      <c r="F5483">
        <v>-1.06</v>
      </c>
      <c r="G5483" t="s">
        <v>12</v>
      </c>
      <c r="I5483" t="s">
        <v>1050</v>
      </c>
    </row>
    <row r="5484" spans="1:9" hidden="1" x14ac:dyDescent="0.25">
      <c r="A5484" t="s">
        <v>4630</v>
      </c>
      <c r="B5484" t="s">
        <v>41</v>
      </c>
      <c r="C5484" s="2">
        <f>HYPERLINK("https://cao.dolgi.msk.ru/account/1080279957/", 1080279957)</f>
        <v>1080279957</v>
      </c>
      <c r="D5484" t="s">
        <v>4648</v>
      </c>
      <c r="E5484">
        <v>2290.48</v>
      </c>
      <c r="F5484">
        <v>0.51</v>
      </c>
      <c r="G5484" t="s">
        <v>12</v>
      </c>
      <c r="I5484" t="s">
        <v>1050</v>
      </c>
    </row>
    <row r="5485" spans="1:9" hidden="1" x14ac:dyDescent="0.25">
      <c r="A5485" t="s">
        <v>4630</v>
      </c>
      <c r="B5485" t="s">
        <v>42</v>
      </c>
      <c r="C5485" s="2">
        <f>HYPERLINK("https://cao.dolgi.msk.ru/account/1080279965/", 1080279965)</f>
        <v>1080279965</v>
      </c>
      <c r="D5485" t="s">
        <v>4649</v>
      </c>
      <c r="E5485">
        <v>-8780.25</v>
      </c>
      <c r="F5485">
        <v>-1.01</v>
      </c>
      <c r="G5485" t="s">
        <v>12</v>
      </c>
      <c r="I5485" t="s">
        <v>1050</v>
      </c>
    </row>
    <row r="5486" spans="1:9" hidden="1" x14ac:dyDescent="0.25">
      <c r="A5486" t="s">
        <v>4630</v>
      </c>
      <c r="B5486" t="s">
        <v>44</v>
      </c>
      <c r="C5486" s="2">
        <f>HYPERLINK("https://cao.dolgi.msk.ru/account/1080279973/", 1080279973)</f>
        <v>1080279973</v>
      </c>
      <c r="D5486" t="s">
        <v>4650</v>
      </c>
      <c r="E5486">
        <v>-1853.35</v>
      </c>
      <c r="F5486">
        <v>-1.03</v>
      </c>
      <c r="G5486" t="s">
        <v>12</v>
      </c>
      <c r="H5486" t="s">
        <v>7</v>
      </c>
      <c r="I5486" t="s">
        <v>1050</v>
      </c>
    </row>
    <row r="5487" spans="1:9" hidden="1" x14ac:dyDescent="0.25">
      <c r="A5487" t="s">
        <v>4630</v>
      </c>
      <c r="B5487" t="s">
        <v>44</v>
      </c>
      <c r="C5487" s="2">
        <f>HYPERLINK("https://cao.dolgi.msk.ru/account/1080282849/", 1080282849)</f>
        <v>1080282849</v>
      </c>
      <c r="D5487" t="s">
        <v>4651</v>
      </c>
      <c r="E5487">
        <v>-2374.2199999999998</v>
      </c>
      <c r="F5487">
        <v>-1.07</v>
      </c>
      <c r="G5487" t="s">
        <v>12</v>
      </c>
      <c r="H5487" t="s">
        <v>7</v>
      </c>
      <c r="I5487" t="s">
        <v>1050</v>
      </c>
    </row>
    <row r="5488" spans="1:9" hidden="1" x14ac:dyDescent="0.25">
      <c r="A5488" t="s">
        <v>4630</v>
      </c>
      <c r="B5488" t="s">
        <v>66</v>
      </c>
      <c r="C5488" s="2">
        <f>HYPERLINK("https://cao.dolgi.msk.ru/account/1080279981/", 1080279981)</f>
        <v>1080279981</v>
      </c>
      <c r="D5488" t="s">
        <v>4652</v>
      </c>
      <c r="E5488">
        <v>-7759.33</v>
      </c>
      <c r="F5488">
        <v>-0.94</v>
      </c>
      <c r="G5488" t="s">
        <v>12</v>
      </c>
      <c r="I5488" t="s">
        <v>1050</v>
      </c>
    </row>
    <row r="5489" spans="1:9" hidden="1" x14ac:dyDescent="0.25">
      <c r="A5489" t="s">
        <v>4630</v>
      </c>
      <c r="B5489" t="s">
        <v>68</v>
      </c>
      <c r="C5489" s="2">
        <f>HYPERLINK("https://cao.dolgi.msk.ru/account/1080280018/", 1080280018)</f>
        <v>1080280018</v>
      </c>
      <c r="D5489" t="s">
        <v>4653</v>
      </c>
      <c r="E5489">
        <v>-4956.82</v>
      </c>
      <c r="F5489">
        <v>-1.08</v>
      </c>
      <c r="G5489" t="s">
        <v>12</v>
      </c>
      <c r="I5489" t="s">
        <v>1050</v>
      </c>
    </row>
    <row r="5490" spans="1:9" hidden="1" x14ac:dyDescent="0.25">
      <c r="A5490" t="s">
        <v>4630</v>
      </c>
      <c r="B5490" t="s">
        <v>70</v>
      </c>
      <c r="C5490" s="2">
        <f>HYPERLINK("https://cao.dolgi.msk.ru/account/1080280026/", 1080280026)</f>
        <v>1080280026</v>
      </c>
      <c r="D5490" t="s">
        <v>4654</v>
      </c>
      <c r="E5490">
        <v>-3710.19</v>
      </c>
      <c r="F5490">
        <v>-0.99</v>
      </c>
      <c r="G5490" t="s">
        <v>12</v>
      </c>
      <c r="I5490" t="s">
        <v>1050</v>
      </c>
    </row>
    <row r="5491" spans="1:9" x14ac:dyDescent="0.25">
      <c r="A5491" t="s">
        <v>4630</v>
      </c>
      <c r="B5491" t="s">
        <v>72</v>
      </c>
      <c r="C5491" s="2">
        <f>HYPERLINK("https://cao.dolgi.msk.ru/account/1080280034/", 1080280034)</f>
        <v>1080280034</v>
      </c>
      <c r="D5491" t="s">
        <v>4655</v>
      </c>
      <c r="E5491">
        <v>13301.15</v>
      </c>
      <c r="F5491">
        <v>1.43</v>
      </c>
      <c r="G5491" t="s">
        <v>12</v>
      </c>
      <c r="I5491" t="s">
        <v>1050</v>
      </c>
    </row>
    <row r="5492" spans="1:9" hidden="1" x14ac:dyDescent="0.25">
      <c r="A5492" t="s">
        <v>4656</v>
      </c>
      <c r="B5492" t="s">
        <v>16</v>
      </c>
      <c r="C5492" s="2">
        <f>HYPERLINK("https://cao.dolgi.msk.ru/account/1080005243/", 1080005243)</f>
        <v>1080005243</v>
      </c>
      <c r="D5492" t="s">
        <v>4657</v>
      </c>
      <c r="E5492">
        <v>-2686.9</v>
      </c>
      <c r="F5492">
        <v>-1.9</v>
      </c>
      <c r="G5492" t="s">
        <v>12</v>
      </c>
      <c r="H5492" t="s">
        <v>7</v>
      </c>
      <c r="I5492" t="s">
        <v>13</v>
      </c>
    </row>
    <row r="5493" spans="1:9" hidden="1" x14ac:dyDescent="0.25">
      <c r="A5493" t="s">
        <v>4656</v>
      </c>
      <c r="B5493" t="s">
        <v>16</v>
      </c>
      <c r="C5493" s="2">
        <f>HYPERLINK("https://cao.dolgi.msk.ru/account/1080005278/", 1080005278)</f>
        <v>1080005278</v>
      </c>
      <c r="D5493" t="s">
        <v>15</v>
      </c>
      <c r="E5493">
        <v>704.9</v>
      </c>
      <c r="F5493">
        <v>0.24</v>
      </c>
      <c r="G5493" t="s">
        <v>12</v>
      </c>
      <c r="H5493" t="s">
        <v>7</v>
      </c>
      <c r="I5493" t="s">
        <v>13</v>
      </c>
    </row>
    <row r="5494" spans="1:9" hidden="1" x14ac:dyDescent="0.25">
      <c r="A5494" t="s">
        <v>4656</v>
      </c>
      <c r="B5494" t="s">
        <v>16</v>
      </c>
      <c r="C5494" s="2">
        <f>HYPERLINK("https://cao.dolgi.msk.ru/account/1080005294/", 1080005294)</f>
        <v>1080005294</v>
      </c>
      <c r="D5494" t="s">
        <v>4658</v>
      </c>
      <c r="E5494">
        <v>-2106.5100000000002</v>
      </c>
      <c r="F5494">
        <v>-1.06</v>
      </c>
      <c r="G5494" t="s">
        <v>12</v>
      </c>
      <c r="H5494" t="s">
        <v>7</v>
      </c>
      <c r="I5494" t="s">
        <v>13</v>
      </c>
    </row>
    <row r="5495" spans="1:9" hidden="1" x14ac:dyDescent="0.25">
      <c r="A5495" t="s">
        <v>4656</v>
      </c>
      <c r="B5495" t="s">
        <v>16</v>
      </c>
      <c r="C5495" s="2">
        <f>HYPERLINK("https://cao.dolgi.msk.ru/account/1083274756/", 1083274756)</f>
        <v>1083274756</v>
      </c>
      <c r="D5495" t="s">
        <v>15</v>
      </c>
      <c r="E5495">
        <v>-1201.8399999999999</v>
      </c>
      <c r="F5495">
        <v>-1.23</v>
      </c>
      <c r="G5495" t="s">
        <v>12</v>
      </c>
      <c r="H5495" t="s">
        <v>7</v>
      </c>
      <c r="I5495" t="s">
        <v>13</v>
      </c>
    </row>
    <row r="5496" spans="1:9" hidden="1" x14ac:dyDescent="0.25">
      <c r="A5496" t="s">
        <v>4656</v>
      </c>
      <c r="B5496" t="s">
        <v>16</v>
      </c>
      <c r="C5496" s="2">
        <f>HYPERLINK("https://cao.dolgi.msk.ru/account/1089122737/", 1089122737)</f>
        <v>1089122737</v>
      </c>
      <c r="D5496" t="s">
        <v>15</v>
      </c>
      <c r="E5496">
        <v>3718</v>
      </c>
      <c r="F5496">
        <v>0.88</v>
      </c>
      <c r="G5496" t="s">
        <v>12</v>
      </c>
      <c r="H5496" t="s">
        <v>7</v>
      </c>
      <c r="I5496" t="s">
        <v>13</v>
      </c>
    </row>
    <row r="5497" spans="1:9" hidden="1" x14ac:dyDescent="0.25">
      <c r="A5497" t="s">
        <v>4656</v>
      </c>
      <c r="B5497" t="s">
        <v>18</v>
      </c>
      <c r="C5497" s="2">
        <f>HYPERLINK("https://cao.dolgi.msk.ru/account/1080005286/", 1080005286)</f>
        <v>1080005286</v>
      </c>
      <c r="D5497" t="s">
        <v>15</v>
      </c>
      <c r="E5497">
        <v>2065.1999999999998</v>
      </c>
      <c r="F5497">
        <v>1</v>
      </c>
      <c r="G5497" t="s">
        <v>12</v>
      </c>
      <c r="H5497" t="s">
        <v>7</v>
      </c>
      <c r="I5497" t="s">
        <v>13</v>
      </c>
    </row>
    <row r="5498" spans="1:9" x14ac:dyDescent="0.25">
      <c r="A5498" t="s">
        <v>4656</v>
      </c>
      <c r="B5498" t="s">
        <v>18</v>
      </c>
      <c r="C5498" s="2">
        <f>HYPERLINK("https://cao.dolgi.msk.ru/account/1080005315/", 1080005315)</f>
        <v>1080005315</v>
      </c>
      <c r="D5498" t="s">
        <v>15</v>
      </c>
      <c r="E5498">
        <v>25306.74</v>
      </c>
      <c r="F5498">
        <v>12.22</v>
      </c>
      <c r="G5498" t="s">
        <v>12</v>
      </c>
      <c r="H5498" t="s">
        <v>7</v>
      </c>
      <c r="I5498" t="s">
        <v>13</v>
      </c>
    </row>
    <row r="5499" spans="1:9" hidden="1" x14ac:dyDescent="0.25">
      <c r="A5499" t="s">
        <v>4656</v>
      </c>
      <c r="B5499" t="s">
        <v>18</v>
      </c>
      <c r="C5499" s="2">
        <f>HYPERLINK("https://cao.dolgi.msk.ru/account/1080005585/", 1080005585)</f>
        <v>1080005585</v>
      </c>
      <c r="D5499" t="s">
        <v>15</v>
      </c>
      <c r="E5499">
        <v>-326.39</v>
      </c>
      <c r="F5499">
        <v>-0.09</v>
      </c>
      <c r="G5499" t="s">
        <v>12</v>
      </c>
      <c r="H5499" t="s">
        <v>7</v>
      </c>
      <c r="I5499" t="s">
        <v>13</v>
      </c>
    </row>
    <row r="5500" spans="1:9" hidden="1" x14ac:dyDescent="0.25">
      <c r="A5500" t="s">
        <v>4656</v>
      </c>
      <c r="B5500" t="s">
        <v>20</v>
      </c>
      <c r="C5500" s="2">
        <f>HYPERLINK("https://cao.dolgi.msk.ru/account/1080005307/", 1080005307)</f>
        <v>1080005307</v>
      </c>
      <c r="D5500" t="s">
        <v>4659</v>
      </c>
      <c r="E5500">
        <v>-8321.59</v>
      </c>
      <c r="F5500">
        <v>-1.05</v>
      </c>
      <c r="G5500" t="s">
        <v>12</v>
      </c>
      <c r="I5500" t="s">
        <v>13</v>
      </c>
    </row>
    <row r="5501" spans="1:9" hidden="1" x14ac:dyDescent="0.25">
      <c r="A5501" t="s">
        <v>4656</v>
      </c>
      <c r="B5501" t="s">
        <v>21</v>
      </c>
      <c r="C5501" s="2">
        <f>HYPERLINK("https://cao.dolgi.msk.ru/account/1080005323/", 1080005323)</f>
        <v>1080005323</v>
      </c>
      <c r="D5501" t="s">
        <v>4660</v>
      </c>
      <c r="E5501">
        <v>7044.76</v>
      </c>
      <c r="F5501">
        <v>0.89</v>
      </c>
      <c r="G5501" t="s">
        <v>12</v>
      </c>
      <c r="I5501" t="s">
        <v>13</v>
      </c>
    </row>
    <row r="5502" spans="1:9" hidden="1" x14ac:dyDescent="0.25">
      <c r="A5502" t="s">
        <v>4656</v>
      </c>
      <c r="B5502" t="s">
        <v>22</v>
      </c>
      <c r="C5502" s="2">
        <f>HYPERLINK("https://cao.dolgi.msk.ru/account/1080325159/", 1080325159)</f>
        <v>1080325159</v>
      </c>
      <c r="D5502" t="s">
        <v>15</v>
      </c>
      <c r="E5502">
        <v>-6962.57</v>
      </c>
      <c r="F5502">
        <v>-1.02</v>
      </c>
      <c r="G5502" t="s">
        <v>12</v>
      </c>
      <c r="I5502" t="s">
        <v>13</v>
      </c>
    </row>
    <row r="5503" spans="1:9" hidden="1" x14ac:dyDescent="0.25">
      <c r="A5503" t="s">
        <v>4656</v>
      </c>
      <c r="B5503" t="s">
        <v>23</v>
      </c>
      <c r="C5503" s="2">
        <f>HYPERLINK("https://cao.dolgi.msk.ru/account/1080005817/", 1080005817)</f>
        <v>1080005817</v>
      </c>
      <c r="D5503" t="s">
        <v>15</v>
      </c>
      <c r="E5503">
        <v>0</v>
      </c>
      <c r="F5503">
        <v>0</v>
      </c>
      <c r="G5503" t="s">
        <v>12</v>
      </c>
      <c r="I5503" t="s">
        <v>13</v>
      </c>
    </row>
    <row r="5504" spans="1:9" hidden="1" x14ac:dyDescent="0.25">
      <c r="A5504" t="s">
        <v>4656</v>
      </c>
      <c r="B5504" t="s">
        <v>24</v>
      </c>
      <c r="C5504" s="2">
        <f>HYPERLINK("https://cao.dolgi.msk.ru/account/1080005358/", 1080005358)</f>
        <v>1080005358</v>
      </c>
      <c r="D5504" t="s">
        <v>15</v>
      </c>
      <c r="E5504">
        <v>0</v>
      </c>
      <c r="F5504">
        <v>0</v>
      </c>
      <c r="G5504" t="s">
        <v>12</v>
      </c>
      <c r="H5504" t="s">
        <v>7</v>
      </c>
      <c r="I5504" t="s">
        <v>13</v>
      </c>
    </row>
    <row r="5505" spans="1:9" hidden="1" x14ac:dyDescent="0.25">
      <c r="A5505" t="s">
        <v>4656</v>
      </c>
      <c r="B5505" t="s">
        <v>24</v>
      </c>
      <c r="C5505" s="2">
        <f>HYPERLINK("https://cao.dolgi.msk.ru/account/1080005366/", 1080005366)</f>
        <v>1080005366</v>
      </c>
      <c r="D5505" t="s">
        <v>15</v>
      </c>
      <c r="E5505">
        <v>394.85</v>
      </c>
      <c r="G5505" t="s">
        <v>14</v>
      </c>
      <c r="H5505" t="s">
        <v>7</v>
      </c>
      <c r="I5505" t="s">
        <v>13</v>
      </c>
    </row>
    <row r="5506" spans="1:9" hidden="1" x14ac:dyDescent="0.25">
      <c r="A5506" t="s">
        <v>4656</v>
      </c>
      <c r="B5506" t="s">
        <v>24</v>
      </c>
      <c r="C5506" s="2">
        <f>HYPERLINK("https://cao.dolgi.msk.ru/account/1080005382/", 1080005382)</f>
        <v>1080005382</v>
      </c>
      <c r="D5506" t="s">
        <v>15</v>
      </c>
      <c r="E5506">
        <v>4273.95</v>
      </c>
      <c r="F5506">
        <v>1</v>
      </c>
      <c r="G5506" t="s">
        <v>12</v>
      </c>
      <c r="H5506" t="s">
        <v>7</v>
      </c>
      <c r="I5506" t="s">
        <v>13</v>
      </c>
    </row>
    <row r="5507" spans="1:9" hidden="1" x14ac:dyDescent="0.25">
      <c r="A5507" t="s">
        <v>4656</v>
      </c>
      <c r="B5507" t="s">
        <v>24</v>
      </c>
      <c r="C5507" s="2">
        <f>HYPERLINK("https://cao.dolgi.msk.ru/account/1080005497/", 1080005497)</f>
        <v>1080005497</v>
      </c>
      <c r="D5507" t="s">
        <v>15</v>
      </c>
      <c r="E5507">
        <v>5931.57</v>
      </c>
      <c r="F5507">
        <v>0.82</v>
      </c>
      <c r="G5507" t="s">
        <v>12</v>
      </c>
      <c r="H5507" t="s">
        <v>7</v>
      </c>
      <c r="I5507" t="s">
        <v>13</v>
      </c>
    </row>
    <row r="5508" spans="1:9" hidden="1" x14ac:dyDescent="0.25">
      <c r="A5508" t="s">
        <v>4656</v>
      </c>
      <c r="B5508" t="s">
        <v>24</v>
      </c>
      <c r="C5508" s="2">
        <f>HYPERLINK("https://cao.dolgi.msk.ru/account/1083278028/", 1083278028)</f>
        <v>1083278028</v>
      </c>
      <c r="D5508" t="s">
        <v>15</v>
      </c>
      <c r="E5508">
        <v>5429.06</v>
      </c>
      <c r="F5508">
        <v>1</v>
      </c>
      <c r="G5508" t="s">
        <v>12</v>
      </c>
      <c r="H5508" t="s">
        <v>7</v>
      </c>
      <c r="I5508" t="s">
        <v>13</v>
      </c>
    </row>
    <row r="5509" spans="1:9" hidden="1" x14ac:dyDescent="0.25">
      <c r="A5509" t="s">
        <v>4656</v>
      </c>
      <c r="B5509" t="s">
        <v>24</v>
      </c>
      <c r="C5509" s="2">
        <f>HYPERLINK("https://cao.dolgi.msk.ru/account/1083391901/", 1083391901)</f>
        <v>1083391901</v>
      </c>
      <c r="D5509" t="s">
        <v>189</v>
      </c>
      <c r="E5509">
        <v>0</v>
      </c>
      <c r="F5509">
        <v>0</v>
      </c>
      <c r="G5509" t="s">
        <v>12</v>
      </c>
      <c r="H5509" t="s">
        <v>7</v>
      </c>
      <c r="I5509" t="s">
        <v>13</v>
      </c>
    </row>
    <row r="5510" spans="1:9" hidden="1" x14ac:dyDescent="0.25">
      <c r="A5510" t="s">
        <v>4656</v>
      </c>
      <c r="B5510" t="s">
        <v>24</v>
      </c>
      <c r="C5510" s="2">
        <f>HYPERLINK("https://cao.dolgi.msk.ru/account/1089131828/", 1089131828)</f>
        <v>1089131828</v>
      </c>
      <c r="D5510" t="s">
        <v>15</v>
      </c>
      <c r="E5510">
        <v>-254.07</v>
      </c>
      <c r="F5510">
        <v>-7.0000000000000007E-2</v>
      </c>
      <c r="G5510" t="s">
        <v>12</v>
      </c>
      <c r="H5510" t="s">
        <v>7</v>
      </c>
      <c r="I5510" t="s">
        <v>13</v>
      </c>
    </row>
    <row r="5511" spans="1:9" hidden="1" x14ac:dyDescent="0.25">
      <c r="A5511" t="s">
        <v>4656</v>
      </c>
      <c r="B5511" t="s">
        <v>27</v>
      </c>
      <c r="C5511" s="2">
        <f>HYPERLINK("https://cao.dolgi.msk.ru/account/1083399575/", 1083399575)</f>
        <v>1083399575</v>
      </c>
      <c r="D5511" t="s">
        <v>189</v>
      </c>
      <c r="E5511">
        <v>-5398.17</v>
      </c>
      <c r="G5511" t="s">
        <v>12</v>
      </c>
      <c r="I5511" t="s">
        <v>13</v>
      </c>
    </row>
    <row r="5512" spans="1:9" hidden="1" x14ac:dyDescent="0.25">
      <c r="A5512" t="s">
        <v>4656</v>
      </c>
      <c r="B5512" t="s">
        <v>29</v>
      </c>
      <c r="C5512" s="2">
        <f>HYPERLINK("https://cao.dolgi.msk.ru/account/1080005403/", 1080005403)</f>
        <v>1080005403</v>
      </c>
      <c r="D5512" t="s">
        <v>4661</v>
      </c>
      <c r="E5512">
        <v>-3559.85</v>
      </c>
      <c r="F5512">
        <v>-1.57</v>
      </c>
      <c r="G5512" t="s">
        <v>12</v>
      </c>
      <c r="H5512" t="s">
        <v>7</v>
      </c>
      <c r="I5512" t="s">
        <v>13</v>
      </c>
    </row>
    <row r="5513" spans="1:9" hidden="1" x14ac:dyDescent="0.25">
      <c r="A5513" t="s">
        <v>4656</v>
      </c>
      <c r="B5513" t="s">
        <v>29</v>
      </c>
      <c r="C5513" s="2">
        <f>HYPERLINK("https://cao.dolgi.msk.ru/account/1080005438/", 1080005438)</f>
        <v>1080005438</v>
      </c>
      <c r="D5513" t="s">
        <v>4661</v>
      </c>
      <c r="E5513">
        <v>3980.29</v>
      </c>
      <c r="F5513">
        <v>1</v>
      </c>
      <c r="G5513" t="s">
        <v>12</v>
      </c>
      <c r="H5513" t="s">
        <v>7</v>
      </c>
      <c r="I5513" t="s">
        <v>13</v>
      </c>
    </row>
    <row r="5514" spans="1:9" x14ac:dyDescent="0.25">
      <c r="A5514" t="s">
        <v>4656</v>
      </c>
      <c r="B5514" t="s">
        <v>29</v>
      </c>
      <c r="C5514" s="2">
        <f>HYPERLINK("https://cao.dolgi.msk.ru/account/1089131545/", 1089131545)</f>
        <v>1089131545</v>
      </c>
      <c r="D5514" t="s">
        <v>15</v>
      </c>
      <c r="E5514">
        <v>15044.34</v>
      </c>
      <c r="F5514">
        <v>17.64</v>
      </c>
      <c r="G5514" t="s">
        <v>12</v>
      </c>
      <c r="H5514" t="s">
        <v>7</v>
      </c>
      <c r="I5514" t="s">
        <v>13</v>
      </c>
    </row>
    <row r="5515" spans="1:9" hidden="1" x14ac:dyDescent="0.25">
      <c r="A5515" t="s">
        <v>4656</v>
      </c>
      <c r="B5515" t="s">
        <v>31</v>
      </c>
      <c r="C5515" s="2">
        <f>HYPERLINK("https://cao.dolgi.msk.ru/account/1080005446/", 1080005446)</f>
        <v>1080005446</v>
      </c>
      <c r="D5515" t="s">
        <v>4662</v>
      </c>
      <c r="E5515">
        <v>6495.89</v>
      </c>
      <c r="F5515">
        <v>0.87</v>
      </c>
      <c r="G5515" t="s">
        <v>12</v>
      </c>
      <c r="I5515" t="s">
        <v>13</v>
      </c>
    </row>
    <row r="5516" spans="1:9" hidden="1" x14ac:dyDescent="0.25">
      <c r="A5516" t="s">
        <v>4656</v>
      </c>
      <c r="B5516" t="s">
        <v>31</v>
      </c>
      <c r="C5516" s="2">
        <f>HYPERLINK("https://cao.dolgi.msk.ru/account/1080005454/", 1080005454)</f>
        <v>1080005454</v>
      </c>
      <c r="D5516" t="s">
        <v>4662</v>
      </c>
      <c r="E5516">
        <v>0</v>
      </c>
      <c r="G5516" t="s">
        <v>14</v>
      </c>
      <c r="I5516" t="s">
        <v>13</v>
      </c>
    </row>
    <row r="5517" spans="1:9" hidden="1" x14ac:dyDescent="0.25">
      <c r="A5517" t="s">
        <v>4656</v>
      </c>
      <c r="B5517" t="s">
        <v>31</v>
      </c>
      <c r="C5517" s="2">
        <f>HYPERLINK("https://cao.dolgi.msk.ru/account/1080005462/", 1080005462)</f>
        <v>1080005462</v>
      </c>
      <c r="D5517" t="s">
        <v>4662</v>
      </c>
      <c r="G5517" t="s">
        <v>14</v>
      </c>
      <c r="I5517" t="s">
        <v>13</v>
      </c>
    </row>
    <row r="5518" spans="1:9" hidden="1" x14ac:dyDescent="0.25">
      <c r="A5518" t="s">
        <v>4656</v>
      </c>
      <c r="B5518" t="s">
        <v>31</v>
      </c>
      <c r="C5518" s="2">
        <f>HYPERLINK("https://cao.dolgi.msk.ru/account/1080005569/", 1080005569)</f>
        <v>1080005569</v>
      </c>
      <c r="D5518" t="s">
        <v>4662</v>
      </c>
      <c r="G5518" t="s">
        <v>14</v>
      </c>
      <c r="I5518" t="s">
        <v>13</v>
      </c>
    </row>
    <row r="5519" spans="1:9" hidden="1" x14ac:dyDescent="0.25">
      <c r="A5519" t="s">
        <v>4656</v>
      </c>
      <c r="B5519" t="s">
        <v>33</v>
      </c>
      <c r="C5519" s="2">
        <f>HYPERLINK("https://cao.dolgi.msk.ru/account/1080005518/", 1080005518)</f>
        <v>1080005518</v>
      </c>
      <c r="D5519" t="s">
        <v>4663</v>
      </c>
      <c r="E5519">
        <v>-112.32</v>
      </c>
      <c r="F5519">
        <v>-0.01</v>
      </c>
      <c r="G5519" t="s">
        <v>12</v>
      </c>
      <c r="I5519" t="s">
        <v>13</v>
      </c>
    </row>
    <row r="5520" spans="1:9" x14ac:dyDescent="0.25">
      <c r="A5520" t="s">
        <v>4656</v>
      </c>
      <c r="B5520" t="s">
        <v>34</v>
      </c>
      <c r="C5520" s="2">
        <f>HYPERLINK("https://cao.dolgi.msk.ru/account/1080005542/", 1080005542)</f>
        <v>1080005542</v>
      </c>
      <c r="D5520" t="s">
        <v>4664</v>
      </c>
      <c r="E5520">
        <v>3468.33</v>
      </c>
      <c r="F5520">
        <v>3.44</v>
      </c>
      <c r="G5520" t="s">
        <v>12</v>
      </c>
      <c r="I5520" t="s">
        <v>13</v>
      </c>
    </row>
    <row r="5521" spans="1:9" hidden="1" x14ac:dyDescent="0.25">
      <c r="A5521" t="s">
        <v>4656</v>
      </c>
      <c r="B5521" t="s">
        <v>34</v>
      </c>
      <c r="C5521" s="2">
        <f>HYPERLINK("https://cao.dolgi.msk.ru/account/1083278036/", 1083278036)</f>
        <v>1083278036</v>
      </c>
      <c r="D5521" t="s">
        <v>15</v>
      </c>
      <c r="E5521">
        <v>-1332.85</v>
      </c>
      <c r="F5521">
        <v>-0.28999999999999998</v>
      </c>
      <c r="G5521" t="s">
        <v>12</v>
      </c>
      <c r="I5521" t="s">
        <v>13</v>
      </c>
    </row>
    <row r="5522" spans="1:9" hidden="1" x14ac:dyDescent="0.25">
      <c r="A5522" t="s">
        <v>4656</v>
      </c>
      <c r="B5522" t="s">
        <v>36</v>
      </c>
      <c r="C5522" s="2">
        <f>HYPERLINK("https://cao.dolgi.msk.ru/account/1080005489/", 1080005489)</f>
        <v>1080005489</v>
      </c>
      <c r="D5522" t="s">
        <v>4665</v>
      </c>
      <c r="E5522">
        <v>-2365</v>
      </c>
      <c r="F5522">
        <v>-1.02</v>
      </c>
      <c r="G5522" t="s">
        <v>12</v>
      </c>
      <c r="H5522" t="s">
        <v>7</v>
      </c>
      <c r="I5522" t="s">
        <v>13</v>
      </c>
    </row>
    <row r="5523" spans="1:9" hidden="1" x14ac:dyDescent="0.25">
      <c r="A5523" t="s">
        <v>4656</v>
      </c>
      <c r="B5523" t="s">
        <v>36</v>
      </c>
      <c r="C5523" s="2">
        <f>HYPERLINK("https://cao.dolgi.msk.ru/account/1080005593/", 1080005593)</f>
        <v>1080005593</v>
      </c>
      <c r="D5523" t="s">
        <v>4666</v>
      </c>
      <c r="E5523">
        <v>-824.04</v>
      </c>
      <c r="F5523">
        <v>-0.8</v>
      </c>
      <c r="G5523" t="s">
        <v>12</v>
      </c>
      <c r="H5523" t="s">
        <v>7</v>
      </c>
      <c r="I5523" t="s">
        <v>13</v>
      </c>
    </row>
    <row r="5524" spans="1:9" hidden="1" x14ac:dyDescent="0.25">
      <c r="A5524" t="s">
        <v>4656</v>
      </c>
      <c r="B5524" t="s">
        <v>36</v>
      </c>
      <c r="C5524" s="2">
        <f>HYPERLINK("https://cao.dolgi.msk.ru/account/1083277914/", 1083277914)</f>
        <v>1083277914</v>
      </c>
      <c r="D5524" t="s">
        <v>15</v>
      </c>
      <c r="E5524">
        <v>-2954.02</v>
      </c>
      <c r="F5524">
        <v>-1.02</v>
      </c>
      <c r="G5524" t="s">
        <v>12</v>
      </c>
      <c r="H5524" t="s">
        <v>7</v>
      </c>
      <c r="I5524" t="s">
        <v>13</v>
      </c>
    </row>
    <row r="5525" spans="1:9" hidden="1" x14ac:dyDescent="0.25">
      <c r="A5525" t="s">
        <v>4656</v>
      </c>
      <c r="B5525" t="s">
        <v>36</v>
      </c>
      <c r="C5525" s="2">
        <f>HYPERLINK("https://cao.dolgi.msk.ru/account/1083391119/", 1083391119)</f>
        <v>1083391119</v>
      </c>
      <c r="D5525" t="s">
        <v>189</v>
      </c>
      <c r="E5525">
        <v>-1552.71</v>
      </c>
      <c r="F5525">
        <v>-1.02</v>
      </c>
      <c r="G5525" t="s">
        <v>12</v>
      </c>
      <c r="H5525" t="s">
        <v>7</v>
      </c>
      <c r="I5525" t="s">
        <v>13</v>
      </c>
    </row>
    <row r="5526" spans="1:9" hidden="1" x14ac:dyDescent="0.25">
      <c r="A5526" t="s">
        <v>4656</v>
      </c>
      <c r="B5526" t="s">
        <v>36</v>
      </c>
      <c r="C5526" s="2">
        <f>HYPERLINK("https://cao.dolgi.msk.ru/account/1083391127/", 1083391127)</f>
        <v>1083391127</v>
      </c>
      <c r="D5526" t="s">
        <v>189</v>
      </c>
      <c r="E5526">
        <v>-1212.83</v>
      </c>
      <c r="F5526">
        <v>-1.02</v>
      </c>
      <c r="G5526" t="s">
        <v>12</v>
      </c>
      <c r="H5526" t="s">
        <v>7</v>
      </c>
      <c r="I5526" t="s">
        <v>13</v>
      </c>
    </row>
    <row r="5527" spans="1:9" hidden="1" x14ac:dyDescent="0.25">
      <c r="A5527" t="s">
        <v>4656</v>
      </c>
      <c r="B5527" t="s">
        <v>38</v>
      </c>
      <c r="C5527" s="2">
        <f>HYPERLINK("https://cao.dolgi.msk.ru/account/1080005606/", 1080005606)</f>
        <v>1080005606</v>
      </c>
      <c r="D5527" t="s">
        <v>4667</v>
      </c>
      <c r="E5527">
        <v>0</v>
      </c>
      <c r="F5527">
        <v>0</v>
      </c>
      <c r="G5527" t="s">
        <v>12</v>
      </c>
      <c r="I5527" t="s">
        <v>13</v>
      </c>
    </row>
    <row r="5528" spans="1:9" hidden="1" x14ac:dyDescent="0.25">
      <c r="A5528" t="s">
        <v>4656</v>
      </c>
      <c r="B5528" t="s">
        <v>38</v>
      </c>
      <c r="C5528" s="2">
        <f>HYPERLINK("https://cao.dolgi.msk.ru/account/1080005614/", 1080005614)</f>
        <v>1080005614</v>
      </c>
      <c r="D5528" t="s">
        <v>4667</v>
      </c>
      <c r="G5528" t="s">
        <v>14</v>
      </c>
      <c r="I5528" t="s">
        <v>13</v>
      </c>
    </row>
    <row r="5529" spans="1:9" hidden="1" x14ac:dyDescent="0.25">
      <c r="A5529" t="s">
        <v>4656</v>
      </c>
      <c r="B5529" t="s">
        <v>38</v>
      </c>
      <c r="C5529" s="2">
        <f>HYPERLINK("https://cao.dolgi.msk.ru/account/1080005622/", 1080005622)</f>
        <v>1080005622</v>
      </c>
      <c r="D5529" t="s">
        <v>4667</v>
      </c>
      <c r="G5529" t="s">
        <v>14</v>
      </c>
      <c r="I5529" t="s">
        <v>13</v>
      </c>
    </row>
    <row r="5530" spans="1:9" hidden="1" x14ac:dyDescent="0.25">
      <c r="A5530" t="s">
        <v>4656</v>
      </c>
      <c r="B5530" t="s">
        <v>40</v>
      </c>
      <c r="C5530" s="2">
        <f>HYPERLINK("https://cao.dolgi.msk.ru/account/1080005657/", 1080005657)</f>
        <v>1080005657</v>
      </c>
      <c r="D5530" t="s">
        <v>4668</v>
      </c>
      <c r="E5530">
        <v>0</v>
      </c>
      <c r="F5530">
        <v>0</v>
      </c>
      <c r="G5530" t="s">
        <v>12</v>
      </c>
      <c r="H5530" t="s">
        <v>7</v>
      </c>
      <c r="I5530" t="s">
        <v>13</v>
      </c>
    </row>
    <row r="5531" spans="1:9" hidden="1" x14ac:dyDescent="0.25">
      <c r="A5531" t="s">
        <v>4656</v>
      </c>
      <c r="B5531" t="s">
        <v>40</v>
      </c>
      <c r="C5531" s="2">
        <f>HYPERLINK("https://cao.dolgi.msk.ru/account/1080005665/", 1080005665)</f>
        <v>1080005665</v>
      </c>
      <c r="D5531" t="s">
        <v>4669</v>
      </c>
      <c r="E5531">
        <v>-2871.7</v>
      </c>
      <c r="F5531">
        <v>-1.72</v>
      </c>
      <c r="G5531" t="s">
        <v>12</v>
      </c>
      <c r="H5531" t="s">
        <v>7</v>
      </c>
      <c r="I5531" t="s">
        <v>13</v>
      </c>
    </row>
    <row r="5532" spans="1:9" hidden="1" x14ac:dyDescent="0.25">
      <c r="A5532" t="s">
        <v>4656</v>
      </c>
      <c r="B5532" t="s">
        <v>40</v>
      </c>
      <c r="C5532" s="2">
        <f>HYPERLINK("https://cao.dolgi.msk.ru/account/1080005673/", 1080005673)</f>
        <v>1080005673</v>
      </c>
      <c r="D5532" t="s">
        <v>4670</v>
      </c>
      <c r="E5532">
        <v>-1207.8599999999999</v>
      </c>
      <c r="F5532">
        <v>-1.06</v>
      </c>
      <c r="G5532" t="s">
        <v>12</v>
      </c>
      <c r="H5532" t="s">
        <v>7</v>
      </c>
      <c r="I5532" t="s">
        <v>13</v>
      </c>
    </row>
    <row r="5533" spans="1:9" hidden="1" x14ac:dyDescent="0.25">
      <c r="A5533" t="s">
        <v>4656</v>
      </c>
      <c r="B5533" t="s">
        <v>40</v>
      </c>
      <c r="C5533" s="2">
        <f>HYPERLINK("https://cao.dolgi.msk.ru/account/1080005737/", 1080005737)</f>
        <v>1080005737</v>
      </c>
      <c r="D5533" t="s">
        <v>4671</v>
      </c>
      <c r="E5533">
        <v>301.83</v>
      </c>
      <c r="F5533">
        <v>7.0000000000000007E-2</v>
      </c>
      <c r="G5533" t="s">
        <v>12</v>
      </c>
      <c r="H5533" t="s">
        <v>7</v>
      </c>
      <c r="I5533" t="s">
        <v>13</v>
      </c>
    </row>
    <row r="5534" spans="1:9" hidden="1" x14ac:dyDescent="0.25">
      <c r="A5534" t="s">
        <v>4656</v>
      </c>
      <c r="B5534" t="s">
        <v>40</v>
      </c>
      <c r="C5534" s="2">
        <f>HYPERLINK("https://cao.dolgi.msk.ru/account/1083274334/", 1083274334)</f>
        <v>1083274334</v>
      </c>
      <c r="D5534" t="s">
        <v>15</v>
      </c>
      <c r="E5534">
        <v>0</v>
      </c>
      <c r="G5534" t="s">
        <v>14</v>
      </c>
      <c r="I5534" t="s">
        <v>13</v>
      </c>
    </row>
    <row r="5535" spans="1:9" hidden="1" x14ac:dyDescent="0.25">
      <c r="A5535" t="s">
        <v>4656</v>
      </c>
      <c r="B5535" t="s">
        <v>42</v>
      </c>
      <c r="C5535" s="2">
        <f>HYPERLINK("https://cao.dolgi.msk.ru/account/1080005681/", 1080005681)</f>
        <v>1080005681</v>
      </c>
      <c r="D5535" t="s">
        <v>4672</v>
      </c>
      <c r="E5535">
        <v>-7189.97</v>
      </c>
      <c r="F5535">
        <v>-0.73</v>
      </c>
      <c r="G5535" t="s">
        <v>12</v>
      </c>
      <c r="I5535" t="s">
        <v>13</v>
      </c>
    </row>
    <row r="5536" spans="1:9" hidden="1" x14ac:dyDescent="0.25">
      <c r="A5536" t="s">
        <v>4656</v>
      </c>
      <c r="B5536" t="s">
        <v>44</v>
      </c>
      <c r="C5536" s="2">
        <f>HYPERLINK("https://cao.dolgi.msk.ru/account/1080005729/", 1080005729)</f>
        <v>1080005729</v>
      </c>
      <c r="D5536" t="s">
        <v>15</v>
      </c>
      <c r="E5536">
        <v>-9138.24</v>
      </c>
      <c r="F5536">
        <v>-1.02</v>
      </c>
      <c r="G5536" t="s">
        <v>12</v>
      </c>
      <c r="I5536" t="s">
        <v>13</v>
      </c>
    </row>
    <row r="5537" spans="1:9" x14ac:dyDescent="0.25">
      <c r="A5537" t="s">
        <v>4656</v>
      </c>
      <c r="B5537" t="s">
        <v>66</v>
      </c>
      <c r="C5537" s="2">
        <f>HYPERLINK("https://cao.dolgi.msk.ru/account/1080005411/", 1080005411)</f>
        <v>1080005411</v>
      </c>
      <c r="D5537" t="s">
        <v>4673</v>
      </c>
      <c r="E5537">
        <v>492806.42</v>
      </c>
      <c r="F5537">
        <v>55.09</v>
      </c>
      <c r="G5537" t="s">
        <v>12</v>
      </c>
      <c r="I5537" t="s">
        <v>13</v>
      </c>
    </row>
    <row r="5538" spans="1:9" hidden="1" x14ac:dyDescent="0.25">
      <c r="A5538" t="s">
        <v>4656</v>
      </c>
      <c r="B5538" t="s">
        <v>68</v>
      </c>
      <c r="C5538" s="2">
        <f>HYPERLINK("https://cao.dolgi.msk.ru/account/1080005809/", 1080005809)</f>
        <v>1080005809</v>
      </c>
      <c r="D5538" t="s">
        <v>4674</v>
      </c>
      <c r="E5538">
        <v>8966.94</v>
      </c>
      <c r="F5538">
        <v>1</v>
      </c>
      <c r="G5538" t="s">
        <v>12</v>
      </c>
      <c r="I5538" t="s">
        <v>13</v>
      </c>
    </row>
    <row r="5539" spans="1:9" hidden="1" x14ac:dyDescent="0.25">
      <c r="A5539" t="s">
        <v>4656</v>
      </c>
      <c r="B5539" t="s">
        <v>70</v>
      </c>
      <c r="C5539" s="2">
        <f>HYPERLINK("https://cao.dolgi.msk.ru/account/1080005761/", 1080005761)</f>
        <v>1080005761</v>
      </c>
      <c r="D5539" t="s">
        <v>15</v>
      </c>
      <c r="E5539">
        <v>-4625.0600000000004</v>
      </c>
      <c r="F5539">
        <v>-1.94</v>
      </c>
      <c r="G5539" t="s">
        <v>12</v>
      </c>
      <c r="H5539" t="s">
        <v>7</v>
      </c>
      <c r="I5539" t="s">
        <v>13</v>
      </c>
    </row>
    <row r="5540" spans="1:9" hidden="1" x14ac:dyDescent="0.25">
      <c r="A5540" t="s">
        <v>4656</v>
      </c>
      <c r="B5540" t="s">
        <v>70</v>
      </c>
      <c r="C5540" s="2">
        <f>HYPERLINK("https://cao.dolgi.msk.ru/account/1080005788/", 1080005788)</f>
        <v>1080005788</v>
      </c>
      <c r="D5540" t="s">
        <v>4675</v>
      </c>
      <c r="E5540">
        <v>218.47</v>
      </c>
      <c r="F5540">
        <v>0.04</v>
      </c>
      <c r="G5540" t="s">
        <v>12</v>
      </c>
      <c r="H5540" t="s">
        <v>7</v>
      </c>
      <c r="I5540" t="s">
        <v>13</v>
      </c>
    </row>
    <row r="5541" spans="1:9" hidden="1" x14ac:dyDescent="0.25">
      <c r="A5541" t="s">
        <v>4656</v>
      </c>
      <c r="B5541" t="s">
        <v>70</v>
      </c>
      <c r="C5541" s="2">
        <f>HYPERLINK("https://cao.dolgi.msk.ru/account/1083271352/", 1083271352)</f>
        <v>1083271352</v>
      </c>
      <c r="D5541" t="s">
        <v>15</v>
      </c>
      <c r="E5541">
        <v>-1185.19</v>
      </c>
      <c r="F5541">
        <v>-1.1200000000000001</v>
      </c>
      <c r="G5541" t="s">
        <v>12</v>
      </c>
      <c r="H5541" t="s">
        <v>7</v>
      </c>
      <c r="I5541" t="s">
        <v>13</v>
      </c>
    </row>
    <row r="5542" spans="1:9" x14ac:dyDescent="0.25">
      <c r="A5542" t="s">
        <v>4656</v>
      </c>
      <c r="B5542" t="s">
        <v>70</v>
      </c>
      <c r="C5542" s="2">
        <f>HYPERLINK("https://cao.dolgi.msk.ru/account/1083392007/", 1083392007)</f>
        <v>1083392007</v>
      </c>
      <c r="D5542" t="s">
        <v>189</v>
      </c>
      <c r="E5542">
        <v>23063.38</v>
      </c>
      <c r="F5542">
        <v>12.3</v>
      </c>
      <c r="G5542" t="s">
        <v>12</v>
      </c>
      <c r="H5542" t="s">
        <v>7</v>
      </c>
      <c r="I5542" t="s">
        <v>13</v>
      </c>
    </row>
    <row r="5543" spans="1:9" hidden="1" x14ac:dyDescent="0.25">
      <c r="A5543" t="s">
        <v>4656</v>
      </c>
      <c r="B5543" t="s">
        <v>72</v>
      </c>
      <c r="C5543" s="2">
        <f>HYPERLINK("https://cao.dolgi.msk.ru/account/1080005702/", 1080005702)</f>
        <v>1080005702</v>
      </c>
      <c r="D5543" t="s">
        <v>4676</v>
      </c>
      <c r="E5543">
        <v>-333.66</v>
      </c>
      <c r="F5543">
        <v>-0.05</v>
      </c>
      <c r="G5543" t="s">
        <v>12</v>
      </c>
      <c r="H5543" t="s">
        <v>7</v>
      </c>
      <c r="I5543" t="s">
        <v>13</v>
      </c>
    </row>
    <row r="5544" spans="1:9" hidden="1" x14ac:dyDescent="0.25">
      <c r="A5544" t="s">
        <v>4656</v>
      </c>
      <c r="B5544" t="s">
        <v>72</v>
      </c>
      <c r="C5544" s="2">
        <f>HYPERLINK("https://cao.dolgi.msk.ru/account/1080005796/", 1080005796)</f>
        <v>1080005796</v>
      </c>
      <c r="D5544" t="s">
        <v>4676</v>
      </c>
      <c r="E5544">
        <v>2479.75</v>
      </c>
      <c r="F5544">
        <v>0.66</v>
      </c>
      <c r="G5544" t="s">
        <v>12</v>
      </c>
      <c r="H5544" t="s">
        <v>7</v>
      </c>
      <c r="I5544" t="s">
        <v>13</v>
      </c>
    </row>
    <row r="5545" spans="1:9" hidden="1" x14ac:dyDescent="0.25">
      <c r="A5545" t="s">
        <v>4677</v>
      </c>
      <c r="B5545" t="s">
        <v>10</v>
      </c>
      <c r="C5545" s="2">
        <f>HYPERLINK("https://cao.dolgi.msk.ru/account/1080029528/", 1080029528)</f>
        <v>1080029528</v>
      </c>
      <c r="D5545" t="s">
        <v>62</v>
      </c>
      <c r="E5545">
        <v>-13010.19</v>
      </c>
      <c r="F5545">
        <v>-1.85</v>
      </c>
      <c r="G5545" t="s">
        <v>12</v>
      </c>
      <c r="I5545" t="s">
        <v>13</v>
      </c>
    </row>
    <row r="5546" spans="1:9" hidden="1" x14ac:dyDescent="0.25">
      <c r="A5546" t="s">
        <v>4677</v>
      </c>
      <c r="B5546" t="s">
        <v>16</v>
      </c>
      <c r="C5546" s="2">
        <f>HYPERLINK("https://cao.dolgi.msk.ru/account/1080029536/", 1080029536)</f>
        <v>1080029536</v>
      </c>
      <c r="D5546" t="s">
        <v>15</v>
      </c>
      <c r="E5546">
        <v>1482.55</v>
      </c>
      <c r="F5546">
        <v>0.36</v>
      </c>
      <c r="G5546" t="s">
        <v>12</v>
      </c>
      <c r="I5546" t="s">
        <v>13</v>
      </c>
    </row>
    <row r="5547" spans="1:9" hidden="1" x14ac:dyDescent="0.25">
      <c r="A5547" t="s">
        <v>4677</v>
      </c>
      <c r="B5547" t="s">
        <v>18</v>
      </c>
      <c r="C5547" s="2">
        <f>HYPERLINK("https://cao.dolgi.msk.ru/account/1080029544/", 1080029544)</f>
        <v>1080029544</v>
      </c>
      <c r="D5547" t="s">
        <v>4678</v>
      </c>
      <c r="E5547">
        <v>-7856.24</v>
      </c>
      <c r="F5547">
        <v>-0.9</v>
      </c>
      <c r="G5547" t="s">
        <v>12</v>
      </c>
      <c r="I5547" t="s">
        <v>13</v>
      </c>
    </row>
    <row r="5548" spans="1:9" hidden="1" x14ac:dyDescent="0.25">
      <c r="A5548" t="s">
        <v>4677</v>
      </c>
      <c r="B5548" t="s">
        <v>20</v>
      </c>
      <c r="C5548" s="2">
        <f>HYPERLINK("https://cao.dolgi.msk.ru/account/1080029552/", 1080029552)</f>
        <v>1080029552</v>
      </c>
      <c r="D5548" t="s">
        <v>4679</v>
      </c>
      <c r="E5548">
        <v>-4839.3</v>
      </c>
      <c r="F5548">
        <v>-0.93</v>
      </c>
      <c r="G5548" t="s">
        <v>12</v>
      </c>
      <c r="I5548" t="s">
        <v>13</v>
      </c>
    </row>
    <row r="5549" spans="1:9" hidden="1" x14ac:dyDescent="0.25">
      <c r="A5549" t="s">
        <v>4677</v>
      </c>
      <c r="B5549" t="s">
        <v>21</v>
      </c>
      <c r="C5549" s="2">
        <f>HYPERLINK("https://cao.dolgi.msk.ru/account/1080029579/", 1080029579)</f>
        <v>1080029579</v>
      </c>
      <c r="D5549" t="s">
        <v>62</v>
      </c>
      <c r="E5549">
        <v>-4805.91</v>
      </c>
      <c r="F5549">
        <v>-0.76</v>
      </c>
      <c r="G5549" t="s">
        <v>12</v>
      </c>
      <c r="I5549" t="s">
        <v>13</v>
      </c>
    </row>
    <row r="5550" spans="1:9" hidden="1" x14ac:dyDescent="0.25">
      <c r="A5550" t="s">
        <v>4677</v>
      </c>
      <c r="B5550" t="s">
        <v>22</v>
      </c>
      <c r="C5550" s="2">
        <f>HYPERLINK("https://cao.dolgi.msk.ru/account/1080029587/", 1080029587)</f>
        <v>1080029587</v>
      </c>
      <c r="D5550" t="s">
        <v>15</v>
      </c>
      <c r="E5550">
        <v>-1812.2</v>
      </c>
      <c r="F5550">
        <v>-0.26</v>
      </c>
      <c r="G5550" t="s">
        <v>12</v>
      </c>
      <c r="I5550" t="s">
        <v>13</v>
      </c>
    </row>
    <row r="5551" spans="1:9" hidden="1" x14ac:dyDescent="0.25">
      <c r="A5551" t="s">
        <v>4677</v>
      </c>
      <c r="B5551" t="s">
        <v>23</v>
      </c>
      <c r="C5551" s="2">
        <f>HYPERLINK("https://cao.dolgi.msk.ru/account/1080029595/", 1080029595)</f>
        <v>1080029595</v>
      </c>
      <c r="D5551" t="s">
        <v>4680</v>
      </c>
      <c r="E5551">
        <v>-7317.82</v>
      </c>
      <c r="F5551">
        <v>-1.02</v>
      </c>
      <c r="G5551" t="s">
        <v>12</v>
      </c>
      <c r="I5551" t="s">
        <v>13</v>
      </c>
    </row>
    <row r="5552" spans="1:9" hidden="1" x14ac:dyDescent="0.25">
      <c r="A5552" t="s">
        <v>4677</v>
      </c>
      <c r="B5552" t="s">
        <v>24</v>
      </c>
      <c r="C5552" s="2">
        <f>HYPERLINK("https://cao.dolgi.msk.ru/account/1080029608/", 1080029608)</f>
        <v>1080029608</v>
      </c>
      <c r="D5552" t="s">
        <v>4681</v>
      </c>
      <c r="E5552">
        <v>-13025.72</v>
      </c>
      <c r="F5552">
        <v>-1.47</v>
      </c>
      <c r="G5552" t="s">
        <v>12</v>
      </c>
      <c r="I5552" t="s">
        <v>13</v>
      </c>
    </row>
    <row r="5553" spans="1:9" hidden="1" x14ac:dyDescent="0.25">
      <c r="A5553" t="s">
        <v>4677</v>
      </c>
      <c r="B5553" t="s">
        <v>27</v>
      </c>
      <c r="C5553" s="2">
        <f>HYPERLINK("https://cao.dolgi.msk.ru/account/1080029616/", 1080029616)</f>
        <v>1080029616</v>
      </c>
      <c r="D5553" t="s">
        <v>62</v>
      </c>
      <c r="E5553">
        <v>-6.5</v>
      </c>
      <c r="F5553">
        <v>0</v>
      </c>
      <c r="G5553" t="s">
        <v>12</v>
      </c>
      <c r="I5553" t="s">
        <v>13</v>
      </c>
    </row>
    <row r="5554" spans="1:9" hidden="1" x14ac:dyDescent="0.25">
      <c r="A5554" t="s">
        <v>4677</v>
      </c>
      <c r="B5554" t="s">
        <v>29</v>
      </c>
      <c r="C5554" s="2">
        <f>HYPERLINK("https://cao.dolgi.msk.ru/account/1080029624/", 1080029624)</f>
        <v>1080029624</v>
      </c>
      <c r="D5554" t="s">
        <v>4682</v>
      </c>
      <c r="E5554">
        <v>-5890.07</v>
      </c>
      <c r="F5554">
        <v>-1.1200000000000001</v>
      </c>
      <c r="G5554" t="s">
        <v>12</v>
      </c>
      <c r="I5554" t="s">
        <v>13</v>
      </c>
    </row>
    <row r="5555" spans="1:9" hidden="1" x14ac:dyDescent="0.25">
      <c r="A5555" t="s">
        <v>4677</v>
      </c>
      <c r="B5555" t="s">
        <v>31</v>
      </c>
      <c r="C5555" s="2">
        <f>HYPERLINK("https://cao.dolgi.msk.ru/account/1080029632/", 1080029632)</f>
        <v>1080029632</v>
      </c>
      <c r="D5555" t="s">
        <v>4683</v>
      </c>
      <c r="E5555">
        <v>-5532.95</v>
      </c>
      <c r="F5555">
        <v>-0.63</v>
      </c>
      <c r="G5555" t="s">
        <v>12</v>
      </c>
      <c r="I5555" t="s">
        <v>13</v>
      </c>
    </row>
    <row r="5556" spans="1:9" x14ac:dyDescent="0.25">
      <c r="A5556" t="s">
        <v>4677</v>
      </c>
      <c r="B5556" t="s">
        <v>33</v>
      </c>
      <c r="C5556" s="2">
        <f>HYPERLINK("https://cao.dolgi.msk.ru/account/1080029659/", 1080029659)</f>
        <v>1080029659</v>
      </c>
      <c r="D5556" t="s">
        <v>4684</v>
      </c>
      <c r="E5556">
        <v>8018.67</v>
      </c>
      <c r="F5556">
        <v>1.1200000000000001</v>
      </c>
      <c r="G5556" t="s">
        <v>12</v>
      </c>
      <c r="I5556" t="s">
        <v>13</v>
      </c>
    </row>
    <row r="5557" spans="1:9" hidden="1" x14ac:dyDescent="0.25">
      <c r="A5557" t="s">
        <v>4677</v>
      </c>
      <c r="B5557" t="s">
        <v>34</v>
      </c>
      <c r="C5557" s="2">
        <f>HYPERLINK("https://cao.dolgi.msk.ru/account/1080029667/", 1080029667)</f>
        <v>1080029667</v>
      </c>
      <c r="D5557" t="s">
        <v>4685</v>
      </c>
      <c r="E5557">
        <v>-341.94</v>
      </c>
      <c r="F5557">
        <v>-0.06</v>
      </c>
      <c r="G5557" t="s">
        <v>12</v>
      </c>
      <c r="I5557" t="s">
        <v>13</v>
      </c>
    </row>
    <row r="5558" spans="1:9" hidden="1" x14ac:dyDescent="0.25">
      <c r="A5558" t="s">
        <v>4677</v>
      </c>
      <c r="B5558" t="s">
        <v>36</v>
      </c>
      <c r="C5558" s="2">
        <f>HYPERLINK("https://cao.dolgi.msk.ru/account/1080029675/", 1080029675)</f>
        <v>1080029675</v>
      </c>
      <c r="D5558" t="s">
        <v>4686</v>
      </c>
      <c r="E5558">
        <v>-8525.6200000000008</v>
      </c>
      <c r="F5558">
        <v>-0.92</v>
      </c>
      <c r="G5558" t="s">
        <v>12</v>
      </c>
      <c r="I5558" t="s">
        <v>13</v>
      </c>
    </row>
    <row r="5559" spans="1:9" hidden="1" x14ac:dyDescent="0.25">
      <c r="A5559" t="s">
        <v>4677</v>
      </c>
      <c r="B5559" t="s">
        <v>38</v>
      </c>
      <c r="C5559" s="2">
        <f>HYPERLINK("https://cao.dolgi.msk.ru/account/1080029683/", 1080029683)</f>
        <v>1080029683</v>
      </c>
      <c r="D5559" t="s">
        <v>4687</v>
      </c>
      <c r="E5559">
        <v>-10961.81</v>
      </c>
      <c r="F5559">
        <v>-1.03</v>
      </c>
      <c r="G5559" t="s">
        <v>12</v>
      </c>
      <c r="I5559" t="s">
        <v>13</v>
      </c>
    </row>
    <row r="5560" spans="1:9" hidden="1" x14ac:dyDescent="0.25">
      <c r="A5560" t="s">
        <v>4677</v>
      </c>
      <c r="B5560" t="s">
        <v>39</v>
      </c>
      <c r="C5560" s="2">
        <f>HYPERLINK("https://cao.dolgi.msk.ru/account/1080029691/", 1080029691)</f>
        <v>1080029691</v>
      </c>
      <c r="D5560" t="s">
        <v>15</v>
      </c>
      <c r="E5560">
        <v>-6128.11</v>
      </c>
      <c r="F5560">
        <v>-0.99</v>
      </c>
      <c r="G5560" t="s">
        <v>12</v>
      </c>
      <c r="I5560" t="s">
        <v>13</v>
      </c>
    </row>
    <row r="5561" spans="1:9" hidden="1" x14ac:dyDescent="0.25">
      <c r="A5561" t="s">
        <v>4677</v>
      </c>
      <c r="B5561" t="s">
        <v>40</v>
      </c>
      <c r="C5561" s="2">
        <f>HYPERLINK("https://cao.dolgi.msk.ru/account/1080029704/", 1080029704)</f>
        <v>1080029704</v>
      </c>
      <c r="D5561" t="s">
        <v>4688</v>
      </c>
      <c r="E5561">
        <v>-815.97</v>
      </c>
      <c r="F5561">
        <v>-0.13</v>
      </c>
      <c r="G5561" t="s">
        <v>12</v>
      </c>
      <c r="I5561" t="s">
        <v>13</v>
      </c>
    </row>
    <row r="5562" spans="1:9" x14ac:dyDescent="0.25">
      <c r="A5562" t="s">
        <v>4677</v>
      </c>
      <c r="B5562" t="s">
        <v>41</v>
      </c>
      <c r="C5562" s="2">
        <f>HYPERLINK("https://cao.dolgi.msk.ru/account/1080029739/", 1080029739)</f>
        <v>1080029739</v>
      </c>
      <c r="D5562" t="s">
        <v>4689</v>
      </c>
      <c r="E5562">
        <v>36799.440000000002</v>
      </c>
      <c r="F5562">
        <v>3.49</v>
      </c>
      <c r="G5562" t="s">
        <v>12</v>
      </c>
      <c r="I5562" t="s">
        <v>13</v>
      </c>
    </row>
    <row r="5563" spans="1:9" hidden="1" x14ac:dyDescent="0.25">
      <c r="A5563" t="s">
        <v>4677</v>
      </c>
      <c r="B5563" t="s">
        <v>42</v>
      </c>
      <c r="C5563" s="2">
        <f>HYPERLINK("https://cao.dolgi.msk.ru/account/1080029712/", 1080029712)</f>
        <v>1080029712</v>
      </c>
      <c r="D5563" t="s">
        <v>62</v>
      </c>
      <c r="E5563">
        <v>-71.98</v>
      </c>
      <c r="F5563">
        <v>-0.01</v>
      </c>
      <c r="G5563" t="s">
        <v>12</v>
      </c>
      <c r="I5563" t="s">
        <v>13</v>
      </c>
    </row>
    <row r="5564" spans="1:9" hidden="1" x14ac:dyDescent="0.25">
      <c r="A5564" t="s">
        <v>4677</v>
      </c>
      <c r="B5564" t="s">
        <v>44</v>
      </c>
      <c r="C5564" s="2">
        <f>HYPERLINK("https://cao.dolgi.msk.ru/account/1080029798/", 1080029798)</f>
        <v>1080029798</v>
      </c>
      <c r="D5564" t="s">
        <v>4690</v>
      </c>
      <c r="E5564">
        <v>-8298.43</v>
      </c>
      <c r="F5564">
        <v>-1.02</v>
      </c>
      <c r="G5564" t="s">
        <v>12</v>
      </c>
      <c r="I5564" t="s">
        <v>13</v>
      </c>
    </row>
    <row r="5565" spans="1:9" hidden="1" x14ac:dyDescent="0.25">
      <c r="A5565" t="s">
        <v>4677</v>
      </c>
      <c r="B5565" t="s">
        <v>66</v>
      </c>
      <c r="C5565" s="2">
        <f>HYPERLINK("https://cao.dolgi.msk.ru/account/1080029755/", 1080029755)</f>
        <v>1080029755</v>
      </c>
      <c r="D5565" t="s">
        <v>62</v>
      </c>
      <c r="E5565">
        <v>-14029.07</v>
      </c>
      <c r="F5565">
        <v>-1</v>
      </c>
      <c r="G5565" t="s">
        <v>12</v>
      </c>
      <c r="I5565" t="s">
        <v>13</v>
      </c>
    </row>
    <row r="5566" spans="1:9" hidden="1" x14ac:dyDescent="0.25">
      <c r="A5566" t="s">
        <v>4677</v>
      </c>
      <c r="B5566" t="s">
        <v>68</v>
      </c>
      <c r="C5566" s="2">
        <f>HYPERLINK("https://cao.dolgi.msk.ru/account/1080029763/", 1080029763)</f>
        <v>1080029763</v>
      </c>
      <c r="D5566" t="s">
        <v>62</v>
      </c>
      <c r="E5566">
        <v>-2689.25</v>
      </c>
      <c r="G5566" t="s">
        <v>12</v>
      </c>
      <c r="I5566" t="s">
        <v>13</v>
      </c>
    </row>
    <row r="5567" spans="1:9" hidden="1" x14ac:dyDescent="0.25">
      <c r="A5567" t="s">
        <v>4677</v>
      </c>
      <c r="B5567" t="s">
        <v>70</v>
      </c>
      <c r="C5567" s="2">
        <f>HYPERLINK("https://cao.dolgi.msk.ru/account/1080029747/", 1080029747)</f>
        <v>1080029747</v>
      </c>
      <c r="D5567" t="s">
        <v>15</v>
      </c>
      <c r="E5567">
        <v>-5781.38</v>
      </c>
      <c r="F5567">
        <v>-1.01</v>
      </c>
      <c r="G5567" t="s">
        <v>12</v>
      </c>
      <c r="I5567" t="s">
        <v>13</v>
      </c>
    </row>
    <row r="5568" spans="1:9" hidden="1" x14ac:dyDescent="0.25">
      <c r="A5568" t="s">
        <v>4677</v>
      </c>
      <c r="B5568" t="s">
        <v>72</v>
      </c>
      <c r="C5568" s="2">
        <f>HYPERLINK("https://cao.dolgi.msk.ru/account/1080029819/", 1080029819)</f>
        <v>1080029819</v>
      </c>
      <c r="D5568" t="s">
        <v>62</v>
      </c>
      <c r="E5568">
        <v>-8530.9</v>
      </c>
      <c r="F5568">
        <v>-1</v>
      </c>
      <c r="G5568" t="s">
        <v>12</v>
      </c>
      <c r="I5568" t="s">
        <v>13</v>
      </c>
    </row>
    <row r="5569" spans="1:9" hidden="1" x14ac:dyDescent="0.25">
      <c r="A5569" t="s">
        <v>4677</v>
      </c>
      <c r="B5569" t="s">
        <v>74</v>
      </c>
      <c r="C5569" s="2">
        <f>HYPERLINK("https://cao.dolgi.msk.ru/account/1080029827/", 1080029827)</f>
        <v>1080029827</v>
      </c>
      <c r="D5569" t="s">
        <v>4691</v>
      </c>
      <c r="E5569">
        <v>-17712.02</v>
      </c>
      <c r="F5569">
        <v>-0.99</v>
      </c>
      <c r="G5569" t="s">
        <v>12</v>
      </c>
      <c r="I5569" t="s">
        <v>13</v>
      </c>
    </row>
    <row r="5570" spans="1:9" hidden="1" x14ac:dyDescent="0.25">
      <c r="A5570" t="s">
        <v>4677</v>
      </c>
      <c r="B5570" t="s">
        <v>76</v>
      </c>
      <c r="C5570" s="2">
        <f>HYPERLINK("https://cao.dolgi.msk.ru/account/1080029835/", 1080029835)</f>
        <v>1080029835</v>
      </c>
      <c r="D5570" t="s">
        <v>15</v>
      </c>
      <c r="G5570" t="s">
        <v>14</v>
      </c>
      <c r="I5570" t="s">
        <v>13</v>
      </c>
    </row>
    <row r="5571" spans="1:9" hidden="1" x14ac:dyDescent="0.25">
      <c r="A5571" t="s">
        <v>4677</v>
      </c>
      <c r="B5571" t="s">
        <v>78</v>
      </c>
      <c r="C5571" s="2">
        <f>HYPERLINK("https://cao.dolgi.msk.ru/account/1080029843/", 1080029843)</f>
        <v>1080029843</v>
      </c>
      <c r="D5571" t="s">
        <v>62</v>
      </c>
      <c r="E5571">
        <v>-11838.73</v>
      </c>
      <c r="F5571">
        <v>-0.99</v>
      </c>
      <c r="G5571" t="s">
        <v>12</v>
      </c>
      <c r="I5571" t="s">
        <v>13</v>
      </c>
    </row>
    <row r="5572" spans="1:9" hidden="1" x14ac:dyDescent="0.25">
      <c r="A5572" t="s">
        <v>4677</v>
      </c>
      <c r="B5572" t="s">
        <v>80</v>
      </c>
      <c r="C5572" s="2">
        <f>HYPERLINK("https://cao.dolgi.msk.ru/account/1080029851/", 1080029851)</f>
        <v>1080029851</v>
      </c>
      <c r="D5572" t="s">
        <v>62</v>
      </c>
      <c r="E5572">
        <v>-6146.28</v>
      </c>
      <c r="F5572">
        <v>-0.99</v>
      </c>
      <c r="G5572" t="s">
        <v>12</v>
      </c>
      <c r="I5572" t="s">
        <v>13</v>
      </c>
    </row>
    <row r="5573" spans="1:9" x14ac:dyDescent="0.25">
      <c r="A5573" t="s">
        <v>4677</v>
      </c>
      <c r="B5573" t="s">
        <v>82</v>
      </c>
      <c r="C5573" s="2">
        <f>HYPERLINK("https://cao.dolgi.msk.ru/account/1080029878/", 1080029878)</f>
        <v>1080029878</v>
      </c>
      <c r="D5573" t="s">
        <v>15</v>
      </c>
      <c r="E5573">
        <v>325945.62</v>
      </c>
      <c r="F5573">
        <v>40.36</v>
      </c>
      <c r="G5573" t="s">
        <v>12</v>
      </c>
      <c r="I5573" t="s">
        <v>13</v>
      </c>
    </row>
    <row r="5574" spans="1:9" x14ac:dyDescent="0.25">
      <c r="A5574" t="s">
        <v>4677</v>
      </c>
      <c r="B5574" t="s">
        <v>84</v>
      </c>
      <c r="C5574" s="2">
        <f>HYPERLINK("https://cao.dolgi.msk.ru/account/1080029886/", 1080029886)</f>
        <v>1080029886</v>
      </c>
      <c r="D5574" t="s">
        <v>15</v>
      </c>
      <c r="E5574">
        <v>326803.48</v>
      </c>
      <c r="F5574">
        <v>40.42</v>
      </c>
      <c r="G5574" t="s">
        <v>12</v>
      </c>
      <c r="I5574" t="s">
        <v>13</v>
      </c>
    </row>
    <row r="5575" spans="1:9" x14ac:dyDescent="0.25">
      <c r="A5575" t="s">
        <v>4677</v>
      </c>
      <c r="B5575" t="s">
        <v>86</v>
      </c>
      <c r="C5575" s="2">
        <f>HYPERLINK("https://cao.dolgi.msk.ru/account/1080029894/", 1080029894)</f>
        <v>1080029894</v>
      </c>
      <c r="D5575" t="s">
        <v>62</v>
      </c>
      <c r="E5575">
        <v>259675.51</v>
      </c>
      <c r="F5575">
        <v>41.7</v>
      </c>
      <c r="G5575" t="s">
        <v>12</v>
      </c>
      <c r="I5575" t="s">
        <v>13</v>
      </c>
    </row>
    <row r="5576" spans="1:9" hidden="1" x14ac:dyDescent="0.25">
      <c r="A5576" t="s">
        <v>4677</v>
      </c>
      <c r="B5576" t="s">
        <v>88</v>
      </c>
      <c r="C5576" s="2">
        <f>HYPERLINK("https://cao.dolgi.msk.ru/account/1080029907/", 1080029907)</f>
        <v>1080029907</v>
      </c>
      <c r="D5576" t="s">
        <v>62</v>
      </c>
      <c r="E5576">
        <v>-61.88</v>
      </c>
      <c r="F5576">
        <v>-0.01</v>
      </c>
      <c r="G5576" t="s">
        <v>12</v>
      </c>
      <c r="I5576" t="s">
        <v>13</v>
      </c>
    </row>
    <row r="5577" spans="1:9" hidden="1" x14ac:dyDescent="0.25">
      <c r="A5577" t="s">
        <v>4692</v>
      </c>
      <c r="B5577" t="s">
        <v>571</v>
      </c>
      <c r="C5577" s="2">
        <f>HYPERLINK("https://cao.dolgi.msk.ru/account/1080028445/", 1080028445)</f>
        <v>1080028445</v>
      </c>
      <c r="D5577" t="s">
        <v>4693</v>
      </c>
      <c r="E5577">
        <v>-5.13</v>
      </c>
      <c r="F5577">
        <v>0</v>
      </c>
      <c r="G5577" t="s">
        <v>12</v>
      </c>
      <c r="I5577" t="s">
        <v>13</v>
      </c>
    </row>
    <row r="5578" spans="1:9" hidden="1" x14ac:dyDescent="0.25">
      <c r="A5578" t="s">
        <v>4692</v>
      </c>
      <c r="B5578" t="s">
        <v>682</v>
      </c>
      <c r="C5578" s="2">
        <f>HYPERLINK("https://cao.dolgi.msk.ru/account/1080028453/", 1080028453)</f>
        <v>1080028453</v>
      </c>
      <c r="D5578" t="s">
        <v>4694</v>
      </c>
      <c r="E5578">
        <v>-6422.1</v>
      </c>
      <c r="F5578">
        <v>-1.03</v>
      </c>
      <c r="G5578" t="s">
        <v>12</v>
      </c>
      <c r="I5578" t="s">
        <v>13</v>
      </c>
    </row>
    <row r="5579" spans="1:9" hidden="1" x14ac:dyDescent="0.25">
      <c r="A5579" t="s">
        <v>4692</v>
      </c>
      <c r="B5579" t="s">
        <v>578</v>
      </c>
      <c r="C5579" s="2">
        <f>HYPERLINK("https://cao.dolgi.msk.ru/account/1080028461/", 1080028461)</f>
        <v>1080028461</v>
      </c>
      <c r="D5579" t="s">
        <v>4695</v>
      </c>
      <c r="E5579">
        <v>-3643.28</v>
      </c>
      <c r="F5579">
        <v>-1.01</v>
      </c>
      <c r="G5579" t="s">
        <v>12</v>
      </c>
      <c r="I5579" t="s">
        <v>13</v>
      </c>
    </row>
    <row r="5580" spans="1:9" hidden="1" x14ac:dyDescent="0.25">
      <c r="A5580" t="s">
        <v>4692</v>
      </c>
      <c r="B5580" t="s">
        <v>580</v>
      </c>
      <c r="C5580" s="2">
        <f>HYPERLINK("https://cao.dolgi.msk.ru/account/1080028488/", 1080028488)</f>
        <v>1080028488</v>
      </c>
      <c r="D5580" t="s">
        <v>4696</v>
      </c>
      <c r="E5580">
        <v>-11673.01</v>
      </c>
      <c r="F5580">
        <v>-1.19</v>
      </c>
      <c r="G5580" t="s">
        <v>12</v>
      </c>
      <c r="I5580" t="s">
        <v>13</v>
      </c>
    </row>
    <row r="5581" spans="1:9" hidden="1" x14ac:dyDescent="0.25">
      <c r="A5581" t="s">
        <v>4692</v>
      </c>
      <c r="B5581" t="s">
        <v>686</v>
      </c>
      <c r="C5581" s="2">
        <f>HYPERLINK("https://cao.dolgi.msk.ru/account/1080028496/", 1080028496)</f>
        <v>1080028496</v>
      </c>
      <c r="D5581" t="s">
        <v>4697</v>
      </c>
      <c r="E5581">
        <v>2006.68</v>
      </c>
      <c r="F5581">
        <v>0.35</v>
      </c>
      <c r="G5581" t="s">
        <v>12</v>
      </c>
      <c r="I5581" t="s">
        <v>13</v>
      </c>
    </row>
    <row r="5582" spans="1:9" hidden="1" x14ac:dyDescent="0.25">
      <c r="A5582" t="s">
        <v>4692</v>
      </c>
      <c r="B5582" t="s">
        <v>582</v>
      </c>
      <c r="C5582" s="2">
        <f>HYPERLINK("https://cao.dolgi.msk.ru/account/1080028525/", 1080028525)</f>
        <v>1080028525</v>
      </c>
      <c r="D5582" t="s">
        <v>4698</v>
      </c>
      <c r="E5582">
        <v>-9513.43</v>
      </c>
      <c r="F5582">
        <v>-1.02</v>
      </c>
      <c r="G5582" t="s">
        <v>12</v>
      </c>
      <c r="I5582" t="s">
        <v>13</v>
      </c>
    </row>
    <row r="5583" spans="1:9" hidden="1" x14ac:dyDescent="0.25">
      <c r="A5583" t="s">
        <v>4692</v>
      </c>
      <c r="B5583" t="s">
        <v>584</v>
      </c>
      <c r="C5583" s="2">
        <f>HYPERLINK("https://cao.dolgi.msk.ru/account/1080028541/", 1080028541)</f>
        <v>1080028541</v>
      </c>
      <c r="D5583" t="s">
        <v>4699</v>
      </c>
      <c r="E5583">
        <v>0</v>
      </c>
      <c r="G5583" t="s">
        <v>14</v>
      </c>
      <c r="H5583" t="s">
        <v>7</v>
      </c>
      <c r="I5583" t="s">
        <v>13</v>
      </c>
    </row>
    <row r="5584" spans="1:9" hidden="1" x14ac:dyDescent="0.25">
      <c r="A5584" t="s">
        <v>4692</v>
      </c>
      <c r="B5584" t="s">
        <v>584</v>
      </c>
      <c r="C5584" s="2">
        <f>HYPERLINK("https://cao.dolgi.msk.ru/account/1080028568/", 1080028568)</f>
        <v>1080028568</v>
      </c>
      <c r="D5584" t="s">
        <v>4700</v>
      </c>
      <c r="E5584">
        <v>-2883.4</v>
      </c>
      <c r="F5584">
        <v>-1.04</v>
      </c>
      <c r="G5584" t="s">
        <v>12</v>
      </c>
      <c r="H5584" t="s">
        <v>7</v>
      </c>
      <c r="I5584" t="s">
        <v>13</v>
      </c>
    </row>
    <row r="5585" spans="1:9" hidden="1" x14ac:dyDescent="0.25">
      <c r="A5585" t="s">
        <v>4692</v>
      </c>
      <c r="B5585" t="s">
        <v>584</v>
      </c>
      <c r="C5585" s="2">
        <f>HYPERLINK("https://cao.dolgi.msk.ru/account/1083270827/", 1083270827)</f>
        <v>1083270827</v>
      </c>
      <c r="D5585" t="s">
        <v>4700</v>
      </c>
      <c r="E5585">
        <v>-3460.03</v>
      </c>
      <c r="F5585">
        <v>-1.02</v>
      </c>
      <c r="G5585" t="s">
        <v>12</v>
      </c>
      <c r="H5585" t="s">
        <v>7</v>
      </c>
      <c r="I5585" t="s">
        <v>13</v>
      </c>
    </row>
    <row r="5586" spans="1:9" hidden="1" x14ac:dyDescent="0.25">
      <c r="A5586" t="s">
        <v>4692</v>
      </c>
      <c r="B5586" t="s">
        <v>586</v>
      </c>
      <c r="C5586" s="2">
        <f>HYPERLINK("https://cao.dolgi.msk.ru/account/1080028576/", 1080028576)</f>
        <v>1080028576</v>
      </c>
      <c r="D5586" t="s">
        <v>4701</v>
      </c>
      <c r="E5586">
        <v>-2879.2</v>
      </c>
      <c r="F5586">
        <v>-0.86</v>
      </c>
      <c r="G5586" t="s">
        <v>12</v>
      </c>
      <c r="H5586" t="s">
        <v>7</v>
      </c>
      <c r="I5586" t="s">
        <v>13</v>
      </c>
    </row>
    <row r="5587" spans="1:9" hidden="1" x14ac:dyDescent="0.25">
      <c r="A5587" t="s">
        <v>4692</v>
      </c>
      <c r="B5587" t="s">
        <v>586</v>
      </c>
      <c r="C5587" s="2">
        <f>HYPERLINK("https://cao.dolgi.msk.ru/account/1080028584/", 1080028584)</f>
        <v>1080028584</v>
      </c>
      <c r="D5587" t="s">
        <v>4701</v>
      </c>
      <c r="E5587">
        <v>-2133.1799999999998</v>
      </c>
      <c r="F5587">
        <v>-1.03</v>
      </c>
      <c r="G5587" t="s">
        <v>12</v>
      </c>
      <c r="H5587" t="s">
        <v>7</v>
      </c>
      <c r="I5587" t="s">
        <v>13</v>
      </c>
    </row>
    <row r="5588" spans="1:9" hidden="1" x14ac:dyDescent="0.25">
      <c r="A5588" t="s">
        <v>4692</v>
      </c>
      <c r="B5588" t="s">
        <v>586</v>
      </c>
      <c r="C5588" s="2">
        <f>HYPERLINK("https://cao.dolgi.msk.ru/account/1080028592/", 1080028592)</f>
        <v>1080028592</v>
      </c>
      <c r="D5588" t="s">
        <v>4701</v>
      </c>
      <c r="E5588">
        <v>-2303.0100000000002</v>
      </c>
      <c r="F5588">
        <v>-1.1000000000000001</v>
      </c>
      <c r="G5588" t="s">
        <v>12</v>
      </c>
      <c r="H5588" t="s">
        <v>7</v>
      </c>
      <c r="I5588" t="s">
        <v>13</v>
      </c>
    </row>
    <row r="5589" spans="1:9" hidden="1" x14ac:dyDescent="0.25">
      <c r="A5589" t="s">
        <v>4692</v>
      </c>
      <c r="B5589" t="s">
        <v>588</v>
      </c>
      <c r="C5589" s="2">
        <f>HYPERLINK("https://cao.dolgi.msk.ru/account/1080028613/", 1080028613)</f>
        <v>1080028613</v>
      </c>
      <c r="D5589" t="s">
        <v>4702</v>
      </c>
      <c r="E5589">
        <v>-4792.57</v>
      </c>
      <c r="F5589">
        <v>-0.99</v>
      </c>
      <c r="G5589" t="s">
        <v>12</v>
      </c>
      <c r="I5589" t="s">
        <v>13</v>
      </c>
    </row>
    <row r="5590" spans="1:9" hidden="1" x14ac:dyDescent="0.25">
      <c r="A5590" t="s">
        <v>4692</v>
      </c>
      <c r="B5590" t="s">
        <v>590</v>
      </c>
      <c r="C5590" s="2">
        <f>HYPERLINK("https://cao.dolgi.msk.ru/account/1080028621/", 1080028621)</f>
        <v>1080028621</v>
      </c>
      <c r="D5590" t="s">
        <v>4703</v>
      </c>
      <c r="E5590">
        <v>-4669.9799999999996</v>
      </c>
      <c r="F5590">
        <v>-1</v>
      </c>
      <c r="G5590" t="s">
        <v>12</v>
      </c>
      <c r="H5590" t="s">
        <v>7</v>
      </c>
      <c r="I5590" t="s">
        <v>13</v>
      </c>
    </row>
    <row r="5591" spans="1:9" hidden="1" x14ac:dyDescent="0.25">
      <c r="A5591" t="s">
        <v>4692</v>
      </c>
      <c r="B5591" t="s">
        <v>590</v>
      </c>
      <c r="C5591" s="2">
        <f>HYPERLINK("https://cao.dolgi.msk.ru/account/1080028648/", 1080028648)</f>
        <v>1080028648</v>
      </c>
      <c r="D5591" t="s">
        <v>4704</v>
      </c>
      <c r="E5591">
        <v>-6138.65</v>
      </c>
      <c r="F5591">
        <v>-1.01</v>
      </c>
      <c r="G5591" t="s">
        <v>12</v>
      </c>
      <c r="H5591" t="s">
        <v>7</v>
      </c>
      <c r="I5591" t="s">
        <v>13</v>
      </c>
    </row>
    <row r="5592" spans="1:9" x14ac:dyDescent="0.25">
      <c r="A5592" t="s">
        <v>4692</v>
      </c>
      <c r="B5592" t="s">
        <v>590</v>
      </c>
      <c r="C5592" s="2">
        <f>HYPERLINK("https://cao.dolgi.msk.ru/account/1083392146/", 1083392146)</f>
        <v>1083392146</v>
      </c>
      <c r="D5592" t="s">
        <v>189</v>
      </c>
      <c r="E5592">
        <v>2542.11</v>
      </c>
      <c r="F5592">
        <v>3</v>
      </c>
      <c r="G5592" t="s">
        <v>12</v>
      </c>
      <c r="H5592" t="s">
        <v>7</v>
      </c>
      <c r="I5592" t="s">
        <v>13</v>
      </c>
    </row>
    <row r="5593" spans="1:9" hidden="1" x14ac:dyDescent="0.25">
      <c r="A5593" t="s">
        <v>4692</v>
      </c>
      <c r="B5593" t="s">
        <v>693</v>
      </c>
      <c r="C5593" s="2">
        <f>HYPERLINK("https://cao.dolgi.msk.ru/account/1080028656/", 1080028656)</f>
        <v>1080028656</v>
      </c>
      <c r="D5593" t="s">
        <v>4705</v>
      </c>
      <c r="E5593">
        <v>1525.09</v>
      </c>
      <c r="G5593" t="s">
        <v>14</v>
      </c>
      <c r="I5593" t="s">
        <v>13</v>
      </c>
    </row>
    <row r="5594" spans="1:9" hidden="1" x14ac:dyDescent="0.25">
      <c r="A5594" t="s">
        <v>4692</v>
      </c>
      <c r="B5594" t="s">
        <v>694</v>
      </c>
      <c r="C5594" s="2">
        <f>HYPERLINK("https://cao.dolgi.msk.ru/account/1080028664/", 1080028664)</f>
        <v>1080028664</v>
      </c>
      <c r="D5594" t="s">
        <v>4706</v>
      </c>
      <c r="E5594">
        <v>-2657.82</v>
      </c>
      <c r="F5594">
        <v>-0.74</v>
      </c>
      <c r="G5594" t="s">
        <v>12</v>
      </c>
      <c r="H5594" t="s">
        <v>7</v>
      </c>
      <c r="I5594" t="s">
        <v>13</v>
      </c>
    </row>
    <row r="5595" spans="1:9" x14ac:dyDescent="0.25">
      <c r="A5595" t="s">
        <v>4692</v>
      </c>
      <c r="B5595" t="s">
        <v>694</v>
      </c>
      <c r="C5595" s="2">
        <f>HYPERLINK("https://cao.dolgi.msk.ru/account/1080028672/", 1080028672)</f>
        <v>1080028672</v>
      </c>
      <c r="D5595" t="s">
        <v>4706</v>
      </c>
      <c r="E5595">
        <v>7949.7</v>
      </c>
      <c r="F5595">
        <v>3.89</v>
      </c>
      <c r="G5595" t="s">
        <v>12</v>
      </c>
      <c r="H5595" t="s">
        <v>7</v>
      </c>
      <c r="I5595" t="s">
        <v>13</v>
      </c>
    </row>
    <row r="5596" spans="1:9" hidden="1" x14ac:dyDescent="0.25">
      <c r="A5596" t="s">
        <v>4692</v>
      </c>
      <c r="B5596" t="s">
        <v>696</v>
      </c>
      <c r="C5596" s="2">
        <f>HYPERLINK("https://cao.dolgi.msk.ru/account/1080028699/", 1080028699)</f>
        <v>1080028699</v>
      </c>
      <c r="D5596" t="s">
        <v>4707</v>
      </c>
      <c r="E5596">
        <v>-16.95</v>
      </c>
      <c r="F5596">
        <v>0</v>
      </c>
      <c r="G5596" t="s">
        <v>12</v>
      </c>
      <c r="I5596" t="s">
        <v>13</v>
      </c>
    </row>
    <row r="5597" spans="1:9" hidden="1" x14ac:dyDescent="0.25">
      <c r="A5597" t="s">
        <v>4692</v>
      </c>
      <c r="B5597" t="s">
        <v>698</v>
      </c>
      <c r="C5597" s="2">
        <f>HYPERLINK("https://cao.dolgi.msk.ru/account/1080028701/", 1080028701)</f>
        <v>1080028701</v>
      </c>
      <c r="D5597" t="s">
        <v>4708</v>
      </c>
      <c r="E5597">
        <v>-7331.14</v>
      </c>
      <c r="F5597">
        <v>-0.99</v>
      </c>
      <c r="G5597" t="s">
        <v>12</v>
      </c>
      <c r="I5597" t="s">
        <v>13</v>
      </c>
    </row>
    <row r="5598" spans="1:9" hidden="1" x14ac:dyDescent="0.25">
      <c r="A5598" t="s">
        <v>4692</v>
      </c>
      <c r="B5598" t="s">
        <v>700</v>
      </c>
      <c r="C5598" s="2">
        <f>HYPERLINK("https://cao.dolgi.msk.ru/account/1080028728/", 1080028728)</f>
        <v>1080028728</v>
      </c>
      <c r="D5598" t="s">
        <v>4709</v>
      </c>
      <c r="E5598">
        <v>-5015.7299999999996</v>
      </c>
      <c r="F5598">
        <v>-0.87</v>
      </c>
      <c r="G5598" t="s">
        <v>12</v>
      </c>
      <c r="I5598" t="s">
        <v>13</v>
      </c>
    </row>
    <row r="5599" spans="1:9" hidden="1" x14ac:dyDescent="0.25">
      <c r="A5599" t="s">
        <v>4692</v>
      </c>
      <c r="B5599" t="s">
        <v>702</v>
      </c>
      <c r="C5599" s="2">
        <f>HYPERLINK("https://cao.dolgi.msk.ru/account/1080028736/", 1080028736)</f>
        <v>1080028736</v>
      </c>
      <c r="D5599" t="s">
        <v>4710</v>
      </c>
      <c r="E5599">
        <v>-181.83</v>
      </c>
      <c r="F5599">
        <v>-0.03</v>
      </c>
      <c r="G5599" t="s">
        <v>12</v>
      </c>
      <c r="I5599" t="s">
        <v>13</v>
      </c>
    </row>
    <row r="5600" spans="1:9" hidden="1" x14ac:dyDescent="0.25">
      <c r="A5600" t="s">
        <v>4692</v>
      </c>
      <c r="B5600" t="s">
        <v>703</v>
      </c>
      <c r="C5600" s="2">
        <f>HYPERLINK("https://cao.dolgi.msk.ru/account/1080028744/", 1080028744)</f>
        <v>1080028744</v>
      </c>
      <c r="D5600" t="s">
        <v>4711</v>
      </c>
      <c r="E5600">
        <v>-8229.94</v>
      </c>
      <c r="F5600">
        <v>-1.75</v>
      </c>
      <c r="G5600" t="s">
        <v>12</v>
      </c>
      <c r="I5600" t="s">
        <v>13</v>
      </c>
    </row>
    <row r="5601" spans="1:9" hidden="1" x14ac:dyDescent="0.25">
      <c r="A5601" t="s">
        <v>4692</v>
      </c>
      <c r="B5601" t="s">
        <v>705</v>
      </c>
      <c r="C5601" s="2">
        <f>HYPERLINK("https://cao.dolgi.msk.ru/account/1080028752/", 1080028752)</f>
        <v>1080028752</v>
      </c>
      <c r="D5601" t="s">
        <v>4712</v>
      </c>
      <c r="E5601">
        <v>-5762.97</v>
      </c>
      <c r="F5601">
        <v>-1.01</v>
      </c>
      <c r="G5601" t="s">
        <v>12</v>
      </c>
      <c r="I5601" t="s">
        <v>13</v>
      </c>
    </row>
    <row r="5602" spans="1:9" hidden="1" x14ac:dyDescent="0.25">
      <c r="A5602" t="s">
        <v>4692</v>
      </c>
      <c r="B5602" t="s">
        <v>707</v>
      </c>
      <c r="C5602" s="2">
        <f>HYPERLINK("https://cao.dolgi.msk.ru/account/1080028779/", 1080028779)</f>
        <v>1080028779</v>
      </c>
      <c r="D5602" t="s">
        <v>4713</v>
      </c>
      <c r="E5602">
        <v>-5693.04</v>
      </c>
      <c r="F5602">
        <v>-1.03</v>
      </c>
      <c r="G5602" t="s">
        <v>12</v>
      </c>
      <c r="I5602" t="s">
        <v>13</v>
      </c>
    </row>
    <row r="5603" spans="1:9" hidden="1" x14ac:dyDescent="0.25">
      <c r="A5603" t="s">
        <v>4692</v>
      </c>
      <c r="B5603" t="s">
        <v>709</v>
      </c>
      <c r="C5603" s="2">
        <f>HYPERLINK("https://cao.dolgi.msk.ru/account/1080028787/", 1080028787)</f>
        <v>1080028787</v>
      </c>
      <c r="D5603" t="s">
        <v>4714</v>
      </c>
      <c r="E5603">
        <v>0</v>
      </c>
      <c r="F5603">
        <v>0</v>
      </c>
      <c r="G5603" t="s">
        <v>12</v>
      </c>
      <c r="I5603" t="s">
        <v>13</v>
      </c>
    </row>
    <row r="5604" spans="1:9" hidden="1" x14ac:dyDescent="0.25">
      <c r="A5604" t="s">
        <v>4692</v>
      </c>
      <c r="B5604" t="s">
        <v>711</v>
      </c>
      <c r="C5604" s="2">
        <f>HYPERLINK("https://cao.dolgi.msk.ru/account/1080028795/", 1080028795)</f>
        <v>1080028795</v>
      </c>
      <c r="D5604" t="s">
        <v>15</v>
      </c>
      <c r="E5604">
        <v>0</v>
      </c>
      <c r="G5604" t="s">
        <v>14</v>
      </c>
      <c r="I5604" t="s">
        <v>13</v>
      </c>
    </row>
    <row r="5605" spans="1:9" hidden="1" x14ac:dyDescent="0.25">
      <c r="A5605" t="s">
        <v>4692</v>
      </c>
      <c r="B5605" t="s">
        <v>713</v>
      </c>
      <c r="C5605" s="2">
        <f>HYPERLINK("https://cao.dolgi.msk.ru/account/1080028808/", 1080028808)</f>
        <v>1080028808</v>
      </c>
      <c r="D5605" t="s">
        <v>4715</v>
      </c>
      <c r="E5605">
        <v>-3902.54</v>
      </c>
      <c r="F5605">
        <v>-1.1599999999999999</v>
      </c>
      <c r="G5605" t="s">
        <v>12</v>
      </c>
      <c r="H5605" t="s">
        <v>7</v>
      </c>
      <c r="I5605" t="s">
        <v>13</v>
      </c>
    </row>
    <row r="5606" spans="1:9" x14ac:dyDescent="0.25">
      <c r="A5606" t="s">
        <v>4692</v>
      </c>
      <c r="B5606" t="s">
        <v>713</v>
      </c>
      <c r="C5606" s="2">
        <f>HYPERLINK("https://cao.dolgi.msk.ru/account/1080028816/", 1080028816)</f>
        <v>1080028816</v>
      </c>
      <c r="D5606" t="s">
        <v>4715</v>
      </c>
      <c r="E5606">
        <v>5572.37</v>
      </c>
      <c r="F5606">
        <v>3.17</v>
      </c>
      <c r="G5606" t="s">
        <v>12</v>
      </c>
      <c r="H5606" t="s">
        <v>7</v>
      </c>
      <c r="I5606" t="s">
        <v>13</v>
      </c>
    </row>
    <row r="5607" spans="1:9" hidden="1" x14ac:dyDescent="0.25">
      <c r="A5607" t="s">
        <v>4692</v>
      </c>
      <c r="B5607" t="s">
        <v>528</v>
      </c>
      <c r="C5607" s="2">
        <f>HYPERLINK("https://cao.dolgi.msk.ru/account/1080028824/", 1080028824)</f>
        <v>1080028824</v>
      </c>
      <c r="D5607" t="s">
        <v>4716</v>
      </c>
      <c r="E5607">
        <v>-6453.72</v>
      </c>
      <c r="F5607">
        <v>-1.0900000000000001</v>
      </c>
      <c r="G5607" t="s">
        <v>12</v>
      </c>
      <c r="I5607" t="s">
        <v>13</v>
      </c>
    </row>
    <row r="5608" spans="1:9" hidden="1" x14ac:dyDescent="0.25">
      <c r="A5608" t="s">
        <v>4692</v>
      </c>
      <c r="B5608" t="s">
        <v>530</v>
      </c>
      <c r="C5608" s="2">
        <f>HYPERLINK("https://cao.dolgi.msk.ru/account/1080028832/", 1080028832)</f>
        <v>1080028832</v>
      </c>
      <c r="D5608" t="s">
        <v>4717</v>
      </c>
      <c r="E5608">
        <v>-2460.14</v>
      </c>
      <c r="F5608">
        <v>-0.83</v>
      </c>
      <c r="G5608" t="s">
        <v>12</v>
      </c>
      <c r="H5608" t="s">
        <v>7</v>
      </c>
      <c r="I5608" t="s">
        <v>13</v>
      </c>
    </row>
    <row r="5609" spans="1:9" hidden="1" x14ac:dyDescent="0.25">
      <c r="A5609" t="s">
        <v>4692</v>
      </c>
      <c r="B5609" t="s">
        <v>530</v>
      </c>
      <c r="C5609" s="2">
        <f>HYPERLINK("https://cao.dolgi.msk.ru/account/1080028859/", 1080028859)</f>
        <v>1080028859</v>
      </c>
      <c r="D5609" t="s">
        <v>4717</v>
      </c>
      <c r="E5609">
        <v>-3597.84</v>
      </c>
      <c r="F5609">
        <v>-0.88</v>
      </c>
      <c r="G5609" t="s">
        <v>12</v>
      </c>
      <c r="H5609" t="s">
        <v>7</v>
      </c>
      <c r="I5609" t="s">
        <v>13</v>
      </c>
    </row>
    <row r="5610" spans="1:9" hidden="1" x14ac:dyDescent="0.25">
      <c r="A5610" t="s">
        <v>4692</v>
      </c>
      <c r="B5610" t="s">
        <v>532</v>
      </c>
      <c r="C5610" s="2">
        <f>HYPERLINK("https://cao.dolgi.msk.ru/account/1080028867/", 1080028867)</f>
        <v>1080028867</v>
      </c>
      <c r="D5610" t="s">
        <v>4718</v>
      </c>
      <c r="E5610">
        <v>-3109.13</v>
      </c>
      <c r="F5610">
        <v>-1.04</v>
      </c>
      <c r="G5610" t="s">
        <v>12</v>
      </c>
      <c r="I5610" t="s">
        <v>13</v>
      </c>
    </row>
    <row r="5611" spans="1:9" hidden="1" x14ac:dyDescent="0.25">
      <c r="A5611" t="s">
        <v>4692</v>
      </c>
      <c r="B5611" t="s">
        <v>534</v>
      </c>
      <c r="C5611" s="2">
        <f>HYPERLINK("https://cao.dolgi.msk.ru/account/1080028875/", 1080028875)</f>
        <v>1080028875</v>
      </c>
      <c r="D5611" t="s">
        <v>4719</v>
      </c>
      <c r="E5611">
        <v>524.78</v>
      </c>
      <c r="G5611" t="s">
        <v>14</v>
      </c>
      <c r="I5611" t="s">
        <v>13</v>
      </c>
    </row>
    <row r="5612" spans="1:9" hidden="1" x14ac:dyDescent="0.25">
      <c r="A5612" t="s">
        <v>4692</v>
      </c>
      <c r="B5612" t="s">
        <v>534</v>
      </c>
      <c r="C5612" s="2">
        <f>HYPERLINK("https://cao.dolgi.msk.ru/account/1080028883/", 1080028883)</f>
        <v>1080028883</v>
      </c>
      <c r="D5612" t="s">
        <v>4720</v>
      </c>
      <c r="E5612">
        <v>-6026.52</v>
      </c>
      <c r="F5612">
        <v>-0.95</v>
      </c>
      <c r="G5612" t="s">
        <v>12</v>
      </c>
      <c r="I5612" t="s">
        <v>13</v>
      </c>
    </row>
    <row r="5613" spans="1:9" hidden="1" x14ac:dyDescent="0.25">
      <c r="A5613" t="s">
        <v>4692</v>
      </c>
      <c r="B5613" t="s">
        <v>536</v>
      </c>
      <c r="C5613" s="2">
        <f>HYPERLINK("https://cao.dolgi.msk.ru/account/1080028891/", 1080028891)</f>
        <v>1080028891</v>
      </c>
      <c r="D5613" t="s">
        <v>4721</v>
      </c>
      <c r="E5613">
        <v>0</v>
      </c>
      <c r="F5613">
        <v>0</v>
      </c>
      <c r="G5613" t="s">
        <v>12</v>
      </c>
      <c r="I5613" t="s">
        <v>13</v>
      </c>
    </row>
    <row r="5614" spans="1:9" hidden="1" x14ac:dyDescent="0.25">
      <c r="A5614" t="s">
        <v>4692</v>
      </c>
      <c r="B5614" t="s">
        <v>538</v>
      </c>
      <c r="C5614" s="2">
        <f>HYPERLINK("https://cao.dolgi.msk.ru/account/1080028904/", 1080028904)</f>
        <v>1080028904</v>
      </c>
      <c r="D5614" t="s">
        <v>4722</v>
      </c>
      <c r="E5614">
        <v>-6170.27</v>
      </c>
      <c r="F5614">
        <v>-1.03</v>
      </c>
      <c r="G5614" t="s">
        <v>12</v>
      </c>
      <c r="I5614" t="s">
        <v>13</v>
      </c>
    </row>
    <row r="5615" spans="1:9" hidden="1" x14ac:dyDescent="0.25">
      <c r="A5615" t="s">
        <v>4692</v>
      </c>
      <c r="B5615" t="s">
        <v>539</v>
      </c>
      <c r="C5615" s="2">
        <f>HYPERLINK("https://cao.dolgi.msk.ru/account/1080028912/", 1080028912)</f>
        <v>1080028912</v>
      </c>
      <c r="D5615" t="s">
        <v>4723</v>
      </c>
      <c r="E5615">
        <v>-5211.9799999999996</v>
      </c>
      <c r="F5615">
        <v>-0.99</v>
      </c>
      <c r="G5615" t="s">
        <v>12</v>
      </c>
      <c r="I5615" t="s">
        <v>13</v>
      </c>
    </row>
    <row r="5616" spans="1:9" hidden="1" x14ac:dyDescent="0.25">
      <c r="A5616" t="s">
        <v>4692</v>
      </c>
      <c r="B5616" t="s">
        <v>541</v>
      </c>
      <c r="C5616" s="2">
        <f>HYPERLINK("https://cao.dolgi.msk.ru/account/1080028939/", 1080028939)</f>
        <v>1080028939</v>
      </c>
      <c r="D5616" t="s">
        <v>4724</v>
      </c>
      <c r="E5616">
        <v>-80.53</v>
      </c>
      <c r="F5616">
        <v>-0.01</v>
      </c>
      <c r="G5616" t="s">
        <v>12</v>
      </c>
      <c r="I5616" t="s">
        <v>13</v>
      </c>
    </row>
    <row r="5617" spans="1:9" hidden="1" x14ac:dyDescent="0.25">
      <c r="A5617" t="s">
        <v>4725</v>
      </c>
      <c r="B5617" t="s">
        <v>10</v>
      </c>
      <c r="C5617" s="2">
        <f>HYPERLINK("https://cao.dolgi.msk.ru/account/1080047873/", 1080047873)</f>
        <v>1080047873</v>
      </c>
      <c r="D5617" t="s">
        <v>4726</v>
      </c>
      <c r="E5617">
        <v>-3253.85</v>
      </c>
      <c r="F5617">
        <v>-1.17</v>
      </c>
      <c r="G5617" t="s">
        <v>12</v>
      </c>
      <c r="I5617" t="s">
        <v>13</v>
      </c>
    </row>
    <row r="5618" spans="1:9" hidden="1" x14ac:dyDescent="0.25">
      <c r="A5618" t="s">
        <v>4725</v>
      </c>
      <c r="B5618" t="s">
        <v>16</v>
      </c>
      <c r="C5618" s="2">
        <f>HYPERLINK("https://cao.dolgi.msk.ru/account/1080047881/", 1080047881)</f>
        <v>1080047881</v>
      </c>
      <c r="D5618" t="s">
        <v>4727</v>
      </c>
      <c r="E5618">
        <v>-5077.3500000000004</v>
      </c>
      <c r="F5618">
        <v>-1.27</v>
      </c>
      <c r="G5618" t="s">
        <v>12</v>
      </c>
      <c r="I5618" t="s">
        <v>13</v>
      </c>
    </row>
    <row r="5619" spans="1:9" hidden="1" x14ac:dyDescent="0.25">
      <c r="A5619" t="s">
        <v>4725</v>
      </c>
      <c r="B5619" t="s">
        <v>18</v>
      </c>
      <c r="C5619" s="2">
        <f>HYPERLINK("https://cao.dolgi.msk.ru/account/1080047902/", 1080047902)</f>
        <v>1080047902</v>
      </c>
      <c r="D5619" t="s">
        <v>4728</v>
      </c>
      <c r="E5619">
        <v>-123.59</v>
      </c>
      <c r="F5619">
        <v>-0.04</v>
      </c>
      <c r="G5619" t="s">
        <v>12</v>
      </c>
      <c r="I5619" t="s">
        <v>13</v>
      </c>
    </row>
    <row r="5620" spans="1:9" hidden="1" x14ac:dyDescent="0.25">
      <c r="A5620" t="s">
        <v>4725</v>
      </c>
      <c r="B5620" t="s">
        <v>20</v>
      </c>
      <c r="C5620" s="2">
        <f>HYPERLINK("https://cao.dolgi.msk.ru/account/1080047929/", 1080047929)</f>
        <v>1080047929</v>
      </c>
      <c r="D5620" t="s">
        <v>4729</v>
      </c>
      <c r="E5620">
        <v>-6613.46</v>
      </c>
      <c r="F5620">
        <v>-1.0900000000000001</v>
      </c>
      <c r="G5620" t="s">
        <v>12</v>
      </c>
      <c r="I5620" t="s">
        <v>13</v>
      </c>
    </row>
    <row r="5621" spans="1:9" hidden="1" x14ac:dyDescent="0.25">
      <c r="A5621" t="s">
        <v>4725</v>
      </c>
      <c r="B5621" t="s">
        <v>21</v>
      </c>
      <c r="C5621" s="2">
        <f>HYPERLINK("https://cao.dolgi.msk.ru/account/1080047937/", 1080047937)</f>
        <v>1080047937</v>
      </c>
      <c r="D5621" t="s">
        <v>4730</v>
      </c>
      <c r="E5621">
        <v>-4334.5200000000004</v>
      </c>
      <c r="F5621">
        <v>-1.38</v>
      </c>
      <c r="G5621" t="s">
        <v>12</v>
      </c>
      <c r="I5621" t="s">
        <v>13</v>
      </c>
    </row>
    <row r="5622" spans="1:9" hidden="1" x14ac:dyDescent="0.25">
      <c r="A5622" t="s">
        <v>4725</v>
      </c>
      <c r="B5622" t="s">
        <v>22</v>
      </c>
      <c r="C5622" s="2">
        <f>HYPERLINK("https://cao.dolgi.msk.ru/account/1080047945/", 1080047945)</f>
        <v>1080047945</v>
      </c>
      <c r="D5622" t="s">
        <v>4731</v>
      </c>
      <c r="E5622">
        <v>-5066.9799999999996</v>
      </c>
      <c r="F5622">
        <v>-1.35</v>
      </c>
      <c r="G5622" t="s">
        <v>12</v>
      </c>
      <c r="I5622" t="s">
        <v>13</v>
      </c>
    </row>
    <row r="5623" spans="1:9" hidden="1" x14ac:dyDescent="0.25">
      <c r="A5623" t="s">
        <v>4725</v>
      </c>
      <c r="B5623" t="s">
        <v>23</v>
      </c>
      <c r="C5623" s="2">
        <f>HYPERLINK("https://cao.dolgi.msk.ru/account/1080045157/", 1080045157)</f>
        <v>1080045157</v>
      </c>
      <c r="D5623" t="s">
        <v>4732</v>
      </c>
      <c r="E5623">
        <v>-2638.8</v>
      </c>
      <c r="F5623">
        <v>-1.88</v>
      </c>
      <c r="G5623" t="s">
        <v>12</v>
      </c>
      <c r="I5623" t="s">
        <v>13</v>
      </c>
    </row>
    <row r="5624" spans="1:9" hidden="1" x14ac:dyDescent="0.25">
      <c r="A5624" t="s">
        <v>4725</v>
      </c>
      <c r="B5624" t="s">
        <v>23</v>
      </c>
      <c r="C5624" s="2">
        <f>HYPERLINK("https://cao.dolgi.msk.ru/account/1080047953/", 1080047953)</f>
        <v>1080047953</v>
      </c>
      <c r="D5624" t="s">
        <v>4732</v>
      </c>
      <c r="E5624">
        <v>-469.24</v>
      </c>
      <c r="F5624">
        <v>-0.17</v>
      </c>
      <c r="G5624" t="s">
        <v>12</v>
      </c>
      <c r="I5624" t="s">
        <v>13</v>
      </c>
    </row>
    <row r="5625" spans="1:9" hidden="1" x14ac:dyDescent="0.25">
      <c r="A5625" t="s">
        <v>4725</v>
      </c>
      <c r="B5625" t="s">
        <v>24</v>
      </c>
      <c r="C5625" s="2">
        <f>HYPERLINK("https://cao.dolgi.msk.ru/account/1080047961/", 1080047961)</f>
        <v>1080047961</v>
      </c>
      <c r="D5625" t="s">
        <v>4733</v>
      </c>
      <c r="E5625">
        <v>-1108.6500000000001</v>
      </c>
      <c r="F5625">
        <v>-0.62</v>
      </c>
      <c r="G5625" t="s">
        <v>12</v>
      </c>
      <c r="I5625" t="s">
        <v>13</v>
      </c>
    </row>
    <row r="5626" spans="1:9" hidden="1" x14ac:dyDescent="0.25">
      <c r="A5626" t="s">
        <v>4725</v>
      </c>
      <c r="B5626" t="s">
        <v>27</v>
      </c>
      <c r="C5626" s="2">
        <f>HYPERLINK("https://cao.dolgi.msk.ru/account/1080047988/", 1080047988)</f>
        <v>1080047988</v>
      </c>
      <c r="D5626" t="s">
        <v>4734</v>
      </c>
      <c r="E5626">
        <v>-4850.72</v>
      </c>
      <c r="F5626">
        <v>-1.1599999999999999</v>
      </c>
      <c r="G5626" t="s">
        <v>12</v>
      </c>
      <c r="I5626" t="s">
        <v>13</v>
      </c>
    </row>
    <row r="5627" spans="1:9" hidden="1" x14ac:dyDescent="0.25">
      <c r="A5627" t="s">
        <v>4725</v>
      </c>
      <c r="B5627" t="s">
        <v>29</v>
      </c>
      <c r="C5627" s="2">
        <f>HYPERLINK("https://cao.dolgi.msk.ru/account/1080047996/", 1080047996)</f>
        <v>1080047996</v>
      </c>
      <c r="D5627" t="s">
        <v>4735</v>
      </c>
      <c r="E5627">
        <v>-6946.33</v>
      </c>
      <c r="F5627">
        <v>-1.33</v>
      </c>
      <c r="G5627" t="s">
        <v>12</v>
      </c>
      <c r="I5627" t="s">
        <v>13</v>
      </c>
    </row>
    <row r="5628" spans="1:9" hidden="1" x14ac:dyDescent="0.25">
      <c r="A5628" t="s">
        <v>4725</v>
      </c>
      <c r="B5628" t="s">
        <v>31</v>
      </c>
      <c r="C5628" s="2">
        <f>HYPERLINK("https://cao.dolgi.msk.ru/account/1080048008/", 1080048008)</f>
        <v>1080048008</v>
      </c>
      <c r="D5628" t="s">
        <v>4736</v>
      </c>
      <c r="E5628">
        <v>66.86</v>
      </c>
      <c r="F5628">
        <v>0.02</v>
      </c>
      <c r="G5628" t="s">
        <v>12</v>
      </c>
      <c r="I5628" t="s">
        <v>13</v>
      </c>
    </row>
    <row r="5629" spans="1:9" hidden="1" x14ac:dyDescent="0.25">
      <c r="A5629" t="s">
        <v>4725</v>
      </c>
      <c r="B5629" t="s">
        <v>33</v>
      </c>
      <c r="C5629" s="2">
        <f>HYPERLINK("https://cao.dolgi.msk.ru/account/1080048016/", 1080048016)</f>
        <v>1080048016</v>
      </c>
      <c r="D5629" t="s">
        <v>4737</v>
      </c>
      <c r="E5629">
        <v>-3532.91</v>
      </c>
      <c r="F5629">
        <v>-1.22</v>
      </c>
      <c r="G5629" t="s">
        <v>12</v>
      </c>
      <c r="I5629" t="s">
        <v>13</v>
      </c>
    </row>
    <row r="5630" spans="1:9" hidden="1" x14ac:dyDescent="0.25">
      <c r="A5630" t="s">
        <v>4725</v>
      </c>
      <c r="B5630" t="s">
        <v>34</v>
      </c>
      <c r="C5630" s="2">
        <f>HYPERLINK("https://cao.dolgi.msk.ru/account/1080048024/", 1080048024)</f>
        <v>1080048024</v>
      </c>
      <c r="D5630" t="s">
        <v>4738</v>
      </c>
      <c r="E5630">
        <v>-4.68</v>
      </c>
      <c r="F5630">
        <v>0</v>
      </c>
      <c r="G5630" t="s">
        <v>12</v>
      </c>
      <c r="I5630" t="s">
        <v>13</v>
      </c>
    </row>
    <row r="5631" spans="1:9" hidden="1" x14ac:dyDescent="0.25">
      <c r="A5631" t="s">
        <v>4725</v>
      </c>
      <c r="B5631" t="s">
        <v>36</v>
      </c>
      <c r="C5631" s="2">
        <f>HYPERLINK("https://cao.dolgi.msk.ru/account/1080048032/", 1080048032)</f>
        <v>1080048032</v>
      </c>
      <c r="D5631" t="s">
        <v>15</v>
      </c>
      <c r="E5631">
        <v>-11731.05</v>
      </c>
      <c r="F5631">
        <v>-3.55</v>
      </c>
      <c r="G5631" t="s">
        <v>12</v>
      </c>
      <c r="I5631" t="s">
        <v>13</v>
      </c>
    </row>
    <row r="5632" spans="1:9" hidden="1" x14ac:dyDescent="0.25">
      <c r="A5632" t="s">
        <v>4725</v>
      </c>
      <c r="B5632" t="s">
        <v>38</v>
      </c>
      <c r="C5632" s="2">
        <f>HYPERLINK("https://cao.dolgi.msk.ru/account/1080048059/", 1080048059)</f>
        <v>1080048059</v>
      </c>
      <c r="D5632" t="s">
        <v>4739</v>
      </c>
      <c r="E5632">
        <v>-4667.45</v>
      </c>
      <c r="F5632">
        <v>-1.54</v>
      </c>
      <c r="G5632" t="s">
        <v>12</v>
      </c>
      <c r="I5632" t="s">
        <v>13</v>
      </c>
    </row>
    <row r="5633" spans="1:9" hidden="1" x14ac:dyDescent="0.25">
      <c r="A5633" t="s">
        <v>4725</v>
      </c>
      <c r="B5633" t="s">
        <v>39</v>
      </c>
      <c r="C5633" s="2">
        <f>HYPERLINK("https://cao.dolgi.msk.ru/account/1080048067/", 1080048067)</f>
        <v>1080048067</v>
      </c>
      <c r="D5633" t="s">
        <v>4740</v>
      </c>
      <c r="E5633">
        <v>-3811.56</v>
      </c>
      <c r="F5633">
        <v>-1.34</v>
      </c>
      <c r="G5633" t="s">
        <v>12</v>
      </c>
      <c r="I5633" t="s">
        <v>13</v>
      </c>
    </row>
    <row r="5634" spans="1:9" hidden="1" x14ac:dyDescent="0.25">
      <c r="A5634" t="s">
        <v>4725</v>
      </c>
      <c r="B5634" t="s">
        <v>40</v>
      </c>
      <c r="C5634" s="2">
        <f>HYPERLINK("https://cao.dolgi.msk.ru/account/1080048075/", 1080048075)</f>
        <v>1080048075</v>
      </c>
      <c r="D5634" t="s">
        <v>4741</v>
      </c>
      <c r="E5634">
        <v>5040.01</v>
      </c>
      <c r="F5634">
        <v>0.99</v>
      </c>
      <c r="G5634" t="s">
        <v>12</v>
      </c>
      <c r="I5634" t="s">
        <v>13</v>
      </c>
    </row>
    <row r="5635" spans="1:9" x14ac:dyDescent="0.25">
      <c r="A5635" t="s">
        <v>4725</v>
      </c>
      <c r="B5635" t="s">
        <v>41</v>
      </c>
      <c r="C5635" s="2">
        <f>HYPERLINK("https://cao.dolgi.msk.ru/account/1080048083/", 1080048083)</f>
        <v>1080048083</v>
      </c>
      <c r="D5635" t="s">
        <v>15</v>
      </c>
      <c r="E5635">
        <v>7155.83</v>
      </c>
      <c r="F5635">
        <v>2.0499999999999998</v>
      </c>
      <c r="G5635" t="s">
        <v>12</v>
      </c>
      <c r="I5635" t="s">
        <v>13</v>
      </c>
    </row>
    <row r="5636" spans="1:9" hidden="1" x14ac:dyDescent="0.25">
      <c r="A5636" t="s">
        <v>4725</v>
      </c>
      <c r="B5636" t="s">
        <v>42</v>
      </c>
      <c r="C5636" s="2">
        <f>HYPERLINK("https://cao.dolgi.msk.ru/account/1080048104/", 1080048104)</f>
        <v>1080048104</v>
      </c>
      <c r="D5636" t="s">
        <v>4742</v>
      </c>
      <c r="E5636">
        <v>-5703.5</v>
      </c>
      <c r="F5636">
        <v>-1.1599999999999999</v>
      </c>
      <c r="G5636" t="s">
        <v>12</v>
      </c>
      <c r="I5636" t="s">
        <v>13</v>
      </c>
    </row>
    <row r="5637" spans="1:9" hidden="1" x14ac:dyDescent="0.25">
      <c r="A5637" t="s">
        <v>4725</v>
      </c>
      <c r="B5637" t="s">
        <v>44</v>
      </c>
      <c r="C5637" s="2">
        <f>HYPERLINK("https://cao.dolgi.msk.ru/account/1080048112/", 1080048112)</f>
        <v>1080048112</v>
      </c>
      <c r="D5637" t="s">
        <v>4743</v>
      </c>
      <c r="E5637">
        <v>-5175.3500000000004</v>
      </c>
      <c r="F5637">
        <v>-0.91</v>
      </c>
      <c r="G5637" t="s">
        <v>12</v>
      </c>
      <c r="I5637" t="s">
        <v>13</v>
      </c>
    </row>
    <row r="5638" spans="1:9" hidden="1" x14ac:dyDescent="0.25">
      <c r="A5638" t="s">
        <v>4725</v>
      </c>
      <c r="B5638" t="s">
        <v>66</v>
      </c>
      <c r="C5638" s="2">
        <f>HYPERLINK("https://cao.dolgi.msk.ru/account/1080048139/", 1080048139)</f>
        <v>1080048139</v>
      </c>
      <c r="D5638" t="s">
        <v>4744</v>
      </c>
      <c r="E5638">
        <v>-3401.17</v>
      </c>
      <c r="F5638">
        <v>-1.07</v>
      </c>
      <c r="G5638" t="s">
        <v>12</v>
      </c>
      <c r="I5638" t="s">
        <v>13</v>
      </c>
    </row>
    <row r="5639" spans="1:9" hidden="1" x14ac:dyDescent="0.25">
      <c r="A5639" t="s">
        <v>4725</v>
      </c>
      <c r="B5639" t="s">
        <v>68</v>
      </c>
      <c r="C5639" s="2">
        <f>HYPERLINK("https://cao.dolgi.msk.ru/account/1080048147/", 1080048147)</f>
        <v>1080048147</v>
      </c>
      <c r="D5639" t="s">
        <v>4745</v>
      </c>
      <c r="E5639">
        <v>-5627.54</v>
      </c>
      <c r="F5639">
        <v>-1.38</v>
      </c>
      <c r="G5639" t="s">
        <v>12</v>
      </c>
      <c r="I5639" t="s">
        <v>13</v>
      </c>
    </row>
    <row r="5640" spans="1:9" x14ac:dyDescent="0.25">
      <c r="A5640" t="s">
        <v>4725</v>
      </c>
      <c r="B5640" t="s">
        <v>70</v>
      </c>
      <c r="C5640" s="2">
        <f>HYPERLINK("https://cao.dolgi.msk.ru/account/1080048155/", 1080048155)</f>
        <v>1080048155</v>
      </c>
      <c r="D5640" t="s">
        <v>4746</v>
      </c>
      <c r="E5640">
        <v>15806.34</v>
      </c>
      <c r="F5640">
        <v>3.85</v>
      </c>
      <c r="G5640" t="s">
        <v>12</v>
      </c>
      <c r="I5640" t="s">
        <v>13</v>
      </c>
    </row>
    <row r="5641" spans="1:9" hidden="1" x14ac:dyDescent="0.25">
      <c r="A5641" t="s">
        <v>4725</v>
      </c>
      <c r="B5641" t="s">
        <v>72</v>
      </c>
      <c r="C5641" s="2">
        <f>HYPERLINK("https://cao.dolgi.msk.ru/account/1080048163/", 1080048163)</f>
        <v>1080048163</v>
      </c>
      <c r="D5641" t="s">
        <v>4747</v>
      </c>
      <c r="E5641">
        <v>-9298.9599999999991</v>
      </c>
      <c r="F5641">
        <v>-1.98</v>
      </c>
      <c r="G5641" t="s">
        <v>12</v>
      </c>
      <c r="I5641" t="s">
        <v>13</v>
      </c>
    </row>
    <row r="5642" spans="1:9" hidden="1" x14ac:dyDescent="0.25">
      <c r="A5642" t="s">
        <v>4725</v>
      </c>
      <c r="B5642" t="s">
        <v>74</v>
      </c>
      <c r="C5642" s="2">
        <f>HYPERLINK("https://cao.dolgi.msk.ru/account/1080048171/", 1080048171)</f>
        <v>1080048171</v>
      </c>
      <c r="D5642" t="s">
        <v>15</v>
      </c>
      <c r="E5642">
        <v>0</v>
      </c>
      <c r="F5642">
        <v>0</v>
      </c>
      <c r="G5642" t="s">
        <v>12</v>
      </c>
      <c r="I5642" t="s">
        <v>13</v>
      </c>
    </row>
    <row r="5643" spans="1:9" hidden="1" x14ac:dyDescent="0.25">
      <c r="A5643" t="s">
        <v>4725</v>
      </c>
      <c r="B5643" t="s">
        <v>76</v>
      </c>
      <c r="C5643" s="2">
        <f>HYPERLINK("https://cao.dolgi.msk.ru/account/1080048198/", 1080048198)</f>
        <v>1080048198</v>
      </c>
      <c r="D5643" t="s">
        <v>4748</v>
      </c>
      <c r="E5643">
        <v>-4399.96</v>
      </c>
      <c r="F5643">
        <v>-1.01</v>
      </c>
      <c r="G5643" t="s">
        <v>12</v>
      </c>
      <c r="I5643" t="s">
        <v>13</v>
      </c>
    </row>
    <row r="5644" spans="1:9" hidden="1" x14ac:dyDescent="0.25">
      <c r="A5644" t="s">
        <v>4725</v>
      </c>
      <c r="B5644" t="s">
        <v>78</v>
      </c>
      <c r="C5644" s="2">
        <f>HYPERLINK("https://cao.dolgi.msk.ru/account/1080048219/", 1080048219)</f>
        <v>1080048219</v>
      </c>
      <c r="D5644" t="s">
        <v>4749</v>
      </c>
      <c r="E5644">
        <v>-8391.2999999999993</v>
      </c>
      <c r="F5644">
        <v>-1.17</v>
      </c>
      <c r="G5644" t="s">
        <v>12</v>
      </c>
      <c r="I5644" t="s">
        <v>13</v>
      </c>
    </row>
    <row r="5645" spans="1:9" hidden="1" x14ac:dyDescent="0.25">
      <c r="A5645" t="s">
        <v>4725</v>
      </c>
      <c r="B5645" t="s">
        <v>80</v>
      </c>
      <c r="C5645" s="2">
        <f>HYPERLINK("https://cao.dolgi.msk.ru/account/1080048227/", 1080048227)</f>
        <v>1080048227</v>
      </c>
      <c r="D5645" t="s">
        <v>4750</v>
      </c>
      <c r="E5645">
        <v>-6582.67</v>
      </c>
      <c r="F5645">
        <v>-1.04</v>
      </c>
      <c r="G5645" t="s">
        <v>12</v>
      </c>
      <c r="I5645" t="s">
        <v>13</v>
      </c>
    </row>
    <row r="5646" spans="1:9" hidden="1" x14ac:dyDescent="0.25">
      <c r="A5646" t="s">
        <v>4725</v>
      </c>
      <c r="B5646" t="s">
        <v>82</v>
      </c>
      <c r="C5646" s="2">
        <f>HYPERLINK("https://cao.dolgi.msk.ru/account/1080048235/", 1080048235)</f>
        <v>1080048235</v>
      </c>
      <c r="D5646" t="s">
        <v>4751</v>
      </c>
      <c r="E5646">
        <v>-3037.38</v>
      </c>
      <c r="F5646">
        <v>-1.3</v>
      </c>
      <c r="G5646" t="s">
        <v>12</v>
      </c>
      <c r="I5646" t="s">
        <v>13</v>
      </c>
    </row>
    <row r="5647" spans="1:9" x14ac:dyDescent="0.25">
      <c r="A5647" t="s">
        <v>4725</v>
      </c>
      <c r="B5647" t="s">
        <v>84</v>
      </c>
      <c r="C5647" s="2">
        <f>HYPERLINK("https://cao.dolgi.msk.ru/account/1080048243/", 1080048243)</f>
        <v>1080048243</v>
      </c>
      <c r="D5647" t="s">
        <v>4752</v>
      </c>
      <c r="E5647">
        <v>10212.120000000001</v>
      </c>
      <c r="F5647">
        <v>2.66</v>
      </c>
      <c r="G5647" t="s">
        <v>12</v>
      </c>
      <c r="I5647" t="s">
        <v>13</v>
      </c>
    </row>
    <row r="5648" spans="1:9" x14ac:dyDescent="0.25">
      <c r="A5648" t="s">
        <v>4725</v>
      </c>
      <c r="B5648" t="s">
        <v>86</v>
      </c>
      <c r="C5648" s="2">
        <f>HYPERLINK("https://cao.dolgi.msk.ru/account/1080048251/", 1080048251)</f>
        <v>1080048251</v>
      </c>
      <c r="D5648" t="s">
        <v>4753</v>
      </c>
      <c r="E5648">
        <v>26337.06</v>
      </c>
      <c r="F5648">
        <v>4.2300000000000004</v>
      </c>
      <c r="G5648" t="s">
        <v>12</v>
      </c>
      <c r="I5648" t="s">
        <v>13</v>
      </c>
    </row>
    <row r="5649" spans="1:9" hidden="1" x14ac:dyDescent="0.25">
      <c r="A5649" t="s">
        <v>4725</v>
      </c>
      <c r="B5649" t="s">
        <v>88</v>
      </c>
      <c r="C5649" s="2">
        <f>HYPERLINK("https://cao.dolgi.msk.ru/account/1080048278/", 1080048278)</f>
        <v>1080048278</v>
      </c>
      <c r="D5649" t="s">
        <v>4754</v>
      </c>
      <c r="E5649">
        <v>-4875.32</v>
      </c>
      <c r="F5649">
        <v>-1.3</v>
      </c>
      <c r="G5649" t="s">
        <v>12</v>
      </c>
      <c r="I5649" t="s">
        <v>13</v>
      </c>
    </row>
    <row r="5650" spans="1:9" hidden="1" x14ac:dyDescent="0.25">
      <c r="A5650" t="s">
        <v>4725</v>
      </c>
      <c r="B5650" t="s">
        <v>90</v>
      </c>
      <c r="C5650" s="2">
        <f>HYPERLINK("https://cao.dolgi.msk.ru/account/1080048286/", 1080048286)</f>
        <v>1080048286</v>
      </c>
      <c r="D5650" t="s">
        <v>4755</v>
      </c>
      <c r="E5650">
        <v>-2757.99</v>
      </c>
      <c r="F5650">
        <v>-1.18</v>
      </c>
      <c r="G5650" t="s">
        <v>12</v>
      </c>
      <c r="I5650" t="s">
        <v>13</v>
      </c>
    </row>
    <row r="5651" spans="1:9" hidden="1" x14ac:dyDescent="0.25">
      <c r="A5651" t="s">
        <v>4725</v>
      </c>
      <c r="B5651" t="s">
        <v>92</v>
      </c>
      <c r="C5651" s="2">
        <f>HYPERLINK("https://cao.dolgi.msk.ru/account/1080048294/", 1080048294)</f>
        <v>1080048294</v>
      </c>
      <c r="D5651" t="s">
        <v>4756</v>
      </c>
      <c r="E5651">
        <v>-5532.2</v>
      </c>
      <c r="F5651">
        <v>-1.2</v>
      </c>
      <c r="G5651" t="s">
        <v>12</v>
      </c>
      <c r="I5651" t="s">
        <v>13</v>
      </c>
    </row>
    <row r="5652" spans="1:9" hidden="1" x14ac:dyDescent="0.25">
      <c r="A5652" t="s">
        <v>4725</v>
      </c>
      <c r="B5652" t="s">
        <v>94</v>
      </c>
      <c r="C5652" s="2">
        <f>HYPERLINK("https://cao.dolgi.msk.ru/account/1080048307/", 1080048307)</f>
        <v>1080048307</v>
      </c>
      <c r="D5652" t="s">
        <v>4757</v>
      </c>
      <c r="E5652">
        <v>-8263.65</v>
      </c>
      <c r="F5652">
        <v>-1.1399999999999999</v>
      </c>
      <c r="G5652" t="s">
        <v>12</v>
      </c>
      <c r="I5652" t="s">
        <v>13</v>
      </c>
    </row>
    <row r="5653" spans="1:9" hidden="1" x14ac:dyDescent="0.25">
      <c r="A5653" t="s">
        <v>4725</v>
      </c>
      <c r="B5653" t="s">
        <v>96</v>
      </c>
      <c r="C5653" s="2">
        <f>HYPERLINK("https://cao.dolgi.msk.ru/account/1080048315/", 1080048315)</f>
        <v>1080048315</v>
      </c>
      <c r="D5653" t="s">
        <v>4758</v>
      </c>
      <c r="E5653">
        <v>-5565.58</v>
      </c>
      <c r="F5653">
        <v>-1.1499999999999999</v>
      </c>
      <c r="G5653" t="s">
        <v>12</v>
      </c>
      <c r="I5653" t="s">
        <v>13</v>
      </c>
    </row>
    <row r="5654" spans="1:9" x14ac:dyDescent="0.25">
      <c r="A5654" t="s">
        <v>4725</v>
      </c>
      <c r="B5654" t="s">
        <v>98</v>
      </c>
      <c r="C5654" s="2">
        <f>HYPERLINK("https://cao.dolgi.msk.ru/account/1080048323/", 1080048323)</f>
        <v>1080048323</v>
      </c>
      <c r="D5654" t="s">
        <v>4759</v>
      </c>
      <c r="E5654">
        <v>6796.45</v>
      </c>
      <c r="F5654">
        <v>1.01</v>
      </c>
      <c r="G5654" t="s">
        <v>12</v>
      </c>
      <c r="I5654" t="s">
        <v>13</v>
      </c>
    </row>
    <row r="5655" spans="1:9" hidden="1" x14ac:dyDescent="0.25">
      <c r="A5655" t="s">
        <v>4725</v>
      </c>
      <c r="B5655" t="s">
        <v>100</v>
      </c>
      <c r="C5655" s="2">
        <f>HYPERLINK("https://cao.dolgi.msk.ru/account/1080048331/", 1080048331)</f>
        <v>1080048331</v>
      </c>
      <c r="D5655" t="s">
        <v>4760</v>
      </c>
      <c r="E5655">
        <v>0</v>
      </c>
      <c r="F5655">
        <v>0</v>
      </c>
      <c r="G5655" t="s">
        <v>12</v>
      </c>
      <c r="I5655" t="s">
        <v>13</v>
      </c>
    </row>
    <row r="5656" spans="1:9" hidden="1" x14ac:dyDescent="0.25">
      <c r="A5656" t="s">
        <v>4725</v>
      </c>
      <c r="B5656" t="s">
        <v>102</v>
      </c>
      <c r="C5656" s="2">
        <f>HYPERLINK("https://cao.dolgi.msk.ru/account/1080048358/", 1080048358)</f>
        <v>1080048358</v>
      </c>
      <c r="D5656" t="s">
        <v>4761</v>
      </c>
      <c r="E5656">
        <v>-5303.6</v>
      </c>
      <c r="F5656">
        <v>-1.25</v>
      </c>
      <c r="G5656" t="s">
        <v>12</v>
      </c>
      <c r="I5656" t="s">
        <v>13</v>
      </c>
    </row>
    <row r="5657" spans="1:9" hidden="1" x14ac:dyDescent="0.25">
      <c r="A5657" t="s">
        <v>4725</v>
      </c>
      <c r="B5657" t="s">
        <v>104</v>
      </c>
      <c r="C5657" s="2">
        <f>HYPERLINK("https://cao.dolgi.msk.ru/account/1080048366/", 1080048366)</f>
        <v>1080048366</v>
      </c>
      <c r="D5657" t="s">
        <v>4762</v>
      </c>
      <c r="E5657">
        <v>-4546.3999999999996</v>
      </c>
      <c r="F5657">
        <v>-1.21</v>
      </c>
      <c r="G5657" t="s">
        <v>12</v>
      </c>
      <c r="I5657" t="s">
        <v>13</v>
      </c>
    </row>
    <row r="5658" spans="1:9" hidden="1" x14ac:dyDescent="0.25">
      <c r="A5658" t="s">
        <v>4725</v>
      </c>
      <c r="B5658" t="s">
        <v>106</v>
      </c>
      <c r="C5658" s="2">
        <f>HYPERLINK("https://cao.dolgi.msk.ru/account/1080045739/", 1080045739)</f>
        <v>1080045739</v>
      </c>
      <c r="D5658" t="s">
        <v>4763</v>
      </c>
      <c r="E5658">
        <v>-6494.36</v>
      </c>
      <c r="F5658">
        <v>-1.64</v>
      </c>
      <c r="G5658" t="s">
        <v>12</v>
      </c>
      <c r="I5658" t="s">
        <v>13</v>
      </c>
    </row>
    <row r="5659" spans="1:9" hidden="1" x14ac:dyDescent="0.25">
      <c r="A5659" t="s">
        <v>4725</v>
      </c>
      <c r="B5659" t="s">
        <v>108</v>
      </c>
      <c r="C5659" s="2">
        <f>HYPERLINK("https://cao.dolgi.msk.ru/account/1080048091/", 1080048091)</f>
        <v>1080048091</v>
      </c>
      <c r="D5659" t="s">
        <v>4764</v>
      </c>
      <c r="E5659">
        <v>-4642.25</v>
      </c>
      <c r="F5659">
        <v>-1.24</v>
      </c>
      <c r="G5659" t="s">
        <v>12</v>
      </c>
      <c r="I5659" t="s">
        <v>13</v>
      </c>
    </row>
    <row r="5660" spans="1:9" hidden="1" x14ac:dyDescent="0.25">
      <c r="A5660" t="s">
        <v>4725</v>
      </c>
      <c r="B5660" t="s">
        <v>110</v>
      </c>
      <c r="C5660" s="2">
        <f>HYPERLINK("https://cao.dolgi.msk.ru/account/1080045747/", 1080045747)</f>
        <v>1080045747</v>
      </c>
      <c r="D5660" t="s">
        <v>4765</v>
      </c>
      <c r="E5660">
        <v>-3988.19</v>
      </c>
      <c r="F5660">
        <v>-0.6</v>
      </c>
      <c r="G5660" t="s">
        <v>12</v>
      </c>
      <c r="I5660" t="s">
        <v>13</v>
      </c>
    </row>
    <row r="5661" spans="1:9" hidden="1" x14ac:dyDescent="0.25">
      <c r="A5661" t="s">
        <v>4725</v>
      </c>
      <c r="B5661" t="s">
        <v>112</v>
      </c>
      <c r="C5661" s="2">
        <f>HYPERLINK("https://cao.dolgi.msk.ru/account/1080045755/", 1080045755)</f>
        <v>1080045755</v>
      </c>
      <c r="D5661" t="s">
        <v>4766</v>
      </c>
      <c r="E5661">
        <v>-58.2</v>
      </c>
      <c r="F5661">
        <v>-0.01</v>
      </c>
      <c r="G5661" t="s">
        <v>12</v>
      </c>
      <c r="I5661" t="s">
        <v>13</v>
      </c>
    </row>
    <row r="5662" spans="1:9" hidden="1" x14ac:dyDescent="0.25">
      <c r="A5662" t="s">
        <v>4725</v>
      </c>
      <c r="B5662" t="s">
        <v>114</v>
      </c>
      <c r="C5662" s="2">
        <f>HYPERLINK("https://cao.dolgi.msk.ru/account/1080045763/", 1080045763)</f>
        <v>1080045763</v>
      </c>
      <c r="D5662" t="s">
        <v>4767</v>
      </c>
      <c r="E5662">
        <v>-4762.74</v>
      </c>
      <c r="F5662">
        <v>-0.96</v>
      </c>
      <c r="G5662" t="s">
        <v>12</v>
      </c>
      <c r="I5662" t="s">
        <v>13</v>
      </c>
    </row>
    <row r="5663" spans="1:9" hidden="1" x14ac:dyDescent="0.25">
      <c r="A5663" t="s">
        <v>4725</v>
      </c>
      <c r="B5663" t="s">
        <v>116</v>
      </c>
      <c r="C5663" s="2">
        <f>HYPERLINK("https://cao.dolgi.msk.ru/account/1080045771/", 1080045771)</f>
        <v>1080045771</v>
      </c>
      <c r="D5663" t="s">
        <v>4768</v>
      </c>
      <c r="E5663">
        <v>-4950.04</v>
      </c>
      <c r="F5663">
        <v>-1.17</v>
      </c>
      <c r="G5663" t="s">
        <v>12</v>
      </c>
      <c r="I5663" t="s">
        <v>13</v>
      </c>
    </row>
    <row r="5664" spans="1:9" hidden="1" x14ac:dyDescent="0.25">
      <c r="A5664" t="s">
        <v>4725</v>
      </c>
      <c r="B5664" t="s">
        <v>118</v>
      </c>
      <c r="C5664" s="2">
        <f>HYPERLINK("https://cao.dolgi.msk.ru/account/1080045798/", 1080045798)</f>
        <v>1080045798</v>
      </c>
      <c r="D5664" t="s">
        <v>4769</v>
      </c>
      <c r="E5664">
        <v>-750.62</v>
      </c>
      <c r="F5664">
        <v>-0.24</v>
      </c>
      <c r="G5664" t="s">
        <v>12</v>
      </c>
      <c r="I5664" t="s">
        <v>13</v>
      </c>
    </row>
    <row r="5665" spans="1:9" hidden="1" x14ac:dyDescent="0.25">
      <c r="A5665" t="s">
        <v>4725</v>
      </c>
      <c r="B5665" t="s">
        <v>120</v>
      </c>
      <c r="C5665" s="2">
        <f>HYPERLINK("https://cao.dolgi.msk.ru/account/1080045819/", 1080045819)</f>
        <v>1080045819</v>
      </c>
      <c r="D5665" t="s">
        <v>4770</v>
      </c>
      <c r="E5665">
        <v>-6287.45</v>
      </c>
      <c r="F5665">
        <v>-1.32</v>
      </c>
      <c r="G5665" t="s">
        <v>12</v>
      </c>
      <c r="I5665" t="s">
        <v>13</v>
      </c>
    </row>
    <row r="5666" spans="1:9" hidden="1" x14ac:dyDescent="0.25">
      <c r="A5666" t="s">
        <v>4725</v>
      </c>
      <c r="B5666" t="s">
        <v>122</v>
      </c>
      <c r="C5666" s="2">
        <f>HYPERLINK("https://cao.dolgi.msk.ru/account/1080045827/", 1080045827)</f>
        <v>1080045827</v>
      </c>
      <c r="D5666" t="s">
        <v>4771</v>
      </c>
      <c r="E5666">
        <v>-4474.75</v>
      </c>
      <c r="F5666">
        <v>-1.04</v>
      </c>
      <c r="G5666" t="s">
        <v>12</v>
      </c>
      <c r="I5666" t="s">
        <v>13</v>
      </c>
    </row>
    <row r="5667" spans="1:9" hidden="1" x14ac:dyDescent="0.25">
      <c r="A5667" t="s">
        <v>4725</v>
      </c>
      <c r="B5667" t="s">
        <v>124</v>
      </c>
      <c r="C5667" s="2">
        <f>HYPERLINK("https://cao.dolgi.msk.ru/account/1080045835/", 1080045835)</f>
        <v>1080045835</v>
      </c>
      <c r="D5667" t="s">
        <v>4772</v>
      </c>
      <c r="E5667">
        <v>-336.27</v>
      </c>
      <c r="F5667">
        <v>-7.0000000000000007E-2</v>
      </c>
      <c r="G5667" t="s">
        <v>12</v>
      </c>
      <c r="I5667" t="s">
        <v>13</v>
      </c>
    </row>
    <row r="5668" spans="1:9" hidden="1" x14ac:dyDescent="0.25">
      <c r="A5668" t="s">
        <v>4725</v>
      </c>
      <c r="B5668" t="s">
        <v>126</v>
      </c>
      <c r="C5668" s="2">
        <f>HYPERLINK("https://cao.dolgi.msk.ru/account/1080045843/", 1080045843)</f>
        <v>1080045843</v>
      </c>
      <c r="D5668" t="s">
        <v>4773</v>
      </c>
      <c r="E5668">
        <v>-3654.2</v>
      </c>
      <c r="F5668">
        <v>-1.21</v>
      </c>
      <c r="G5668" t="s">
        <v>12</v>
      </c>
      <c r="I5668" t="s">
        <v>13</v>
      </c>
    </row>
    <row r="5669" spans="1:9" hidden="1" x14ac:dyDescent="0.25">
      <c r="A5669" t="s">
        <v>4725</v>
      </c>
      <c r="B5669" t="s">
        <v>128</v>
      </c>
      <c r="C5669" s="2">
        <f>HYPERLINK("https://cao.dolgi.msk.ru/account/1080045851/", 1080045851)</f>
        <v>1080045851</v>
      </c>
      <c r="D5669" t="s">
        <v>4774</v>
      </c>
      <c r="E5669">
        <v>-6489.3</v>
      </c>
      <c r="F5669">
        <v>-1.08</v>
      </c>
      <c r="G5669" t="s">
        <v>12</v>
      </c>
      <c r="I5669" t="s">
        <v>13</v>
      </c>
    </row>
    <row r="5670" spans="1:9" hidden="1" x14ac:dyDescent="0.25">
      <c r="A5670" t="s">
        <v>4725</v>
      </c>
      <c r="B5670" t="s">
        <v>130</v>
      </c>
      <c r="C5670" s="2">
        <f>HYPERLINK("https://cao.dolgi.msk.ru/account/1080045878/", 1080045878)</f>
        <v>1080045878</v>
      </c>
      <c r="D5670" t="s">
        <v>4775</v>
      </c>
      <c r="E5670">
        <v>-4768.9399999999996</v>
      </c>
      <c r="F5670">
        <v>-1.52</v>
      </c>
      <c r="G5670" t="s">
        <v>12</v>
      </c>
      <c r="I5670" t="s">
        <v>13</v>
      </c>
    </row>
    <row r="5671" spans="1:9" hidden="1" x14ac:dyDescent="0.25">
      <c r="A5671" t="s">
        <v>4725</v>
      </c>
      <c r="B5671" t="s">
        <v>132</v>
      </c>
      <c r="C5671" s="2">
        <f>HYPERLINK("https://cao.dolgi.msk.ru/account/1080045886/", 1080045886)</f>
        <v>1080045886</v>
      </c>
      <c r="D5671" t="s">
        <v>4776</v>
      </c>
      <c r="E5671">
        <v>-1357.22</v>
      </c>
      <c r="F5671">
        <v>-0.2</v>
      </c>
      <c r="G5671" t="s">
        <v>12</v>
      </c>
      <c r="I5671" t="s">
        <v>13</v>
      </c>
    </row>
    <row r="5672" spans="1:9" hidden="1" x14ac:dyDescent="0.25">
      <c r="A5672" t="s">
        <v>4725</v>
      </c>
      <c r="B5672" t="s">
        <v>133</v>
      </c>
      <c r="C5672" s="2">
        <f>HYPERLINK("https://cao.dolgi.msk.ru/account/1080045894/", 1080045894)</f>
        <v>1080045894</v>
      </c>
      <c r="D5672" t="s">
        <v>4777</v>
      </c>
      <c r="E5672">
        <v>-6684.75</v>
      </c>
      <c r="F5672">
        <v>-1.17</v>
      </c>
      <c r="G5672" t="s">
        <v>12</v>
      </c>
      <c r="I5672" t="s">
        <v>13</v>
      </c>
    </row>
    <row r="5673" spans="1:9" hidden="1" x14ac:dyDescent="0.25">
      <c r="A5673" t="s">
        <v>4725</v>
      </c>
      <c r="B5673" t="s">
        <v>133</v>
      </c>
      <c r="C5673" s="2">
        <f>HYPERLINK("https://cao.dolgi.msk.ru/account/1080324279/", 1080324279)</f>
        <v>1080324279</v>
      </c>
      <c r="D5673" t="s">
        <v>15</v>
      </c>
      <c r="E5673">
        <v>-2616.69</v>
      </c>
      <c r="G5673" t="s">
        <v>14</v>
      </c>
      <c r="I5673" t="s">
        <v>13</v>
      </c>
    </row>
    <row r="5674" spans="1:9" hidden="1" x14ac:dyDescent="0.25">
      <c r="A5674" t="s">
        <v>4725</v>
      </c>
      <c r="B5674" t="s">
        <v>135</v>
      </c>
      <c r="C5674" s="2">
        <f>HYPERLINK("https://cao.dolgi.msk.ru/account/1080045907/", 1080045907)</f>
        <v>1080045907</v>
      </c>
      <c r="D5674" t="s">
        <v>4778</v>
      </c>
      <c r="E5674">
        <v>4688.24</v>
      </c>
      <c r="F5674">
        <v>0.98</v>
      </c>
      <c r="G5674" t="s">
        <v>12</v>
      </c>
      <c r="I5674" t="s">
        <v>13</v>
      </c>
    </row>
    <row r="5675" spans="1:9" hidden="1" x14ac:dyDescent="0.25">
      <c r="A5675" t="s">
        <v>4725</v>
      </c>
      <c r="B5675" t="s">
        <v>137</v>
      </c>
      <c r="C5675" s="2">
        <f>HYPERLINK("https://cao.dolgi.msk.ru/account/1080045915/", 1080045915)</f>
        <v>1080045915</v>
      </c>
      <c r="D5675" t="s">
        <v>4779</v>
      </c>
      <c r="E5675">
        <v>-3641.18</v>
      </c>
      <c r="F5675">
        <v>-1.34</v>
      </c>
      <c r="G5675" t="s">
        <v>12</v>
      </c>
      <c r="I5675" t="s">
        <v>13</v>
      </c>
    </row>
    <row r="5676" spans="1:9" hidden="1" x14ac:dyDescent="0.25">
      <c r="A5676" t="s">
        <v>4725</v>
      </c>
      <c r="B5676" t="s">
        <v>139</v>
      </c>
      <c r="C5676" s="2">
        <f>HYPERLINK("https://cao.dolgi.msk.ru/account/1080045923/", 1080045923)</f>
        <v>1080045923</v>
      </c>
      <c r="D5676" t="s">
        <v>4780</v>
      </c>
      <c r="E5676">
        <v>-6085.16</v>
      </c>
      <c r="F5676">
        <v>-1.1499999999999999</v>
      </c>
      <c r="G5676" t="s">
        <v>12</v>
      </c>
      <c r="I5676" t="s">
        <v>13</v>
      </c>
    </row>
    <row r="5677" spans="1:9" hidden="1" x14ac:dyDescent="0.25">
      <c r="A5677" t="s">
        <v>4725</v>
      </c>
      <c r="B5677" t="s">
        <v>141</v>
      </c>
      <c r="C5677" s="2">
        <f>HYPERLINK("https://cao.dolgi.msk.ru/account/1080045931/", 1080045931)</f>
        <v>1080045931</v>
      </c>
      <c r="D5677" t="s">
        <v>4781</v>
      </c>
      <c r="E5677">
        <v>-4096.58</v>
      </c>
      <c r="F5677">
        <v>-1.2</v>
      </c>
      <c r="G5677" t="s">
        <v>12</v>
      </c>
      <c r="I5677" t="s">
        <v>13</v>
      </c>
    </row>
    <row r="5678" spans="1:9" hidden="1" x14ac:dyDescent="0.25">
      <c r="A5678" t="s">
        <v>4725</v>
      </c>
      <c r="B5678" t="s">
        <v>143</v>
      </c>
      <c r="C5678" s="2">
        <f>HYPERLINK("https://cao.dolgi.msk.ru/account/1080045958/", 1080045958)</f>
        <v>1080045958</v>
      </c>
      <c r="D5678" t="s">
        <v>4782</v>
      </c>
      <c r="E5678">
        <v>-3435.43</v>
      </c>
      <c r="F5678">
        <v>-1.1499999999999999</v>
      </c>
      <c r="G5678" t="s">
        <v>12</v>
      </c>
      <c r="I5678" t="s">
        <v>13</v>
      </c>
    </row>
    <row r="5679" spans="1:9" hidden="1" x14ac:dyDescent="0.25">
      <c r="A5679" t="s">
        <v>4725</v>
      </c>
      <c r="B5679" t="s">
        <v>147</v>
      </c>
      <c r="C5679" s="2">
        <f>HYPERLINK("https://cao.dolgi.msk.ru/account/1089133444/", 1089133444)</f>
        <v>1089133444</v>
      </c>
      <c r="D5679" t="s">
        <v>15</v>
      </c>
      <c r="E5679">
        <v>-6590.17</v>
      </c>
      <c r="F5679">
        <v>-1.1100000000000001</v>
      </c>
      <c r="G5679" t="s">
        <v>12</v>
      </c>
      <c r="I5679" t="s">
        <v>13</v>
      </c>
    </row>
    <row r="5680" spans="1:9" hidden="1" x14ac:dyDescent="0.25">
      <c r="A5680" t="s">
        <v>4725</v>
      </c>
      <c r="B5680" t="s">
        <v>149</v>
      </c>
      <c r="C5680" s="2">
        <f>HYPERLINK("https://cao.dolgi.msk.ru/account/1089134623/", 1089134623)</f>
        <v>1089134623</v>
      </c>
      <c r="D5680" t="s">
        <v>15</v>
      </c>
      <c r="E5680">
        <v>-9709.43</v>
      </c>
      <c r="F5680">
        <v>-1.08</v>
      </c>
      <c r="G5680" t="s">
        <v>12</v>
      </c>
      <c r="I5680" t="s">
        <v>13</v>
      </c>
    </row>
    <row r="5681" spans="1:9" hidden="1" x14ac:dyDescent="0.25">
      <c r="A5681" t="s">
        <v>4725</v>
      </c>
      <c r="B5681" t="s">
        <v>151</v>
      </c>
      <c r="C5681" s="2">
        <f>HYPERLINK("https://cao.dolgi.msk.ru/account/1089133487/", 1089133487)</f>
        <v>1089133487</v>
      </c>
      <c r="D5681" t="s">
        <v>4783</v>
      </c>
      <c r="E5681">
        <v>-4854.7700000000004</v>
      </c>
      <c r="F5681">
        <v>-1.27</v>
      </c>
      <c r="G5681" t="s">
        <v>12</v>
      </c>
      <c r="I5681" t="s">
        <v>13</v>
      </c>
    </row>
    <row r="5682" spans="1:9" hidden="1" x14ac:dyDescent="0.25">
      <c r="A5682" t="s">
        <v>4725</v>
      </c>
      <c r="B5682" t="s">
        <v>153</v>
      </c>
      <c r="C5682" s="2">
        <f>HYPERLINK("https://cao.dolgi.msk.ru/account/1080045966/", 1080045966)</f>
        <v>1080045966</v>
      </c>
      <c r="D5682" t="s">
        <v>4784</v>
      </c>
      <c r="E5682">
        <v>-816.46</v>
      </c>
      <c r="F5682">
        <v>-0.12</v>
      </c>
      <c r="G5682" t="s">
        <v>12</v>
      </c>
      <c r="I5682" t="s">
        <v>13</v>
      </c>
    </row>
    <row r="5683" spans="1:9" hidden="1" x14ac:dyDescent="0.25">
      <c r="A5683" t="s">
        <v>4725</v>
      </c>
      <c r="B5683" t="s">
        <v>153</v>
      </c>
      <c r="C5683" s="2">
        <f>HYPERLINK("https://cao.dolgi.msk.ru/account/1089131115/", 1089131115)</f>
        <v>1089131115</v>
      </c>
      <c r="D5683" t="s">
        <v>15</v>
      </c>
      <c r="E5683">
        <v>112.32</v>
      </c>
      <c r="G5683" t="s">
        <v>14</v>
      </c>
      <c r="I5683" t="s">
        <v>13</v>
      </c>
    </row>
    <row r="5684" spans="1:9" hidden="1" x14ac:dyDescent="0.25">
      <c r="A5684" t="s">
        <v>4725</v>
      </c>
      <c r="B5684" t="s">
        <v>155</v>
      </c>
      <c r="C5684" s="2">
        <f>HYPERLINK("https://cao.dolgi.msk.ru/account/1080045974/", 1080045974)</f>
        <v>1080045974</v>
      </c>
      <c r="D5684" t="s">
        <v>4785</v>
      </c>
      <c r="E5684">
        <v>0</v>
      </c>
      <c r="F5684">
        <v>0</v>
      </c>
      <c r="G5684" t="s">
        <v>12</v>
      </c>
      <c r="I5684" t="s">
        <v>13</v>
      </c>
    </row>
    <row r="5685" spans="1:9" hidden="1" x14ac:dyDescent="0.25">
      <c r="A5685" t="s">
        <v>4725</v>
      </c>
      <c r="B5685" t="s">
        <v>157</v>
      </c>
      <c r="C5685" s="2">
        <f>HYPERLINK("https://cao.dolgi.msk.ru/account/1080045982/", 1080045982)</f>
        <v>1080045982</v>
      </c>
      <c r="D5685" t="s">
        <v>4786</v>
      </c>
      <c r="E5685">
        <v>-6884.61</v>
      </c>
      <c r="F5685">
        <v>-1.2</v>
      </c>
      <c r="G5685" t="s">
        <v>12</v>
      </c>
      <c r="I5685" t="s">
        <v>13</v>
      </c>
    </row>
    <row r="5686" spans="1:9" hidden="1" x14ac:dyDescent="0.25">
      <c r="A5686" t="s">
        <v>4725</v>
      </c>
      <c r="B5686" t="s">
        <v>159</v>
      </c>
      <c r="C5686" s="2">
        <f>HYPERLINK("https://cao.dolgi.msk.ru/account/1080046002/", 1080046002)</f>
        <v>1080046002</v>
      </c>
      <c r="D5686" t="s">
        <v>4787</v>
      </c>
      <c r="E5686">
        <v>-7585.09</v>
      </c>
      <c r="F5686">
        <v>-1.19</v>
      </c>
      <c r="G5686" t="s">
        <v>12</v>
      </c>
      <c r="I5686" t="s">
        <v>13</v>
      </c>
    </row>
    <row r="5687" spans="1:9" hidden="1" x14ac:dyDescent="0.25">
      <c r="A5687" t="s">
        <v>4725</v>
      </c>
      <c r="B5687" t="s">
        <v>161</v>
      </c>
      <c r="C5687" s="2">
        <f>HYPERLINK("https://cao.dolgi.msk.ru/account/1080046029/", 1080046029)</f>
        <v>1080046029</v>
      </c>
      <c r="D5687" t="s">
        <v>4788</v>
      </c>
      <c r="E5687">
        <v>-6139.22</v>
      </c>
      <c r="F5687">
        <v>-1.05</v>
      </c>
      <c r="G5687" t="s">
        <v>12</v>
      </c>
      <c r="I5687" t="s">
        <v>13</v>
      </c>
    </row>
    <row r="5688" spans="1:9" hidden="1" x14ac:dyDescent="0.25">
      <c r="A5688" t="s">
        <v>4725</v>
      </c>
      <c r="B5688" t="s">
        <v>163</v>
      </c>
      <c r="C5688" s="2">
        <f>HYPERLINK("https://cao.dolgi.msk.ru/account/1080046037/", 1080046037)</f>
        <v>1080046037</v>
      </c>
      <c r="D5688" t="s">
        <v>4789</v>
      </c>
      <c r="E5688">
        <v>-4468.1000000000004</v>
      </c>
      <c r="F5688">
        <v>-0.86</v>
      </c>
      <c r="G5688" t="s">
        <v>12</v>
      </c>
      <c r="I5688" t="s">
        <v>13</v>
      </c>
    </row>
    <row r="5689" spans="1:9" hidden="1" x14ac:dyDescent="0.25">
      <c r="A5689" t="s">
        <v>4725</v>
      </c>
      <c r="B5689" t="s">
        <v>571</v>
      </c>
      <c r="C5689" s="2">
        <f>HYPERLINK("https://cao.dolgi.msk.ru/account/1080046045/", 1080046045)</f>
        <v>1080046045</v>
      </c>
      <c r="D5689" t="s">
        <v>4790</v>
      </c>
      <c r="E5689">
        <v>-253.56</v>
      </c>
      <c r="F5689">
        <v>-7.0000000000000007E-2</v>
      </c>
      <c r="G5689" t="s">
        <v>12</v>
      </c>
      <c r="I5689" t="s">
        <v>13</v>
      </c>
    </row>
    <row r="5690" spans="1:9" hidden="1" x14ac:dyDescent="0.25">
      <c r="A5690" t="s">
        <v>4725</v>
      </c>
      <c r="B5690" t="s">
        <v>682</v>
      </c>
      <c r="C5690" s="2">
        <f>HYPERLINK("https://cao.dolgi.msk.ru/account/1080046053/", 1080046053)</f>
        <v>1080046053</v>
      </c>
      <c r="D5690" t="s">
        <v>4791</v>
      </c>
      <c r="E5690">
        <v>-2899.67</v>
      </c>
      <c r="F5690">
        <v>-1.3</v>
      </c>
      <c r="G5690" t="s">
        <v>12</v>
      </c>
      <c r="I5690" t="s">
        <v>13</v>
      </c>
    </row>
    <row r="5691" spans="1:9" hidden="1" x14ac:dyDescent="0.25">
      <c r="A5691" t="s">
        <v>4725</v>
      </c>
      <c r="B5691" t="s">
        <v>578</v>
      </c>
      <c r="C5691" s="2">
        <f>HYPERLINK("https://cao.dolgi.msk.ru/account/1080046061/", 1080046061)</f>
        <v>1080046061</v>
      </c>
      <c r="D5691" t="s">
        <v>4792</v>
      </c>
      <c r="E5691">
        <v>-132.81</v>
      </c>
      <c r="F5691">
        <v>-0.02</v>
      </c>
      <c r="G5691" t="s">
        <v>12</v>
      </c>
      <c r="I5691" t="s">
        <v>13</v>
      </c>
    </row>
    <row r="5692" spans="1:9" hidden="1" x14ac:dyDescent="0.25">
      <c r="A5692" t="s">
        <v>4725</v>
      </c>
      <c r="B5692" t="s">
        <v>580</v>
      </c>
      <c r="C5692" s="2">
        <f>HYPERLINK("https://cao.dolgi.msk.ru/account/1080046088/", 1080046088)</f>
        <v>1080046088</v>
      </c>
      <c r="D5692" t="s">
        <v>4793</v>
      </c>
      <c r="E5692">
        <v>-4093.45</v>
      </c>
      <c r="F5692">
        <v>-1.1399999999999999</v>
      </c>
      <c r="G5692" t="s">
        <v>12</v>
      </c>
      <c r="I5692" t="s">
        <v>13</v>
      </c>
    </row>
    <row r="5693" spans="1:9" hidden="1" x14ac:dyDescent="0.25">
      <c r="A5693" t="s">
        <v>4725</v>
      </c>
      <c r="B5693" t="s">
        <v>686</v>
      </c>
      <c r="C5693" s="2">
        <f>HYPERLINK("https://cao.dolgi.msk.ru/account/1080046096/", 1080046096)</f>
        <v>1080046096</v>
      </c>
      <c r="D5693" t="s">
        <v>4794</v>
      </c>
      <c r="E5693">
        <v>-75.8</v>
      </c>
      <c r="F5693">
        <v>-0.02</v>
      </c>
      <c r="G5693" t="s">
        <v>12</v>
      </c>
      <c r="I5693" t="s">
        <v>13</v>
      </c>
    </row>
    <row r="5694" spans="1:9" hidden="1" x14ac:dyDescent="0.25">
      <c r="A5694" t="s">
        <v>4725</v>
      </c>
      <c r="B5694" t="s">
        <v>582</v>
      </c>
      <c r="C5694" s="2">
        <f>HYPERLINK("https://cao.dolgi.msk.ru/account/1080046109/", 1080046109)</f>
        <v>1080046109</v>
      </c>
      <c r="D5694" t="s">
        <v>15</v>
      </c>
      <c r="E5694">
        <v>-1159.1199999999999</v>
      </c>
      <c r="F5694">
        <v>-0.28999999999999998</v>
      </c>
      <c r="G5694" t="s">
        <v>12</v>
      </c>
      <c r="I5694" t="s">
        <v>13</v>
      </c>
    </row>
    <row r="5695" spans="1:9" hidden="1" x14ac:dyDescent="0.25">
      <c r="A5695" t="s">
        <v>4725</v>
      </c>
      <c r="B5695" t="s">
        <v>584</v>
      </c>
      <c r="C5695" s="2">
        <f>HYPERLINK("https://cao.dolgi.msk.ru/account/1080046117/", 1080046117)</f>
        <v>1080046117</v>
      </c>
      <c r="D5695" t="s">
        <v>4795</v>
      </c>
      <c r="E5695">
        <v>-5050.16</v>
      </c>
      <c r="F5695">
        <v>-1.1000000000000001</v>
      </c>
      <c r="G5695" t="s">
        <v>12</v>
      </c>
      <c r="I5695" t="s">
        <v>13</v>
      </c>
    </row>
    <row r="5696" spans="1:9" hidden="1" x14ac:dyDescent="0.25">
      <c r="A5696" t="s">
        <v>4725</v>
      </c>
      <c r="B5696" t="s">
        <v>586</v>
      </c>
      <c r="C5696" s="2">
        <f>HYPERLINK("https://cao.dolgi.msk.ru/account/1080046125/", 1080046125)</f>
        <v>1080046125</v>
      </c>
      <c r="D5696" t="s">
        <v>4796</v>
      </c>
      <c r="E5696">
        <v>-7424.42</v>
      </c>
      <c r="F5696">
        <v>-1.1000000000000001</v>
      </c>
      <c r="G5696" t="s">
        <v>12</v>
      </c>
      <c r="I5696" t="s">
        <v>13</v>
      </c>
    </row>
    <row r="5697" spans="1:9" hidden="1" x14ac:dyDescent="0.25">
      <c r="A5697" t="s">
        <v>4725</v>
      </c>
      <c r="B5697" t="s">
        <v>588</v>
      </c>
      <c r="C5697" s="2">
        <f>HYPERLINK("https://cao.dolgi.msk.ru/account/1080046133/", 1080046133)</f>
        <v>1080046133</v>
      </c>
      <c r="D5697" t="s">
        <v>4797</v>
      </c>
      <c r="E5697">
        <v>1790.42</v>
      </c>
      <c r="F5697">
        <v>0.54</v>
      </c>
      <c r="G5697" t="s">
        <v>12</v>
      </c>
      <c r="I5697" t="s">
        <v>13</v>
      </c>
    </row>
    <row r="5698" spans="1:9" hidden="1" x14ac:dyDescent="0.25">
      <c r="A5698" t="s">
        <v>4725</v>
      </c>
      <c r="B5698" t="s">
        <v>590</v>
      </c>
      <c r="C5698" s="2">
        <f>HYPERLINK("https://cao.dolgi.msk.ru/account/1080046141/", 1080046141)</f>
        <v>1080046141</v>
      </c>
      <c r="D5698" t="s">
        <v>4798</v>
      </c>
      <c r="E5698">
        <v>-2106.98</v>
      </c>
      <c r="F5698">
        <v>-0.87</v>
      </c>
      <c r="G5698" t="s">
        <v>12</v>
      </c>
      <c r="I5698" t="s">
        <v>13</v>
      </c>
    </row>
    <row r="5699" spans="1:9" hidden="1" x14ac:dyDescent="0.25">
      <c r="A5699" t="s">
        <v>4725</v>
      </c>
      <c r="B5699" t="s">
        <v>693</v>
      </c>
      <c r="C5699" s="2">
        <f>HYPERLINK("https://cao.dolgi.msk.ru/account/1080046168/", 1080046168)</f>
        <v>1080046168</v>
      </c>
      <c r="D5699" t="s">
        <v>4799</v>
      </c>
      <c r="E5699">
        <v>-3501.33</v>
      </c>
      <c r="F5699">
        <v>-1.24</v>
      </c>
      <c r="G5699" t="s">
        <v>12</v>
      </c>
      <c r="I5699" t="s">
        <v>13</v>
      </c>
    </row>
    <row r="5700" spans="1:9" hidden="1" x14ac:dyDescent="0.25">
      <c r="A5700" t="s">
        <v>4725</v>
      </c>
      <c r="B5700" t="s">
        <v>694</v>
      </c>
      <c r="C5700" s="2">
        <f>HYPERLINK("https://cao.dolgi.msk.ru/account/1080046176/", 1080046176)</f>
        <v>1080046176</v>
      </c>
      <c r="D5700" t="s">
        <v>4800</v>
      </c>
      <c r="E5700">
        <v>-8755.2999999999993</v>
      </c>
      <c r="F5700">
        <v>-2.95</v>
      </c>
      <c r="G5700" t="s">
        <v>12</v>
      </c>
      <c r="I5700" t="s">
        <v>13</v>
      </c>
    </row>
    <row r="5701" spans="1:9" hidden="1" x14ac:dyDescent="0.25">
      <c r="A5701" t="s">
        <v>4725</v>
      </c>
      <c r="B5701" t="s">
        <v>696</v>
      </c>
      <c r="C5701" s="2">
        <f>HYPERLINK("https://cao.dolgi.msk.ru/account/1080046184/", 1080046184)</f>
        <v>1080046184</v>
      </c>
      <c r="D5701" t="s">
        <v>4801</v>
      </c>
      <c r="E5701">
        <v>-2752.67</v>
      </c>
      <c r="F5701">
        <v>-0.79</v>
      </c>
      <c r="G5701" t="s">
        <v>12</v>
      </c>
      <c r="I5701" t="s">
        <v>13</v>
      </c>
    </row>
    <row r="5702" spans="1:9" hidden="1" x14ac:dyDescent="0.25">
      <c r="A5702" t="s">
        <v>4725</v>
      </c>
      <c r="B5702" t="s">
        <v>698</v>
      </c>
      <c r="C5702" s="2">
        <f>HYPERLINK("https://cao.dolgi.msk.ru/account/1080046192/", 1080046192)</f>
        <v>1080046192</v>
      </c>
      <c r="D5702" t="s">
        <v>4802</v>
      </c>
      <c r="E5702">
        <v>-4512.6899999999996</v>
      </c>
      <c r="F5702">
        <v>-1.22</v>
      </c>
      <c r="G5702" t="s">
        <v>12</v>
      </c>
      <c r="I5702" t="s">
        <v>13</v>
      </c>
    </row>
    <row r="5703" spans="1:9" hidden="1" x14ac:dyDescent="0.25">
      <c r="A5703" t="s">
        <v>4725</v>
      </c>
      <c r="B5703" t="s">
        <v>700</v>
      </c>
      <c r="C5703" s="2">
        <f>HYPERLINK("https://cao.dolgi.msk.ru/account/1080046205/", 1080046205)</f>
        <v>1080046205</v>
      </c>
      <c r="D5703" t="s">
        <v>4803</v>
      </c>
      <c r="E5703">
        <v>-4434.01</v>
      </c>
      <c r="F5703">
        <v>-1.08</v>
      </c>
      <c r="G5703" t="s">
        <v>12</v>
      </c>
      <c r="I5703" t="s">
        <v>13</v>
      </c>
    </row>
    <row r="5704" spans="1:9" hidden="1" x14ac:dyDescent="0.25">
      <c r="A5704" t="s">
        <v>4725</v>
      </c>
      <c r="B5704" t="s">
        <v>702</v>
      </c>
      <c r="C5704" s="2">
        <f>HYPERLINK("https://cao.dolgi.msk.ru/account/1080046213/", 1080046213)</f>
        <v>1080046213</v>
      </c>
      <c r="D5704" t="s">
        <v>4804</v>
      </c>
      <c r="E5704">
        <v>-3016.44</v>
      </c>
      <c r="F5704">
        <v>-1.1299999999999999</v>
      </c>
      <c r="G5704" t="s">
        <v>12</v>
      </c>
      <c r="I5704" t="s">
        <v>13</v>
      </c>
    </row>
    <row r="5705" spans="1:9" hidden="1" x14ac:dyDescent="0.25">
      <c r="A5705" t="s">
        <v>4725</v>
      </c>
      <c r="B5705" t="s">
        <v>703</v>
      </c>
      <c r="C5705" s="2">
        <f>HYPERLINK("https://cao.dolgi.msk.ru/account/1080046221/", 1080046221)</f>
        <v>1080046221</v>
      </c>
      <c r="D5705" t="s">
        <v>4805</v>
      </c>
      <c r="E5705">
        <v>-6006.79</v>
      </c>
      <c r="F5705">
        <v>-1.22</v>
      </c>
      <c r="G5705" t="s">
        <v>12</v>
      </c>
      <c r="I5705" t="s">
        <v>13</v>
      </c>
    </row>
    <row r="5706" spans="1:9" x14ac:dyDescent="0.25">
      <c r="A5706" t="s">
        <v>4725</v>
      </c>
      <c r="B5706" t="s">
        <v>705</v>
      </c>
      <c r="C5706" s="2">
        <f>HYPERLINK("https://cao.dolgi.msk.ru/account/1080046248/", 1080046248)</f>
        <v>1080046248</v>
      </c>
      <c r="D5706" t="s">
        <v>4806</v>
      </c>
      <c r="E5706">
        <v>13532.45</v>
      </c>
      <c r="F5706">
        <v>2.69</v>
      </c>
      <c r="G5706" t="s">
        <v>12</v>
      </c>
      <c r="I5706" t="s">
        <v>13</v>
      </c>
    </row>
    <row r="5707" spans="1:9" hidden="1" x14ac:dyDescent="0.25">
      <c r="A5707" t="s">
        <v>4725</v>
      </c>
      <c r="B5707" t="s">
        <v>707</v>
      </c>
      <c r="C5707" s="2">
        <f>HYPERLINK("https://cao.dolgi.msk.ru/account/1080046256/", 1080046256)</f>
        <v>1080046256</v>
      </c>
      <c r="D5707" t="s">
        <v>4807</v>
      </c>
      <c r="E5707">
        <v>-4639.8100000000004</v>
      </c>
      <c r="F5707">
        <v>-1.02</v>
      </c>
      <c r="G5707" t="s">
        <v>12</v>
      </c>
      <c r="I5707" t="s">
        <v>13</v>
      </c>
    </row>
    <row r="5708" spans="1:9" hidden="1" x14ac:dyDescent="0.25">
      <c r="A5708" t="s">
        <v>4725</v>
      </c>
      <c r="B5708" t="s">
        <v>709</v>
      </c>
      <c r="C5708" s="2">
        <f>HYPERLINK("https://cao.dolgi.msk.ru/account/1080046264/", 1080046264)</f>
        <v>1080046264</v>
      </c>
      <c r="D5708" t="s">
        <v>4808</v>
      </c>
      <c r="E5708">
        <v>689.59</v>
      </c>
      <c r="F5708">
        <v>0.14000000000000001</v>
      </c>
      <c r="G5708" t="s">
        <v>12</v>
      </c>
      <c r="I5708" t="s">
        <v>13</v>
      </c>
    </row>
    <row r="5709" spans="1:9" hidden="1" x14ac:dyDescent="0.25">
      <c r="A5709" t="s">
        <v>4725</v>
      </c>
      <c r="B5709" t="s">
        <v>711</v>
      </c>
      <c r="C5709" s="2">
        <f>HYPERLINK("https://cao.dolgi.msk.ru/account/1080046272/", 1080046272)</f>
        <v>1080046272</v>
      </c>
      <c r="D5709" t="s">
        <v>4809</v>
      </c>
      <c r="E5709">
        <v>-2761.47</v>
      </c>
      <c r="F5709">
        <v>-1.1000000000000001</v>
      </c>
      <c r="G5709" t="s">
        <v>12</v>
      </c>
      <c r="I5709" t="s">
        <v>13</v>
      </c>
    </row>
    <row r="5710" spans="1:9" hidden="1" x14ac:dyDescent="0.25">
      <c r="A5710" t="s">
        <v>4725</v>
      </c>
      <c r="B5710" t="s">
        <v>713</v>
      </c>
      <c r="C5710" s="2">
        <f>HYPERLINK("https://cao.dolgi.msk.ru/account/1080046299/", 1080046299)</f>
        <v>1080046299</v>
      </c>
      <c r="D5710" t="s">
        <v>4810</v>
      </c>
      <c r="E5710">
        <v>-2877.6</v>
      </c>
      <c r="F5710">
        <v>-1.24</v>
      </c>
      <c r="G5710" t="s">
        <v>12</v>
      </c>
      <c r="I5710" t="s">
        <v>13</v>
      </c>
    </row>
    <row r="5711" spans="1:9" hidden="1" x14ac:dyDescent="0.25">
      <c r="A5711" t="s">
        <v>4725</v>
      </c>
      <c r="B5711" t="s">
        <v>528</v>
      </c>
      <c r="C5711" s="2">
        <f>HYPERLINK("https://cao.dolgi.msk.ru/account/1080046301/", 1080046301)</f>
        <v>1080046301</v>
      </c>
      <c r="D5711" t="s">
        <v>4811</v>
      </c>
      <c r="E5711">
        <v>-3055.46</v>
      </c>
      <c r="F5711">
        <v>-1.2</v>
      </c>
      <c r="G5711" t="s">
        <v>12</v>
      </c>
      <c r="I5711" t="s">
        <v>13</v>
      </c>
    </row>
    <row r="5712" spans="1:9" hidden="1" x14ac:dyDescent="0.25">
      <c r="A5712" t="s">
        <v>4725</v>
      </c>
      <c r="B5712" t="s">
        <v>530</v>
      </c>
      <c r="C5712" s="2">
        <f>HYPERLINK("https://cao.dolgi.msk.ru/account/1080046328/", 1080046328)</f>
        <v>1080046328</v>
      </c>
      <c r="D5712" t="s">
        <v>4812</v>
      </c>
      <c r="E5712">
        <v>2270.4699999999998</v>
      </c>
      <c r="F5712">
        <v>0.24</v>
      </c>
      <c r="G5712" t="s">
        <v>12</v>
      </c>
      <c r="I5712" t="s">
        <v>13</v>
      </c>
    </row>
    <row r="5713" spans="1:9" hidden="1" x14ac:dyDescent="0.25">
      <c r="A5713" t="s">
        <v>4725</v>
      </c>
      <c r="B5713" t="s">
        <v>532</v>
      </c>
      <c r="C5713" s="2">
        <f>HYPERLINK("https://cao.dolgi.msk.ru/account/1080046336/", 1080046336)</f>
        <v>1080046336</v>
      </c>
      <c r="D5713" t="s">
        <v>4813</v>
      </c>
      <c r="E5713">
        <v>4420.25</v>
      </c>
      <c r="F5713">
        <v>0.85</v>
      </c>
      <c r="G5713" t="s">
        <v>12</v>
      </c>
      <c r="I5713" t="s">
        <v>13</v>
      </c>
    </row>
    <row r="5714" spans="1:9" hidden="1" x14ac:dyDescent="0.25">
      <c r="A5714" t="s">
        <v>4725</v>
      </c>
      <c r="B5714" t="s">
        <v>534</v>
      </c>
      <c r="C5714" s="2">
        <f>HYPERLINK("https://cao.dolgi.msk.ru/account/1080046344/", 1080046344)</f>
        <v>1080046344</v>
      </c>
      <c r="D5714" t="s">
        <v>4814</v>
      </c>
      <c r="E5714">
        <v>0</v>
      </c>
      <c r="F5714">
        <v>0</v>
      </c>
      <c r="G5714" t="s">
        <v>12</v>
      </c>
      <c r="I5714" t="s">
        <v>13</v>
      </c>
    </row>
    <row r="5715" spans="1:9" hidden="1" x14ac:dyDescent="0.25">
      <c r="A5715" t="s">
        <v>4725</v>
      </c>
      <c r="B5715" t="s">
        <v>536</v>
      </c>
      <c r="C5715" s="2">
        <f>HYPERLINK("https://cao.dolgi.msk.ru/account/1080046352/", 1080046352)</f>
        <v>1080046352</v>
      </c>
      <c r="D5715" t="s">
        <v>4815</v>
      </c>
      <c r="E5715">
        <v>-3520.42</v>
      </c>
      <c r="F5715">
        <v>-1.38</v>
      </c>
      <c r="G5715" t="s">
        <v>12</v>
      </c>
      <c r="I5715" t="s">
        <v>13</v>
      </c>
    </row>
    <row r="5716" spans="1:9" hidden="1" x14ac:dyDescent="0.25">
      <c r="A5716" t="s">
        <v>4725</v>
      </c>
      <c r="B5716" t="s">
        <v>538</v>
      </c>
      <c r="C5716" s="2">
        <f>HYPERLINK("https://cao.dolgi.msk.ru/account/1080046379/", 1080046379)</f>
        <v>1080046379</v>
      </c>
      <c r="D5716" t="s">
        <v>4816</v>
      </c>
      <c r="E5716">
        <v>-6811.44</v>
      </c>
      <c r="F5716">
        <v>-1.39</v>
      </c>
      <c r="G5716" t="s">
        <v>12</v>
      </c>
      <c r="I5716" t="s">
        <v>13</v>
      </c>
    </row>
    <row r="5717" spans="1:9" hidden="1" x14ac:dyDescent="0.25">
      <c r="A5717" t="s">
        <v>4725</v>
      </c>
      <c r="B5717" t="s">
        <v>539</v>
      </c>
      <c r="C5717" s="2">
        <f>HYPERLINK("https://cao.dolgi.msk.ru/account/1080046387/", 1080046387)</f>
        <v>1080046387</v>
      </c>
      <c r="D5717" t="s">
        <v>4817</v>
      </c>
      <c r="E5717">
        <v>170.89</v>
      </c>
      <c r="F5717">
        <v>0.03</v>
      </c>
      <c r="G5717" t="s">
        <v>12</v>
      </c>
      <c r="I5717" t="s">
        <v>13</v>
      </c>
    </row>
    <row r="5718" spans="1:9" hidden="1" x14ac:dyDescent="0.25">
      <c r="A5718" t="s">
        <v>4725</v>
      </c>
      <c r="B5718" t="s">
        <v>541</v>
      </c>
      <c r="C5718" s="2">
        <f>HYPERLINK("https://cao.dolgi.msk.ru/account/1080047865/", 1080047865)</f>
        <v>1080047865</v>
      </c>
      <c r="D5718" t="s">
        <v>4818</v>
      </c>
      <c r="E5718">
        <v>-5219.91</v>
      </c>
      <c r="F5718">
        <v>-1.1200000000000001</v>
      </c>
      <c r="G5718" t="s">
        <v>12</v>
      </c>
      <c r="I5718" t="s">
        <v>13</v>
      </c>
    </row>
    <row r="5719" spans="1:9" hidden="1" x14ac:dyDescent="0.25">
      <c r="A5719" t="s">
        <v>4819</v>
      </c>
      <c r="B5719" t="s">
        <v>10</v>
      </c>
      <c r="C5719" s="2">
        <f>HYPERLINK("https://cao.dolgi.msk.ru/account/1080009957/", 1080009957)</f>
        <v>1080009957</v>
      </c>
      <c r="D5719" t="s">
        <v>15</v>
      </c>
      <c r="G5719" t="s">
        <v>14</v>
      </c>
      <c r="I5719" t="s">
        <v>13</v>
      </c>
    </row>
    <row r="5720" spans="1:9" hidden="1" x14ac:dyDescent="0.25">
      <c r="A5720" t="s">
        <v>4819</v>
      </c>
      <c r="B5720" t="s">
        <v>16</v>
      </c>
      <c r="C5720" s="2">
        <f>HYPERLINK("https://cao.dolgi.msk.ru/account/1080009973/", 1080009973)</f>
        <v>1080009973</v>
      </c>
      <c r="D5720" t="s">
        <v>4820</v>
      </c>
      <c r="E5720">
        <v>-26067.87</v>
      </c>
      <c r="G5720" t="s">
        <v>14</v>
      </c>
      <c r="I5720" t="s">
        <v>13</v>
      </c>
    </row>
    <row r="5721" spans="1:9" hidden="1" x14ac:dyDescent="0.25">
      <c r="A5721" t="s">
        <v>4819</v>
      </c>
      <c r="B5721" t="s">
        <v>16</v>
      </c>
      <c r="C5721" s="2">
        <f>HYPERLINK("https://cao.dolgi.msk.ru/account/1083390415/", 1083390415)</f>
        <v>1083390415</v>
      </c>
      <c r="D5721" t="s">
        <v>4820</v>
      </c>
      <c r="E5721">
        <v>-6836.6</v>
      </c>
      <c r="F5721">
        <v>-0.97</v>
      </c>
      <c r="G5721" t="s">
        <v>12</v>
      </c>
      <c r="I5721" t="s">
        <v>13</v>
      </c>
    </row>
    <row r="5722" spans="1:9" hidden="1" x14ac:dyDescent="0.25">
      <c r="A5722" t="s">
        <v>4819</v>
      </c>
      <c r="B5722" t="s">
        <v>18</v>
      </c>
      <c r="C5722" s="2">
        <f>HYPERLINK("https://cao.dolgi.msk.ru/account/1080009981/", 1080009981)</f>
        <v>1080009981</v>
      </c>
      <c r="D5722" t="s">
        <v>4821</v>
      </c>
      <c r="E5722">
        <v>-4148.6499999999996</v>
      </c>
      <c r="G5722" t="s">
        <v>14</v>
      </c>
      <c r="I5722" t="s">
        <v>13</v>
      </c>
    </row>
    <row r="5723" spans="1:9" hidden="1" x14ac:dyDescent="0.25">
      <c r="A5723" t="s">
        <v>4819</v>
      </c>
      <c r="B5723" t="s">
        <v>18</v>
      </c>
      <c r="C5723" s="2">
        <f>HYPERLINK("https://cao.dolgi.msk.ru/account/1083390271/", 1083390271)</f>
        <v>1083390271</v>
      </c>
      <c r="D5723" t="s">
        <v>4821</v>
      </c>
      <c r="E5723">
        <v>-7680.73</v>
      </c>
      <c r="F5723">
        <v>-0.96</v>
      </c>
      <c r="G5723" t="s">
        <v>12</v>
      </c>
      <c r="I5723" t="s">
        <v>13</v>
      </c>
    </row>
    <row r="5724" spans="1:9" hidden="1" x14ac:dyDescent="0.25">
      <c r="A5724" t="s">
        <v>4819</v>
      </c>
      <c r="B5724" t="s">
        <v>20</v>
      </c>
      <c r="C5724" s="2">
        <f>HYPERLINK("https://cao.dolgi.msk.ru/account/1080010018/", 1080010018)</f>
        <v>1080010018</v>
      </c>
      <c r="D5724" t="s">
        <v>4822</v>
      </c>
      <c r="E5724">
        <v>5483.8</v>
      </c>
      <c r="G5724" t="s">
        <v>14</v>
      </c>
      <c r="I5724" t="s">
        <v>13</v>
      </c>
    </row>
    <row r="5725" spans="1:9" hidden="1" x14ac:dyDescent="0.25">
      <c r="A5725" t="s">
        <v>4819</v>
      </c>
      <c r="B5725" t="s">
        <v>20</v>
      </c>
      <c r="C5725" s="2">
        <f>HYPERLINK("https://cao.dolgi.msk.ru/account/1083390589/", 1083390589)</f>
        <v>1083390589</v>
      </c>
      <c r="D5725" t="s">
        <v>4822</v>
      </c>
      <c r="E5725">
        <v>-6932.35</v>
      </c>
      <c r="F5725">
        <v>-0.96</v>
      </c>
      <c r="G5725" t="s">
        <v>12</v>
      </c>
      <c r="I5725" t="s">
        <v>13</v>
      </c>
    </row>
    <row r="5726" spans="1:9" hidden="1" x14ac:dyDescent="0.25">
      <c r="A5726" t="s">
        <v>4819</v>
      </c>
      <c r="B5726" t="s">
        <v>21</v>
      </c>
      <c r="C5726" s="2">
        <f>HYPERLINK("https://cao.dolgi.msk.ru/account/1080010026/", 1080010026)</f>
        <v>1080010026</v>
      </c>
      <c r="D5726" t="s">
        <v>4823</v>
      </c>
      <c r="E5726">
        <v>3249.83</v>
      </c>
      <c r="G5726" t="s">
        <v>14</v>
      </c>
      <c r="H5726" t="s">
        <v>7</v>
      </c>
      <c r="I5726" t="s">
        <v>13</v>
      </c>
    </row>
    <row r="5727" spans="1:9" hidden="1" x14ac:dyDescent="0.25">
      <c r="A5727" t="s">
        <v>4819</v>
      </c>
      <c r="B5727" t="s">
        <v>21</v>
      </c>
      <c r="C5727" s="2">
        <f>HYPERLINK("https://cao.dolgi.msk.ru/account/1080010034/", 1080010034)</f>
        <v>1080010034</v>
      </c>
      <c r="D5727" t="s">
        <v>15</v>
      </c>
      <c r="E5727">
        <v>1286.55</v>
      </c>
      <c r="G5727" t="s">
        <v>14</v>
      </c>
      <c r="H5727" t="s">
        <v>7</v>
      </c>
      <c r="I5727" t="s">
        <v>13</v>
      </c>
    </row>
    <row r="5728" spans="1:9" hidden="1" x14ac:dyDescent="0.25">
      <c r="A5728" t="s">
        <v>4819</v>
      </c>
      <c r="B5728" t="s">
        <v>21</v>
      </c>
      <c r="C5728" s="2">
        <f>HYPERLINK("https://cao.dolgi.msk.ru/account/1080010042/", 1080010042)</f>
        <v>1080010042</v>
      </c>
      <c r="D5728" t="s">
        <v>4824</v>
      </c>
      <c r="E5728">
        <v>1426.61</v>
      </c>
      <c r="G5728" t="s">
        <v>14</v>
      </c>
      <c r="H5728" t="s">
        <v>7</v>
      </c>
      <c r="I5728" t="s">
        <v>13</v>
      </c>
    </row>
    <row r="5729" spans="1:9" hidden="1" x14ac:dyDescent="0.25">
      <c r="A5729" t="s">
        <v>4819</v>
      </c>
      <c r="B5729" t="s">
        <v>21</v>
      </c>
      <c r="C5729" s="2">
        <f>HYPERLINK("https://cao.dolgi.msk.ru/account/1083390298/", 1083390298)</f>
        <v>1083390298</v>
      </c>
      <c r="D5729" t="s">
        <v>4823</v>
      </c>
      <c r="E5729">
        <v>-4931.71</v>
      </c>
      <c r="F5729">
        <v>-0.98</v>
      </c>
      <c r="G5729" t="s">
        <v>12</v>
      </c>
      <c r="H5729" t="s">
        <v>7</v>
      </c>
      <c r="I5729" t="s">
        <v>13</v>
      </c>
    </row>
    <row r="5730" spans="1:9" x14ac:dyDescent="0.25">
      <c r="A5730" t="s">
        <v>4819</v>
      </c>
      <c r="B5730" t="s">
        <v>21</v>
      </c>
      <c r="C5730" s="2">
        <f>HYPERLINK("https://cao.dolgi.msk.ru/account/1083390319/", 1083390319)</f>
        <v>1083390319</v>
      </c>
      <c r="D5730" t="s">
        <v>15</v>
      </c>
      <c r="E5730">
        <v>3677.36</v>
      </c>
      <c r="F5730">
        <v>3.37</v>
      </c>
      <c r="G5730" t="s">
        <v>12</v>
      </c>
      <c r="H5730" t="s">
        <v>7</v>
      </c>
      <c r="I5730" t="s">
        <v>13</v>
      </c>
    </row>
    <row r="5731" spans="1:9" hidden="1" x14ac:dyDescent="0.25">
      <c r="A5731" t="s">
        <v>4819</v>
      </c>
      <c r="B5731" t="s">
        <v>21</v>
      </c>
      <c r="C5731" s="2">
        <f>HYPERLINK("https://cao.dolgi.msk.ru/account/1083390722/", 1083390722)</f>
        <v>1083390722</v>
      </c>
      <c r="D5731" t="s">
        <v>4824</v>
      </c>
      <c r="E5731">
        <v>-2789.84</v>
      </c>
      <c r="F5731">
        <v>-1.04</v>
      </c>
      <c r="G5731" t="s">
        <v>12</v>
      </c>
      <c r="H5731" t="s">
        <v>7</v>
      </c>
      <c r="I5731" t="s">
        <v>13</v>
      </c>
    </row>
    <row r="5732" spans="1:9" hidden="1" x14ac:dyDescent="0.25">
      <c r="A5732" t="s">
        <v>4819</v>
      </c>
      <c r="B5732" t="s">
        <v>22</v>
      </c>
      <c r="C5732" s="2">
        <f>HYPERLINK("https://cao.dolgi.msk.ru/account/1080010069/", 1080010069)</f>
        <v>1080010069</v>
      </c>
      <c r="D5732" t="s">
        <v>4825</v>
      </c>
      <c r="E5732">
        <v>7718.02</v>
      </c>
      <c r="G5732" t="s">
        <v>14</v>
      </c>
      <c r="I5732" t="s">
        <v>13</v>
      </c>
    </row>
    <row r="5733" spans="1:9" hidden="1" x14ac:dyDescent="0.25">
      <c r="A5733" t="s">
        <v>4819</v>
      </c>
      <c r="B5733" t="s">
        <v>22</v>
      </c>
      <c r="C5733" s="2">
        <f>HYPERLINK("https://cao.dolgi.msk.ru/account/1083390597/", 1083390597)</f>
        <v>1083390597</v>
      </c>
      <c r="D5733" t="s">
        <v>4825</v>
      </c>
      <c r="E5733">
        <v>-4481.1000000000004</v>
      </c>
      <c r="F5733">
        <v>-0.9</v>
      </c>
      <c r="G5733" t="s">
        <v>12</v>
      </c>
      <c r="I5733" t="s">
        <v>13</v>
      </c>
    </row>
    <row r="5734" spans="1:9" hidden="1" x14ac:dyDescent="0.25">
      <c r="A5734" t="s">
        <v>4819</v>
      </c>
      <c r="B5734" t="s">
        <v>23</v>
      </c>
      <c r="C5734" s="2">
        <f>HYPERLINK("https://cao.dolgi.msk.ru/account/1080010077/", 1080010077)</f>
        <v>1080010077</v>
      </c>
      <c r="D5734" t="s">
        <v>4826</v>
      </c>
      <c r="E5734">
        <v>-26499.55</v>
      </c>
      <c r="G5734" t="s">
        <v>14</v>
      </c>
      <c r="I5734" t="s">
        <v>13</v>
      </c>
    </row>
    <row r="5735" spans="1:9" hidden="1" x14ac:dyDescent="0.25">
      <c r="A5735" t="s">
        <v>4819</v>
      </c>
      <c r="B5735" t="s">
        <v>23</v>
      </c>
      <c r="C5735" s="2">
        <f>HYPERLINK("https://cao.dolgi.msk.ru/account/1083390503/", 1083390503)</f>
        <v>1083390503</v>
      </c>
      <c r="D5735" t="s">
        <v>4826</v>
      </c>
      <c r="E5735">
        <v>-7710.87</v>
      </c>
      <c r="F5735">
        <v>-0.96</v>
      </c>
      <c r="G5735" t="s">
        <v>12</v>
      </c>
      <c r="I5735" t="s">
        <v>13</v>
      </c>
    </row>
    <row r="5736" spans="1:9" hidden="1" x14ac:dyDescent="0.25">
      <c r="A5736" t="s">
        <v>4819</v>
      </c>
      <c r="B5736" t="s">
        <v>24</v>
      </c>
      <c r="C5736" s="2">
        <f>HYPERLINK("https://cao.dolgi.msk.ru/account/1080010085/", 1080010085)</f>
        <v>1080010085</v>
      </c>
      <c r="D5736" t="s">
        <v>4827</v>
      </c>
      <c r="E5736">
        <v>155.28</v>
      </c>
      <c r="G5736" t="s">
        <v>14</v>
      </c>
      <c r="I5736" t="s">
        <v>13</v>
      </c>
    </row>
    <row r="5737" spans="1:9" hidden="1" x14ac:dyDescent="0.25">
      <c r="A5737" t="s">
        <v>4819</v>
      </c>
      <c r="B5737" t="s">
        <v>24</v>
      </c>
      <c r="C5737" s="2">
        <f>HYPERLINK("https://cao.dolgi.msk.ru/account/1083390423/", 1083390423)</f>
        <v>1083390423</v>
      </c>
      <c r="D5737" t="s">
        <v>4827</v>
      </c>
      <c r="E5737">
        <v>-7437.92</v>
      </c>
      <c r="F5737">
        <v>-0.88</v>
      </c>
      <c r="G5737" t="s">
        <v>12</v>
      </c>
      <c r="I5737" t="s">
        <v>13</v>
      </c>
    </row>
    <row r="5738" spans="1:9" hidden="1" x14ac:dyDescent="0.25">
      <c r="A5738" t="s">
        <v>4819</v>
      </c>
      <c r="B5738" t="s">
        <v>27</v>
      </c>
      <c r="C5738" s="2">
        <f>HYPERLINK("https://cao.dolgi.msk.ru/account/1080010114/", 1080010114)</f>
        <v>1080010114</v>
      </c>
      <c r="D5738" t="s">
        <v>4828</v>
      </c>
      <c r="E5738">
        <v>44781.31</v>
      </c>
      <c r="F5738">
        <v>10.9</v>
      </c>
      <c r="G5738" t="s">
        <v>14</v>
      </c>
      <c r="H5738" t="s">
        <v>7</v>
      </c>
      <c r="I5738" t="s">
        <v>13</v>
      </c>
    </row>
    <row r="5739" spans="1:9" hidden="1" x14ac:dyDescent="0.25">
      <c r="A5739" t="s">
        <v>4819</v>
      </c>
      <c r="B5739" t="s">
        <v>27</v>
      </c>
      <c r="C5739" s="2">
        <f>HYPERLINK("https://cao.dolgi.msk.ru/account/1080010149/", 1080010149)</f>
        <v>1080010149</v>
      </c>
      <c r="D5739" t="s">
        <v>1082</v>
      </c>
      <c r="E5739">
        <v>2034.61</v>
      </c>
      <c r="G5739" t="s">
        <v>14</v>
      </c>
      <c r="H5739" t="s">
        <v>7</v>
      </c>
      <c r="I5739" t="s">
        <v>13</v>
      </c>
    </row>
    <row r="5740" spans="1:9" hidden="1" x14ac:dyDescent="0.25">
      <c r="A5740" t="s">
        <v>4819</v>
      </c>
      <c r="B5740" t="s">
        <v>27</v>
      </c>
      <c r="C5740" s="2">
        <f>HYPERLINK("https://cao.dolgi.msk.ru/account/1083390386/", 1083390386)</f>
        <v>1083390386</v>
      </c>
      <c r="D5740" t="s">
        <v>1082</v>
      </c>
      <c r="E5740">
        <v>-4207.38</v>
      </c>
      <c r="F5740">
        <v>-1.02</v>
      </c>
      <c r="G5740" t="s">
        <v>12</v>
      </c>
      <c r="H5740" t="s">
        <v>7</v>
      </c>
      <c r="I5740" t="s">
        <v>13</v>
      </c>
    </row>
    <row r="5741" spans="1:9" hidden="1" x14ac:dyDescent="0.25">
      <c r="A5741" t="s">
        <v>4819</v>
      </c>
      <c r="B5741" t="s">
        <v>27</v>
      </c>
      <c r="C5741" s="2">
        <f>HYPERLINK("https://cao.dolgi.msk.ru/account/1083390474/", 1083390474)</f>
        <v>1083390474</v>
      </c>
      <c r="D5741" t="s">
        <v>4828</v>
      </c>
      <c r="E5741">
        <v>-5362.17</v>
      </c>
      <c r="F5741">
        <v>-0.98</v>
      </c>
      <c r="G5741" t="s">
        <v>12</v>
      </c>
      <c r="H5741" t="s">
        <v>7</v>
      </c>
      <c r="I5741" t="s">
        <v>13</v>
      </c>
    </row>
    <row r="5742" spans="1:9" hidden="1" x14ac:dyDescent="0.25">
      <c r="A5742" t="s">
        <v>4819</v>
      </c>
      <c r="B5742" t="s">
        <v>29</v>
      </c>
      <c r="C5742" s="2">
        <f>HYPERLINK("https://cao.dolgi.msk.ru/account/1080010157/", 1080010157)</f>
        <v>1080010157</v>
      </c>
      <c r="D5742" t="s">
        <v>15</v>
      </c>
      <c r="E5742">
        <v>-28362.21</v>
      </c>
      <c r="G5742" t="s">
        <v>14</v>
      </c>
      <c r="I5742" t="s">
        <v>13</v>
      </c>
    </row>
    <row r="5743" spans="1:9" hidden="1" x14ac:dyDescent="0.25">
      <c r="A5743" t="s">
        <v>4819</v>
      </c>
      <c r="B5743" t="s">
        <v>29</v>
      </c>
      <c r="C5743" s="2">
        <f>HYPERLINK("https://cao.dolgi.msk.ru/account/1083390749/", 1083390749)</f>
        <v>1083390749</v>
      </c>
      <c r="D5743" t="s">
        <v>15</v>
      </c>
      <c r="E5743">
        <v>-7002.41</v>
      </c>
      <c r="F5743">
        <v>-0.97</v>
      </c>
      <c r="G5743" t="s">
        <v>12</v>
      </c>
      <c r="I5743" t="s">
        <v>13</v>
      </c>
    </row>
    <row r="5744" spans="1:9" hidden="1" x14ac:dyDescent="0.25">
      <c r="A5744" t="s">
        <v>4819</v>
      </c>
      <c r="B5744" t="s">
        <v>31</v>
      </c>
      <c r="C5744" s="2">
        <f>HYPERLINK("https://cao.dolgi.msk.ru/account/1080010173/", 1080010173)</f>
        <v>1080010173</v>
      </c>
      <c r="D5744" t="s">
        <v>4829</v>
      </c>
      <c r="E5744">
        <v>6681.79</v>
      </c>
      <c r="G5744" t="s">
        <v>14</v>
      </c>
      <c r="I5744" t="s">
        <v>13</v>
      </c>
    </row>
    <row r="5745" spans="1:9" hidden="1" x14ac:dyDescent="0.25">
      <c r="A5745" t="s">
        <v>4819</v>
      </c>
      <c r="B5745" t="s">
        <v>31</v>
      </c>
      <c r="C5745" s="2">
        <f>HYPERLINK("https://cao.dolgi.msk.ru/account/1080010181/", 1080010181)</f>
        <v>1080010181</v>
      </c>
      <c r="D5745" t="s">
        <v>15</v>
      </c>
      <c r="G5745" t="s">
        <v>14</v>
      </c>
      <c r="I5745" t="s">
        <v>13</v>
      </c>
    </row>
    <row r="5746" spans="1:9" hidden="1" x14ac:dyDescent="0.25">
      <c r="A5746" t="s">
        <v>4819</v>
      </c>
      <c r="B5746" t="s">
        <v>31</v>
      </c>
      <c r="C5746" s="2">
        <f>HYPERLINK("https://cao.dolgi.msk.ru/account/1080010202/", 1080010202)</f>
        <v>1080010202</v>
      </c>
      <c r="D5746" t="s">
        <v>15</v>
      </c>
      <c r="G5746" t="s">
        <v>14</v>
      </c>
      <c r="I5746" t="s">
        <v>13</v>
      </c>
    </row>
    <row r="5747" spans="1:9" hidden="1" x14ac:dyDescent="0.25">
      <c r="A5747" t="s">
        <v>4819</v>
      </c>
      <c r="B5747" t="s">
        <v>31</v>
      </c>
      <c r="C5747" s="2">
        <f>HYPERLINK("https://cao.dolgi.msk.ru/account/1083390511/", 1083390511)</f>
        <v>1083390511</v>
      </c>
      <c r="D5747" t="s">
        <v>4829</v>
      </c>
      <c r="E5747">
        <v>-8297.5400000000009</v>
      </c>
      <c r="F5747">
        <v>-0.96</v>
      </c>
      <c r="G5747" t="s">
        <v>12</v>
      </c>
      <c r="I5747" t="s">
        <v>13</v>
      </c>
    </row>
    <row r="5748" spans="1:9" hidden="1" x14ac:dyDescent="0.25">
      <c r="A5748" t="s">
        <v>4819</v>
      </c>
      <c r="B5748" t="s">
        <v>33</v>
      </c>
      <c r="C5748" s="2">
        <f>HYPERLINK("https://cao.dolgi.msk.ru/account/1080010229/", 1080010229)</f>
        <v>1080010229</v>
      </c>
      <c r="D5748" t="s">
        <v>4830</v>
      </c>
      <c r="E5748">
        <v>-3540.29</v>
      </c>
      <c r="G5748" t="s">
        <v>14</v>
      </c>
      <c r="I5748" t="s">
        <v>13</v>
      </c>
    </row>
    <row r="5749" spans="1:9" hidden="1" x14ac:dyDescent="0.25">
      <c r="A5749" t="s">
        <v>4819</v>
      </c>
      <c r="B5749" t="s">
        <v>33</v>
      </c>
      <c r="C5749" s="2">
        <f>HYPERLINK("https://cao.dolgi.msk.ru/account/1083390757/", 1083390757)</f>
        <v>1083390757</v>
      </c>
      <c r="D5749" t="s">
        <v>4830</v>
      </c>
      <c r="E5749">
        <v>-4236.7</v>
      </c>
      <c r="F5749">
        <v>-0.95</v>
      </c>
      <c r="G5749" t="s">
        <v>12</v>
      </c>
      <c r="I5749" t="s">
        <v>13</v>
      </c>
    </row>
    <row r="5750" spans="1:9" hidden="1" x14ac:dyDescent="0.25">
      <c r="A5750" t="s">
        <v>4819</v>
      </c>
      <c r="B5750" t="s">
        <v>34</v>
      </c>
      <c r="C5750" s="2">
        <f>HYPERLINK("https://cao.dolgi.msk.ru/account/1080010237/", 1080010237)</f>
        <v>1080010237</v>
      </c>
      <c r="D5750" t="s">
        <v>4831</v>
      </c>
      <c r="E5750">
        <v>-6562.19</v>
      </c>
      <c r="G5750" t="s">
        <v>14</v>
      </c>
      <c r="I5750" t="s">
        <v>13</v>
      </c>
    </row>
    <row r="5751" spans="1:9" hidden="1" x14ac:dyDescent="0.25">
      <c r="A5751" t="s">
        <v>4819</v>
      </c>
      <c r="B5751" t="s">
        <v>34</v>
      </c>
      <c r="C5751" s="2">
        <f>HYPERLINK("https://cao.dolgi.msk.ru/account/1083390669/", 1083390669)</f>
        <v>1083390669</v>
      </c>
      <c r="D5751" t="s">
        <v>4831</v>
      </c>
      <c r="E5751">
        <v>-7872.84</v>
      </c>
      <c r="F5751">
        <v>-0.96</v>
      </c>
      <c r="G5751" t="s">
        <v>12</v>
      </c>
      <c r="I5751" t="s">
        <v>13</v>
      </c>
    </row>
    <row r="5752" spans="1:9" hidden="1" x14ac:dyDescent="0.25">
      <c r="A5752" t="s">
        <v>4819</v>
      </c>
      <c r="B5752" t="s">
        <v>36</v>
      </c>
      <c r="C5752" s="2">
        <f>HYPERLINK("https://cao.dolgi.msk.ru/account/1080320411/", 1080320411)</f>
        <v>1080320411</v>
      </c>
      <c r="D5752" t="s">
        <v>15</v>
      </c>
      <c r="E5752">
        <v>97662.48</v>
      </c>
      <c r="G5752" t="s">
        <v>14</v>
      </c>
      <c r="I5752" t="s">
        <v>13</v>
      </c>
    </row>
    <row r="5753" spans="1:9" x14ac:dyDescent="0.25">
      <c r="A5753" t="s">
        <v>4819</v>
      </c>
      <c r="B5753" t="s">
        <v>36</v>
      </c>
      <c r="C5753" s="2">
        <f>HYPERLINK("https://cao.dolgi.msk.ru/account/1083390781/", 1083390781)</f>
        <v>1083390781</v>
      </c>
      <c r="D5753" t="s">
        <v>15</v>
      </c>
      <c r="E5753">
        <v>14260.98</v>
      </c>
      <c r="F5753">
        <v>1.89</v>
      </c>
      <c r="G5753" t="s">
        <v>12</v>
      </c>
      <c r="I5753" t="s">
        <v>13</v>
      </c>
    </row>
    <row r="5754" spans="1:9" hidden="1" x14ac:dyDescent="0.25">
      <c r="A5754" t="s">
        <v>4819</v>
      </c>
      <c r="B5754" t="s">
        <v>38</v>
      </c>
      <c r="C5754" s="2">
        <f>HYPERLINK("https://cao.dolgi.msk.ru/account/1080010245/", 1080010245)</f>
        <v>1080010245</v>
      </c>
      <c r="D5754" t="s">
        <v>4832</v>
      </c>
      <c r="E5754">
        <v>-15734.48</v>
      </c>
      <c r="G5754" t="s">
        <v>14</v>
      </c>
      <c r="I5754" t="s">
        <v>13</v>
      </c>
    </row>
    <row r="5755" spans="1:9" hidden="1" x14ac:dyDescent="0.25">
      <c r="A5755" t="s">
        <v>4819</v>
      </c>
      <c r="B5755" t="s">
        <v>38</v>
      </c>
      <c r="C5755" s="2">
        <f>HYPERLINK("https://cao.dolgi.msk.ru/account/1083390677/", 1083390677)</f>
        <v>1083390677</v>
      </c>
      <c r="D5755" t="s">
        <v>4832</v>
      </c>
      <c r="E5755">
        <v>-13358.44</v>
      </c>
      <c r="F5755">
        <v>-0.92</v>
      </c>
      <c r="G5755" t="s">
        <v>12</v>
      </c>
      <c r="I5755" t="s">
        <v>13</v>
      </c>
    </row>
    <row r="5756" spans="1:9" hidden="1" x14ac:dyDescent="0.25">
      <c r="A5756" t="s">
        <v>4819</v>
      </c>
      <c r="B5756" t="s">
        <v>39</v>
      </c>
      <c r="C5756" s="2">
        <f>HYPERLINK("https://cao.dolgi.msk.ru/account/1080010253/", 1080010253)</f>
        <v>1080010253</v>
      </c>
      <c r="D5756" t="s">
        <v>4833</v>
      </c>
      <c r="E5756">
        <v>6.47</v>
      </c>
      <c r="F5756">
        <v>0.01</v>
      </c>
      <c r="G5756" t="s">
        <v>14</v>
      </c>
      <c r="I5756" t="s">
        <v>13</v>
      </c>
    </row>
    <row r="5757" spans="1:9" hidden="1" x14ac:dyDescent="0.25">
      <c r="A5757" t="s">
        <v>4819</v>
      </c>
      <c r="B5757" t="s">
        <v>39</v>
      </c>
      <c r="C5757" s="2">
        <f>HYPERLINK("https://cao.dolgi.msk.ru/account/1083390431/", 1083390431)</f>
        <v>1083390431</v>
      </c>
      <c r="D5757" t="s">
        <v>4833</v>
      </c>
      <c r="E5757">
        <v>-6291.9</v>
      </c>
      <c r="F5757">
        <v>-0.96</v>
      </c>
      <c r="G5757" t="s">
        <v>12</v>
      </c>
      <c r="I5757" t="s">
        <v>13</v>
      </c>
    </row>
    <row r="5758" spans="1:9" hidden="1" x14ac:dyDescent="0.25">
      <c r="A5758" t="s">
        <v>4819</v>
      </c>
      <c r="B5758" t="s">
        <v>40</v>
      </c>
      <c r="C5758" s="2">
        <f>HYPERLINK("https://cao.dolgi.msk.ru/account/1080010261/", 1080010261)</f>
        <v>1080010261</v>
      </c>
      <c r="D5758" t="s">
        <v>62</v>
      </c>
      <c r="E5758">
        <v>0</v>
      </c>
      <c r="G5758" t="s">
        <v>14</v>
      </c>
      <c r="I5758" t="s">
        <v>13</v>
      </c>
    </row>
    <row r="5759" spans="1:9" hidden="1" x14ac:dyDescent="0.25">
      <c r="A5759" t="s">
        <v>4819</v>
      </c>
      <c r="B5759" t="s">
        <v>40</v>
      </c>
      <c r="C5759" s="2">
        <f>HYPERLINK("https://cao.dolgi.msk.ru/account/1083390327/", 1083390327)</f>
        <v>1083390327</v>
      </c>
      <c r="D5759" t="s">
        <v>62</v>
      </c>
      <c r="E5759">
        <v>-8186.8</v>
      </c>
      <c r="F5759">
        <v>-0.95</v>
      </c>
      <c r="G5759" t="s">
        <v>12</v>
      </c>
      <c r="I5759" t="s">
        <v>13</v>
      </c>
    </row>
    <row r="5760" spans="1:9" hidden="1" x14ac:dyDescent="0.25">
      <c r="A5760" t="s">
        <v>4819</v>
      </c>
      <c r="B5760" t="s">
        <v>41</v>
      </c>
      <c r="C5760" s="2">
        <f>HYPERLINK("https://cao.dolgi.msk.ru/account/1080010288/", 1080010288)</f>
        <v>1080010288</v>
      </c>
      <c r="D5760" t="s">
        <v>15</v>
      </c>
      <c r="G5760" t="s">
        <v>14</v>
      </c>
      <c r="I5760" t="s">
        <v>13</v>
      </c>
    </row>
    <row r="5761" spans="1:9" hidden="1" x14ac:dyDescent="0.25">
      <c r="A5761" t="s">
        <v>4819</v>
      </c>
      <c r="B5761" t="s">
        <v>42</v>
      </c>
      <c r="C5761" s="2">
        <f>HYPERLINK("https://cao.dolgi.msk.ru/account/1080010309/", 1080010309)</f>
        <v>1080010309</v>
      </c>
      <c r="D5761" t="s">
        <v>4834</v>
      </c>
      <c r="E5761">
        <v>528.51</v>
      </c>
      <c r="G5761" t="s">
        <v>14</v>
      </c>
      <c r="I5761" t="s">
        <v>13</v>
      </c>
    </row>
    <row r="5762" spans="1:9" hidden="1" x14ac:dyDescent="0.25">
      <c r="A5762" t="s">
        <v>4819</v>
      </c>
      <c r="B5762" t="s">
        <v>42</v>
      </c>
      <c r="C5762" s="2">
        <f>HYPERLINK("https://cao.dolgi.msk.ru/account/1083390538/", 1083390538)</f>
        <v>1083390538</v>
      </c>
      <c r="D5762" t="s">
        <v>4834</v>
      </c>
      <c r="E5762">
        <v>0</v>
      </c>
      <c r="F5762">
        <v>0</v>
      </c>
      <c r="G5762" t="s">
        <v>12</v>
      </c>
      <c r="I5762" t="s">
        <v>13</v>
      </c>
    </row>
    <row r="5763" spans="1:9" hidden="1" x14ac:dyDescent="0.25">
      <c r="A5763" t="s">
        <v>4819</v>
      </c>
      <c r="B5763" t="s">
        <v>44</v>
      </c>
      <c r="C5763" s="2">
        <f>HYPERLINK("https://cao.dolgi.msk.ru/account/1080010317/", 1080010317)</f>
        <v>1080010317</v>
      </c>
      <c r="D5763" t="s">
        <v>15</v>
      </c>
      <c r="E5763">
        <v>-2875.61</v>
      </c>
      <c r="G5763" t="s">
        <v>14</v>
      </c>
      <c r="I5763" t="s">
        <v>13</v>
      </c>
    </row>
    <row r="5764" spans="1:9" hidden="1" x14ac:dyDescent="0.25">
      <c r="A5764" t="s">
        <v>4819</v>
      </c>
      <c r="B5764" t="s">
        <v>44</v>
      </c>
      <c r="C5764" s="2">
        <f>HYPERLINK("https://cao.dolgi.msk.ru/account/1083390685/", 1083390685)</f>
        <v>1083390685</v>
      </c>
      <c r="D5764" t="s">
        <v>15</v>
      </c>
      <c r="E5764">
        <v>-12172.2</v>
      </c>
      <c r="F5764">
        <v>-1.59</v>
      </c>
      <c r="G5764" t="s">
        <v>12</v>
      </c>
      <c r="I5764" t="s">
        <v>13</v>
      </c>
    </row>
    <row r="5765" spans="1:9" hidden="1" x14ac:dyDescent="0.25">
      <c r="A5765" t="s">
        <v>4819</v>
      </c>
      <c r="B5765" t="s">
        <v>66</v>
      </c>
      <c r="C5765" s="2">
        <f>HYPERLINK("https://cao.dolgi.msk.ru/account/1080010325/", 1080010325)</f>
        <v>1080010325</v>
      </c>
      <c r="D5765" t="s">
        <v>4835</v>
      </c>
      <c r="E5765">
        <v>6506.3</v>
      </c>
      <c r="G5765" t="s">
        <v>14</v>
      </c>
      <c r="I5765" t="s">
        <v>13</v>
      </c>
    </row>
    <row r="5766" spans="1:9" hidden="1" x14ac:dyDescent="0.25">
      <c r="A5766" t="s">
        <v>4819</v>
      </c>
      <c r="B5766" t="s">
        <v>66</v>
      </c>
      <c r="C5766" s="2">
        <f>HYPERLINK("https://cao.dolgi.msk.ru/account/1083390618/", 1083390618)</f>
        <v>1083390618</v>
      </c>
      <c r="D5766" t="s">
        <v>4835</v>
      </c>
      <c r="E5766">
        <v>-7950.85</v>
      </c>
      <c r="F5766">
        <v>-0.96</v>
      </c>
      <c r="G5766" t="s">
        <v>12</v>
      </c>
      <c r="I5766" t="s">
        <v>13</v>
      </c>
    </row>
    <row r="5767" spans="1:9" hidden="1" x14ac:dyDescent="0.25">
      <c r="A5767" t="s">
        <v>4819</v>
      </c>
      <c r="B5767" t="s">
        <v>68</v>
      </c>
      <c r="C5767" s="2">
        <f>HYPERLINK("https://cao.dolgi.msk.ru/account/1080010333/", 1080010333)</f>
        <v>1080010333</v>
      </c>
      <c r="D5767" t="s">
        <v>4836</v>
      </c>
      <c r="E5767">
        <v>6218.62</v>
      </c>
      <c r="G5767" t="s">
        <v>14</v>
      </c>
      <c r="I5767" t="s">
        <v>13</v>
      </c>
    </row>
    <row r="5768" spans="1:9" hidden="1" x14ac:dyDescent="0.25">
      <c r="A5768" t="s">
        <v>4819</v>
      </c>
      <c r="B5768" t="s">
        <v>68</v>
      </c>
      <c r="C5768" s="2">
        <f>HYPERLINK("https://cao.dolgi.msk.ru/account/1083390693/", 1083390693)</f>
        <v>1083390693</v>
      </c>
      <c r="D5768" t="s">
        <v>4836</v>
      </c>
      <c r="E5768">
        <v>-7636.66</v>
      </c>
      <c r="F5768">
        <v>-0.96</v>
      </c>
      <c r="G5768" t="s">
        <v>12</v>
      </c>
      <c r="I5768" t="s">
        <v>13</v>
      </c>
    </row>
    <row r="5769" spans="1:9" hidden="1" x14ac:dyDescent="0.25">
      <c r="A5769" t="s">
        <v>4819</v>
      </c>
      <c r="B5769" t="s">
        <v>70</v>
      </c>
      <c r="C5769" s="2">
        <f>HYPERLINK("https://cao.dolgi.msk.ru/account/1080010376/", 1080010376)</f>
        <v>1080010376</v>
      </c>
      <c r="D5769" t="s">
        <v>62</v>
      </c>
      <c r="E5769">
        <v>24351.57</v>
      </c>
      <c r="G5769" t="s">
        <v>14</v>
      </c>
      <c r="I5769" t="s">
        <v>13</v>
      </c>
    </row>
    <row r="5770" spans="1:9" hidden="1" x14ac:dyDescent="0.25">
      <c r="A5770" t="s">
        <v>4819</v>
      </c>
      <c r="B5770" t="s">
        <v>70</v>
      </c>
      <c r="C5770" s="2">
        <f>HYPERLINK("https://cao.dolgi.msk.ru/account/1083390546/", 1083390546)</f>
        <v>1083390546</v>
      </c>
      <c r="D5770" t="s">
        <v>62</v>
      </c>
      <c r="E5770">
        <v>-7916.06</v>
      </c>
      <c r="F5770">
        <v>-0.94</v>
      </c>
      <c r="G5770" t="s">
        <v>12</v>
      </c>
      <c r="I5770" t="s">
        <v>13</v>
      </c>
    </row>
    <row r="5771" spans="1:9" hidden="1" x14ac:dyDescent="0.25">
      <c r="A5771" t="s">
        <v>4819</v>
      </c>
      <c r="B5771" t="s">
        <v>72</v>
      </c>
      <c r="C5771" s="2">
        <f>HYPERLINK("https://cao.dolgi.msk.ru/account/1080010384/", 1080010384)</f>
        <v>1080010384</v>
      </c>
      <c r="D5771" t="s">
        <v>4837</v>
      </c>
      <c r="E5771">
        <v>-3881.96</v>
      </c>
      <c r="G5771" t="s">
        <v>14</v>
      </c>
      <c r="I5771" t="s">
        <v>13</v>
      </c>
    </row>
    <row r="5772" spans="1:9" hidden="1" x14ac:dyDescent="0.25">
      <c r="A5772" t="s">
        <v>4819</v>
      </c>
      <c r="B5772" t="s">
        <v>72</v>
      </c>
      <c r="C5772" s="2">
        <f>HYPERLINK("https://cao.dolgi.msk.ru/account/1083390626/", 1083390626)</f>
        <v>1083390626</v>
      </c>
      <c r="D5772" t="s">
        <v>4837</v>
      </c>
      <c r="E5772">
        <v>-7502.13</v>
      </c>
      <c r="F5772">
        <v>-0.91</v>
      </c>
      <c r="G5772" t="s">
        <v>12</v>
      </c>
      <c r="I5772" t="s">
        <v>13</v>
      </c>
    </row>
    <row r="5773" spans="1:9" hidden="1" x14ac:dyDescent="0.25">
      <c r="A5773" t="s">
        <v>4819</v>
      </c>
      <c r="B5773" t="s">
        <v>74</v>
      </c>
      <c r="C5773" s="2">
        <f>HYPERLINK("https://cao.dolgi.msk.ru/account/1080010392/", 1080010392)</f>
        <v>1080010392</v>
      </c>
      <c r="D5773" t="s">
        <v>4838</v>
      </c>
      <c r="E5773">
        <v>32381.84</v>
      </c>
      <c r="G5773" t="s">
        <v>14</v>
      </c>
      <c r="I5773" t="s">
        <v>13</v>
      </c>
    </row>
    <row r="5774" spans="1:9" hidden="1" x14ac:dyDescent="0.25">
      <c r="A5774" t="s">
        <v>4819</v>
      </c>
      <c r="B5774" t="s">
        <v>74</v>
      </c>
      <c r="C5774" s="2">
        <f>HYPERLINK("https://cao.dolgi.msk.ru/account/1083390394/", 1083390394)</f>
        <v>1083390394</v>
      </c>
      <c r="D5774" t="s">
        <v>4838</v>
      </c>
      <c r="E5774">
        <v>-7830.25</v>
      </c>
      <c r="F5774">
        <v>-0.96</v>
      </c>
      <c r="G5774" t="s">
        <v>12</v>
      </c>
      <c r="I5774" t="s">
        <v>13</v>
      </c>
    </row>
    <row r="5775" spans="1:9" hidden="1" x14ac:dyDescent="0.25">
      <c r="A5775" t="s">
        <v>4819</v>
      </c>
      <c r="B5775" t="s">
        <v>76</v>
      </c>
      <c r="C5775" s="2">
        <f>HYPERLINK("https://cao.dolgi.msk.ru/account/1080010413/", 1080010413)</f>
        <v>1080010413</v>
      </c>
      <c r="D5775" t="s">
        <v>4839</v>
      </c>
      <c r="E5775">
        <v>0</v>
      </c>
      <c r="G5775" t="s">
        <v>14</v>
      </c>
      <c r="I5775" t="s">
        <v>13</v>
      </c>
    </row>
    <row r="5776" spans="1:9" hidden="1" x14ac:dyDescent="0.25">
      <c r="A5776" t="s">
        <v>4819</v>
      </c>
      <c r="B5776" t="s">
        <v>76</v>
      </c>
      <c r="C5776" s="2">
        <f>HYPERLINK("https://cao.dolgi.msk.ru/account/1083390554/", 1083390554)</f>
        <v>1083390554</v>
      </c>
      <c r="D5776" t="s">
        <v>4839</v>
      </c>
      <c r="E5776">
        <v>-6516.21</v>
      </c>
      <c r="F5776">
        <v>-0.97</v>
      </c>
      <c r="G5776" t="s">
        <v>12</v>
      </c>
      <c r="I5776" t="s">
        <v>13</v>
      </c>
    </row>
    <row r="5777" spans="1:9" hidden="1" x14ac:dyDescent="0.25">
      <c r="A5777" t="s">
        <v>4819</v>
      </c>
      <c r="B5777" t="s">
        <v>78</v>
      </c>
      <c r="C5777" s="2">
        <f>HYPERLINK("https://cao.dolgi.msk.ru/account/1080010421/", 1080010421)</f>
        <v>1080010421</v>
      </c>
      <c r="D5777" t="s">
        <v>4840</v>
      </c>
      <c r="E5777">
        <v>857.08</v>
      </c>
      <c r="F5777">
        <v>4.53</v>
      </c>
      <c r="G5777" t="s">
        <v>14</v>
      </c>
      <c r="I5777" t="s">
        <v>13</v>
      </c>
    </row>
    <row r="5778" spans="1:9" hidden="1" x14ac:dyDescent="0.25">
      <c r="A5778" t="s">
        <v>4819</v>
      </c>
      <c r="B5778" t="s">
        <v>78</v>
      </c>
      <c r="C5778" s="2">
        <f>HYPERLINK("https://cao.dolgi.msk.ru/account/1083390706/", 1083390706)</f>
        <v>1083390706</v>
      </c>
      <c r="D5778" t="s">
        <v>4840</v>
      </c>
      <c r="E5778">
        <v>-5956.53</v>
      </c>
      <c r="F5778">
        <v>-0.92</v>
      </c>
      <c r="G5778" t="s">
        <v>12</v>
      </c>
      <c r="I5778" t="s">
        <v>13</v>
      </c>
    </row>
    <row r="5779" spans="1:9" hidden="1" x14ac:dyDescent="0.25">
      <c r="A5779" t="s">
        <v>4819</v>
      </c>
      <c r="B5779" t="s">
        <v>80</v>
      </c>
      <c r="C5779" s="2">
        <f>HYPERLINK("https://cao.dolgi.msk.ru/account/1080010448/", 1080010448)</f>
        <v>1080010448</v>
      </c>
      <c r="D5779" t="s">
        <v>4841</v>
      </c>
      <c r="E5779">
        <v>0</v>
      </c>
      <c r="G5779" t="s">
        <v>14</v>
      </c>
      <c r="I5779" t="s">
        <v>13</v>
      </c>
    </row>
    <row r="5780" spans="1:9" hidden="1" x14ac:dyDescent="0.25">
      <c r="A5780" t="s">
        <v>4819</v>
      </c>
      <c r="B5780" t="s">
        <v>80</v>
      </c>
      <c r="C5780" s="2">
        <f>HYPERLINK("https://cao.dolgi.msk.ru/account/1083390634/", 1083390634)</f>
        <v>1083390634</v>
      </c>
      <c r="D5780" t="s">
        <v>4841</v>
      </c>
      <c r="E5780">
        <v>-6949.66</v>
      </c>
      <c r="F5780">
        <v>-0.97</v>
      </c>
      <c r="G5780" t="s">
        <v>12</v>
      </c>
      <c r="I5780" t="s">
        <v>13</v>
      </c>
    </row>
    <row r="5781" spans="1:9" hidden="1" x14ac:dyDescent="0.25">
      <c r="A5781" t="s">
        <v>4819</v>
      </c>
      <c r="B5781" t="s">
        <v>82</v>
      </c>
      <c r="C5781" s="2">
        <f>HYPERLINK("https://cao.dolgi.msk.ru/account/1080010456/", 1080010456)</f>
        <v>1080010456</v>
      </c>
      <c r="D5781" t="s">
        <v>62</v>
      </c>
      <c r="E5781">
        <v>0</v>
      </c>
      <c r="G5781" t="s">
        <v>14</v>
      </c>
      <c r="I5781" t="s">
        <v>13</v>
      </c>
    </row>
    <row r="5782" spans="1:9" hidden="1" x14ac:dyDescent="0.25">
      <c r="A5782" t="s">
        <v>4819</v>
      </c>
      <c r="B5782" t="s">
        <v>82</v>
      </c>
      <c r="C5782" s="2">
        <f>HYPERLINK("https://cao.dolgi.msk.ru/account/1083390335/", 1083390335)</f>
        <v>1083390335</v>
      </c>
      <c r="D5782" t="s">
        <v>62</v>
      </c>
      <c r="E5782">
        <v>-6293.95</v>
      </c>
      <c r="F5782">
        <v>-0.97</v>
      </c>
      <c r="G5782" t="s">
        <v>12</v>
      </c>
      <c r="I5782" t="s">
        <v>13</v>
      </c>
    </row>
    <row r="5783" spans="1:9" hidden="1" x14ac:dyDescent="0.25">
      <c r="A5783" t="s">
        <v>4819</v>
      </c>
      <c r="B5783" t="s">
        <v>84</v>
      </c>
      <c r="C5783" s="2">
        <f>HYPERLINK("https://cao.dolgi.msk.ru/account/1080010464/", 1080010464)</f>
        <v>1080010464</v>
      </c>
      <c r="D5783" t="s">
        <v>62</v>
      </c>
      <c r="E5783">
        <v>6465.59</v>
      </c>
      <c r="G5783" t="s">
        <v>14</v>
      </c>
      <c r="I5783" t="s">
        <v>13</v>
      </c>
    </row>
    <row r="5784" spans="1:9" hidden="1" x14ac:dyDescent="0.25">
      <c r="A5784" t="s">
        <v>4819</v>
      </c>
      <c r="B5784" t="s">
        <v>84</v>
      </c>
      <c r="C5784" s="2">
        <f>HYPERLINK("https://cao.dolgi.msk.ru/account/1083390458/", 1083390458)</f>
        <v>1083390458</v>
      </c>
      <c r="D5784" t="s">
        <v>62</v>
      </c>
      <c r="E5784">
        <v>-7997.27</v>
      </c>
      <c r="F5784">
        <v>-0.96</v>
      </c>
      <c r="G5784" t="s">
        <v>12</v>
      </c>
      <c r="I5784" t="s">
        <v>13</v>
      </c>
    </row>
    <row r="5785" spans="1:9" hidden="1" x14ac:dyDescent="0.25">
      <c r="A5785" t="s">
        <v>4819</v>
      </c>
      <c r="B5785" t="s">
        <v>86</v>
      </c>
      <c r="C5785" s="2">
        <f>HYPERLINK("https://cao.dolgi.msk.ru/account/1080010472/", 1080010472)</f>
        <v>1080010472</v>
      </c>
      <c r="D5785" t="s">
        <v>4842</v>
      </c>
      <c r="E5785">
        <v>64</v>
      </c>
      <c r="G5785" t="s">
        <v>14</v>
      </c>
      <c r="I5785" t="s">
        <v>13</v>
      </c>
    </row>
    <row r="5786" spans="1:9" hidden="1" x14ac:dyDescent="0.25">
      <c r="A5786" t="s">
        <v>4819</v>
      </c>
      <c r="B5786" t="s">
        <v>86</v>
      </c>
      <c r="C5786" s="2">
        <f>HYPERLINK("https://cao.dolgi.msk.ru/account/1083390343/", 1083390343)</f>
        <v>1083390343</v>
      </c>
      <c r="D5786" t="s">
        <v>4842</v>
      </c>
      <c r="E5786">
        <v>0</v>
      </c>
      <c r="F5786">
        <v>0</v>
      </c>
      <c r="G5786" t="s">
        <v>12</v>
      </c>
      <c r="I5786" t="s">
        <v>13</v>
      </c>
    </row>
    <row r="5787" spans="1:9" hidden="1" x14ac:dyDescent="0.25">
      <c r="A5787" t="s">
        <v>4819</v>
      </c>
      <c r="B5787" t="s">
        <v>88</v>
      </c>
      <c r="C5787" s="2">
        <f>HYPERLINK("https://cao.dolgi.msk.ru/account/1080010499/", 1080010499)</f>
        <v>1080010499</v>
      </c>
      <c r="D5787" t="s">
        <v>4843</v>
      </c>
      <c r="E5787">
        <v>0</v>
      </c>
      <c r="G5787" t="s">
        <v>14</v>
      </c>
      <c r="I5787" t="s">
        <v>13</v>
      </c>
    </row>
    <row r="5788" spans="1:9" hidden="1" x14ac:dyDescent="0.25">
      <c r="A5788" t="s">
        <v>4819</v>
      </c>
      <c r="B5788" t="s">
        <v>88</v>
      </c>
      <c r="C5788" s="2">
        <f>HYPERLINK("https://cao.dolgi.msk.ru/account/1083390351/", 1083390351)</f>
        <v>1083390351</v>
      </c>
      <c r="D5788" t="s">
        <v>4843</v>
      </c>
      <c r="E5788">
        <v>-6341.8</v>
      </c>
      <c r="F5788">
        <v>-0.97</v>
      </c>
      <c r="G5788" t="s">
        <v>12</v>
      </c>
      <c r="I5788" t="s">
        <v>13</v>
      </c>
    </row>
    <row r="5789" spans="1:9" hidden="1" x14ac:dyDescent="0.25">
      <c r="A5789" t="s">
        <v>4819</v>
      </c>
      <c r="B5789" t="s">
        <v>90</v>
      </c>
      <c r="C5789" s="2">
        <f>HYPERLINK("https://cao.dolgi.msk.ru/account/1080010501/", 1080010501)</f>
        <v>1080010501</v>
      </c>
      <c r="D5789" t="s">
        <v>4844</v>
      </c>
      <c r="E5789">
        <v>14184.79</v>
      </c>
      <c r="G5789" t="s">
        <v>14</v>
      </c>
      <c r="I5789" t="s">
        <v>13</v>
      </c>
    </row>
    <row r="5790" spans="1:9" hidden="1" x14ac:dyDescent="0.25">
      <c r="A5790" t="s">
        <v>4819</v>
      </c>
      <c r="B5790" t="s">
        <v>90</v>
      </c>
      <c r="C5790" s="2">
        <f>HYPERLINK("https://cao.dolgi.msk.ru/account/1083390765/", 1083390765)</f>
        <v>1083390765</v>
      </c>
      <c r="D5790" t="s">
        <v>4844</v>
      </c>
      <c r="E5790">
        <v>0</v>
      </c>
      <c r="F5790">
        <v>0</v>
      </c>
      <c r="G5790" t="s">
        <v>12</v>
      </c>
      <c r="I5790" t="s">
        <v>13</v>
      </c>
    </row>
    <row r="5791" spans="1:9" hidden="1" x14ac:dyDescent="0.25">
      <c r="A5791" t="s">
        <v>4819</v>
      </c>
      <c r="B5791" t="s">
        <v>92</v>
      </c>
      <c r="C5791" s="2">
        <f>HYPERLINK("https://cao.dolgi.msk.ru/account/1080010528/", 1080010528)</f>
        <v>1080010528</v>
      </c>
      <c r="D5791" t="s">
        <v>4845</v>
      </c>
      <c r="E5791">
        <v>4098.3100000000004</v>
      </c>
      <c r="G5791" t="s">
        <v>14</v>
      </c>
      <c r="I5791" t="s">
        <v>13</v>
      </c>
    </row>
    <row r="5792" spans="1:9" hidden="1" x14ac:dyDescent="0.25">
      <c r="A5792" t="s">
        <v>4819</v>
      </c>
      <c r="B5792" t="s">
        <v>92</v>
      </c>
      <c r="C5792" s="2">
        <f>HYPERLINK("https://cao.dolgi.msk.ru/account/1083390642/", 1083390642)</f>
        <v>1083390642</v>
      </c>
      <c r="D5792" t="s">
        <v>4845</v>
      </c>
      <c r="E5792">
        <v>-2215.63</v>
      </c>
      <c r="F5792">
        <v>-0.31</v>
      </c>
      <c r="G5792" t="s">
        <v>12</v>
      </c>
      <c r="I5792" t="s">
        <v>13</v>
      </c>
    </row>
    <row r="5793" spans="1:9" hidden="1" x14ac:dyDescent="0.25">
      <c r="A5793" t="s">
        <v>4819</v>
      </c>
      <c r="B5793" t="s">
        <v>94</v>
      </c>
      <c r="C5793" s="2">
        <f>HYPERLINK("https://cao.dolgi.msk.ru/account/1080010536/", 1080010536)</f>
        <v>1080010536</v>
      </c>
      <c r="D5793" t="s">
        <v>4846</v>
      </c>
      <c r="E5793">
        <v>0</v>
      </c>
      <c r="G5793" t="s">
        <v>14</v>
      </c>
      <c r="I5793" t="s">
        <v>13</v>
      </c>
    </row>
    <row r="5794" spans="1:9" hidden="1" x14ac:dyDescent="0.25">
      <c r="A5794" t="s">
        <v>4819</v>
      </c>
      <c r="B5794" t="s">
        <v>94</v>
      </c>
      <c r="C5794" s="2">
        <f>HYPERLINK("https://cao.dolgi.msk.ru/account/1083390378/", 1083390378)</f>
        <v>1083390378</v>
      </c>
      <c r="D5794" t="s">
        <v>4846</v>
      </c>
      <c r="E5794">
        <v>-6452.21</v>
      </c>
      <c r="F5794">
        <v>-0.97</v>
      </c>
      <c r="G5794" t="s">
        <v>12</v>
      </c>
      <c r="I5794" t="s">
        <v>13</v>
      </c>
    </row>
    <row r="5795" spans="1:9" hidden="1" x14ac:dyDescent="0.25">
      <c r="A5795" t="s">
        <v>4819</v>
      </c>
      <c r="B5795" t="s">
        <v>96</v>
      </c>
      <c r="C5795" s="2">
        <f>HYPERLINK("https://cao.dolgi.msk.ru/account/1080010544/", 1080010544)</f>
        <v>1080010544</v>
      </c>
      <c r="D5795" t="s">
        <v>62</v>
      </c>
      <c r="E5795">
        <v>115182.85</v>
      </c>
      <c r="F5795">
        <v>17.38</v>
      </c>
      <c r="G5795" t="s">
        <v>14</v>
      </c>
      <c r="I5795" t="s">
        <v>13</v>
      </c>
    </row>
    <row r="5796" spans="1:9" hidden="1" x14ac:dyDescent="0.25">
      <c r="A5796" t="s">
        <v>4819</v>
      </c>
      <c r="B5796" t="s">
        <v>96</v>
      </c>
      <c r="C5796" s="2">
        <f>HYPERLINK("https://cao.dolgi.msk.ru/account/1083390407/", 1083390407)</f>
        <v>1083390407</v>
      </c>
      <c r="D5796" t="s">
        <v>62</v>
      </c>
      <c r="E5796">
        <v>-8027.42</v>
      </c>
      <c r="F5796">
        <v>-0.96</v>
      </c>
      <c r="G5796" t="s">
        <v>12</v>
      </c>
      <c r="I5796" t="s">
        <v>13</v>
      </c>
    </row>
    <row r="5797" spans="1:9" hidden="1" x14ac:dyDescent="0.25">
      <c r="A5797" t="s">
        <v>4819</v>
      </c>
      <c r="B5797" t="s">
        <v>98</v>
      </c>
      <c r="C5797" s="2">
        <f>HYPERLINK("https://cao.dolgi.msk.ru/account/1080010552/", 1080010552)</f>
        <v>1080010552</v>
      </c>
      <c r="D5797" t="s">
        <v>4847</v>
      </c>
      <c r="E5797">
        <v>5660.54</v>
      </c>
      <c r="G5797" t="s">
        <v>14</v>
      </c>
      <c r="I5797" t="s">
        <v>13</v>
      </c>
    </row>
    <row r="5798" spans="1:9" hidden="1" x14ac:dyDescent="0.25">
      <c r="A5798" t="s">
        <v>4819</v>
      </c>
      <c r="B5798" t="s">
        <v>98</v>
      </c>
      <c r="C5798" s="2">
        <f>HYPERLINK("https://cao.dolgi.msk.ru/account/1083390562/", 1083390562)</f>
        <v>1083390562</v>
      </c>
      <c r="D5798" t="s">
        <v>4847</v>
      </c>
      <c r="E5798">
        <v>-7092.85</v>
      </c>
      <c r="F5798">
        <v>-0.96</v>
      </c>
      <c r="G5798" t="s">
        <v>12</v>
      </c>
      <c r="I5798" t="s">
        <v>13</v>
      </c>
    </row>
    <row r="5799" spans="1:9" hidden="1" x14ac:dyDescent="0.25">
      <c r="A5799" t="s">
        <v>4819</v>
      </c>
      <c r="B5799" t="s">
        <v>100</v>
      </c>
      <c r="C5799" s="2">
        <f>HYPERLINK("https://cao.dolgi.msk.ru/account/1080010579/", 1080010579)</f>
        <v>1080010579</v>
      </c>
      <c r="D5799" t="s">
        <v>4848</v>
      </c>
      <c r="E5799">
        <v>5169.74</v>
      </c>
      <c r="G5799" t="s">
        <v>14</v>
      </c>
      <c r="I5799" t="s">
        <v>13</v>
      </c>
    </row>
    <row r="5800" spans="1:9" hidden="1" x14ac:dyDescent="0.25">
      <c r="A5800" t="s">
        <v>4819</v>
      </c>
      <c r="B5800" t="s">
        <v>100</v>
      </c>
      <c r="C5800" s="2">
        <f>HYPERLINK("https://cao.dolgi.msk.ru/account/1083390773/", 1083390773)</f>
        <v>1083390773</v>
      </c>
      <c r="D5800" t="s">
        <v>4848</v>
      </c>
      <c r="E5800">
        <v>-6391.93</v>
      </c>
      <c r="F5800">
        <v>-0.97</v>
      </c>
      <c r="G5800" t="s">
        <v>12</v>
      </c>
      <c r="I5800" t="s">
        <v>13</v>
      </c>
    </row>
    <row r="5801" spans="1:9" hidden="1" x14ac:dyDescent="0.25">
      <c r="A5801" t="s">
        <v>4819</v>
      </c>
      <c r="B5801" t="s">
        <v>102</v>
      </c>
      <c r="C5801" s="2">
        <f>HYPERLINK("https://cao.dolgi.msk.ru/account/1080010616/", 1080010616)</f>
        <v>1080010616</v>
      </c>
      <c r="D5801" t="s">
        <v>4849</v>
      </c>
      <c r="E5801">
        <v>769.59</v>
      </c>
      <c r="F5801">
        <v>0.18</v>
      </c>
      <c r="G5801" t="s">
        <v>14</v>
      </c>
      <c r="I5801" t="s">
        <v>13</v>
      </c>
    </row>
    <row r="5802" spans="1:9" hidden="1" x14ac:dyDescent="0.25">
      <c r="A5802" t="s">
        <v>4819</v>
      </c>
      <c r="B5802" t="s">
        <v>102</v>
      </c>
      <c r="C5802" s="2">
        <f>HYPERLINK("https://cao.dolgi.msk.ru/account/1083390466/", 1083390466)</f>
        <v>1083390466</v>
      </c>
      <c r="D5802" t="s">
        <v>4849</v>
      </c>
      <c r="E5802">
        <v>-6018.91</v>
      </c>
      <c r="F5802">
        <v>-0.97</v>
      </c>
      <c r="G5802" t="s">
        <v>12</v>
      </c>
      <c r="I5802" t="s">
        <v>13</v>
      </c>
    </row>
    <row r="5803" spans="1:9" hidden="1" x14ac:dyDescent="0.25">
      <c r="A5803" t="s">
        <v>4819</v>
      </c>
      <c r="B5803" t="s">
        <v>104</v>
      </c>
      <c r="C5803" s="2">
        <f>HYPERLINK("https://cao.dolgi.msk.ru/account/1080010587/", 1080010587)</f>
        <v>1080010587</v>
      </c>
      <c r="D5803" t="s">
        <v>62</v>
      </c>
      <c r="E5803">
        <v>5567.87</v>
      </c>
      <c r="G5803" t="s">
        <v>14</v>
      </c>
      <c r="I5803" t="s">
        <v>13</v>
      </c>
    </row>
    <row r="5804" spans="1:9" hidden="1" x14ac:dyDescent="0.25">
      <c r="A5804" t="s">
        <v>4819</v>
      </c>
      <c r="B5804" t="s">
        <v>104</v>
      </c>
      <c r="C5804" s="2">
        <f>HYPERLINK("https://cao.dolgi.msk.ru/account/1083390714/", 1083390714)</f>
        <v>1083390714</v>
      </c>
      <c r="D5804" t="s">
        <v>62</v>
      </c>
      <c r="E5804">
        <v>-6841.6</v>
      </c>
      <c r="F5804">
        <v>-0.96</v>
      </c>
      <c r="G5804" t="s">
        <v>12</v>
      </c>
      <c r="I5804" t="s">
        <v>13</v>
      </c>
    </row>
    <row r="5805" spans="1:9" hidden="1" x14ac:dyDescent="0.25">
      <c r="A5805" t="s">
        <v>4819</v>
      </c>
      <c r="B5805" t="s">
        <v>106</v>
      </c>
      <c r="C5805" s="2">
        <f>HYPERLINK("https://cao.dolgi.msk.ru/account/1080010595/", 1080010595)</f>
        <v>1080010595</v>
      </c>
      <c r="D5805" t="s">
        <v>4850</v>
      </c>
      <c r="E5805">
        <v>98069.34</v>
      </c>
      <c r="G5805" t="s">
        <v>14</v>
      </c>
      <c r="I5805" t="s">
        <v>13</v>
      </c>
    </row>
    <row r="5806" spans="1:9" hidden="1" x14ac:dyDescent="0.25">
      <c r="A5806" t="s">
        <v>4819</v>
      </c>
      <c r="B5806" t="s">
        <v>106</v>
      </c>
      <c r="C5806" s="2">
        <f>HYPERLINK("https://cao.dolgi.msk.ru/account/1083390482/", 1083390482)</f>
        <v>1083390482</v>
      </c>
      <c r="D5806" t="s">
        <v>4850</v>
      </c>
      <c r="E5806">
        <v>-7228.52</v>
      </c>
      <c r="F5806">
        <v>-0.96</v>
      </c>
      <c r="G5806" t="s">
        <v>12</v>
      </c>
      <c r="I5806" t="s">
        <v>13</v>
      </c>
    </row>
    <row r="5807" spans="1:9" hidden="1" x14ac:dyDescent="0.25">
      <c r="A5807" t="s">
        <v>4851</v>
      </c>
      <c r="B5807" t="s">
        <v>38</v>
      </c>
      <c r="C5807" s="2">
        <f>HYPERLINK("https://cao.dolgi.msk.ru/account/1080048913/", 1080048913)</f>
        <v>1080048913</v>
      </c>
      <c r="E5807">
        <v>151.28</v>
      </c>
      <c r="G5807" t="s">
        <v>12</v>
      </c>
    </row>
    <row r="5808" spans="1:9" hidden="1" x14ac:dyDescent="0.25">
      <c r="A5808" t="s">
        <v>4851</v>
      </c>
      <c r="B5808" t="s">
        <v>38</v>
      </c>
      <c r="C5808" s="2">
        <f>HYPERLINK("https://cao.dolgi.msk.ru/account/1080048921/", 1080048921)</f>
        <v>1080048921</v>
      </c>
      <c r="E5808">
        <v>55420.2</v>
      </c>
      <c r="G5808" t="s">
        <v>12</v>
      </c>
    </row>
    <row r="5809" spans="1:7" hidden="1" x14ac:dyDescent="0.25">
      <c r="A5809" t="s">
        <v>4851</v>
      </c>
      <c r="B5809" t="s">
        <v>38</v>
      </c>
      <c r="C5809" s="2">
        <f>HYPERLINK("https://cao.dolgi.msk.ru/account/1080049035/", 1080049035)</f>
        <v>1080049035</v>
      </c>
      <c r="E5809">
        <v>150347.57</v>
      </c>
      <c r="G5809" t="s">
        <v>12</v>
      </c>
    </row>
    <row r="5810" spans="1:7" hidden="1" x14ac:dyDescent="0.25">
      <c r="A5810" t="s">
        <v>4851</v>
      </c>
      <c r="B5810" t="s">
        <v>4852</v>
      </c>
      <c r="C5810" s="2">
        <f>HYPERLINK("https://cao.dolgi.msk.ru/account/1080048948/", 1080048948)</f>
        <v>1080048948</v>
      </c>
      <c r="E5810">
        <v>8297.09</v>
      </c>
      <c r="G5810" t="s">
        <v>12</v>
      </c>
    </row>
    <row r="5811" spans="1:7" hidden="1" x14ac:dyDescent="0.25">
      <c r="A5811" t="s">
        <v>4851</v>
      </c>
      <c r="B5811" t="s">
        <v>39</v>
      </c>
      <c r="C5811" s="2">
        <f>HYPERLINK("https://cao.dolgi.msk.ru/account/1080048956/", 1080048956)</f>
        <v>1080048956</v>
      </c>
      <c r="E5811">
        <v>8226.94</v>
      </c>
      <c r="G5811" t="s">
        <v>12</v>
      </c>
    </row>
    <row r="5812" spans="1:7" hidden="1" x14ac:dyDescent="0.25">
      <c r="A5812" t="s">
        <v>4851</v>
      </c>
      <c r="B5812" t="s">
        <v>40</v>
      </c>
      <c r="C5812" s="2">
        <f>HYPERLINK("https://cao.dolgi.msk.ru/account/1080048964/", 1080048964)</f>
        <v>1080048964</v>
      </c>
      <c r="E5812">
        <v>7306.82</v>
      </c>
      <c r="G5812" t="s">
        <v>12</v>
      </c>
    </row>
    <row r="5813" spans="1:7" hidden="1" x14ac:dyDescent="0.25">
      <c r="A5813" t="s">
        <v>4851</v>
      </c>
      <c r="B5813" t="s">
        <v>41</v>
      </c>
      <c r="C5813" s="2">
        <f>HYPERLINK("https://cao.dolgi.msk.ru/account/1080048972/", 1080048972)</f>
        <v>1080048972</v>
      </c>
      <c r="E5813">
        <v>1348.98</v>
      </c>
      <c r="G5813" t="s">
        <v>12</v>
      </c>
    </row>
    <row r="5814" spans="1:7" hidden="1" x14ac:dyDescent="0.25">
      <c r="A5814" t="s">
        <v>4851</v>
      </c>
      <c r="B5814" t="s">
        <v>41</v>
      </c>
      <c r="C5814" s="2">
        <f>HYPERLINK("https://cao.dolgi.msk.ru/account/1080325837/", 1080325837)</f>
        <v>1080325837</v>
      </c>
      <c r="E5814">
        <v>2370.2199999999998</v>
      </c>
      <c r="G5814" t="s">
        <v>12</v>
      </c>
    </row>
    <row r="5815" spans="1:7" hidden="1" x14ac:dyDescent="0.25">
      <c r="A5815" t="s">
        <v>4851</v>
      </c>
      <c r="B5815" t="s">
        <v>42</v>
      </c>
      <c r="C5815" s="2">
        <f>HYPERLINK("https://cao.dolgi.msk.ru/account/1080048999/", 1080048999)</f>
        <v>1080048999</v>
      </c>
      <c r="E5815">
        <v>0</v>
      </c>
      <c r="G5815" t="s">
        <v>12</v>
      </c>
    </row>
    <row r="5816" spans="1:7" hidden="1" x14ac:dyDescent="0.25">
      <c r="A5816" t="s">
        <v>4851</v>
      </c>
      <c r="B5816" t="s">
        <v>42</v>
      </c>
      <c r="C5816" s="2">
        <f>HYPERLINK("https://cao.dolgi.msk.ru/account/1080049019/", 1080049019)</f>
        <v>1080049019</v>
      </c>
      <c r="E5816">
        <v>2502.81</v>
      </c>
      <c r="G5816" t="s">
        <v>12</v>
      </c>
    </row>
    <row r="5817" spans="1:7" hidden="1" x14ac:dyDescent="0.25">
      <c r="A5817" t="s">
        <v>4851</v>
      </c>
      <c r="B5817" t="s">
        <v>44</v>
      </c>
      <c r="C5817" s="2">
        <f>HYPERLINK("https://cao.dolgi.msk.ru/account/1080049027/", 1080049027)</f>
        <v>1080049027</v>
      </c>
      <c r="E5817">
        <v>2252.5300000000002</v>
      </c>
      <c r="G5817" t="s">
        <v>12</v>
      </c>
    </row>
    <row r="5818" spans="1:7" hidden="1" x14ac:dyDescent="0.25">
      <c r="A5818" t="s">
        <v>4851</v>
      </c>
      <c r="B5818" t="s">
        <v>66</v>
      </c>
      <c r="C5818" s="2">
        <f>HYPERLINK("https://cao.dolgi.msk.ru/account/1080049043/", 1080049043)</f>
        <v>1080049043</v>
      </c>
      <c r="E5818">
        <v>19263.3</v>
      </c>
      <c r="G5818" t="s">
        <v>12</v>
      </c>
    </row>
    <row r="5819" spans="1:7" hidden="1" x14ac:dyDescent="0.25">
      <c r="A5819" t="s">
        <v>4851</v>
      </c>
      <c r="B5819" t="s">
        <v>68</v>
      </c>
      <c r="C5819" s="2">
        <f>HYPERLINK("https://cao.dolgi.msk.ru/account/1080049051/", 1080049051)</f>
        <v>1080049051</v>
      </c>
      <c r="E5819">
        <v>-173.49</v>
      </c>
      <c r="G5819" t="s">
        <v>12</v>
      </c>
    </row>
    <row r="5820" spans="1:7" hidden="1" x14ac:dyDescent="0.25">
      <c r="A5820" t="s">
        <v>4851</v>
      </c>
      <c r="B5820" t="s">
        <v>70</v>
      </c>
      <c r="C5820" s="2">
        <f>HYPERLINK("https://cao.dolgi.msk.ru/account/1080049078/", 1080049078)</f>
        <v>1080049078</v>
      </c>
      <c r="E5820">
        <v>2309.75</v>
      </c>
      <c r="G5820" t="s">
        <v>12</v>
      </c>
    </row>
    <row r="5821" spans="1:7" hidden="1" x14ac:dyDescent="0.25">
      <c r="A5821" t="s">
        <v>4851</v>
      </c>
      <c r="B5821" t="s">
        <v>72</v>
      </c>
      <c r="C5821" s="2">
        <f>HYPERLINK("https://cao.dolgi.msk.ru/account/1080049086/", 1080049086)</f>
        <v>1080049086</v>
      </c>
      <c r="E5821">
        <v>11660.09</v>
      </c>
      <c r="G5821" t="s">
        <v>12</v>
      </c>
    </row>
    <row r="5822" spans="1:7" hidden="1" x14ac:dyDescent="0.25">
      <c r="A5822" t="s">
        <v>4851</v>
      </c>
      <c r="B5822" t="s">
        <v>78</v>
      </c>
      <c r="C5822" s="2">
        <f>HYPERLINK("https://cao.dolgi.msk.ru/account/1080049094/", 1080049094)</f>
        <v>1080049094</v>
      </c>
      <c r="E5822">
        <v>9408.9</v>
      </c>
      <c r="G5822" t="s">
        <v>12</v>
      </c>
    </row>
    <row r="5823" spans="1:7" hidden="1" x14ac:dyDescent="0.25">
      <c r="A5823" t="s">
        <v>4851</v>
      </c>
      <c r="B5823" t="s">
        <v>78</v>
      </c>
      <c r="C5823" s="2">
        <f>HYPERLINK("https://cao.dolgi.msk.ru/account/1080049107/", 1080049107)</f>
        <v>1080049107</v>
      </c>
      <c r="E5823">
        <v>11943.06</v>
      </c>
      <c r="G5823" t="s">
        <v>12</v>
      </c>
    </row>
    <row r="5824" spans="1:7" hidden="1" x14ac:dyDescent="0.25">
      <c r="A5824" t="s">
        <v>4851</v>
      </c>
      <c r="B5824" t="s">
        <v>78</v>
      </c>
      <c r="C5824" s="2">
        <f>HYPERLINK("https://cao.dolgi.msk.ru/account/1080049115/", 1080049115)</f>
        <v>1080049115</v>
      </c>
      <c r="E5824">
        <v>20312.71</v>
      </c>
      <c r="G5824" t="s">
        <v>12</v>
      </c>
    </row>
    <row r="5825" spans="1:8" hidden="1" x14ac:dyDescent="0.25">
      <c r="A5825" t="s">
        <v>4851</v>
      </c>
      <c r="B5825" t="s">
        <v>78</v>
      </c>
      <c r="C5825" s="2">
        <f>HYPERLINK("https://cao.dolgi.msk.ru/account/1080049123/", 1080049123)</f>
        <v>1080049123</v>
      </c>
      <c r="E5825">
        <v>1865.86</v>
      </c>
      <c r="G5825" t="s">
        <v>12</v>
      </c>
    </row>
    <row r="5826" spans="1:8" hidden="1" x14ac:dyDescent="0.25">
      <c r="A5826" t="s">
        <v>4851</v>
      </c>
      <c r="B5826" t="s">
        <v>78</v>
      </c>
      <c r="C5826" s="2">
        <f>HYPERLINK("https://cao.dolgi.msk.ru/account/1080049131/", 1080049131)</f>
        <v>1080049131</v>
      </c>
      <c r="E5826">
        <v>41262.79</v>
      </c>
      <c r="G5826" t="s">
        <v>12</v>
      </c>
    </row>
    <row r="5827" spans="1:8" hidden="1" x14ac:dyDescent="0.25">
      <c r="A5827" t="s">
        <v>4851</v>
      </c>
      <c r="B5827" t="s">
        <v>80</v>
      </c>
      <c r="C5827" s="2">
        <f>HYPERLINK("https://cao.dolgi.msk.ru/account/1080049158/", 1080049158)</f>
        <v>1080049158</v>
      </c>
      <c r="E5827">
        <v>39.909999999999997</v>
      </c>
      <c r="G5827" t="s">
        <v>12</v>
      </c>
    </row>
    <row r="5828" spans="1:8" hidden="1" x14ac:dyDescent="0.25">
      <c r="A5828" t="s">
        <v>4851</v>
      </c>
      <c r="B5828" t="s">
        <v>82</v>
      </c>
      <c r="C5828" s="2">
        <f>HYPERLINK("https://cao.dolgi.msk.ru/account/1080049166/", 1080049166)</f>
        <v>1080049166</v>
      </c>
      <c r="E5828">
        <v>2594.4699999999998</v>
      </c>
      <c r="G5828" t="s">
        <v>12</v>
      </c>
    </row>
    <row r="5829" spans="1:8" hidden="1" x14ac:dyDescent="0.25">
      <c r="A5829" t="s">
        <v>4851</v>
      </c>
      <c r="B5829" t="s">
        <v>84</v>
      </c>
      <c r="C5829" s="2">
        <f>HYPERLINK("https://cao.dolgi.msk.ru/account/1080049174/", 1080049174)</f>
        <v>1080049174</v>
      </c>
      <c r="E5829">
        <v>4961.7</v>
      </c>
      <c r="G5829" t="s">
        <v>12</v>
      </c>
    </row>
    <row r="5830" spans="1:8" hidden="1" x14ac:dyDescent="0.25">
      <c r="A5830" t="s">
        <v>4851</v>
      </c>
      <c r="B5830" t="s">
        <v>84</v>
      </c>
      <c r="C5830" s="2">
        <f>HYPERLINK("https://cao.dolgi.msk.ru/account/1080049182/", 1080049182)</f>
        <v>1080049182</v>
      </c>
      <c r="G5830" t="s">
        <v>14</v>
      </c>
    </row>
    <row r="5831" spans="1:8" hidden="1" x14ac:dyDescent="0.25">
      <c r="A5831" t="s">
        <v>4851</v>
      </c>
      <c r="B5831" t="s">
        <v>84</v>
      </c>
      <c r="C5831" s="2">
        <f>HYPERLINK("https://cao.dolgi.msk.ru/account/1080049203/", 1080049203)</f>
        <v>1080049203</v>
      </c>
      <c r="E5831">
        <v>2499.21</v>
      </c>
      <c r="G5831" t="s">
        <v>12</v>
      </c>
    </row>
    <row r="5832" spans="1:8" hidden="1" x14ac:dyDescent="0.25">
      <c r="A5832" t="s">
        <v>4851</v>
      </c>
      <c r="B5832" t="s">
        <v>86</v>
      </c>
      <c r="C5832" s="2">
        <f>HYPERLINK("https://cao.dolgi.msk.ru/account/1080049211/", 1080049211)</f>
        <v>1080049211</v>
      </c>
      <c r="E5832">
        <v>18879.080000000002</v>
      </c>
      <c r="G5832" t="s">
        <v>12</v>
      </c>
    </row>
    <row r="5833" spans="1:8" hidden="1" x14ac:dyDescent="0.25">
      <c r="A5833" t="s">
        <v>4853</v>
      </c>
      <c r="B5833" t="s">
        <v>39</v>
      </c>
      <c r="C5833" s="2">
        <f>HYPERLINK("https://cao.dolgi.msk.ru/account/1080061843/", 1080061843)</f>
        <v>1080061843</v>
      </c>
      <c r="D5833" t="s">
        <v>4854</v>
      </c>
      <c r="E5833">
        <v>0</v>
      </c>
      <c r="G5833" t="s">
        <v>12</v>
      </c>
    </row>
    <row r="5834" spans="1:8" hidden="1" x14ac:dyDescent="0.25">
      <c r="A5834" t="s">
        <v>4853</v>
      </c>
      <c r="B5834" t="s">
        <v>40</v>
      </c>
      <c r="C5834" s="2">
        <f>HYPERLINK("https://cao.dolgi.msk.ru/account/1080061851/", 1080061851)</f>
        <v>1080061851</v>
      </c>
      <c r="D5834" t="s">
        <v>4855</v>
      </c>
      <c r="E5834">
        <v>2747.74</v>
      </c>
      <c r="G5834" t="s">
        <v>12</v>
      </c>
      <c r="H5834" t="s">
        <v>7</v>
      </c>
    </row>
    <row r="5835" spans="1:8" hidden="1" x14ac:dyDescent="0.25">
      <c r="A5835" t="s">
        <v>4853</v>
      </c>
      <c r="B5835" t="s">
        <v>40</v>
      </c>
      <c r="C5835" s="2">
        <f>HYPERLINK("https://cao.dolgi.msk.ru/account/1080061878/", 1080061878)</f>
        <v>1080061878</v>
      </c>
      <c r="D5835" t="s">
        <v>4855</v>
      </c>
      <c r="E5835">
        <v>1700.53</v>
      </c>
      <c r="G5835" t="s">
        <v>12</v>
      </c>
      <c r="H5835" t="s">
        <v>7</v>
      </c>
    </row>
    <row r="5836" spans="1:8" hidden="1" x14ac:dyDescent="0.25">
      <c r="A5836" t="s">
        <v>4853</v>
      </c>
      <c r="B5836" t="s">
        <v>268</v>
      </c>
      <c r="C5836" s="2">
        <f>HYPERLINK("https://cao.dolgi.msk.ru/account/1080061886/", 1080061886)</f>
        <v>1080061886</v>
      </c>
      <c r="D5836" t="s">
        <v>4856</v>
      </c>
      <c r="E5836">
        <v>2352.04</v>
      </c>
      <c r="G5836" t="s">
        <v>12</v>
      </c>
    </row>
    <row r="5837" spans="1:8" hidden="1" x14ac:dyDescent="0.25">
      <c r="A5837" t="s">
        <v>4853</v>
      </c>
      <c r="B5837" t="s">
        <v>41</v>
      </c>
      <c r="C5837" s="2">
        <f>HYPERLINK("https://cao.dolgi.msk.ru/account/1080061907/", 1080061907)</f>
        <v>1080061907</v>
      </c>
      <c r="D5837" t="s">
        <v>4857</v>
      </c>
      <c r="E5837">
        <v>5884.19</v>
      </c>
      <c r="G5837" t="s">
        <v>12</v>
      </c>
    </row>
    <row r="5838" spans="1:8" hidden="1" x14ac:dyDescent="0.25">
      <c r="A5838" t="s">
        <v>4853</v>
      </c>
      <c r="B5838" t="s">
        <v>42</v>
      </c>
      <c r="C5838" s="2">
        <f>HYPERLINK("https://cao.dolgi.msk.ru/account/1080061915/", 1080061915)</f>
        <v>1080061915</v>
      </c>
      <c r="D5838" t="s">
        <v>4858</v>
      </c>
      <c r="E5838">
        <v>5755.31</v>
      </c>
      <c r="G5838" t="s">
        <v>12</v>
      </c>
    </row>
    <row r="5839" spans="1:8" hidden="1" x14ac:dyDescent="0.25">
      <c r="A5839" t="s">
        <v>4853</v>
      </c>
      <c r="B5839" t="s">
        <v>68</v>
      </c>
      <c r="C5839" s="2">
        <f>HYPERLINK("https://cao.dolgi.msk.ru/account/1080061923/", 1080061923)</f>
        <v>1080061923</v>
      </c>
      <c r="D5839" t="s">
        <v>4859</v>
      </c>
      <c r="E5839">
        <v>1971.52</v>
      </c>
      <c r="G5839" t="s">
        <v>12</v>
      </c>
      <c r="H5839" t="s">
        <v>7</v>
      </c>
    </row>
    <row r="5840" spans="1:8" hidden="1" x14ac:dyDescent="0.25">
      <c r="A5840" t="s">
        <v>4853</v>
      </c>
      <c r="B5840" t="s">
        <v>68</v>
      </c>
      <c r="C5840" s="2">
        <f>HYPERLINK("https://cao.dolgi.msk.ru/account/1080061931/", 1080061931)</f>
        <v>1080061931</v>
      </c>
      <c r="D5840" t="s">
        <v>4859</v>
      </c>
      <c r="E5840">
        <v>3369.2</v>
      </c>
      <c r="G5840" t="s">
        <v>12</v>
      </c>
      <c r="H5840" t="s">
        <v>7</v>
      </c>
    </row>
    <row r="5841" spans="1:9" hidden="1" x14ac:dyDescent="0.25">
      <c r="A5841" t="s">
        <v>4853</v>
      </c>
      <c r="B5841" t="s">
        <v>68</v>
      </c>
      <c r="C5841" s="2">
        <f>HYPERLINK("https://cao.dolgi.msk.ru/account/1080061958/", 1080061958)</f>
        <v>1080061958</v>
      </c>
      <c r="D5841" t="s">
        <v>4859</v>
      </c>
      <c r="E5841">
        <v>22613.13</v>
      </c>
      <c r="G5841" t="s">
        <v>12</v>
      </c>
      <c r="H5841" t="s">
        <v>7</v>
      </c>
    </row>
    <row r="5842" spans="1:9" hidden="1" x14ac:dyDescent="0.25">
      <c r="A5842" t="s">
        <v>4853</v>
      </c>
      <c r="B5842" t="s">
        <v>70</v>
      </c>
      <c r="C5842" s="2">
        <f>HYPERLINK("https://cao.dolgi.msk.ru/account/1080321019/", 1080321019)</f>
        <v>1080321019</v>
      </c>
      <c r="D5842" t="s">
        <v>15</v>
      </c>
      <c r="E5842">
        <v>58063.14</v>
      </c>
      <c r="G5842" t="s">
        <v>12</v>
      </c>
    </row>
    <row r="5843" spans="1:9" hidden="1" x14ac:dyDescent="0.25">
      <c r="A5843" t="s">
        <v>4860</v>
      </c>
      <c r="B5843" t="s">
        <v>10</v>
      </c>
      <c r="C5843" s="2">
        <f>HYPERLINK("https://cao.dolgi.msk.ru/account/1080053835/", 1080053835)</f>
        <v>1080053835</v>
      </c>
      <c r="D5843" t="s">
        <v>4861</v>
      </c>
      <c r="E5843">
        <v>-5418.54</v>
      </c>
      <c r="F5843">
        <v>-1.02</v>
      </c>
      <c r="G5843" t="s">
        <v>12</v>
      </c>
      <c r="I5843" t="s">
        <v>13</v>
      </c>
    </row>
    <row r="5844" spans="1:9" hidden="1" x14ac:dyDescent="0.25">
      <c r="A5844" t="s">
        <v>4860</v>
      </c>
      <c r="B5844" t="s">
        <v>16</v>
      </c>
      <c r="C5844" s="2">
        <f>HYPERLINK("https://cao.dolgi.msk.ru/account/1080053843/", 1080053843)</f>
        <v>1080053843</v>
      </c>
      <c r="D5844" t="s">
        <v>4862</v>
      </c>
      <c r="E5844">
        <v>-343.1</v>
      </c>
      <c r="F5844">
        <v>-0.08</v>
      </c>
      <c r="G5844" t="s">
        <v>12</v>
      </c>
      <c r="I5844" t="s">
        <v>13</v>
      </c>
    </row>
    <row r="5845" spans="1:9" hidden="1" x14ac:dyDescent="0.25">
      <c r="A5845" t="s">
        <v>4860</v>
      </c>
      <c r="B5845" t="s">
        <v>18</v>
      </c>
      <c r="C5845" s="2">
        <f>HYPERLINK("https://cao.dolgi.msk.ru/account/1080053851/", 1080053851)</f>
        <v>1080053851</v>
      </c>
      <c r="D5845" t="s">
        <v>4863</v>
      </c>
      <c r="E5845">
        <v>-8769.9599999999991</v>
      </c>
      <c r="F5845">
        <v>-1.18</v>
      </c>
      <c r="G5845" t="s">
        <v>12</v>
      </c>
      <c r="I5845" t="s">
        <v>13</v>
      </c>
    </row>
    <row r="5846" spans="1:9" x14ac:dyDescent="0.25">
      <c r="A5846" t="s">
        <v>4860</v>
      </c>
      <c r="B5846" t="s">
        <v>20</v>
      </c>
      <c r="C5846" s="2">
        <f>HYPERLINK("https://cao.dolgi.msk.ru/account/1080054096/", 1080054096)</f>
        <v>1080054096</v>
      </c>
      <c r="D5846" t="s">
        <v>4864</v>
      </c>
      <c r="E5846">
        <v>15201.37</v>
      </c>
      <c r="F5846">
        <v>1.74</v>
      </c>
      <c r="G5846" t="s">
        <v>12</v>
      </c>
      <c r="I5846" t="s">
        <v>13</v>
      </c>
    </row>
    <row r="5847" spans="1:9" hidden="1" x14ac:dyDescent="0.25">
      <c r="A5847" t="s">
        <v>4860</v>
      </c>
      <c r="B5847" t="s">
        <v>21</v>
      </c>
      <c r="C5847" s="2">
        <f>HYPERLINK("https://cao.dolgi.msk.ru/account/1080053878/", 1080053878)</f>
        <v>1080053878</v>
      </c>
      <c r="D5847" t="s">
        <v>4865</v>
      </c>
      <c r="E5847">
        <v>-2430.31</v>
      </c>
      <c r="F5847">
        <v>-1.01</v>
      </c>
      <c r="G5847" t="s">
        <v>12</v>
      </c>
      <c r="I5847" t="s">
        <v>13</v>
      </c>
    </row>
    <row r="5848" spans="1:9" hidden="1" x14ac:dyDescent="0.25">
      <c r="A5848" t="s">
        <v>4860</v>
      </c>
      <c r="B5848" t="s">
        <v>22</v>
      </c>
      <c r="C5848" s="2">
        <f>HYPERLINK("https://cao.dolgi.msk.ru/account/1080053886/", 1080053886)</f>
        <v>1080053886</v>
      </c>
      <c r="D5848" t="s">
        <v>4866</v>
      </c>
      <c r="E5848">
        <v>-4691.71</v>
      </c>
      <c r="F5848">
        <v>-0.95</v>
      </c>
      <c r="G5848" t="s">
        <v>12</v>
      </c>
      <c r="I5848" t="s">
        <v>13</v>
      </c>
    </row>
    <row r="5849" spans="1:9" hidden="1" x14ac:dyDescent="0.25">
      <c r="A5849" t="s">
        <v>4860</v>
      </c>
      <c r="B5849" t="s">
        <v>23</v>
      </c>
      <c r="C5849" s="2">
        <f>HYPERLINK("https://cao.dolgi.msk.ru/account/1080053894/", 1080053894)</f>
        <v>1080053894</v>
      </c>
      <c r="D5849" t="s">
        <v>4867</v>
      </c>
      <c r="E5849">
        <v>-6551.1</v>
      </c>
      <c r="F5849">
        <v>-1</v>
      </c>
      <c r="G5849" t="s">
        <v>12</v>
      </c>
      <c r="I5849" t="s">
        <v>13</v>
      </c>
    </row>
    <row r="5850" spans="1:9" hidden="1" x14ac:dyDescent="0.25">
      <c r="A5850" t="s">
        <v>4860</v>
      </c>
      <c r="B5850" t="s">
        <v>24</v>
      </c>
      <c r="C5850" s="2">
        <f>HYPERLINK("https://cao.dolgi.msk.ru/account/1080053907/", 1080053907)</f>
        <v>1080053907</v>
      </c>
      <c r="D5850" t="s">
        <v>4868</v>
      </c>
      <c r="E5850">
        <v>-7138.25</v>
      </c>
      <c r="F5850">
        <v>-1.08</v>
      </c>
      <c r="G5850" t="s">
        <v>12</v>
      </c>
      <c r="I5850" t="s">
        <v>13</v>
      </c>
    </row>
    <row r="5851" spans="1:9" hidden="1" x14ac:dyDescent="0.25">
      <c r="A5851" t="s">
        <v>4860</v>
      </c>
      <c r="B5851" t="s">
        <v>27</v>
      </c>
      <c r="C5851" s="2">
        <f>HYPERLINK("https://cao.dolgi.msk.ru/account/1080053915/", 1080053915)</f>
        <v>1080053915</v>
      </c>
      <c r="D5851" t="s">
        <v>4869</v>
      </c>
      <c r="E5851">
        <v>-5469.06</v>
      </c>
      <c r="F5851">
        <v>-1.03</v>
      </c>
      <c r="G5851" t="s">
        <v>12</v>
      </c>
      <c r="I5851" t="s">
        <v>13</v>
      </c>
    </row>
    <row r="5852" spans="1:9" hidden="1" x14ac:dyDescent="0.25">
      <c r="A5852" t="s">
        <v>4860</v>
      </c>
      <c r="B5852" t="s">
        <v>27</v>
      </c>
      <c r="C5852" s="2">
        <f>HYPERLINK("https://cao.dolgi.msk.ru/account/1080053923/", 1080053923)</f>
        <v>1080053923</v>
      </c>
      <c r="D5852" t="s">
        <v>4870</v>
      </c>
      <c r="E5852">
        <v>-13</v>
      </c>
      <c r="G5852" t="s">
        <v>14</v>
      </c>
      <c r="I5852" t="s">
        <v>13</v>
      </c>
    </row>
    <row r="5853" spans="1:9" hidden="1" x14ac:dyDescent="0.25">
      <c r="A5853" t="s">
        <v>4860</v>
      </c>
      <c r="B5853" t="s">
        <v>27</v>
      </c>
      <c r="C5853" s="2">
        <f>HYPERLINK("https://cao.dolgi.msk.ru/account/1080053931/", 1080053931)</f>
        <v>1080053931</v>
      </c>
      <c r="D5853" t="s">
        <v>4870</v>
      </c>
      <c r="E5853">
        <v>-37.97</v>
      </c>
      <c r="G5853" t="s">
        <v>14</v>
      </c>
      <c r="I5853" t="s">
        <v>13</v>
      </c>
    </row>
    <row r="5854" spans="1:9" hidden="1" x14ac:dyDescent="0.25">
      <c r="A5854" t="s">
        <v>4860</v>
      </c>
      <c r="B5854" t="s">
        <v>29</v>
      </c>
      <c r="C5854" s="2">
        <f>HYPERLINK("https://cao.dolgi.msk.ru/account/1080053958/", 1080053958)</f>
        <v>1080053958</v>
      </c>
      <c r="D5854" t="s">
        <v>4871</v>
      </c>
      <c r="E5854">
        <v>25.45</v>
      </c>
      <c r="F5854">
        <v>0</v>
      </c>
      <c r="G5854" t="s">
        <v>12</v>
      </c>
      <c r="I5854" t="s">
        <v>13</v>
      </c>
    </row>
    <row r="5855" spans="1:9" hidden="1" x14ac:dyDescent="0.25">
      <c r="A5855" t="s">
        <v>4860</v>
      </c>
      <c r="B5855" t="s">
        <v>31</v>
      </c>
      <c r="C5855" s="2">
        <f>HYPERLINK("https://cao.dolgi.msk.ru/account/1080053966/", 1080053966)</f>
        <v>1080053966</v>
      </c>
      <c r="D5855" t="s">
        <v>4872</v>
      </c>
      <c r="E5855">
        <v>0</v>
      </c>
      <c r="F5855">
        <v>0</v>
      </c>
      <c r="G5855" t="s">
        <v>14</v>
      </c>
      <c r="I5855" t="s">
        <v>13</v>
      </c>
    </row>
    <row r="5856" spans="1:9" hidden="1" x14ac:dyDescent="0.25">
      <c r="A5856" t="s">
        <v>4860</v>
      </c>
      <c r="B5856" t="s">
        <v>31</v>
      </c>
      <c r="C5856" s="2">
        <f>HYPERLINK("https://cao.dolgi.msk.ru/account/1089124783/", 1089124783)</f>
        <v>1089124783</v>
      </c>
      <c r="D5856" t="s">
        <v>15</v>
      </c>
      <c r="E5856">
        <v>-3422.3</v>
      </c>
      <c r="F5856">
        <v>-2.13</v>
      </c>
      <c r="G5856" t="s">
        <v>12</v>
      </c>
      <c r="I5856" t="s">
        <v>13</v>
      </c>
    </row>
    <row r="5857" spans="1:9" hidden="1" x14ac:dyDescent="0.25">
      <c r="A5857" t="s">
        <v>4860</v>
      </c>
      <c r="B5857" t="s">
        <v>34</v>
      </c>
      <c r="C5857" s="2">
        <f>HYPERLINK("https://cao.dolgi.msk.ru/account/1080053982/", 1080053982)</f>
        <v>1080053982</v>
      </c>
      <c r="D5857" t="s">
        <v>4873</v>
      </c>
      <c r="E5857">
        <v>-4047.25</v>
      </c>
      <c r="F5857">
        <v>-1.04</v>
      </c>
      <c r="G5857" t="s">
        <v>12</v>
      </c>
      <c r="I5857" t="s">
        <v>13</v>
      </c>
    </row>
    <row r="5858" spans="1:9" hidden="1" x14ac:dyDescent="0.25">
      <c r="A5858" t="s">
        <v>4860</v>
      </c>
      <c r="B5858" t="s">
        <v>36</v>
      </c>
      <c r="C5858" s="2">
        <f>HYPERLINK("https://cao.dolgi.msk.ru/account/1080054002/", 1080054002)</f>
        <v>1080054002</v>
      </c>
      <c r="D5858" t="s">
        <v>4874</v>
      </c>
      <c r="E5858">
        <v>-3594.26</v>
      </c>
      <c r="F5858">
        <v>-1.03</v>
      </c>
      <c r="G5858" t="s">
        <v>12</v>
      </c>
      <c r="I5858" t="s">
        <v>13</v>
      </c>
    </row>
    <row r="5859" spans="1:9" hidden="1" x14ac:dyDescent="0.25">
      <c r="A5859" t="s">
        <v>4860</v>
      </c>
      <c r="B5859" t="s">
        <v>38</v>
      </c>
      <c r="C5859" s="2">
        <f>HYPERLINK("https://cao.dolgi.msk.ru/account/1080054029/", 1080054029)</f>
        <v>1080054029</v>
      </c>
      <c r="D5859" t="s">
        <v>4875</v>
      </c>
      <c r="E5859">
        <v>-5066.32</v>
      </c>
      <c r="F5859">
        <v>-0.86</v>
      </c>
      <c r="G5859" t="s">
        <v>12</v>
      </c>
      <c r="I5859" t="s">
        <v>13</v>
      </c>
    </row>
    <row r="5860" spans="1:9" hidden="1" x14ac:dyDescent="0.25">
      <c r="A5860" t="s">
        <v>4860</v>
      </c>
      <c r="B5860" t="s">
        <v>39</v>
      </c>
      <c r="C5860" s="2">
        <f>HYPERLINK("https://cao.dolgi.msk.ru/account/1080054037/", 1080054037)</f>
        <v>1080054037</v>
      </c>
      <c r="D5860" t="s">
        <v>4876</v>
      </c>
      <c r="E5860">
        <v>-8048.39</v>
      </c>
      <c r="F5860">
        <v>-1.01</v>
      </c>
      <c r="G5860" t="s">
        <v>12</v>
      </c>
      <c r="I5860" t="s">
        <v>13</v>
      </c>
    </row>
    <row r="5861" spans="1:9" hidden="1" x14ac:dyDescent="0.25">
      <c r="A5861" t="s">
        <v>4860</v>
      </c>
      <c r="B5861" t="s">
        <v>39</v>
      </c>
      <c r="C5861" s="2">
        <f>HYPERLINK("https://cao.dolgi.msk.ru/account/1080054045/", 1080054045)</f>
        <v>1080054045</v>
      </c>
      <c r="D5861" t="s">
        <v>15</v>
      </c>
      <c r="G5861" t="s">
        <v>14</v>
      </c>
      <c r="I5861" t="s">
        <v>13</v>
      </c>
    </row>
    <row r="5862" spans="1:9" hidden="1" x14ac:dyDescent="0.25">
      <c r="A5862" t="s">
        <v>4860</v>
      </c>
      <c r="B5862" t="s">
        <v>40</v>
      </c>
      <c r="C5862" s="2">
        <f>HYPERLINK("https://cao.dolgi.msk.ru/account/1080054053/", 1080054053)</f>
        <v>1080054053</v>
      </c>
      <c r="D5862" t="s">
        <v>4877</v>
      </c>
      <c r="E5862">
        <v>-8449.94</v>
      </c>
      <c r="F5862">
        <v>-1.33</v>
      </c>
      <c r="G5862" t="s">
        <v>12</v>
      </c>
      <c r="I5862" t="s">
        <v>13</v>
      </c>
    </row>
    <row r="5863" spans="1:9" hidden="1" x14ac:dyDescent="0.25">
      <c r="A5863" t="s">
        <v>4860</v>
      </c>
      <c r="B5863" t="s">
        <v>41</v>
      </c>
      <c r="C5863" s="2">
        <f>HYPERLINK("https://cao.dolgi.msk.ru/account/1080054061/", 1080054061)</f>
        <v>1080054061</v>
      </c>
      <c r="D5863" t="s">
        <v>4878</v>
      </c>
      <c r="E5863">
        <v>-10790.44</v>
      </c>
      <c r="F5863">
        <v>-1.01</v>
      </c>
      <c r="G5863" t="s">
        <v>12</v>
      </c>
      <c r="I5863" t="s">
        <v>13</v>
      </c>
    </row>
    <row r="5864" spans="1:9" hidden="1" x14ac:dyDescent="0.25">
      <c r="A5864" t="s">
        <v>4860</v>
      </c>
      <c r="B5864" t="s">
        <v>42</v>
      </c>
      <c r="C5864" s="2">
        <f>HYPERLINK("https://cao.dolgi.msk.ru/account/1080054088/", 1080054088)</f>
        <v>1080054088</v>
      </c>
      <c r="D5864" t="s">
        <v>4879</v>
      </c>
      <c r="E5864">
        <v>0</v>
      </c>
      <c r="F5864">
        <v>0</v>
      </c>
      <c r="G5864" t="s">
        <v>12</v>
      </c>
      <c r="I5864" t="s">
        <v>13</v>
      </c>
    </row>
    <row r="5865" spans="1:9" hidden="1" x14ac:dyDescent="0.25">
      <c r="A5865" t="s">
        <v>4860</v>
      </c>
      <c r="B5865" t="s">
        <v>44</v>
      </c>
      <c r="C5865" s="2">
        <f>HYPERLINK("https://cao.dolgi.msk.ru/account/1080054109/", 1080054109)</f>
        <v>1080054109</v>
      </c>
      <c r="D5865" t="s">
        <v>4880</v>
      </c>
      <c r="E5865">
        <v>-62.97</v>
      </c>
      <c r="F5865">
        <v>-0.01</v>
      </c>
      <c r="G5865" t="s">
        <v>12</v>
      </c>
      <c r="I5865" t="s">
        <v>13</v>
      </c>
    </row>
    <row r="5866" spans="1:9" hidden="1" x14ac:dyDescent="0.25">
      <c r="A5866" t="s">
        <v>4881</v>
      </c>
      <c r="B5866" t="s">
        <v>16</v>
      </c>
      <c r="C5866" s="2">
        <f>HYPERLINK("https://cao.dolgi.msk.ru/account/1080054141/", 1080054141)</f>
        <v>1080054141</v>
      </c>
      <c r="G5866" t="s">
        <v>14</v>
      </c>
    </row>
    <row r="5867" spans="1:9" hidden="1" x14ac:dyDescent="0.25">
      <c r="A5867" t="s">
        <v>4881</v>
      </c>
      <c r="B5867" t="s">
        <v>16</v>
      </c>
      <c r="C5867" s="2">
        <f>HYPERLINK("https://cao.dolgi.msk.ru/account/1080054168/", 1080054168)</f>
        <v>1080054168</v>
      </c>
      <c r="G5867" t="s">
        <v>14</v>
      </c>
    </row>
    <row r="5868" spans="1:9" hidden="1" x14ac:dyDescent="0.25">
      <c r="A5868" t="s">
        <v>4882</v>
      </c>
      <c r="B5868" t="s">
        <v>33</v>
      </c>
      <c r="C5868" s="2">
        <f>HYPERLINK("https://cao.dolgi.msk.ru/account/1080046475/", 1080046475)</f>
        <v>1080046475</v>
      </c>
      <c r="D5868" t="s">
        <v>4883</v>
      </c>
      <c r="E5868">
        <v>-3444.48</v>
      </c>
      <c r="F5868">
        <v>-1.02</v>
      </c>
      <c r="G5868" t="s">
        <v>12</v>
      </c>
      <c r="I5868" t="s">
        <v>13</v>
      </c>
    </row>
    <row r="5869" spans="1:9" hidden="1" x14ac:dyDescent="0.25">
      <c r="A5869" t="s">
        <v>4882</v>
      </c>
      <c r="B5869" t="s">
        <v>34</v>
      </c>
      <c r="C5869" s="2">
        <f>HYPERLINK("https://cao.dolgi.msk.ru/account/1080046483/", 1080046483)</f>
        <v>1080046483</v>
      </c>
      <c r="D5869" t="s">
        <v>4884</v>
      </c>
      <c r="E5869">
        <v>-4572.17</v>
      </c>
      <c r="F5869">
        <v>-0.99</v>
      </c>
      <c r="G5869" t="s">
        <v>12</v>
      </c>
      <c r="I5869" t="s">
        <v>13</v>
      </c>
    </row>
    <row r="5870" spans="1:9" hidden="1" x14ac:dyDescent="0.25">
      <c r="A5870" t="s">
        <v>4882</v>
      </c>
      <c r="B5870" t="s">
        <v>36</v>
      </c>
      <c r="C5870" s="2">
        <f>HYPERLINK("https://cao.dolgi.msk.ru/account/1080046459/", 1080046459)</f>
        <v>1080046459</v>
      </c>
      <c r="D5870" t="s">
        <v>4885</v>
      </c>
      <c r="E5870">
        <v>-4563.3</v>
      </c>
      <c r="F5870">
        <v>-1.02</v>
      </c>
      <c r="G5870" t="s">
        <v>12</v>
      </c>
      <c r="I5870" t="s">
        <v>13</v>
      </c>
    </row>
    <row r="5871" spans="1:9" x14ac:dyDescent="0.25">
      <c r="A5871" t="s">
        <v>4882</v>
      </c>
      <c r="B5871" t="s">
        <v>38</v>
      </c>
      <c r="C5871" s="2">
        <f>HYPERLINK("https://cao.dolgi.msk.ru/account/1080046491/", 1080046491)</f>
        <v>1080046491</v>
      </c>
      <c r="D5871" t="s">
        <v>4886</v>
      </c>
      <c r="E5871">
        <v>12666.95</v>
      </c>
      <c r="F5871">
        <v>2.73</v>
      </c>
      <c r="G5871" t="s">
        <v>12</v>
      </c>
      <c r="I5871" t="s">
        <v>13</v>
      </c>
    </row>
    <row r="5872" spans="1:9" hidden="1" x14ac:dyDescent="0.25">
      <c r="A5872" t="s">
        <v>4882</v>
      </c>
      <c r="B5872" t="s">
        <v>39</v>
      </c>
      <c r="C5872" s="2">
        <f>HYPERLINK("https://cao.dolgi.msk.ru/account/1080046504/", 1080046504)</f>
        <v>1080046504</v>
      </c>
      <c r="D5872" t="s">
        <v>15</v>
      </c>
      <c r="E5872">
        <v>-4571.78</v>
      </c>
      <c r="F5872">
        <v>-1.02</v>
      </c>
      <c r="G5872" t="s">
        <v>12</v>
      </c>
      <c r="I5872" t="s">
        <v>13</v>
      </c>
    </row>
    <row r="5873" spans="1:9" hidden="1" x14ac:dyDescent="0.25">
      <c r="A5873" t="s">
        <v>4882</v>
      </c>
      <c r="B5873" t="s">
        <v>40</v>
      </c>
      <c r="C5873" s="2">
        <f>HYPERLINK("https://cao.dolgi.msk.ru/account/1089125719/", 1089125719)</f>
        <v>1089125719</v>
      </c>
      <c r="D5873" t="s">
        <v>15</v>
      </c>
      <c r="E5873">
        <v>-8178.5</v>
      </c>
      <c r="F5873">
        <v>-1.44</v>
      </c>
      <c r="G5873" t="s">
        <v>12</v>
      </c>
      <c r="I5873" t="s">
        <v>13</v>
      </c>
    </row>
    <row r="5874" spans="1:9" hidden="1" x14ac:dyDescent="0.25">
      <c r="A5874" t="s">
        <v>4882</v>
      </c>
      <c r="B5874" t="s">
        <v>41</v>
      </c>
      <c r="C5874" s="2">
        <f>HYPERLINK("https://cao.dolgi.msk.ru/account/1080046512/", 1080046512)</f>
        <v>1080046512</v>
      </c>
      <c r="D5874" t="s">
        <v>4887</v>
      </c>
      <c r="E5874">
        <v>-26.46</v>
      </c>
      <c r="F5874">
        <v>-0.01</v>
      </c>
      <c r="G5874" t="s">
        <v>12</v>
      </c>
      <c r="I5874" t="s">
        <v>13</v>
      </c>
    </row>
    <row r="5875" spans="1:9" hidden="1" x14ac:dyDescent="0.25">
      <c r="A5875" t="s">
        <v>4882</v>
      </c>
      <c r="B5875" t="s">
        <v>42</v>
      </c>
      <c r="C5875" s="2">
        <f>HYPERLINK("https://cao.dolgi.msk.ru/account/1080046539/", 1080046539)</f>
        <v>1080046539</v>
      </c>
      <c r="D5875" t="s">
        <v>4888</v>
      </c>
      <c r="E5875">
        <v>-4994.97</v>
      </c>
      <c r="F5875">
        <v>-1.02</v>
      </c>
      <c r="G5875" t="s">
        <v>12</v>
      </c>
      <c r="I5875" t="s">
        <v>13</v>
      </c>
    </row>
    <row r="5876" spans="1:9" hidden="1" x14ac:dyDescent="0.25">
      <c r="A5876" t="s">
        <v>4882</v>
      </c>
      <c r="B5876" t="s">
        <v>44</v>
      </c>
      <c r="C5876" s="2">
        <f>HYPERLINK("https://cao.dolgi.msk.ru/account/1080046547/", 1080046547)</f>
        <v>1080046547</v>
      </c>
      <c r="D5876" t="s">
        <v>4889</v>
      </c>
      <c r="E5876">
        <v>-291.26</v>
      </c>
      <c r="F5876">
        <v>-7.0000000000000007E-2</v>
      </c>
      <c r="G5876" t="s">
        <v>12</v>
      </c>
      <c r="I5876" t="s">
        <v>13</v>
      </c>
    </row>
    <row r="5877" spans="1:9" x14ac:dyDescent="0.25">
      <c r="A5877" t="s">
        <v>4882</v>
      </c>
      <c r="B5877" t="s">
        <v>66</v>
      </c>
      <c r="C5877" s="2">
        <f>HYPERLINK("https://cao.dolgi.msk.ru/account/1080046555/", 1080046555)</f>
        <v>1080046555</v>
      </c>
      <c r="D5877" t="s">
        <v>4890</v>
      </c>
      <c r="E5877">
        <v>11601.87</v>
      </c>
      <c r="F5877">
        <v>3.1</v>
      </c>
      <c r="G5877" t="s">
        <v>12</v>
      </c>
      <c r="I5877" t="s">
        <v>13</v>
      </c>
    </row>
    <row r="5878" spans="1:9" hidden="1" x14ac:dyDescent="0.25">
      <c r="A5878" t="s">
        <v>4891</v>
      </c>
      <c r="B5878" t="s">
        <v>22</v>
      </c>
      <c r="C5878" s="2">
        <f>HYPERLINK("https://cao.dolgi.msk.ru/account/1080046432/", 1080046432)</f>
        <v>1080046432</v>
      </c>
      <c r="D5878" t="s">
        <v>4892</v>
      </c>
      <c r="E5878">
        <v>154</v>
      </c>
      <c r="F5878">
        <v>7.0000000000000007E-2</v>
      </c>
      <c r="G5878" t="s">
        <v>12</v>
      </c>
      <c r="H5878" t="s">
        <v>7</v>
      </c>
      <c r="I5878" t="s">
        <v>13</v>
      </c>
    </row>
    <row r="5879" spans="1:9" hidden="1" x14ac:dyDescent="0.25">
      <c r="A5879" t="s">
        <v>4891</v>
      </c>
      <c r="B5879" t="s">
        <v>22</v>
      </c>
      <c r="C5879" s="2">
        <f>HYPERLINK("https://cao.dolgi.msk.ru/account/1080046467/", 1080046467)</f>
        <v>1080046467</v>
      </c>
      <c r="D5879" t="s">
        <v>4893</v>
      </c>
      <c r="E5879">
        <v>-2967.84</v>
      </c>
      <c r="F5879">
        <v>-1.0900000000000001</v>
      </c>
      <c r="G5879" t="s">
        <v>12</v>
      </c>
      <c r="H5879" t="s">
        <v>7</v>
      </c>
      <c r="I5879" t="s">
        <v>13</v>
      </c>
    </row>
    <row r="5880" spans="1:9" hidden="1" x14ac:dyDescent="0.25">
      <c r="A5880" t="s">
        <v>4891</v>
      </c>
      <c r="B5880" t="s">
        <v>22</v>
      </c>
      <c r="C5880" s="2">
        <f>HYPERLINK("https://cao.dolgi.msk.ru/account/1089129701/", 1089129701)</f>
        <v>1089129701</v>
      </c>
      <c r="D5880" t="s">
        <v>15</v>
      </c>
      <c r="E5880">
        <v>-1043.96</v>
      </c>
      <c r="F5880">
        <v>-0.28999999999999998</v>
      </c>
      <c r="G5880" t="s">
        <v>12</v>
      </c>
      <c r="H5880" t="s">
        <v>7</v>
      </c>
      <c r="I5880" t="s">
        <v>13</v>
      </c>
    </row>
    <row r="5881" spans="1:9" hidden="1" x14ac:dyDescent="0.25">
      <c r="A5881" t="s">
        <v>4894</v>
      </c>
      <c r="B5881" t="s">
        <v>10</v>
      </c>
      <c r="C5881" s="2">
        <f>HYPERLINK("https://cao.dolgi.msk.ru/account/1080046563/", 1080046563)</f>
        <v>1080046563</v>
      </c>
      <c r="D5881" t="s">
        <v>4895</v>
      </c>
      <c r="E5881">
        <v>45.37</v>
      </c>
      <c r="F5881">
        <v>0.02</v>
      </c>
      <c r="G5881" t="s">
        <v>12</v>
      </c>
      <c r="I5881" t="s">
        <v>13</v>
      </c>
    </row>
    <row r="5882" spans="1:9" hidden="1" x14ac:dyDescent="0.25">
      <c r="A5882" t="s">
        <v>4894</v>
      </c>
      <c r="B5882" t="s">
        <v>16</v>
      </c>
      <c r="C5882" s="2">
        <f>HYPERLINK("https://cao.dolgi.msk.ru/account/1080046571/", 1080046571)</f>
        <v>1080046571</v>
      </c>
      <c r="D5882" t="s">
        <v>4896</v>
      </c>
      <c r="E5882">
        <v>-879.89</v>
      </c>
      <c r="F5882">
        <v>-0.16</v>
      </c>
      <c r="G5882" t="s">
        <v>12</v>
      </c>
      <c r="I5882" t="s">
        <v>13</v>
      </c>
    </row>
    <row r="5883" spans="1:9" hidden="1" x14ac:dyDescent="0.25">
      <c r="A5883" t="s">
        <v>4894</v>
      </c>
      <c r="B5883" t="s">
        <v>18</v>
      </c>
      <c r="C5883" s="2">
        <f>HYPERLINK("https://cao.dolgi.msk.ru/account/1080046598/", 1080046598)</f>
        <v>1080046598</v>
      </c>
      <c r="D5883" t="s">
        <v>4897</v>
      </c>
      <c r="E5883">
        <v>-3274.76</v>
      </c>
      <c r="F5883">
        <v>-1.1200000000000001</v>
      </c>
      <c r="G5883" t="s">
        <v>12</v>
      </c>
      <c r="I5883" t="s">
        <v>13</v>
      </c>
    </row>
    <row r="5884" spans="1:9" hidden="1" x14ac:dyDescent="0.25">
      <c r="A5884" t="s">
        <v>4894</v>
      </c>
      <c r="B5884" t="s">
        <v>20</v>
      </c>
      <c r="C5884" s="2">
        <f>HYPERLINK("https://cao.dolgi.msk.ru/account/1080046619/", 1080046619)</f>
        <v>1080046619</v>
      </c>
      <c r="D5884" t="s">
        <v>4898</v>
      </c>
      <c r="E5884">
        <v>-5000.2299999999996</v>
      </c>
      <c r="F5884">
        <v>-1.1000000000000001</v>
      </c>
      <c r="G5884" t="s">
        <v>12</v>
      </c>
      <c r="I5884" t="s">
        <v>13</v>
      </c>
    </row>
    <row r="5885" spans="1:9" hidden="1" x14ac:dyDescent="0.25">
      <c r="A5885" t="s">
        <v>4894</v>
      </c>
      <c r="B5885" t="s">
        <v>21</v>
      </c>
      <c r="C5885" s="2">
        <f>HYPERLINK("https://cao.dolgi.msk.ru/account/1080046627/", 1080046627)</f>
        <v>1080046627</v>
      </c>
      <c r="D5885" t="s">
        <v>4899</v>
      </c>
      <c r="E5885">
        <v>-765.72</v>
      </c>
      <c r="F5885">
        <v>-0.22</v>
      </c>
      <c r="G5885" t="s">
        <v>12</v>
      </c>
      <c r="I5885" t="s">
        <v>13</v>
      </c>
    </row>
    <row r="5886" spans="1:9" hidden="1" x14ac:dyDescent="0.25">
      <c r="A5886" t="s">
        <v>4894</v>
      </c>
      <c r="B5886" t="s">
        <v>22</v>
      </c>
      <c r="C5886" s="2">
        <f>HYPERLINK("https://cao.dolgi.msk.ru/account/1080046635/", 1080046635)</f>
        <v>1080046635</v>
      </c>
      <c r="D5886" t="s">
        <v>4900</v>
      </c>
      <c r="E5886">
        <v>-4197.22</v>
      </c>
      <c r="F5886">
        <v>-1.1299999999999999</v>
      </c>
      <c r="G5886" t="s">
        <v>12</v>
      </c>
      <c r="I5886" t="s">
        <v>13</v>
      </c>
    </row>
    <row r="5887" spans="1:9" hidden="1" x14ac:dyDescent="0.25">
      <c r="A5887" t="s">
        <v>4894</v>
      </c>
      <c r="B5887" t="s">
        <v>23</v>
      </c>
      <c r="C5887" s="2">
        <f>HYPERLINK("https://cao.dolgi.msk.ru/account/1080046643/", 1080046643)</f>
        <v>1080046643</v>
      </c>
      <c r="D5887" t="s">
        <v>4901</v>
      </c>
      <c r="E5887">
        <v>-3283.45</v>
      </c>
      <c r="F5887">
        <v>-1.08</v>
      </c>
      <c r="G5887" t="s">
        <v>12</v>
      </c>
      <c r="I5887" t="s">
        <v>13</v>
      </c>
    </row>
    <row r="5888" spans="1:9" hidden="1" x14ac:dyDescent="0.25">
      <c r="A5888" t="s">
        <v>4894</v>
      </c>
      <c r="B5888" t="s">
        <v>24</v>
      </c>
      <c r="C5888" s="2">
        <f>HYPERLINK("https://cao.dolgi.msk.ru/account/1080046651/", 1080046651)</f>
        <v>1080046651</v>
      </c>
      <c r="D5888" t="s">
        <v>4902</v>
      </c>
      <c r="E5888">
        <v>-5620.73</v>
      </c>
      <c r="F5888">
        <v>-1.05</v>
      </c>
      <c r="G5888" t="s">
        <v>12</v>
      </c>
      <c r="I5888" t="s">
        <v>13</v>
      </c>
    </row>
    <row r="5889" spans="1:9" hidden="1" x14ac:dyDescent="0.25">
      <c r="A5889" t="s">
        <v>4894</v>
      </c>
      <c r="B5889" t="s">
        <v>27</v>
      </c>
      <c r="C5889" s="2">
        <f>HYPERLINK("https://cao.dolgi.msk.ru/account/1080046678/", 1080046678)</f>
        <v>1080046678</v>
      </c>
      <c r="D5889" t="s">
        <v>4903</v>
      </c>
      <c r="E5889">
        <v>-13814.28</v>
      </c>
      <c r="F5889">
        <v>-2.34</v>
      </c>
      <c r="G5889" t="s">
        <v>12</v>
      </c>
      <c r="I5889" t="s">
        <v>13</v>
      </c>
    </row>
    <row r="5890" spans="1:9" hidden="1" x14ac:dyDescent="0.25">
      <c r="A5890" t="s">
        <v>4894</v>
      </c>
      <c r="B5890" t="s">
        <v>29</v>
      </c>
      <c r="C5890" s="2">
        <f>HYPERLINK("https://cao.dolgi.msk.ru/account/1080046686/", 1080046686)</f>
        <v>1080046686</v>
      </c>
      <c r="D5890" t="s">
        <v>4904</v>
      </c>
      <c r="E5890">
        <v>0</v>
      </c>
      <c r="F5890">
        <v>0</v>
      </c>
      <c r="G5890" t="s">
        <v>12</v>
      </c>
      <c r="I5890" t="s">
        <v>13</v>
      </c>
    </row>
    <row r="5891" spans="1:9" hidden="1" x14ac:dyDescent="0.25">
      <c r="A5891" t="s">
        <v>4894</v>
      </c>
      <c r="B5891" t="s">
        <v>31</v>
      </c>
      <c r="C5891" s="2">
        <f>HYPERLINK("https://cao.dolgi.msk.ru/account/1080046694/", 1080046694)</f>
        <v>1080046694</v>
      </c>
      <c r="D5891" t="s">
        <v>4905</v>
      </c>
      <c r="E5891">
        <v>-2315.39</v>
      </c>
      <c r="F5891">
        <v>-1.06</v>
      </c>
      <c r="G5891" t="s">
        <v>12</v>
      </c>
      <c r="I5891" t="s">
        <v>13</v>
      </c>
    </row>
    <row r="5892" spans="1:9" hidden="1" x14ac:dyDescent="0.25">
      <c r="A5892" t="s">
        <v>4894</v>
      </c>
      <c r="B5892" t="s">
        <v>33</v>
      </c>
      <c r="C5892" s="2">
        <f>HYPERLINK("https://cao.dolgi.msk.ru/account/1080046707/", 1080046707)</f>
        <v>1080046707</v>
      </c>
      <c r="D5892" t="s">
        <v>4906</v>
      </c>
      <c r="E5892">
        <v>-6429.4</v>
      </c>
      <c r="F5892">
        <v>-1.1000000000000001</v>
      </c>
      <c r="G5892" t="s">
        <v>12</v>
      </c>
      <c r="I5892" t="s">
        <v>13</v>
      </c>
    </row>
    <row r="5893" spans="1:9" hidden="1" x14ac:dyDescent="0.25">
      <c r="A5893" t="s">
        <v>4894</v>
      </c>
      <c r="B5893" t="s">
        <v>34</v>
      </c>
      <c r="C5893" s="2">
        <f>HYPERLINK("https://cao.dolgi.msk.ru/account/1080046715/", 1080046715)</f>
        <v>1080046715</v>
      </c>
      <c r="D5893" t="s">
        <v>4907</v>
      </c>
      <c r="E5893">
        <v>-10.09</v>
      </c>
      <c r="F5893">
        <v>0</v>
      </c>
      <c r="G5893" t="s">
        <v>12</v>
      </c>
      <c r="I5893" t="s">
        <v>13</v>
      </c>
    </row>
    <row r="5894" spans="1:9" hidden="1" x14ac:dyDescent="0.25">
      <c r="A5894" t="s">
        <v>4894</v>
      </c>
      <c r="B5894" t="s">
        <v>36</v>
      </c>
      <c r="C5894" s="2">
        <f>HYPERLINK("https://cao.dolgi.msk.ru/account/1080046723/", 1080046723)</f>
        <v>1080046723</v>
      </c>
      <c r="D5894" t="s">
        <v>4908</v>
      </c>
      <c r="E5894">
        <v>-8167.32</v>
      </c>
      <c r="F5894">
        <v>-1.08</v>
      </c>
      <c r="G5894" t="s">
        <v>12</v>
      </c>
      <c r="I5894" t="s">
        <v>13</v>
      </c>
    </row>
    <row r="5895" spans="1:9" hidden="1" x14ac:dyDescent="0.25">
      <c r="A5895" t="s">
        <v>4894</v>
      </c>
      <c r="B5895" t="s">
        <v>38</v>
      </c>
      <c r="C5895" s="2">
        <f>HYPERLINK("https://cao.dolgi.msk.ru/account/1080046731/", 1080046731)</f>
        <v>1080046731</v>
      </c>
      <c r="D5895" t="s">
        <v>4909</v>
      </c>
      <c r="E5895">
        <v>-4421.0600000000004</v>
      </c>
      <c r="F5895">
        <v>-1</v>
      </c>
      <c r="G5895" t="s">
        <v>12</v>
      </c>
      <c r="I5895" t="s">
        <v>13</v>
      </c>
    </row>
    <row r="5896" spans="1:9" hidden="1" x14ac:dyDescent="0.25">
      <c r="A5896" t="s">
        <v>4894</v>
      </c>
      <c r="B5896" t="s">
        <v>39</v>
      </c>
      <c r="C5896" s="2">
        <f>HYPERLINK("https://cao.dolgi.msk.ru/account/1080046758/", 1080046758)</f>
        <v>1080046758</v>
      </c>
      <c r="D5896" t="s">
        <v>4910</v>
      </c>
      <c r="E5896">
        <v>-7312.68</v>
      </c>
      <c r="F5896">
        <v>-0.91</v>
      </c>
      <c r="G5896" t="s">
        <v>12</v>
      </c>
      <c r="I5896" t="s">
        <v>13</v>
      </c>
    </row>
    <row r="5897" spans="1:9" hidden="1" x14ac:dyDescent="0.25">
      <c r="A5897" t="s">
        <v>4894</v>
      </c>
      <c r="B5897" t="s">
        <v>40</v>
      </c>
      <c r="C5897" s="2">
        <f>HYPERLINK("https://cao.dolgi.msk.ru/account/1080046766/", 1080046766)</f>
        <v>1080046766</v>
      </c>
      <c r="D5897" t="s">
        <v>4911</v>
      </c>
      <c r="E5897">
        <v>-4147.17</v>
      </c>
      <c r="F5897">
        <v>-1.1000000000000001</v>
      </c>
      <c r="G5897" t="s">
        <v>12</v>
      </c>
      <c r="I5897" t="s">
        <v>13</v>
      </c>
    </row>
    <row r="5898" spans="1:9" hidden="1" x14ac:dyDescent="0.25">
      <c r="A5898" t="s">
        <v>4894</v>
      </c>
      <c r="B5898" t="s">
        <v>41</v>
      </c>
      <c r="C5898" s="2">
        <f>HYPERLINK("https://cao.dolgi.msk.ru/account/1080046774/", 1080046774)</f>
        <v>1080046774</v>
      </c>
      <c r="D5898" t="s">
        <v>4912</v>
      </c>
      <c r="E5898">
        <v>-8661.08</v>
      </c>
      <c r="F5898">
        <v>-0.92</v>
      </c>
      <c r="G5898" t="s">
        <v>12</v>
      </c>
      <c r="I5898" t="s">
        <v>13</v>
      </c>
    </row>
    <row r="5899" spans="1:9" hidden="1" x14ac:dyDescent="0.25">
      <c r="A5899" t="s">
        <v>4894</v>
      </c>
      <c r="B5899" t="s">
        <v>44</v>
      </c>
      <c r="C5899" s="2">
        <f>HYPERLINK("https://cao.dolgi.msk.ru/account/1080319779/", 1080319779)</f>
        <v>1080319779</v>
      </c>
      <c r="D5899" t="s">
        <v>15</v>
      </c>
      <c r="E5899">
        <v>-3370.57</v>
      </c>
      <c r="F5899">
        <v>-1.06</v>
      </c>
      <c r="G5899" t="s">
        <v>12</v>
      </c>
      <c r="I5899" t="s">
        <v>13</v>
      </c>
    </row>
    <row r="5900" spans="1:9" hidden="1" x14ac:dyDescent="0.25">
      <c r="A5900" t="s">
        <v>4894</v>
      </c>
      <c r="B5900" t="s">
        <v>66</v>
      </c>
      <c r="C5900" s="2">
        <f>HYPERLINK("https://cao.dolgi.msk.ru/account/1080046803/", 1080046803)</f>
        <v>1080046803</v>
      </c>
      <c r="D5900" t="s">
        <v>4913</v>
      </c>
      <c r="E5900">
        <v>-2943.63</v>
      </c>
      <c r="F5900">
        <v>-1.1299999999999999</v>
      </c>
      <c r="G5900" t="s">
        <v>12</v>
      </c>
      <c r="I5900" t="s">
        <v>13</v>
      </c>
    </row>
    <row r="5901" spans="1:9" hidden="1" x14ac:dyDescent="0.25">
      <c r="A5901" t="s">
        <v>4894</v>
      </c>
      <c r="B5901" t="s">
        <v>68</v>
      </c>
      <c r="C5901" s="2">
        <f>HYPERLINK("https://cao.dolgi.msk.ru/account/1080046811/", 1080046811)</f>
        <v>1080046811</v>
      </c>
      <c r="D5901" t="s">
        <v>4914</v>
      </c>
      <c r="E5901">
        <v>-4036.65</v>
      </c>
      <c r="F5901">
        <v>-1.06</v>
      </c>
      <c r="G5901" t="s">
        <v>12</v>
      </c>
      <c r="I5901" t="s">
        <v>13</v>
      </c>
    </row>
    <row r="5902" spans="1:9" hidden="1" x14ac:dyDescent="0.25">
      <c r="A5902" t="s">
        <v>4894</v>
      </c>
      <c r="B5902" t="s">
        <v>70</v>
      </c>
      <c r="C5902" s="2">
        <f>HYPERLINK("https://cao.dolgi.msk.ru/account/1080046838/", 1080046838)</f>
        <v>1080046838</v>
      </c>
      <c r="D5902" t="s">
        <v>4915</v>
      </c>
      <c r="E5902">
        <v>-6908.56</v>
      </c>
      <c r="F5902">
        <v>-1.17</v>
      </c>
      <c r="G5902" t="s">
        <v>12</v>
      </c>
      <c r="I5902" t="s">
        <v>13</v>
      </c>
    </row>
    <row r="5903" spans="1:9" hidden="1" x14ac:dyDescent="0.25">
      <c r="A5903" t="s">
        <v>4894</v>
      </c>
      <c r="B5903" t="s">
        <v>72</v>
      </c>
      <c r="C5903" s="2">
        <f>HYPERLINK("https://cao.dolgi.msk.ru/account/1080046846/", 1080046846)</f>
        <v>1080046846</v>
      </c>
      <c r="D5903" t="s">
        <v>4916</v>
      </c>
      <c r="E5903">
        <v>-6268.78</v>
      </c>
      <c r="F5903">
        <v>-1.22</v>
      </c>
      <c r="G5903" t="s">
        <v>12</v>
      </c>
      <c r="I5903" t="s">
        <v>13</v>
      </c>
    </row>
    <row r="5904" spans="1:9" hidden="1" x14ac:dyDescent="0.25">
      <c r="A5904" t="s">
        <v>4894</v>
      </c>
      <c r="B5904" t="s">
        <v>74</v>
      </c>
      <c r="C5904" s="2">
        <f>HYPERLINK("https://cao.dolgi.msk.ru/account/1080046854/", 1080046854)</f>
        <v>1080046854</v>
      </c>
      <c r="D5904" t="s">
        <v>4917</v>
      </c>
      <c r="E5904">
        <v>0</v>
      </c>
      <c r="F5904">
        <v>0</v>
      </c>
      <c r="G5904" t="s">
        <v>12</v>
      </c>
      <c r="I5904" t="s">
        <v>13</v>
      </c>
    </row>
    <row r="5905" spans="1:9" hidden="1" x14ac:dyDescent="0.25">
      <c r="A5905" t="s">
        <v>4894</v>
      </c>
      <c r="B5905" t="s">
        <v>76</v>
      </c>
      <c r="C5905" s="2">
        <f>HYPERLINK("https://cao.dolgi.msk.ru/account/1080046862/", 1080046862)</f>
        <v>1080046862</v>
      </c>
      <c r="D5905" t="s">
        <v>4918</v>
      </c>
      <c r="E5905">
        <v>0</v>
      </c>
      <c r="F5905">
        <v>0</v>
      </c>
      <c r="G5905" t="s">
        <v>12</v>
      </c>
      <c r="I5905" t="s">
        <v>13</v>
      </c>
    </row>
    <row r="5906" spans="1:9" hidden="1" x14ac:dyDescent="0.25">
      <c r="A5906" t="s">
        <v>4894</v>
      </c>
      <c r="B5906" t="s">
        <v>78</v>
      </c>
      <c r="C5906" s="2">
        <f>HYPERLINK("https://cao.dolgi.msk.ru/account/1080046889/", 1080046889)</f>
        <v>1080046889</v>
      </c>
      <c r="D5906" t="s">
        <v>4919</v>
      </c>
      <c r="E5906">
        <v>-9932.9699999999993</v>
      </c>
      <c r="F5906">
        <v>-1.1200000000000001</v>
      </c>
      <c r="G5906" t="s">
        <v>12</v>
      </c>
      <c r="I5906" t="s">
        <v>13</v>
      </c>
    </row>
    <row r="5907" spans="1:9" hidden="1" x14ac:dyDescent="0.25">
      <c r="A5907" t="s">
        <v>4894</v>
      </c>
      <c r="B5907" t="s">
        <v>80</v>
      </c>
      <c r="C5907" s="2">
        <f>HYPERLINK("https://cao.dolgi.msk.ru/account/1080046897/", 1080046897)</f>
        <v>1080046897</v>
      </c>
      <c r="D5907" t="s">
        <v>4920</v>
      </c>
      <c r="E5907">
        <v>-8332.7900000000009</v>
      </c>
      <c r="F5907">
        <v>-1.1200000000000001</v>
      </c>
      <c r="G5907" t="s">
        <v>12</v>
      </c>
      <c r="I5907" t="s">
        <v>13</v>
      </c>
    </row>
    <row r="5908" spans="1:9" hidden="1" x14ac:dyDescent="0.25">
      <c r="A5908" t="s">
        <v>4894</v>
      </c>
      <c r="B5908" t="s">
        <v>82</v>
      </c>
      <c r="C5908" s="2">
        <f>HYPERLINK("https://cao.dolgi.msk.ru/account/1080046918/", 1080046918)</f>
        <v>1080046918</v>
      </c>
      <c r="D5908" t="s">
        <v>4921</v>
      </c>
      <c r="E5908">
        <v>-3555.09</v>
      </c>
      <c r="F5908">
        <v>-1.02</v>
      </c>
      <c r="G5908" t="s">
        <v>12</v>
      </c>
      <c r="I5908" t="s">
        <v>13</v>
      </c>
    </row>
    <row r="5909" spans="1:9" hidden="1" x14ac:dyDescent="0.25">
      <c r="A5909" t="s">
        <v>4894</v>
      </c>
      <c r="B5909" t="s">
        <v>84</v>
      </c>
      <c r="C5909" s="2">
        <f>HYPERLINK("https://cao.dolgi.msk.ru/account/1080046926/", 1080046926)</f>
        <v>1080046926</v>
      </c>
      <c r="D5909" t="s">
        <v>4922</v>
      </c>
      <c r="E5909">
        <v>-7154.52</v>
      </c>
      <c r="F5909">
        <v>-1.35</v>
      </c>
      <c r="G5909" t="s">
        <v>12</v>
      </c>
      <c r="I5909" t="s">
        <v>13</v>
      </c>
    </row>
    <row r="5910" spans="1:9" hidden="1" x14ac:dyDescent="0.25">
      <c r="A5910" t="s">
        <v>4894</v>
      </c>
      <c r="B5910" t="s">
        <v>86</v>
      </c>
      <c r="C5910" s="2">
        <f>HYPERLINK("https://cao.dolgi.msk.ru/account/1080046934/", 1080046934)</f>
        <v>1080046934</v>
      </c>
      <c r="D5910" t="s">
        <v>4923</v>
      </c>
      <c r="E5910">
        <v>-9571.4500000000007</v>
      </c>
      <c r="F5910">
        <v>-1</v>
      </c>
      <c r="G5910" t="s">
        <v>12</v>
      </c>
      <c r="I5910" t="s">
        <v>13</v>
      </c>
    </row>
    <row r="5911" spans="1:9" hidden="1" x14ac:dyDescent="0.25">
      <c r="A5911" t="s">
        <v>4894</v>
      </c>
      <c r="B5911" t="s">
        <v>88</v>
      </c>
      <c r="C5911" s="2">
        <f>HYPERLINK("https://cao.dolgi.msk.ru/account/1080046942/", 1080046942)</f>
        <v>1080046942</v>
      </c>
      <c r="D5911" t="s">
        <v>4924</v>
      </c>
      <c r="E5911">
        <v>-8529.1</v>
      </c>
      <c r="F5911">
        <v>-1.1200000000000001</v>
      </c>
      <c r="G5911" t="s">
        <v>12</v>
      </c>
      <c r="I5911" t="s">
        <v>13</v>
      </c>
    </row>
    <row r="5912" spans="1:9" hidden="1" x14ac:dyDescent="0.25">
      <c r="A5912" t="s">
        <v>4894</v>
      </c>
      <c r="B5912" t="s">
        <v>90</v>
      </c>
      <c r="C5912" s="2">
        <f>HYPERLINK("https://cao.dolgi.msk.ru/account/1080046969/", 1080046969)</f>
        <v>1080046969</v>
      </c>
      <c r="D5912" t="s">
        <v>4925</v>
      </c>
      <c r="E5912">
        <v>-8386.26</v>
      </c>
      <c r="F5912">
        <v>-1.68</v>
      </c>
      <c r="G5912" t="s">
        <v>12</v>
      </c>
      <c r="I5912" t="s">
        <v>13</v>
      </c>
    </row>
    <row r="5913" spans="1:9" hidden="1" x14ac:dyDescent="0.25">
      <c r="A5913" t="s">
        <v>4894</v>
      </c>
      <c r="B5913" t="s">
        <v>92</v>
      </c>
      <c r="C5913" s="2">
        <f>HYPERLINK("https://cao.dolgi.msk.ru/account/1080046977/", 1080046977)</f>
        <v>1080046977</v>
      </c>
      <c r="D5913" t="s">
        <v>4926</v>
      </c>
      <c r="E5913">
        <v>-4712.13</v>
      </c>
      <c r="F5913">
        <v>-1.1200000000000001</v>
      </c>
      <c r="G5913" t="s">
        <v>12</v>
      </c>
      <c r="I5913" t="s">
        <v>13</v>
      </c>
    </row>
    <row r="5914" spans="1:9" hidden="1" x14ac:dyDescent="0.25">
      <c r="A5914" t="s">
        <v>4894</v>
      </c>
      <c r="B5914" t="s">
        <v>94</v>
      </c>
      <c r="C5914" s="2">
        <f>HYPERLINK("https://cao.dolgi.msk.ru/account/1080046985/", 1080046985)</f>
        <v>1080046985</v>
      </c>
      <c r="D5914" t="s">
        <v>4927</v>
      </c>
      <c r="E5914">
        <v>8400.5499999999993</v>
      </c>
      <c r="F5914">
        <v>0.99</v>
      </c>
      <c r="G5914" t="s">
        <v>12</v>
      </c>
      <c r="I5914" t="s">
        <v>13</v>
      </c>
    </row>
    <row r="5915" spans="1:9" hidden="1" x14ac:dyDescent="0.25">
      <c r="A5915" t="s">
        <v>4894</v>
      </c>
      <c r="B5915" t="s">
        <v>96</v>
      </c>
      <c r="C5915" s="2">
        <f>HYPERLINK("https://cao.dolgi.msk.ru/account/1080046993/", 1080046993)</f>
        <v>1080046993</v>
      </c>
      <c r="D5915" t="s">
        <v>4928</v>
      </c>
      <c r="E5915">
        <v>39.18</v>
      </c>
      <c r="F5915">
        <v>0.01</v>
      </c>
      <c r="G5915" t="s">
        <v>12</v>
      </c>
      <c r="I5915" t="s">
        <v>13</v>
      </c>
    </row>
    <row r="5916" spans="1:9" hidden="1" x14ac:dyDescent="0.25">
      <c r="A5916" t="s">
        <v>4894</v>
      </c>
      <c r="B5916" t="s">
        <v>98</v>
      </c>
      <c r="C5916" s="2">
        <f>HYPERLINK("https://cao.dolgi.msk.ru/account/1080047005/", 1080047005)</f>
        <v>1080047005</v>
      </c>
      <c r="D5916" t="s">
        <v>4929</v>
      </c>
      <c r="E5916">
        <v>-2800.67</v>
      </c>
      <c r="F5916">
        <v>-1.0900000000000001</v>
      </c>
      <c r="G5916" t="s">
        <v>12</v>
      </c>
      <c r="I5916" t="s">
        <v>13</v>
      </c>
    </row>
    <row r="5917" spans="1:9" hidden="1" x14ac:dyDescent="0.25">
      <c r="A5917" t="s">
        <v>4894</v>
      </c>
      <c r="B5917" t="s">
        <v>100</v>
      </c>
      <c r="C5917" s="2">
        <f>HYPERLINK("https://cao.dolgi.msk.ru/account/1080047013/", 1080047013)</f>
        <v>1080047013</v>
      </c>
      <c r="D5917" t="s">
        <v>4930</v>
      </c>
      <c r="E5917">
        <v>-138.9</v>
      </c>
      <c r="F5917">
        <v>-0.03</v>
      </c>
      <c r="G5917" t="s">
        <v>12</v>
      </c>
      <c r="I5917" t="s">
        <v>13</v>
      </c>
    </row>
    <row r="5918" spans="1:9" hidden="1" x14ac:dyDescent="0.25">
      <c r="A5918" t="s">
        <v>4894</v>
      </c>
      <c r="B5918" t="s">
        <v>102</v>
      </c>
      <c r="C5918" s="2">
        <f>HYPERLINK("https://cao.dolgi.msk.ru/account/1080047021/", 1080047021)</f>
        <v>1080047021</v>
      </c>
      <c r="D5918" t="s">
        <v>4931</v>
      </c>
      <c r="E5918">
        <v>-1163.72</v>
      </c>
      <c r="F5918">
        <v>-0.41</v>
      </c>
      <c r="G5918" t="s">
        <v>12</v>
      </c>
      <c r="I5918" t="s">
        <v>13</v>
      </c>
    </row>
    <row r="5919" spans="1:9" hidden="1" x14ac:dyDescent="0.25">
      <c r="A5919" t="s">
        <v>4894</v>
      </c>
      <c r="B5919" t="s">
        <v>104</v>
      </c>
      <c r="C5919" s="2">
        <f>HYPERLINK("https://cao.dolgi.msk.ru/account/1080047048/", 1080047048)</f>
        <v>1080047048</v>
      </c>
      <c r="D5919" t="s">
        <v>4932</v>
      </c>
      <c r="E5919">
        <v>-900.12</v>
      </c>
      <c r="F5919">
        <v>-0.13</v>
      </c>
      <c r="G5919" t="s">
        <v>12</v>
      </c>
      <c r="I5919" t="s">
        <v>13</v>
      </c>
    </row>
    <row r="5920" spans="1:9" hidden="1" x14ac:dyDescent="0.25">
      <c r="A5920" t="s">
        <v>4894</v>
      </c>
      <c r="B5920" t="s">
        <v>106</v>
      </c>
      <c r="C5920" s="2">
        <f>HYPERLINK("https://cao.dolgi.msk.ru/account/1080047056/", 1080047056)</f>
        <v>1080047056</v>
      </c>
      <c r="D5920" t="s">
        <v>4933</v>
      </c>
      <c r="E5920">
        <v>-4311.05</v>
      </c>
      <c r="F5920">
        <v>-1.07</v>
      </c>
      <c r="G5920" t="s">
        <v>12</v>
      </c>
      <c r="I5920" t="s">
        <v>13</v>
      </c>
    </row>
    <row r="5921" spans="1:9" hidden="1" x14ac:dyDescent="0.25">
      <c r="A5921" t="s">
        <v>4894</v>
      </c>
      <c r="B5921" t="s">
        <v>108</v>
      </c>
      <c r="C5921" s="2">
        <f>HYPERLINK("https://cao.dolgi.msk.ru/account/1080047064/", 1080047064)</f>
        <v>1080047064</v>
      </c>
      <c r="D5921" t="s">
        <v>4934</v>
      </c>
      <c r="E5921">
        <v>-2956.2</v>
      </c>
      <c r="F5921">
        <v>-1.0900000000000001</v>
      </c>
      <c r="G5921" t="s">
        <v>12</v>
      </c>
      <c r="I5921" t="s">
        <v>13</v>
      </c>
    </row>
    <row r="5922" spans="1:9" hidden="1" x14ac:dyDescent="0.25">
      <c r="A5922" t="s">
        <v>4894</v>
      </c>
      <c r="B5922" t="s">
        <v>110</v>
      </c>
      <c r="C5922" s="2">
        <f>HYPERLINK("https://cao.dolgi.msk.ru/account/1080047072/", 1080047072)</f>
        <v>1080047072</v>
      </c>
      <c r="D5922" t="s">
        <v>4935</v>
      </c>
      <c r="E5922">
        <v>-2142.38</v>
      </c>
      <c r="F5922">
        <v>-0.66</v>
      </c>
      <c r="G5922" t="s">
        <v>12</v>
      </c>
      <c r="I5922" t="s">
        <v>13</v>
      </c>
    </row>
    <row r="5923" spans="1:9" hidden="1" x14ac:dyDescent="0.25">
      <c r="A5923" t="s">
        <v>4894</v>
      </c>
      <c r="B5923" t="s">
        <v>112</v>
      </c>
      <c r="C5923" s="2">
        <f>HYPERLINK("https://cao.dolgi.msk.ru/account/1080047099/", 1080047099)</f>
        <v>1080047099</v>
      </c>
      <c r="D5923" t="s">
        <v>4936</v>
      </c>
      <c r="E5923">
        <v>-9639.2099999999991</v>
      </c>
      <c r="F5923">
        <v>-1.1299999999999999</v>
      </c>
      <c r="G5923" t="s">
        <v>12</v>
      </c>
      <c r="I5923" t="s">
        <v>13</v>
      </c>
    </row>
    <row r="5924" spans="1:9" hidden="1" x14ac:dyDescent="0.25">
      <c r="A5924" t="s">
        <v>4894</v>
      </c>
      <c r="B5924" t="s">
        <v>114</v>
      </c>
      <c r="C5924" s="2">
        <f>HYPERLINK("https://cao.dolgi.msk.ru/account/1080047101/", 1080047101)</f>
        <v>1080047101</v>
      </c>
      <c r="D5924" t="s">
        <v>4937</v>
      </c>
      <c r="E5924">
        <v>-4403.3</v>
      </c>
      <c r="F5924">
        <v>-1.1599999999999999</v>
      </c>
      <c r="G5924" t="s">
        <v>12</v>
      </c>
      <c r="I5924" t="s">
        <v>13</v>
      </c>
    </row>
    <row r="5925" spans="1:9" hidden="1" x14ac:dyDescent="0.25">
      <c r="A5925" t="s">
        <v>4894</v>
      </c>
      <c r="B5925" t="s">
        <v>116</v>
      </c>
      <c r="C5925" s="2">
        <f>HYPERLINK("https://cao.dolgi.msk.ru/account/1080047128/", 1080047128)</f>
        <v>1080047128</v>
      </c>
      <c r="D5925" t="s">
        <v>4938</v>
      </c>
      <c r="E5925">
        <v>-7409.02</v>
      </c>
      <c r="F5925">
        <v>-1.1200000000000001</v>
      </c>
      <c r="G5925" t="s">
        <v>12</v>
      </c>
      <c r="I5925" t="s">
        <v>13</v>
      </c>
    </row>
    <row r="5926" spans="1:9" hidden="1" x14ac:dyDescent="0.25">
      <c r="A5926" t="s">
        <v>4894</v>
      </c>
      <c r="B5926" t="s">
        <v>118</v>
      </c>
      <c r="C5926" s="2">
        <f>HYPERLINK("https://cao.dolgi.msk.ru/account/1080047136/", 1080047136)</f>
        <v>1080047136</v>
      </c>
      <c r="D5926" t="s">
        <v>4939</v>
      </c>
      <c r="E5926">
        <v>-6933.53</v>
      </c>
      <c r="F5926">
        <v>-1.1200000000000001</v>
      </c>
      <c r="G5926" t="s">
        <v>12</v>
      </c>
      <c r="I5926" t="s">
        <v>13</v>
      </c>
    </row>
    <row r="5927" spans="1:9" hidden="1" x14ac:dyDescent="0.25">
      <c r="A5927" t="s">
        <v>4894</v>
      </c>
      <c r="B5927" t="s">
        <v>118</v>
      </c>
      <c r="C5927" s="2">
        <f>HYPERLINK("https://cao.dolgi.msk.ru/account/1083274764/", 1083274764)</f>
        <v>1083274764</v>
      </c>
      <c r="D5927" t="s">
        <v>15</v>
      </c>
      <c r="E5927">
        <v>-619.72</v>
      </c>
      <c r="G5927" t="s">
        <v>14</v>
      </c>
      <c r="I5927" t="s">
        <v>13</v>
      </c>
    </row>
    <row r="5928" spans="1:9" hidden="1" x14ac:dyDescent="0.25">
      <c r="A5928" t="s">
        <v>4894</v>
      </c>
      <c r="B5928" t="s">
        <v>120</v>
      </c>
      <c r="C5928" s="2">
        <f>HYPERLINK("https://cao.dolgi.msk.ru/account/1080047144/", 1080047144)</f>
        <v>1080047144</v>
      </c>
      <c r="D5928" t="s">
        <v>4940</v>
      </c>
      <c r="E5928">
        <v>-5823.5</v>
      </c>
      <c r="F5928">
        <v>-0.93</v>
      </c>
      <c r="G5928" t="s">
        <v>12</v>
      </c>
      <c r="I5928" t="s">
        <v>13</v>
      </c>
    </row>
    <row r="5929" spans="1:9" hidden="1" x14ac:dyDescent="0.25">
      <c r="A5929" t="s">
        <v>4894</v>
      </c>
      <c r="B5929" t="s">
        <v>122</v>
      </c>
      <c r="C5929" s="2">
        <f>HYPERLINK("https://cao.dolgi.msk.ru/account/1080047152/", 1080047152)</f>
        <v>1080047152</v>
      </c>
      <c r="D5929" t="s">
        <v>4941</v>
      </c>
      <c r="E5929">
        <v>71.099999999999994</v>
      </c>
      <c r="F5929">
        <v>0.03</v>
      </c>
      <c r="G5929" t="s">
        <v>12</v>
      </c>
      <c r="I5929" t="s">
        <v>13</v>
      </c>
    </row>
    <row r="5930" spans="1:9" hidden="1" x14ac:dyDescent="0.25">
      <c r="A5930" t="s">
        <v>4894</v>
      </c>
      <c r="B5930" t="s">
        <v>124</v>
      </c>
      <c r="C5930" s="2">
        <f>HYPERLINK("https://cao.dolgi.msk.ru/account/1080047179/", 1080047179)</f>
        <v>1080047179</v>
      </c>
      <c r="D5930" t="s">
        <v>4942</v>
      </c>
      <c r="E5930">
        <v>9.6300000000000008</v>
      </c>
      <c r="F5930">
        <v>0</v>
      </c>
      <c r="G5930" t="s">
        <v>12</v>
      </c>
      <c r="I5930" t="s">
        <v>13</v>
      </c>
    </row>
    <row r="5931" spans="1:9" hidden="1" x14ac:dyDescent="0.25">
      <c r="A5931" t="s">
        <v>4894</v>
      </c>
      <c r="B5931" t="s">
        <v>126</v>
      </c>
      <c r="C5931" s="2">
        <f>HYPERLINK("https://cao.dolgi.msk.ru/account/1080047187/", 1080047187)</f>
        <v>1080047187</v>
      </c>
      <c r="D5931" t="s">
        <v>4943</v>
      </c>
      <c r="E5931">
        <v>-3028.64</v>
      </c>
      <c r="F5931">
        <v>-0.69</v>
      </c>
      <c r="G5931" t="s">
        <v>12</v>
      </c>
      <c r="I5931" t="s">
        <v>13</v>
      </c>
    </row>
    <row r="5932" spans="1:9" hidden="1" x14ac:dyDescent="0.25">
      <c r="A5932" t="s">
        <v>4894</v>
      </c>
      <c r="B5932" t="s">
        <v>128</v>
      </c>
      <c r="C5932" s="2">
        <f>HYPERLINK("https://cao.dolgi.msk.ru/account/1080047195/", 1080047195)</f>
        <v>1080047195</v>
      </c>
      <c r="D5932" t="s">
        <v>4944</v>
      </c>
      <c r="E5932">
        <v>-5735.64</v>
      </c>
      <c r="F5932">
        <v>-1.1399999999999999</v>
      </c>
      <c r="G5932" t="s">
        <v>12</v>
      </c>
      <c r="I5932" t="s">
        <v>13</v>
      </c>
    </row>
    <row r="5933" spans="1:9" hidden="1" x14ac:dyDescent="0.25">
      <c r="A5933" t="s">
        <v>4894</v>
      </c>
      <c r="B5933" t="s">
        <v>128</v>
      </c>
      <c r="C5933" s="2">
        <f>HYPERLINK("https://cao.dolgi.msk.ru/account/1083269949/", 1083269949)</f>
        <v>1083269949</v>
      </c>
      <c r="D5933" t="s">
        <v>15</v>
      </c>
      <c r="E5933">
        <v>-4571.6899999999996</v>
      </c>
      <c r="F5933">
        <v>-1.18</v>
      </c>
      <c r="G5933" t="s">
        <v>12</v>
      </c>
      <c r="I5933" t="s">
        <v>13</v>
      </c>
    </row>
    <row r="5934" spans="1:9" hidden="1" x14ac:dyDescent="0.25">
      <c r="A5934" t="s">
        <v>4894</v>
      </c>
      <c r="B5934" t="s">
        <v>130</v>
      </c>
      <c r="C5934" s="2">
        <f>HYPERLINK("https://cao.dolgi.msk.ru/account/1080047208/", 1080047208)</f>
        <v>1080047208</v>
      </c>
      <c r="D5934" t="s">
        <v>4945</v>
      </c>
      <c r="E5934">
        <v>-6409.84</v>
      </c>
      <c r="F5934">
        <v>-1.0900000000000001</v>
      </c>
      <c r="G5934" t="s">
        <v>12</v>
      </c>
      <c r="I5934" t="s">
        <v>13</v>
      </c>
    </row>
    <row r="5935" spans="1:9" hidden="1" x14ac:dyDescent="0.25">
      <c r="A5935" t="s">
        <v>4894</v>
      </c>
      <c r="B5935" t="s">
        <v>132</v>
      </c>
      <c r="C5935" s="2">
        <f>HYPERLINK("https://cao.dolgi.msk.ru/account/1080047216/", 1080047216)</f>
        <v>1080047216</v>
      </c>
      <c r="D5935" t="s">
        <v>4946</v>
      </c>
      <c r="E5935">
        <v>0</v>
      </c>
      <c r="F5935">
        <v>0</v>
      </c>
      <c r="G5935" t="s">
        <v>12</v>
      </c>
      <c r="I5935" t="s">
        <v>13</v>
      </c>
    </row>
    <row r="5936" spans="1:9" hidden="1" x14ac:dyDescent="0.25">
      <c r="A5936" t="s">
        <v>4894</v>
      </c>
      <c r="B5936" t="s">
        <v>133</v>
      </c>
      <c r="C5936" s="2">
        <f>HYPERLINK("https://cao.dolgi.msk.ru/account/1080047224/", 1080047224)</f>
        <v>1080047224</v>
      </c>
      <c r="D5936" t="s">
        <v>4947</v>
      </c>
      <c r="E5936">
        <v>-1.22</v>
      </c>
      <c r="F5936">
        <v>0</v>
      </c>
      <c r="G5936" t="s">
        <v>12</v>
      </c>
      <c r="I5936" t="s">
        <v>13</v>
      </c>
    </row>
    <row r="5937" spans="1:9" hidden="1" x14ac:dyDescent="0.25">
      <c r="A5937" t="s">
        <v>4894</v>
      </c>
      <c r="B5937" t="s">
        <v>135</v>
      </c>
      <c r="C5937" s="2">
        <f>HYPERLINK("https://cao.dolgi.msk.ru/account/1080047232/", 1080047232)</f>
        <v>1080047232</v>
      </c>
      <c r="D5937" t="s">
        <v>4948</v>
      </c>
      <c r="E5937">
        <v>-9596.7199999999993</v>
      </c>
      <c r="F5937">
        <v>-1.02</v>
      </c>
      <c r="G5937" t="s">
        <v>12</v>
      </c>
      <c r="I5937" t="s">
        <v>13</v>
      </c>
    </row>
    <row r="5938" spans="1:9" hidden="1" x14ac:dyDescent="0.25">
      <c r="A5938" t="s">
        <v>4894</v>
      </c>
      <c r="B5938" t="s">
        <v>137</v>
      </c>
      <c r="C5938" s="2">
        <f>HYPERLINK("https://cao.dolgi.msk.ru/account/1080047259/", 1080047259)</f>
        <v>1080047259</v>
      </c>
      <c r="D5938" t="s">
        <v>4949</v>
      </c>
      <c r="E5938">
        <v>6868.22</v>
      </c>
      <c r="F5938">
        <v>0.96</v>
      </c>
      <c r="G5938" t="s">
        <v>12</v>
      </c>
      <c r="I5938" t="s">
        <v>13</v>
      </c>
    </row>
    <row r="5939" spans="1:9" hidden="1" x14ac:dyDescent="0.25">
      <c r="A5939" t="s">
        <v>4950</v>
      </c>
      <c r="B5939" t="s">
        <v>27</v>
      </c>
      <c r="C5939" s="2">
        <f>HYPERLINK("https://cao.dolgi.msk.ru/account/1080047507/", 1080047507)</f>
        <v>1080047507</v>
      </c>
      <c r="D5939" t="s">
        <v>15</v>
      </c>
      <c r="E5939">
        <v>12210.94</v>
      </c>
      <c r="G5939" t="s">
        <v>14</v>
      </c>
      <c r="I5939" t="s">
        <v>13</v>
      </c>
    </row>
    <row r="5940" spans="1:9" hidden="1" x14ac:dyDescent="0.25">
      <c r="A5940" t="s">
        <v>4950</v>
      </c>
      <c r="B5940" t="s">
        <v>27</v>
      </c>
      <c r="C5940" s="2">
        <f>HYPERLINK("https://cao.dolgi.msk.ru/account/1083392306/", 1083392306)</f>
        <v>1083392306</v>
      </c>
      <c r="D5940" t="s">
        <v>15</v>
      </c>
      <c r="E5940">
        <v>-5239.91</v>
      </c>
      <c r="F5940">
        <v>-1.02</v>
      </c>
      <c r="G5940" t="s">
        <v>12</v>
      </c>
      <c r="I5940" t="s">
        <v>13</v>
      </c>
    </row>
    <row r="5941" spans="1:9" hidden="1" x14ac:dyDescent="0.25">
      <c r="A5941" t="s">
        <v>4950</v>
      </c>
      <c r="B5941" t="s">
        <v>29</v>
      </c>
      <c r="C5941" s="2">
        <f>HYPERLINK("https://cao.dolgi.msk.ru/account/1080047523/", 1080047523)</f>
        <v>1080047523</v>
      </c>
      <c r="D5941" t="s">
        <v>4951</v>
      </c>
      <c r="E5941">
        <v>-1040.71</v>
      </c>
      <c r="G5941" t="s">
        <v>14</v>
      </c>
      <c r="I5941" t="s">
        <v>13</v>
      </c>
    </row>
    <row r="5942" spans="1:9" hidden="1" x14ac:dyDescent="0.25">
      <c r="A5942" t="s">
        <v>4950</v>
      </c>
      <c r="B5942" t="s">
        <v>29</v>
      </c>
      <c r="C5942" s="2">
        <f>HYPERLINK("https://cao.dolgi.msk.ru/account/1083392357/", 1083392357)</f>
        <v>1083392357</v>
      </c>
      <c r="D5942" t="s">
        <v>4951</v>
      </c>
      <c r="E5942">
        <v>6956.16</v>
      </c>
      <c r="F5942">
        <v>1</v>
      </c>
      <c r="G5942" t="s">
        <v>12</v>
      </c>
      <c r="I5942" t="s">
        <v>13</v>
      </c>
    </row>
    <row r="5943" spans="1:9" hidden="1" x14ac:dyDescent="0.25">
      <c r="A5943" t="s">
        <v>4950</v>
      </c>
      <c r="B5943" t="s">
        <v>31</v>
      </c>
      <c r="C5943" s="2">
        <f>HYPERLINK("https://cao.dolgi.msk.ru/account/1080047558/", 1080047558)</f>
        <v>1080047558</v>
      </c>
      <c r="D5943" t="s">
        <v>4952</v>
      </c>
      <c r="E5943">
        <v>147877.51</v>
      </c>
      <c r="G5943" t="s">
        <v>14</v>
      </c>
      <c r="I5943" t="s">
        <v>13</v>
      </c>
    </row>
    <row r="5944" spans="1:9" hidden="1" x14ac:dyDescent="0.25">
      <c r="A5944" t="s">
        <v>4950</v>
      </c>
      <c r="B5944" t="s">
        <v>31</v>
      </c>
      <c r="C5944" s="2">
        <f>HYPERLINK("https://cao.dolgi.msk.ru/account/1083392189/", 1083392189)</f>
        <v>1083392189</v>
      </c>
      <c r="D5944" t="s">
        <v>4952</v>
      </c>
      <c r="E5944">
        <v>6756.98</v>
      </c>
      <c r="F5944">
        <v>1</v>
      </c>
      <c r="G5944" t="s">
        <v>12</v>
      </c>
      <c r="I5944" t="s">
        <v>13</v>
      </c>
    </row>
    <row r="5945" spans="1:9" hidden="1" x14ac:dyDescent="0.25">
      <c r="A5945" t="s">
        <v>4950</v>
      </c>
      <c r="B5945" t="s">
        <v>33</v>
      </c>
      <c r="C5945" s="2">
        <f>HYPERLINK("https://cao.dolgi.msk.ru/account/1080047566/", 1080047566)</f>
        <v>1080047566</v>
      </c>
      <c r="D5945" t="s">
        <v>4953</v>
      </c>
      <c r="E5945">
        <v>-4720.05</v>
      </c>
      <c r="G5945" t="s">
        <v>14</v>
      </c>
      <c r="I5945" t="s">
        <v>13</v>
      </c>
    </row>
    <row r="5946" spans="1:9" hidden="1" x14ac:dyDescent="0.25">
      <c r="A5946" t="s">
        <v>4950</v>
      </c>
      <c r="B5946" t="s">
        <v>33</v>
      </c>
      <c r="C5946" s="2">
        <f>HYPERLINK("https://cao.dolgi.msk.ru/account/1083392277/", 1083392277)</f>
        <v>1083392277</v>
      </c>
      <c r="D5946" t="s">
        <v>4953</v>
      </c>
      <c r="E5946">
        <v>-13581.92</v>
      </c>
      <c r="F5946">
        <v>-1.95</v>
      </c>
      <c r="G5946" t="s">
        <v>12</v>
      </c>
      <c r="I5946" t="s">
        <v>13</v>
      </c>
    </row>
    <row r="5947" spans="1:9" hidden="1" x14ac:dyDescent="0.25">
      <c r="A5947" t="s">
        <v>4950</v>
      </c>
      <c r="B5947" t="s">
        <v>34</v>
      </c>
      <c r="C5947" s="2">
        <f>HYPERLINK("https://cao.dolgi.msk.ru/account/1080047654/", 1080047654)</f>
        <v>1080047654</v>
      </c>
      <c r="D5947" t="s">
        <v>15</v>
      </c>
      <c r="E5947">
        <v>-5542.72</v>
      </c>
      <c r="G5947" t="s">
        <v>14</v>
      </c>
      <c r="I5947" t="s">
        <v>13</v>
      </c>
    </row>
    <row r="5948" spans="1:9" hidden="1" x14ac:dyDescent="0.25">
      <c r="A5948" t="s">
        <v>4950</v>
      </c>
      <c r="B5948" t="s">
        <v>34</v>
      </c>
      <c r="C5948" s="2">
        <f>HYPERLINK("https://cao.dolgi.msk.ru/account/1083392269/", 1083392269)</f>
        <v>1083392269</v>
      </c>
      <c r="D5948" t="s">
        <v>15</v>
      </c>
      <c r="E5948">
        <v>-8384.69</v>
      </c>
      <c r="F5948">
        <v>-1</v>
      </c>
      <c r="G5948" t="s">
        <v>12</v>
      </c>
      <c r="I5948" t="s">
        <v>13</v>
      </c>
    </row>
    <row r="5949" spans="1:9" hidden="1" x14ac:dyDescent="0.25">
      <c r="A5949" t="s">
        <v>4950</v>
      </c>
      <c r="B5949" t="s">
        <v>4954</v>
      </c>
      <c r="C5949" s="2">
        <f>HYPERLINK("https://cao.dolgi.msk.ru/account/1083286925/", 1083286925)</f>
        <v>1083286925</v>
      </c>
      <c r="D5949" t="s">
        <v>15</v>
      </c>
      <c r="E5949">
        <v>-8847.35</v>
      </c>
      <c r="G5949" t="s">
        <v>14</v>
      </c>
      <c r="I5949" t="s">
        <v>13</v>
      </c>
    </row>
    <row r="5950" spans="1:9" hidden="1" x14ac:dyDescent="0.25">
      <c r="A5950" t="s">
        <v>4950</v>
      </c>
      <c r="B5950" t="s">
        <v>4954</v>
      </c>
      <c r="C5950" s="2">
        <f>HYPERLINK("https://cao.dolgi.msk.ru/account/1083392234/", 1083392234)</f>
        <v>1083392234</v>
      </c>
      <c r="D5950" t="s">
        <v>15</v>
      </c>
      <c r="E5950">
        <v>0</v>
      </c>
      <c r="F5950">
        <v>0</v>
      </c>
      <c r="G5950" t="s">
        <v>12</v>
      </c>
      <c r="I5950" t="s">
        <v>13</v>
      </c>
    </row>
    <row r="5951" spans="1:9" hidden="1" x14ac:dyDescent="0.25">
      <c r="A5951" t="s">
        <v>4950</v>
      </c>
      <c r="B5951" t="s">
        <v>36</v>
      </c>
      <c r="C5951" s="2">
        <f>HYPERLINK("https://cao.dolgi.msk.ru/account/1080047574/", 1080047574)</f>
        <v>1080047574</v>
      </c>
      <c r="D5951" t="s">
        <v>4955</v>
      </c>
      <c r="E5951">
        <v>-13138.04</v>
      </c>
      <c r="G5951" t="s">
        <v>14</v>
      </c>
      <c r="I5951" t="s">
        <v>13</v>
      </c>
    </row>
    <row r="5952" spans="1:9" hidden="1" x14ac:dyDescent="0.25">
      <c r="A5952" t="s">
        <v>4950</v>
      </c>
      <c r="B5952" t="s">
        <v>36</v>
      </c>
      <c r="C5952" s="2">
        <f>HYPERLINK("https://cao.dolgi.msk.ru/account/1083392197/", 1083392197)</f>
        <v>1083392197</v>
      </c>
      <c r="D5952" t="s">
        <v>4955</v>
      </c>
      <c r="E5952">
        <v>-6956.16</v>
      </c>
      <c r="F5952">
        <v>-1</v>
      </c>
      <c r="G5952" t="s">
        <v>12</v>
      </c>
      <c r="I5952" t="s">
        <v>13</v>
      </c>
    </row>
    <row r="5953" spans="1:9" hidden="1" x14ac:dyDescent="0.25">
      <c r="A5953" t="s">
        <v>4950</v>
      </c>
      <c r="B5953" t="s">
        <v>4956</v>
      </c>
      <c r="C5953" s="2">
        <f>HYPERLINK("https://cao.dolgi.msk.ru/account/1083286933/", 1083286933)</f>
        <v>1083286933</v>
      </c>
      <c r="D5953" t="s">
        <v>15</v>
      </c>
      <c r="E5953">
        <v>9493.01</v>
      </c>
      <c r="G5953" t="s">
        <v>14</v>
      </c>
      <c r="I5953" t="s">
        <v>13</v>
      </c>
    </row>
    <row r="5954" spans="1:9" hidden="1" x14ac:dyDescent="0.25">
      <c r="A5954" t="s">
        <v>4950</v>
      </c>
      <c r="B5954" t="s">
        <v>4956</v>
      </c>
      <c r="C5954" s="2">
        <f>HYPERLINK("https://cao.dolgi.msk.ru/account/1083392349/", 1083392349)</f>
        <v>1083392349</v>
      </c>
      <c r="D5954" t="s">
        <v>15</v>
      </c>
      <c r="E5954">
        <v>-7071.08</v>
      </c>
      <c r="F5954">
        <v>-1.02</v>
      </c>
      <c r="G5954" t="s">
        <v>12</v>
      </c>
      <c r="I5954" t="s">
        <v>13</v>
      </c>
    </row>
    <row r="5955" spans="1:9" hidden="1" x14ac:dyDescent="0.25">
      <c r="A5955" t="s">
        <v>4950</v>
      </c>
      <c r="B5955" t="s">
        <v>38</v>
      </c>
      <c r="C5955" s="2">
        <f>HYPERLINK("https://cao.dolgi.msk.ru/account/1080047582/", 1080047582)</f>
        <v>1080047582</v>
      </c>
      <c r="D5955" t="s">
        <v>15</v>
      </c>
      <c r="E5955">
        <v>4754.6499999999996</v>
      </c>
      <c r="G5955" t="s">
        <v>14</v>
      </c>
      <c r="I5955" t="s">
        <v>13</v>
      </c>
    </row>
    <row r="5956" spans="1:9" hidden="1" x14ac:dyDescent="0.25">
      <c r="A5956" t="s">
        <v>4950</v>
      </c>
      <c r="B5956" t="s">
        <v>38</v>
      </c>
      <c r="C5956" s="2">
        <f>HYPERLINK("https://cao.dolgi.msk.ru/account/1083392314/", 1083392314)</f>
        <v>1083392314</v>
      </c>
      <c r="D5956" t="s">
        <v>15</v>
      </c>
      <c r="E5956">
        <v>-6867.6</v>
      </c>
      <c r="F5956">
        <v>-1.02</v>
      </c>
      <c r="G5956" t="s">
        <v>12</v>
      </c>
      <c r="I5956" t="s">
        <v>13</v>
      </c>
    </row>
    <row r="5957" spans="1:9" hidden="1" x14ac:dyDescent="0.25">
      <c r="A5957" t="s">
        <v>4950</v>
      </c>
      <c r="B5957" t="s">
        <v>39</v>
      </c>
      <c r="C5957" s="2">
        <f>HYPERLINK("https://cao.dolgi.msk.ru/account/1080047603/", 1080047603)</f>
        <v>1080047603</v>
      </c>
      <c r="D5957" t="s">
        <v>4957</v>
      </c>
      <c r="E5957">
        <v>5668.57</v>
      </c>
      <c r="G5957" t="s">
        <v>14</v>
      </c>
      <c r="I5957" t="s">
        <v>13</v>
      </c>
    </row>
    <row r="5958" spans="1:9" hidden="1" x14ac:dyDescent="0.25">
      <c r="A5958" t="s">
        <v>4950</v>
      </c>
      <c r="B5958" t="s">
        <v>39</v>
      </c>
      <c r="C5958" s="2">
        <f>HYPERLINK("https://cao.dolgi.msk.ru/account/1083392293/", 1083392293)</f>
        <v>1083392293</v>
      </c>
      <c r="D5958" t="s">
        <v>4957</v>
      </c>
      <c r="E5958">
        <v>-5683.27</v>
      </c>
      <c r="F5958">
        <v>-1.06</v>
      </c>
      <c r="G5958" t="s">
        <v>12</v>
      </c>
      <c r="I5958" t="s">
        <v>13</v>
      </c>
    </row>
    <row r="5959" spans="1:9" hidden="1" x14ac:dyDescent="0.25">
      <c r="A5959" t="s">
        <v>4950</v>
      </c>
      <c r="B5959" t="s">
        <v>40</v>
      </c>
      <c r="C5959" s="2">
        <f>HYPERLINK("https://cao.dolgi.msk.ru/account/1080047611/", 1080047611)</f>
        <v>1080047611</v>
      </c>
      <c r="D5959" t="s">
        <v>4958</v>
      </c>
      <c r="E5959">
        <v>5232.5600000000004</v>
      </c>
      <c r="F5959">
        <v>2.96</v>
      </c>
      <c r="G5959" t="s">
        <v>14</v>
      </c>
      <c r="I5959" t="s">
        <v>13</v>
      </c>
    </row>
    <row r="5960" spans="1:9" hidden="1" x14ac:dyDescent="0.25">
      <c r="A5960" t="s">
        <v>4950</v>
      </c>
      <c r="B5960" t="s">
        <v>40</v>
      </c>
      <c r="C5960" s="2">
        <f>HYPERLINK("https://cao.dolgi.msk.ru/account/1083392162/", 1083392162)</f>
        <v>1083392162</v>
      </c>
      <c r="D5960" t="s">
        <v>4958</v>
      </c>
      <c r="E5960">
        <v>-6476.91</v>
      </c>
      <c r="F5960">
        <v>-0.95</v>
      </c>
      <c r="G5960" t="s">
        <v>12</v>
      </c>
      <c r="I5960" t="s">
        <v>13</v>
      </c>
    </row>
    <row r="5961" spans="1:9" hidden="1" x14ac:dyDescent="0.25">
      <c r="A5961" t="s">
        <v>4950</v>
      </c>
      <c r="B5961" t="s">
        <v>41</v>
      </c>
      <c r="C5961" s="2">
        <f>HYPERLINK("https://cao.dolgi.msk.ru/account/1080047638/", 1080047638)</f>
        <v>1080047638</v>
      </c>
      <c r="D5961" t="s">
        <v>4959</v>
      </c>
      <c r="E5961">
        <v>4933.63</v>
      </c>
      <c r="G5961" t="s">
        <v>14</v>
      </c>
      <c r="I5961" t="s">
        <v>13</v>
      </c>
    </row>
    <row r="5962" spans="1:9" hidden="1" x14ac:dyDescent="0.25">
      <c r="A5962" t="s">
        <v>4950</v>
      </c>
      <c r="B5962" t="s">
        <v>42</v>
      </c>
      <c r="C5962" s="2">
        <f>HYPERLINK("https://cao.dolgi.msk.ru/account/1080047646/", 1080047646)</f>
        <v>1080047646</v>
      </c>
      <c r="D5962" t="s">
        <v>4960</v>
      </c>
      <c r="E5962">
        <v>3064.05</v>
      </c>
      <c r="F5962">
        <v>3.65</v>
      </c>
      <c r="G5962" t="s">
        <v>14</v>
      </c>
      <c r="I5962" t="s">
        <v>13</v>
      </c>
    </row>
    <row r="5963" spans="1:9" hidden="1" x14ac:dyDescent="0.25">
      <c r="A5963" t="s">
        <v>4950</v>
      </c>
      <c r="B5963" t="s">
        <v>42</v>
      </c>
      <c r="C5963" s="2">
        <f>HYPERLINK("https://cao.dolgi.msk.ru/account/1083392242/", 1083392242)</f>
        <v>1083392242</v>
      </c>
      <c r="D5963" t="s">
        <v>4960</v>
      </c>
      <c r="E5963">
        <v>-5858.41</v>
      </c>
      <c r="F5963">
        <v>-0.97</v>
      </c>
      <c r="G5963" t="s">
        <v>12</v>
      </c>
      <c r="I5963" t="s">
        <v>13</v>
      </c>
    </row>
    <row r="5964" spans="1:9" hidden="1" x14ac:dyDescent="0.25">
      <c r="A5964" t="s">
        <v>4950</v>
      </c>
      <c r="B5964" t="s">
        <v>4961</v>
      </c>
      <c r="C5964" s="2">
        <f>HYPERLINK("https://cao.dolgi.msk.ru/account/1083283791/", 1083283791)</f>
        <v>1083283791</v>
      </c>
      <c r="D5964" t="s">
        <v>15</v>
      </c>
      <c r="E5964">
        <v>2412.9</v>
      </c>
      <c r="G5964" t="s">
        <v>14</v>
      </c>
      <c r="I5964" t="s">
        <v>13</v>
      </c>
    </row>
    <row r="5965" spans="1:9" hidden="1" x14ac:dyDescent="0.25">
      <c r="A5965" t="s">
        <v>4950</v>
      </c>
      <c r="B5965" t="s">
        <v>4961</v>
      </c>
      <c r="C5965" s="2">
        <f>HYPERLINK("https://cao.dolgi.msk.ru/account/1083392322/", 1083392322)</f>
        <v>1083392322</v>
      </c>
      <c r="D5965" t="s">
        <v>15</v>
      </c>
      <c r="E5965">
        <v>0</v>
      </c>
      <c r="F5965">
        <v>0</v>
      </c>
      <c r="G5965" t="s">
        <v>12</v>
      </c>
      <c r="I5965" t="s">
        <v>13</v>
      </c>
    </row>
    <row r="5966" spans="1:9" hidden="1" x14ac:dyDescent="0.25">
      <c r="A5966" t="s">
        <v>4950</v>
      </c>
      <c r="B5966" t="s">
        <v>44</v>
      </c>
      <c r="C5966" s="2">
        <f>HYPERLINK("https://cao.dolgi.msk.ru/account/1080047662/", 1080047662)</f>
        <v>1080047662</v>
      </c>
      <c r="D5966" t="s">
        <v>4962</v>
      </c>
      <c r="E5966">
        <v>5240.5</v>
      </c>
      <c r="G5966" t="s">
        <v>14</v>
      </c>
      <c r="I5966" t="s">
        <v>13</v>
      </c>
    </row>
    <row r="5967" spans="1:9" hidden="1" x14ac:dyDescent="0.25">
      <c r="A5967" t="s">
        <v>4950</v>
      </c>
      <c r="B5967" t="s">
        <v>44</v>
      </c>
      <c r="C5967" s="2">
        <f>HYPERLINK("https://cao.dolgi.msk.ru/account/1083392226/", 1083392226)</f>
        <v>1083392226</v>
      </c>
      <c r="D5967" t="s">
        <v>4962</v>
      </c>
      <c r="E5967">
        <v>-13607.37</v>
      </c>
      <c r="F5967">
        <v>-1.95</v>
      </c>
      <c r="G5967" t="s">
        <v>12</v>
      </c>
      <c r="I5967" t="s">
        <v>13</v>
      </c>
    </row>
    <row r="5968" spans="1:9" hidden="1" x14ac:dyDescent="0.25">
      <c r="A5968" t="s">
        <v>4950</v>
      </c>
      <c r="B5968" t="s">
        <v>4963</v>
      </c>
      <c r="C5968" s="2">
        <f>HYPERLINK("https://cao.dolgi.msk.ru/account/1083286941/", 1083286941)</f>
        <v>1083286941</v>
      </c>
      <c r="D5968" t="s">
        <v>15</v>
      </c>
      <c r="E5968">
        <v>7395.38</v>
      </c>
      <c r="G5968" t="s">
        <v>14</v>
      </c>
      <c r="I5968" t="s">
        <v>13</v>
      </c>
    </row>
    <row r="5969" spans="1:9" hidden="1" x14ac:dyDescent="0.25">
      <c r="A5969" t="s">
        <v>4950</v>
      </c>
      <c r="B5969" t="s">
        <v>4963</v>
      </c>
      <c r="C5969" s="2">
        <f>HYPERLINK("https://cao.dolgi.msk.ru/account/1083392285/", 1083392285)</f>
        <v>1083392285</v>
      </c>
      <c r="D5969" t="s">
        <v>15</v>
      </c>
      <c r="E5969">
        <v>-5468.84</v>
      </c>
      <c r="F5969">
        <v>-1.02</v>
      </c>
      <c r="G5969" t="s">
        <v>12</v>
      </c>
      <c r="I5969" t="s">
        <v>13</v>
      </c>
    </row>
    <row r="5970" spans="1:9" hidden="1" x14ac:dyDescent="0.25">
      <c r="A5970" t="s">
        <v>4964</v>
      </c>
      <c r="B5970" t="s">
        <v>10</v>
      </c>
      <c r="C5970" s="2">
        <f>HYPERLINK("https://cao.dolgi.msk.ru/account/1080047689/", 1080047689)</f>
        <v>1080047689</v>
      </c>
      <c r="D5970" t="s">
        <v>4965</v>
      </c>
      <c r="E5970">
        <v>-169.07</v>
      </c>
      <c r="G5970" t="s">
        <v>14</v>
      </c>
      <c r="I5970" t="s">
        <v>13</v>
      </c>
    </row>
    <row r="5971" spans="1:9" hidden="1" x14ac:dyDescent="0.25">
      <c r="A5971" t="s">
        <v>4964</v>
      </c>
      <c r="B5971" t="s">
        <v>10</v>
      </c>
      <c r="C5971" s="2">
        <f>HYPERLINK("https://cao.dolgi.msk.ru/account/1083385675/", 1083385675)</f>
        <v>1083385675</v>
      </c>
      <c r="D5971" t="s">
        <v>4965</v>
      </c>
      <c r="E5971">
        <v>0</v>
      </c>
      <c r="F5971">
        <v>0</v>
      </c>
      <c r="G5971" t="s">
        <v>12</v>
      </c>
      <c r="I5971" t="s">
        <v>13</v>
      </c>
    </row>
    <row r="5972" spans="1:9" hidden="1" x14ac:dyDescent="0.25">
      <c r="A5972" t="s">
        <v>4964</v>
      </c>
      <c r="B5972" t="s">
        <v>16</v>
      </c>
      <c r="C5972" s="2">
        <f>HYPERLINK("https://cao.dolgi.msk.ru/account/1080047697/", 1080047697)</f>
        <v>1080047697</v>
      </c>
      <c r="D5972" t="s">
        <v>4966</v>
      </c>
      <c r="E5972">
        <v>-9.1300000000000008</v>
      </c>
      <c r="G5972" t="s">
        <v>14</v>
      </c>
      <c r="I5972" t="s">
        <v>13</v>
      </c>
    </row>
    <row r="5973" spans="1:9" hidden="1" x14ac:dyDescent="0.25">
      <c r="A5973" t="s">
        <v>4964</v>
      </c>
      <c r="B5973" t="s">
        <v>16</v>
      </c>
      <c r="C5973" s="2">
        <f>HYPERLINK("https://cao.dolgi.msk.ru/account/1083385552/", 1083385552)</f>
        <v>1083385552</v>
      </c>
      <c r="D5973" t="s">
        <v>4966</v>
      </c>
      <c r="E5973">
        <v>-7920.81</v>
      </c>
      <c r="F5973">
        <v>-0.97</v>
      </c>
      <c r="G5973" t="s">
        <v>12</v>
      </c>
      <c r="I5973" t="s">
        <v>13</v>
      </c>
    </row>
    <row r="5974" spans="1:9" hidden="1" x14ac:dyDescent="0.25">
      <c r="A5974" t="s">
        <v>4964</v>
      </c>
      <c r="B5974" t="s">
        <v>18</v>
      </c>
      <c r="C5974" s="2">
        <f>HYPERLINK("https://cao.dolgi.msk.ru/account/1083385616/", 1083385616)</f>
        <v>1083385616</v>
      </c>
      <c r="D5974" t="s">
        <v>15</v>
      </c>
      <c r="E5974">
        <v>-1842.56</v>
      </c>
      <c r="F5974">
        <v>-0.22</v>
      </c>
      <c r="G5974" t="s">
        <v>12</v>
      </c>
      <c r="I5974" t="s">
        <v>13</v>
      </c>
    </row>
    <row r="5975" spans="1:9" hidden="1" x14ac:dyDescent="0.25">
      <c r="A5975" t="s">
        <v>4964</v>
      </c>
      <c r="B5975" t="s">
        <v>18</v>
      </c>
      <c r="C5975" s="2">
        <f>HYPERLINK("https://cao.dolgi.msk.ru/account/1089116986/", 1089116986)</f>
        <v>1089116986</v>
      </c>
      <c r="D5975" t="s">
        <v>15</v>
      </c>
      <c r="E5975">
        <v>0</v>
      </c>
      <c r="G5975" t="s">
        <v>14</v>
      </c>
      <c r="I5975" t="s">
        <v>13</v>
      </c>
    </row>
    <row r="5976" spans="1:9" hidden="1" x14ac:dyDescent="0.25">
      <c r="A5976" t="s">
        <v>4964</v>
      </c>
      <c r="B5976" t="s">
        <v>20</v>
      </c>
      <c r="C5976" s="2">
        <f>HYPERLINK("https://cao.dolgi.msk.ru/account/1080047718/", 1080047718)</f>
        <v>1080047718</v>
      </c>
      <c r="D5976" t="s">
        <v>4967</v>
      </c>
      <c r="E5976">
        <v>-21.78</v>
      </c>
      <c r="F5976">
        <v>-0.11</v>
      </c>
      <c r="G5976" t="s">
        <v>14</v>
      </c>
      <c r="I5976" t="s">
        <v>13</v>
      </c>
    </row>
    <row r="5977" spans="1:9" hidden="1" x14ac:dyDescent="0.25">
      <c r="A5977" t="s">
        <v>4964</v>
      </c>
      <c r="B5977" t="s">
        <v>20</v>
      </c>
      <c r="C5977" s="2">
        <f>HYPERLINK("https://cao.dolgi.msk.ru/account/1083385624/", 1083385624)</f>
        <v>1083385624</v>
      </c>
      <c r="D5977" t="s">
        <v>4967</v>
      </c>
      <c r="E5977">
        <v>-5946.11</v>
      </c>
      <c r="F5977">
        <v>-0.96</v>
      </c>
      <c r="G5977" t="s">
        <v>12</v>
      </c>
      <c r="I5977" t="s">
        <v>13</v>
      </c>
    </row>
    <row r="5978" spans="1:9" hidden="1" x14ac:dyDescent="0.25">
      <c r="A5978" t="s">
        <v>4964</v>
      </c>
      <c r="B5978" t="s">
        <v>21</v>
      </c>
      <c r="C5978" s="2">
        <f>HYPERLINK("https://cao.dolgi.msk.ru/account/1080047726/", 1080047726)</f>
        <v>1080047726</v>
      </c>
      <c r="D5978" t="s">
        <v>4968</v>
      </c>
      <c r="E5978">
        <v>-16.97</v>
      </c>
      <c r="G5978" t="s">
        <v>14</v>
      </c>
      <c r="I5978" t="s">
        <v>13</v>
      </c>
    </row>
    <row r="5979" spans="1:9" hidden="1" x14ac:dyDescent="0.25">
      <c r="A5979" t="s">
        <v>4964</v>
      </c>
      <c r="B5979" t="s">
        <v>21</v>
      </c>
      <c r="C5979" s="2">
        <f>HYPERLINK("https://cao.dolgi.msk.ru/account/1083385632/", 1083385632)</f>
        <v>1083385632</v>
      </c>
      <c r="D5979" t="s">
        <v>4968</v>
      </c>
      <c r="E5979">
        <v>-7279.48</v>
      </c>
      <c r="F5979">
        <v>-0.97</v>
      </c>
      <c r="G5979" t="s">
        <v>12</v>
      </c>
      <c r="I5979" t="s">
        <v>13</v>
      </c>
    </row>
    <row r="5980" spans="1:9" hidden="1" x14ac:dyDescent="0.25">
      <c r="A5980" t="s">
        <v>4964</v>
      </c>
      <c r="B5980" t="s">
        <v>22</v>
      </c>
      <c r="C5980" s="2">
        <f>HYPERLINK("https://cao.dolgi.msk.ru/account/1080047734/", 1080047734)</f>
        <v>1080047734</v>
      </c>
      <c r="D5980" t="s">
        <v>4969</v>
      </c>
      <c r="E5980">
        <v>138.16999999999999</v>
      </c>
      <c r="G5980" t="s">
        <v>14</v>
      </c>
      <c r="I5980" t="s">
        <v>13</v>
      </c>
    </row>
    <row r="5981" spans="1:9" hidden="1" x14ac:dyDescent="0.25">
      <c r="A5981" t="s">
        <v>4964</v>
      </c>
      <c r="B5981" t="s">
        <v>22</v>
      </c>
      <c r="C5981" s="2">
        <f>HYPERLINK("https://cao.dolgi.msk.ru/account/1083385587/", 1083385587)</f>
        <v>1083385587</v>
      </c>
      <c r="D5981" t="s">
        <v>4969</v>
      </c>
      <c r="E5981">
        <v>-9535.42</v>
      </c>
      <c r="F5981">
        <v>-0.96</v>
      </c>
      <c r="G5981" t="s">
        <v>12</v>
      </c>
      <c r="I5981" t="s">
        <v>13</v>
      </c>
    </row>
    <row r="5982" spans="1:9" hidden="1" x14ac:dyDescent="0.25">
      <c r="A5982" t="s">
        <v>4964</v>
      </c>
      <c r="B5982" t="s">
        <v>23</v>
      </c>
      <c r="C5982" s="2">
        <f>HYPERLINK("https://cao.dolgi.msk.ru/account/1080047742/", 1080047742)</f>
        <v>1080047742</v>
      </c>
      <c r="D5982" t="s">
        <v>4970</v>
      </c>
      <c r="E5982">
        <v>-1786.43</v>
      </c>
      <c r="G5982" t="s">
        <v>14</v>
      </c>
      <c r="I5982" t="s">
        <v>13</v>
      </c>
    </row>
    <row r="5983" spans="1:9" hidden="1" x14ac:dyDescent="0.25">
      <c r="A5983" t="s">
        <v>4964</v>
      </c>
      <c r="B5983" t="s">
        <v>23</v>
      </c>
      <c r="C5983" s="2">
        <f>HYPERLINK("https://cao.dolgi.msk.ru/account/1083385528/", 1083385528)</f>
        <v>1083385528</v>
      </c>
      <c r="D5983" t="s">
        <v>4970</v>
      </c>
      <c r="E5983">
        <v>-6020.09</v>
      </c>
      <c r="F5983">
        <v>-1.03</v>
      </c>
      <c r="G5983" t="s">
        <v>12</v>
      </c>
      <c r="I5983" t="s">
        <v>13</v>
      </c>
    </row>
    <row r="5984" spans="1:9" hidden="1" x14ac:dyDescent="0.25">
      <c r="A5984" t="s">
        <v>4964</v>
      </c>
      <c r="B5984" t="s">
        <v>24</v>
      </c>
      <c r="C5984" s="2">
        <f>HYPERLINK("https://cao.dolgi.msk.ru/account/1080047769/", 1080047769)</f>
        <v>1080047769</v>
      </c>
      <c r="D5984" t="s">
        <v>4971</v>
      </c>
      <c r="E5984">
        <v>0</v>
      </c>
      <c r="G5984" t="s">
        <v>14</v>
      </c>
      <c r="I5984" t="s">
        <v>13</v>
      </c>
    </row>
    <row r="5985" spans="1:9" hidden="1" x14ac:dyDescent="0.25">
      <c r="A5985" t="s">
        <v>4964</v>
      </c>
      <c r="B5985" t="s">
        <v>24</v>
      </c>
      <c r="C5985" s="2">
        <f>HYPERLINK("https://cao.dolgi.msk.ru/account/1083385683/", 1083385683)</f>
        <v>1083385683</v>
      </c>
      <c r="D5985" t="s">
        <v>4971</v>
      </c>
      <c r="E5985">
        <v>-6308.01</v>
      </c>
      <c r="F5985">
        <v>-0.98</v>
      </c>
      <c r="G5985" t="s">
        <v>12</v>
      </c>
      <c r="I5985" t="s">
        <v>13</v>
      </c>
    </row>
    <row r="5986" spans="1:9" hidden="1" x14ac:dyDescent="0.25">
      <c r="A5986" t="s">
        <v>4964</v>
      </c>
      <c r="B5986" t="s">
        <v>27</v>
      </c>
      <c r="C5986" s="2">
        <f>HYPERLINK("https://cao.dolgi.msk.ru/account/1080047777/", 1080047777)</f>
        <v>1080047777</v>
      </c>
      <c r="D5986" t="s">
        <v>4972</v>
      </c>
      <c r="E5986">
        <v>1624.4</v>
      </c>
      <c r="G5986" t="s">
        <v>14</v>
      </c>
      <c r="I5986" t="s">
        <v>13</v>
      </c>
    </row>
    <row r="5987" spans="1:9" hidden="1" x14ac:dyDescent="0.25">
      <c r="A5987" t="s">
        <v>4964</v>
      </c>
      <c r="B5987" t="s">
        <v>27</v>
      </c>
      <c r="C5987" s="2">
        <f>HYPERLINK("https://cao.dolgi.msk.ru/account/1083385579/", 1083385579)</f>
        <v>1083385579</v>
      </c>
      <c r="D5987" t="s">
        <v>4972</v>
      </c>
      <c r="E5987">
        <v>-9693.56</v>
      </c>
      <c r="F5987">
        <v>-0.97</v>
      </c>
      <c r="G5987" t="s">
        <v>12</v>
      </c>
      <c r="I5987" t="s">
        <v>13</v>
      </c>
    </row>
    <row r="5988" spans="1:9" hidden="1" x14ac:dyDescent="0.25">
      <c r="A5988" t="s">
        <v>4964</v>
      </c>
      <c r="B5988" t="s">
        <v>29</v>
      </c>
      <c r="C5988" s="2">
        <f>HYPERLINK("https://cao.dolgi.msk.ru/account/1080047785/", 1080047785)</f>
        <v>1080047785</v>
      </c>
      <c r="D5988" t="s">
        <v>4973</v>
      </c>
      <c r="E5988">
        <v>-4113.46</v>
      </c>
      <c r="G5988" t="s">
        <v>14</v>
      </c>
      <c r="I5988" t="s">
        <v>13</v>
      </c>
    </row>
    <row r="5989" spans="1:9" hidden="1" x14ac:dyDescent="0.25">
      <c r="A5989" t="s">
        <v>4964</v>
      </c>
      <c r="B5989" t="s">
        <v>29</v>
      </c>
      <c r="C5989" s="2">
        <f>HYPERLINK("https://cao.dolgi.msk.ru/account/1083385691/", 1083385691)</f>
        <v>1083385691</v>
      </c>
      <c r="D5989" t="s">
        <v>4973</v>
      </c>
      <c r="E5989">
        <v>-128.56</v>
      </c>
      <c r="F5989">
        <v>-0.02</v>
      </c>
      <c r="G5989" t="s">
        <v>12</v>
      </c>
      <c r="I5989" t="s">
        <v>13</v>
      </c>
    </row>
    <row r="5990" spans="1:9" hidden="1" x14ac:dyDescent="0.25">
      <c r="A5990" t="s">
        <v>4964</v>
      </c>
      <c r="B5990" t="s">
        <v>31</v>
      </c>
      <c r="C5990" s="2">
        <f>HYPERLINK("https://cao.dolgi.msk.ru/account/1080047793/", 1080047793)</f>
        <v>1080047793</v>
      </c>
      <c r="D5990" t="s">
        <v>4974</v>
      </c>
      <c r="E5990">
        <v>0</v>
      </c>
      <c r="F5990">
        <v>0</v>
      </c>
      <c r="G5990" t="s">
        <v>14</v>
      </c>
      <c r="I5990" t="s">
        <v>13</v>
      </c>
    </row>
    <row r="5991" spans="1:9" hidden="1" x14ac:dyDescent="0.25">
      <c r="A5991" t="s">
        <v>4964</v>
      </c>
      <c r="B5991" t="s">
        <v>31</v>
      </c>
      <c r="C5991" s="2">
        <f>HYPERLINK("https://cao.dolgi.msk.ru/account/1083385659/", 1083385659)</f>
        <v>1083385659</v>
      </c>
      <c r="D5991" t="s">
        <v>4974</v>
      </c>
      <c r="E5991">
        <v>-6384.34</v>
      </c>
      <c r="F5991">
        <v>-0.96</v>
      </c>
      <c r="G5991" t="s">
        <v>12</v>
      </c>
      <c r="I5991" t="s">
        <v>13</v>
      </c>
    </row>
    <row r="5992" spans="1:9" hidden="1" x14ac:dyDescent="0.25">
      <c r="A5992" t="s">
        <v>4964</v>
      </c>
      <c r="B5992" t="s">
        <v>33</v>
      </c>
      <c r="C5992" s="2">
        <f>HYPERLINK("https://cao.dolgi.msk.ru/account/1080047806/", 1080047806)</f>
        <v>1080047806</v>
      </c>
      <c r="D5992" t="s">
        <v>62</v>
      </c>
      <c r="E5992">
        <v>0</v>
      </c>
      <c r="G5992" t="s">
        <v>14</v>
      </c>
      <c r="I5992" t="s">
        <v>13</v>
      </c>
    </row>
    <row r="5993" spans="1:9" hidden="1" x14ac:dyDescent="0.25">
      <c r="A5993" t="s">
        <v>4964</v>
      </c>
      <c r="B5993" t="s">
        <v>33</v>
      </c>
      <c r="C5993" s="2">
        <f>HYPERLINK("https://cao.dolgi.msk.ru/account/1083385536/", 1083385536)</f>
        <v>1083385536</v>
      </c>
      <c r="D5993" t="s">
        <v>62</v>
      </c>
      <c r="E5993">
        <v>2.61</v>
      </c>
      <c r="F5993">
        <v>0</v>
      </c>
      <c r="G5993" t="s">
        <v>12</v>
      </c>
      <c r="I5993" t="s">
        <v>13</v>
      </c>
    </row>
    <row r="5994" spans="1:9" hidden="1" x14ac:dyDescent="0.25">
      <c r="A5994" t="s">
        <v>4964</v>
      </c>
      <c r="B5994" t="s">
        <v>34</v>
      </c>
      <c r="C5994" s="2">
        <f>HYPERLINK("https://cao.dolgi.msk.ru/account/1080047814/", 1080047814)</f>
        <v>1080047814</v>
      </c>
      <c r="D5994" t="s">
        <v>4975</v>
      </c>
      <c r="E5994">
        <v>-31.15</v>
      </c>
      <c r="G5994" t="s">
        <v>14</v>
      </c>
      <c r="I5994" t="s">
        <v>13</v>
      </c>
    </row>
    <row r="5995" spans="1:9" hidden="1" x14ac:dyDescent="0.25">
      <c r="A5995" t="s">
        <v>4964</v>
      </c>
      <c r="B5995" t="s">
        <v>34</v>
      </c>
      <c r="C5995" s="2">
        <f>HYPERLINK("https://cao.dolgi.msk.ru/account/1083385595/", 1083385595)</f>
        <v>1083385595</v>
      </c>
      <c r="D5995" t="s">
        <v>4975</v>
      </c>
      <c r="E5995">
        <v>-575.35</v>
      </c>
      <c r="F5995">
        <v>-0.08</v>
      </c>
      <c r="G5995" t="s">
        <v>12</v>
      </c>
      <c r="I5995" t="s">
        <v>13</v>
      </c>
    </row>
    <row r="5996" spans="1:9" hidden="1" x14ac:dyDescent="0.25">
      <c r="A5996" t="s">
        <v>4964</v>
      </c>
      <c r="B5996" t="s">
        <v>36</v>
      </c>
      <c r="C5996" s="2">
        <f>HYPERLINK("https://cao.dolgi.msk.ru/account/1080047822/", 1080047822)</f>
        <v>1080047822</v>
      </c>
      <c r="D5996" t="s">
        <v>4976</v>
      </c>
      <c r="E5996">
        <v>-208.25</v>
      </c>
      <c r="G5996" t="s">
        <v>14</v>
      </c>
      <c r="I5996" t="s">
        <v>13</v>
      </c>
    </row>
    <row r="5997" spans="1:9" hidden="1" x14ac:dyDescent="0.25">
      <c r="A5997" t="s">
        <v>4964</v>
      </c>
      <c r="B5997" t="s">
        <v>36</v>
      </c>
      <c r="C5997" s="2">
        <f>HYPERLINK("https://cao.dolgi.msk.ru/account/1083385667/", 1083385667)</f>
        <v>1083385667</v>
      </c>
      <c r="D5997" t="s">
        <v>4976</v>
      </c>
      <c r="E5997">
        <v>-7147.44</v>
      </c>
      <c r="F5997">
        <v>-0.88</v>
      </c>
      <c r="G5997" t="s">
        <v>12</v>
      </c>
      <c r="I5997" t="s">
        <v>13</v>
      </c>
    </row>
    <row r="5998" spans="1:9" hidden="1" x14ac:dyDescent="0.25">
      <c r="A5998" t="s">
        <v>4964</v>
      </c>
      <c r="B5998" t="s">
        <v>38</v>
      </c>
      <c r="C5998" s="2">
        <f>HYPERLINK("https://cao.dolgi.msk.ru/account/1080047857/", 1080047857)</f>
        <v>1080047857</v>
      </c>
      <c r="D5998" t="s">
        <v>62</v>
      </c>
      <c r="E5998">
        <v>26.43</v>
      </c>
      <c r="F5998">
        <v>0.17</v>
      </c>
      <c r="G5998" t="s">
        <v>14</v>
      </c>
      <c r="I5998" t="s">
        <v>13</v>
      </c>
    </row>
    <row r="5999" spans="1:9" hidden="1" x14ac:dyDescent="0.25">
      <c r="A5999" t="s">
        <v>4964</v>
      </c>
      <c r="B5999" t="s">
        <v>38</v>
      </c>
      <c r="C5999" s="2">
        <f>HYPERLINK("https://cao.dolgi.msk.ru/account/1083385544/", 1083385544)</f>
        <v>1083385544</v>
      </c>
      <c r="D5999" t="s">
        <v>62</v>
      </c>
      <c r="E5999">
        <v>-3228.35</v>
      </c>
      <c r="F5999">
        <v>-0.94</v>
      </c>
      <c r="G5999" t="s">
        <v>12</v>
      </c>
      <c r="I5999" t="s">
        <v>13</v>
      </c>
    </row>
    <row r="6000" spans="1:9" hidden="1" x14ac:dyDescent="0.25">
      <c r="A6000" t="s">
        <v>4964</v>
      </c>
      <c r="B6000" t="s">
        <v>39</v>
      </c>
      <c r="C6000" s="2">
        <f>HYPERLINK("https://cao.dolgi.msk.ru/account/1080047849/", 1080047849)</f>
        <v>1080047849</v>
      </c>
      <c r="D6000" t="s">
        <v>4977</v>
      </c>
      <c r="E6000">
        <v>1522.36</v>
      </c>
      <c r="G6000" t="s">
        <v>14</v>
      </c>
      <c r="I6000" t="s">
        <v>13</v>
      </c>
    </row>
    <row r="6001" spans="1:9" hidden="1" x14ac:dyDescent="0.25">
      <c r="A6001" t="s">
        <v>4964</v>
      </c>
      <c r="B6001" t="s">
        <v>39</v>
      </c>
      <c r="C6001" s="2">
        <f>HYPERLINK("https://cao.dolgi.msk.ru/account/1083385608/", 1083385608)</f>
        <v>1083385608</v>
      </c>
      <c r="D6001" t="s">
        <v>4977</v>
      </c>
      <c r="E6001">
        <v>1390.45</v>
      </c>
      <c r="F6001">
        <v>0.22</v>
      </c>
      <c r="G6001" t="s">
        <v>12</v>
      </c>
      <c r="I6001" t="s">
        <v>13</v>
      </c>
    </row>
    <row r="6002" spans="1:9" hidden="1" x14ac:dyDescent="0.25">
      <c r="A6002" t="s">
        <v>4978</v>
      </c>
      <c r="B6002" t="s">
        <v>10</v>
      </c>
      <c r="C6002" s="2">
        <f>HYPERLINK("https://cao.dolgi.msk.ru/account/1080049238/", 1080049238)</f>
        <v>1080049238</v>
      </c>
      <c r="D6002" t="s">
        <v>4979</v>
      </c>
      <c r="E6002">
        <v>-9.6999999999999993</v>
      </c>
      <c r="F6002">
        <v>0</v>
      </c>
      <c r="G6002" t="s">
        <v>12</v>
      </c>
      <c r="I6002" t="s">
        <v>13</v>
      </c>
    </row>
    <row r="6003" spans="1:9" hidden="1" x14ac:dyDescent="0.25">
      <c r="A6003" t="s">
        <v>4978</v>
      </c>
      <c r="B6003" t="s">
        <v>16</v>
      </c>
      <c r="C6003" s="2">
        <f>HYPERLINK("https://cao.dolgi.msk.ru/account/1080049246/", 1080049246)</f>
        <v>1080049246</v>
      </c>
      <c r="D6003" t="s">
        <v>4980</v>
      </c>
      <c r="G6003" t="s">
        <v>14</v>
      </c>
      <c r="I6003" t="s">
        <v>13</v>
      </c>
    </row>
    <row r="6004" spans="1:9" hidden="1" x14ac:dyDescent="0.25">
      <c r="A6004" t="s">
        <v>4978</v>
      </c>
      <c r="B6004" t="s">
        <v>18</v>
      </c>
      <c r="C6004" s="2">
        <f>HYPERLINK("https://cao.dolgi.msk.ru/account/1080049289/", 1080049289)</f>
        <v>1080049289</v>
      </c>
      <c r="D6004" t="s">
        <v>4981</v>
      </c>
      <c r="E6004">
        <v>-2582.73</v>
      </c>
      <c r="F6004">
        <v>-1.04</v>
      </c>
      <c r="G6004" t="s">
        <v>12</v>
      </c>
      <c r="I6004" t="s">
        <v>13</v>
      </c>
    </row>
    <row r="6005" spans="1:9" hidden="1" x14ac:dyDescent="0.25">
      <c r="A6005" t="s">
        <v>4978</v>
      </c>
      <c r="B6005" t="s">
        <v>20</v>
      </c>
      <c r="C6005" s="2">
        <f>HYPERLINK("https://cao.dolgi.msk.ru/account/1080049297/", 1080049297)</f>
        <v>1080049297</v>
      </c>
      <c r="D6005" t="s">
        <v>4982</v>
      </c>
      <c r="E6005">
        <v>-1298.51</v>
      </c>
      <c r="F6005">
        <v>-0.21</v>
      </c>
      <c r="G6005" t="s">
        <v>12</v>
      </c>
      <c r="I6005" t="s">
        <v>13</v>
      </c>
    </row>
    <row r="6006" spans="1:9" hidden="1" x14ac:dyDescent="0.25">
      <c r="A6006" t="s">
        <v>4978</v>
      </c>
      <c r="B6006" t="s">
        <v>21</v>
      </c>
      <c r="C6006" s="2">
        <f>HYPERLINK("https://cao.dolgi.msk.ru/account/1080049318/", 1080049318)</f>
        <v>1080049318</v>
      </c>
      <c r="D6006" t="s">
        <v>15</v>
      </c>
      <c r="E6006">
        <v>-3188.29</v>
      </c>
      <c r="F6006">
        <v>-0.48</v>
      </c>
      <c r="G6006" t="s">
        <v>12</v>
      </c>
      <c r="I6006" t="s">
        <v>13</v>
      </c>
    </row>
    <row r="6007" spans="1:9" hidden="1" x14ac:dyDescent="0.25">
      <c r="A6007" t="s">
        <v>4978</v>
      </c>
      <c r="B6007" t="s">
        <v>242</v>
      </c>
      <c r="C6007" s="2">
        <f>HYPERLINK("https://cao.dolgi.msk.ru/account/1080049326/", 1080049326)</f>
        <v>1080049326</v>
      </c>
      <c r="D6007" t="s">
        <v>4983</v>
      </c>
      <c r="E6007">
        <v>-2475.44</v>
      </c>
      <c r="F6007">
        <v>-1.1100000000000001</v>
      </c>
      <c r="G6007" t="s">
        <v>12</v>
      </c>
      <c r="I6007" t="s">
        <v>13</v>
      </c>
    </row>
    <row r="6008" spans="1:9" hidden="1" x14ac:dyDescent="0.25">
      <c r="A6008" t="s">
        <v>4978</v>
      </c>
      <c r="B6008" t="s">
        <v>22</v>
      </c>
      <c r="C6008" s="2">
        <f>HYPERLINK("https://cao.dolgi.msk.ru/account/1080049334/", 1080049334)</f>
        <v>1080049334</v>
      </c>
      <c r="D6008" t="s">
        <v>4984</v>
      </c>
      <c r="E6008">
        <v>-9007.7800000000007</v>
      </c>
      <c r="F6008">
        <v>-1.1299999999999999</v>
      </c>
      <c r="G6008" t="s">
        <v>12</v>
      </c>
      <c r="I6008" t="s">
        <v>13</v>
      </c>
    </row>
    <row r="6009" spans="1:9" hidden="1" x14ac:dyDescent="0.25">
      <c r="A6009" t="s">
        <v>4978</v>
      </c>
      <c r="B6009" t="s">
        <v>23</v>
      </c>
      <c r="C6009" s="2">
        <f>HYPERLINK("https://cao.dolgi.msk.ru/account/1080049342/", 1080049342)</f>
        <v>1080049342</v>
      </c>
      <c r="D6009" t="s">
        <v>4985</v>
      </c>
      <c r="E6009">
        <v>-5647.28</v>
      </c>
      <c r="F6009">
        <v>-0.96</v>
      </c>
      <c r="G6009" t="s">
        <v>12</v>
      </c>
      <c r="I6009" t="s">
        <v>13</v>
      </c>
    </row>
    <row r="6010" spans="1:9" hidden="1" x14ac:dyDescent="0.25">
      <c r="A6010" t="s">
        <v>4978</v>
      </c>
      <c r="B6010" t="s">
        <v>248</v>
      </c>
      <c r="C6010" s="2">
        <f>HYPERLINK("https://cao.dolgi.msk.ru/account/1080049369/", 1080049369)</f>
        <v>1080049369</v>
      </c>
      <c r="D6010" t="s">
        <v>4986</v>
      </c>
      <c r="E6010">
        <v>71.959999999999994</v>
      </c>
      <c r="F6010">
        <v>0.01</v>
      </c>
      <c r="G6010" t="s">
        <v>12</v>
      </c>
      <c r="I6010" t="s">
        <v>13</v>
      </c>
    </row>
    <row r="6011" spans="1:9" hidden="1" x14ac:dyDescent="0.25">
      <c r="A6011" t="s">
        <v>4978</v>
      </c>
      <c r="B6011" t="s">
        <v>24</v>
      </c>
      <c r="C6011" s="2">
        <f>HYPERLINK("https://cao.dolgi.msk.ru/account/1080049377/", 1080049377)</f>
        <v>1080049377</v>
      </c>
      <c r="D6011" t="s">
        <v>4987</v>
      </c>
      <c r="E6011">
        <v>-8711.18</v>
      </c>
      <c r="F6011">
        <v>-0.93</v>
      </c>
      <c r="G6011" t="s">
        <v>12</v>
      </c>
      <c r="I6011" t="s">
        <v>13</v>
      </c>
    </row>
    <row r="6012" spans="1:9" hidden="1" x14ac:dyDescent="0.25">
      <c r="A6012" t="s">
        <v>4978</v>
      </c>
      <c r="B6012" t="s">
        <v>27</v>
      </c>
      <c r="C6012" s="2">
        <f>HYPERLINK("https://cao.dolgi.msk.ru/account/1080049385/", 1080049385)</f>
        <v>1080049385</v>
      </c>
      <c r="D6012" t="s">
        <v>4988</v>
      </c>
      <c r="E6012">
        <v>-409.59</v>
      </c>
      <c r="F6012">
        <v>-0.06</v>
      </c>
      <c r="G6012" t="s">
        <v>12</v>
      </c>
      <c r="I6012" t="s">
        <v>13</v>
      </c>
    </row>
    <row r="6013" spans="1:9" hidden="1" x14ac:dyDescent="0.25">
      <c r="A6013" t="s">
        <v>4978</v>
      </c>
      <c r="B6013" t="s">
        <v>254</v>
      </c>
      <c r="C6013" s="2">
        <f>HYPERLINK("https://cao.dolgi.msk.ru/account/1080049393/", 1080049393)</f>
        <v>1080049393</v>
      </c>
      <c r="D6013" t="s">
        <v>4989</v>
      </c>
      <c r="E6013">
        <v>-5744.32</v>
      </c>
      <c r="F6013">
        <v>-0.87</v>
      </c>
      <c r="G6013" t="s">
        <v>12</v>
      </c>
      <c r="I6013" t="s">
        <v>13</v>
      </c>
    </row>
    <row r="6014" spans="1:9" hidden="1" x14ac:dyDescent="0.25">
      <c r="A6014" t="s">
        <v>4978</v>
      </c>
      <c r="B6014" t="s">
        <v>29</v>
      </c>
      <c r="C6014" s="2">
        <f>HYPERLINK("https://cao.dolgi.msk.ru/account/1080049406/", 1080049406)</f>
        <v>1080049406</v>
      </c>
      <c r="D6014" t="s">
        <v>4990</v>
      </c>
      <c r="E6014">
        <v>-8798.9500000000007</v>
      </c>
      <c r="F6014">
        <v>-0.93</v>
      </c>
      <c r="G6014" t="s">
        <v>12</v>
      </c>
      <c r="I6014" t="s">
        <v>13</v>
      </c>
    </row>
    <row r="6015" spans="1:9" hidden="1" x14ac:dyDescent="0.25">
      <c r="A6015" t="s">
        <v>4978</v>
      </c>
      <c r="B6015" t="s">
        <v>31</v>
      </c>
      <c r="C6015" s="2">
        <f>HYPERLINK("https://cao.dolgi.msk.ru/account/1080049414/", 1080049414)</f>
        <v>1080049414</v>
      </c>
      <c r="D6015" t="s">
        <v>4991</v>
      </c>
      <c r="E6015">
        <v>-6127.44</v>
      </c>
      <c r="F6015">
        <v>-0.94</v>
      </c>
      <c r="G6015" t="s">
        <v>12</v>
      </c>
      <c r="I6015" t="s">
        <v>13</v>
      </c>
    </row>
    <row r="6016" spans="1:9" hidden="1" x14ac:dyDescent="0.25">
      <c r="A6016" t="s">
        <v>4978</v>
      </c>
      <c r="B6016" t="s">
        <v>31</v>
      </c>
      <c r="C6016" s="2">
        <f>HYPERLINK("https://cao.dolgi.msk.ru/account/1080321051/", 1080321051)</f>
        <v>1080321051</v>
      </c>
      <c r="D6016" t="s">
        <v>15</v>
      </c>
      <c r="G6016" t="s">
        <v>14</v>
      </c>
      <c r="I6016" t="s">
        <v>13</v>
      </c>
    </row>
    <row r="6017" spans="1:9" hidden="1" x14ac:dyDescent="0.25">
      <c r="A6017" t="s">
        <v>4978</v>
      </c>
      <c r="B6017" t="s">
        <v>33</v>
      </c>
      <c r="C6017" s="2">
        <f>HYPERLINK("https://cao.dolgi.msk.ru/account/1080049449/", 1080049449)</f>
        <v>1080049449</v>
      </c>
      <c r="D6017" t="s">
        <v>4992</v>
      </c>
      <c r="E6017">
        <v>-4113.96</v>
      </c>
      <c r="F6017">
        <v>-0.85</v>
      </c>
      <c r="G6017" t="s">
        <v>12</v>
      </c>
      <c r="I6017" t="s">
        <v>13</v>
      </c>
    </row>
    <row r="6018" spans="1:9" hidden="1" x14ac:dyDescent="0.25">
      <c r="A6018" t="s">
        <v>4978</v>
      </c>
      <c r="B6018" t="s">
        <v>34</v>
      </c>
      <c r="C6018" s="2">
        <f>HYPERLINK("https://cao.dolgi.msk.ru/account/1080049457/", 1080049457)</f>
        <v>1080049457</v>
      </c>
      <c r="D6018" t="s">
        <v>4993</v>
      </c>
      <c r="E6018">
        <v>-9.2100000000000009</v>
      </c>
      <c r="F6018">
        <v>0</v>
      </c>
      <c r="G6018" t="s">
        <v>12</v>
      </c>
      <c r="I6018" t="s">
        <v>13</v>
      </c>
    </row>
    <row r="6019" spans="1:9" hidden="1" x14ac:dyDescent="0.25">
      <c r="A6019" t="s">
        <v>4978</v>
      </c>
      <c r="B6019" t="s">
        <v>39</v>
      </c>
      <c r="C6019" s="2">
        <f>HYPERLINK("https://cao.dolgi.msk.ru/account/1080049481/", 1080049481)</f>
        <v>1080049481</v>
      </c>
      <c r="D6019" t="s">
        <v>4994</v>
      </c>
      <c r="E6019">
        <v>-4185.1400000000003</v>
      </c>
      <c r="F6019">
        <v>-0.92</v>
      </c>
      <c r="G6019" t="s">
        <v>12</v>
      </c>
      <c r="I6019" t="s">
        <v>13</v>
      </c>
    </row>
    <row r="6020" spans="1:9" hidden="1" x14ac:dyDescent="0.25">
      <c r="A6020" t="s">
        <v>4978</v>
      </c>
      <c r="B6020" t="s">
        <v>40</v>
      </c>
      <c r="C6020" s="2">
        <f>HYPERLINK("https://cao.dolgi.msk.ru/account/1080049502/", 1080049502)</f>
        <v>1080049502</v>
      </c>
      <c r="D6020" t="s">
        <v>4995</v>
      </c>
      <c r="E6020">
        <v>-2109.0700000000002</v>
      </c>
      <c r="F6020">
        <v>-0.38</v>
      </c>
      <c r="G6020" t="s">
        <v>12</v>
      </c>
      <c r="I6020" t="s">
        <v>13</v>
      </c>
    </row>
    <row r="6021" spans="1:9" hidden="1" x14ac:dyDescent="0.25">
      <c r="A6021" t="s">
        <v>4978</v>
      </c>
      <c r="B6021" t="s">
        <v>41</v>
      </c>
      <c r="C6021" s="2">
        <f>HYPERLINK("https://cao.dolgi.msk.ru/account/1080049529/", 1080049529)</f>
        <v>1080049529</v>
      </c>
      <c r="D6021" t="s">
        <v>4996</v>
      </c>
      <c r="E6021">
        <v>-4158.96</v>
      </c>
      <c r="F6021">
        <v>-0.61</v>
      </c>
      <c r="G6021" t="s">
        <v>12</v>
      </c>
      <c r="I6021" t="s">
        <v>13</v>
      </c>
    </row>
    <row r="6022" spans="1:9" hidden="1" x14ac:dyDescent="0.25">
      <c r="A6022" t="s">
        <v>4978</v>
      </c>
      <c r="B6022" t="s">
        <v>42</v>
      </c>
      <c r="C6022" s="2">
        <f>HYPERLINK("https://cao.dolgi.msk.ru/account/1080049537/", 1080049537)</f>
        <v>1080049537</v>
      </c>
      <c r="D6022" t="s">
        <v>4997</v>
      </c>
      <c r="E6022">
        <v>-7034.64</v>
      </c>
      <c r="F6022">
        <v>-0.92</v>
      </c>
      <c r="G6022" t="s">
        <v>12</v>
      </c>
      <c r="I6022" t="s">
        <v>13</v>
      </c>
    </row>
    <row r="6023" spans="1:9" hidden="1" x14ac:dyDescent="0.25">
      <c r="A6023" t="s">
        <v>4978</v>
      </c>
      <c r="B6023" t="s">
        <v>44</v>
      </c>
      <c r="C6023" s="2">
        <f>HYPERLINK("https://cao.dolgi.msk.ru/account/1080049545/", 1080049545)</f>
        <v>1080049545</v>
      </c>
      <c r="D6023" t="s">
        <v>4998</v>
      </c>
      <c r="E6023">
        <v>-1359.54</v>
      </c>
      <c r="F6023">
        <v>-0.25</v>
      </c>
      <c r="G6023" t="s">
        <v>12</v>
      </c>
      <c r="I6023" t="s">
        <v>13</v>
      </c>
    </row>
    <row r="6024" spans="1:9" hidden="1" x14ac:dyDescent="0.25">
      <c r="A6024" t="s">
        <v>4978</v>
      </c>
      <c r="B6024" t="s">
        <v>66</v>
      </c>
      <c r="C6024" s="2">
        <f>HYPERLINK("https://cao.dolgi.msk.ru/account/1080049553/", 1080049553)</f>
        <v>1080049553</v>
      </c>
      <c r="D6024" t="s">
        <v>4999</v>
      </c>
      <c r="E6024">
        <v>-108.23</v>
      </c>
      <c r="F6024">
        <v>-0.02</v>
      </c>
      <c r="G6024" t="s">
        <v>12</v>
      </c>
      <c r="I6024" t="s">
        <v>13</v>
      </c>
    </row>
    <row r="6025" spans="1:9" hidden="1" x14ac:dyDescent="0.25">
      <c r="A6025" t="s">
        <v>4978</v>
      </c>
      <c r="B6025" t="s">
        <v>68</v>
      </c>
      <c r="C6025" s="2">
        <f>HYPERLINK("https://cao.dolgi.msk.ru/account/1080049561/", 1080049561)</f>
        <v>1080049561</v>
      </c>
      <c r="D6025" t="s">
        <v>5000</v>
      </c>
      <c r="E6025">
        <v>23.06</v>
      </c>
      <c r="F6025">
        <v>0</v>
      </c>
      <c r="G6025" t="s">
        <v>12</v>
      </c>
      <c r="I6025" t="s">
        <v>13</v>
      </c>
    </row>
    <row r="6026" spans="1:9" hidden="1" x14ac:dyDescent="0.25">
      <c r="A6026" t="s">
        <v>4978</v>
      </c>
      <c r="B6026" t="s">
        <v>70</v>
      </c>
      <c r="C6026" s="2">
        <f>HYPERLINK("https://cao.dolgi.msk.ru/account/1080049588/", 1080049588)</f>
        <v>1080049588</v>
      </c>
      <c r="D6026" t="s">
        <v>5001</v>
      </c>
      <c r="E6026">
        <v>-6905.07</v>
      </c>
      <c r="F6026">
        <v>-1.02</v>
      </c>
      <c r="G6026" t="s">
        <v>12</v>
      </c>
      <c r="I6026" t="s">
        <v>13</v>
      </c>
    </row>
    <row r="6027" spans="1:9" hidden="1" x14ac:dyDescent="0.25">
      <c r="A6027" t="s">
        <v>4978</v>
      </c>
      <c r="B6027" t="s">
        <v>72</v>
      </c>
      <c r="C6027" s="2">
        <f>HYPERLINK("https://cao.dolgi.msk.ru/account/1080049596/", 1080049596)</f>
        <v>1080049596</v>
      </c>
      <c r="D6027" t="s">
        <v>5002</v>
      </c>
      <c r="E6027">
        <v>-5800.95</v>
      </c>
      <c r="F6027">
        <v>-1.05</v>
      </c>
      <c r="G6027" t="s">
        <v>12</v>
      </c>
      <c r="I6027" t="s">
        <v>13</v>
      </c>
    </row>
    <row r="6028" spans="1:9" hidden="1" x14ac:dyDescent="0.25">
      <c r="A6028" t="s">
        <v>4978</v>
      </c>
      <c r="B6028" t="s">
        <v>74</v>
      </c>
      <c r="C6028" s="2">
        <f>HYPERLINK("https://cao.dolgi.msk.ru/account/1080049609/", 1080049609)</f>
        <v>1080049609</v>
      </c>
      <c r="D6028" t="s">
        <v>5003</v>
      </c>
      <c r="E6028">
        <v>147.88</v>
      </c>
      <c r="F6028">
        <v>0.11</v>
      </c>
      <c r="G6028" t="s">
        <v>12</v>
      </c>
      <c r="H6028" t="s">
        <v>7</v>
      </c>
      <c r="I6028" t="s">
        <v>13</v>
      </c>
    </row>
    <row r="6029" spans="1:9" hidden="1" x14ac:dyDescent="0.25">
      <c r="A6029" t="s">
        <v>4978</v>
      </c>
      <c r="B6029" t="s">
        <v>74</v>
      </c>
      <c r="C6029" s="2">
        <f>HYPERLINK("https://cao.dolgi.msk.ru/account/1080049617/", 1080049617)</f>
        <v>1080049617</v>
      </c>
      <c r="D6029" t="s">
        <v>5003</v>
      </c>
      <c r="E6029">
        <v>-6393.23</v>
      </c>
      <c r="F6029">
        <v>-2.93</v>
      </c>
      <c r="G6029" t="s">
        <v>12</v>
      </c>
      <c r="H6029" t="s">
        <v>7</v>
      </c>
      <c r="I6029" t="s">
        <v>13</v>
      </c>
    </row>
    <row r="6030" spans="1:9" hidden="1" x14ac:dyDescent="0.25">
      <c r="A6030" t="s">
        <v>4978</v>
      </c>
      <c r="B6030" t="s">
        <v>74</v>
      </c>
      <c r="C6030" s="2">
        <f>HYPERLINK("https://cao.dolgi.msk.ru/account/1080049625/", 1080049625)</f>
        <v>1080049625</v>
      </c>
      <c r="D6030" t="s">
        <v>5003</v>
      </c>
      <c r="E6030">
        <v>-344.23</v>
      </c>
      <c r="F6030">
        <v>-0.1</v>
      </c>
      <c r="G6030" t="s">
        <v>12</v>
      </c>
      <c r="H6030" t="s">
        <v>7</v>
      </c>
      <c r="I6030" t="s">
        <v>13</v>
      </c>
    </row>
    <row r="6031" spans="1:9" hidden="1" x14ac:dyDescent="0.25">
      <c r="A6031" t="s">
        <v>4978</v>
      </c>
      <c r="B6031" t="s">
        <v>76</v>
      </c>
      <c r="C6031" s="2">
        <f>HYPERLINK("https://cao.dolgi.msk.ru/account/1080049633/", 1080049633)</f>
        <v>1080049633</v>
      </c>
      <c r="D6031" t="s">
        <v>5004</v>
      </c>
      <c r="E6031">
        <v>-4773.18</v>
      </c>
      <c r="F6031">
        <v>-1.04</v>
      </c>
      <c r="G6031" t="s">
        <v>12</v>
      </c>
      <c r="I6031" t="s">
        <v>13</v>
      </c>
    </row>
    <row r="6032" spans="1:9" hidden="1" x14ac:dyDescent="0.25">
      <c r="A6032" t="s">
        <v>4978</v>
      </c>
      <c r="B6032" t="s">
        <v>78</v>
      </c>
      <c r="C6032" s="2">
        <f>HYPERLINK("https://cao.dolgi.msk.ru/account/1080049641/", 1080049641)</f>
        <v>1080049641</v>
      </c>
      <c r="D6032" t="s">
        <v>5005</v>
      </c>
      <c r="E6032">
        <v>-4594.04</v>
      </c>
      <c r="F6032">
        <v>-1.22</v>
      </c>
      <c r="G6032" t="s">
        <v>12</v>
      </c>
      <c r="I6032" t="s">
        <v>13</v>
      </c>
    </row>
    <row r="6033" spans="1:9" x14ac:dyDescent="0.25">
      <c r="A6033" t="s">
        <v>4978</v>
      </c>
      <c r="B6033" t="s">
        <v>80</v>
      </c>
      <c r="C6033" s="2">
        <f>HYPERLINK("https://cao.dolgi.msk.ru/account/1080049668/", 1080049668)</f>
        <v>1080049668</v>
      </c>
      <c r="D6033" t="s">
        <v>5006</v>
      </c>
      <c r="E6033">
        <v>48948.56</v>
      </c>
      <c r="F6033">
        <v>6.12</v>
      </c>
      <c r="G6033" t="s">
        <v>12</v>
      </c>
      <c r="I6033" t="s">
        <v>13</v>
      </c>
    </row>
    <row r="6034" spans="1:9" hidden="1" x14ac:dyDescent="0.25">
      <c r="A6034" t="s">
        <v>4978</v>
      </c>
      <c r="B6034" t="s">
        <v>82</v>
      </c>
      <c r="C6034" s="2">
        <f>HYPERLINK("https://cao.dolgi.msk.ru/account/1080049676/", 1080049676)</f>
        <v>1080049676</v>
      </c>
      <c r="D6034" t="s">
        <v>5007</v>
      </c>
      <c r="E6034">
        <v>287.02999999999997</v>
      </c>
      <c r="F6034">
        <v>0.05</v>
      </c>
      <c r="G6034" t="s">
        <v>12</v>
      </c>
      <c r="I6034" t="s">
        <v>13</v>
      </c>
    </row>
    <row r="6035" spans="1:9" hidden="1" x14ac:dyDescent="0.25">
      <c r="A6035" t="s">
        <v>4978</v>
      </c>
      <c r="B6035" t="s">
        <v>84</v>
      </c>
      <c r="C6035" s="2">
        <f>HYPERLINK("https://cao.dolgi.msk.ru/account/1080049684/", 1080049684)</f>
        <v>1080049684</v>
      </c>
      <c r="D6035" t="s">
        <v>5008</v>
      </c>
      <c r="E6035">
        <v>-5628.57</v>
      </c>
      <c r="F6035">
        <v>-1.07</v>
      </c>
      <c r="G6035" t="s">
        <v>12</v>
      </c>
      <c r="I6035" t="s">
        <v>13</v>
      </c>
    </row>
    <row r="6036" spans="1:9" hidden="1" x14ac:dyDescent="0.25">
      <c r="A6036" t="s">
        <v>4978</v>
      </c>
      <c r="B6036" t="s">
        <v>86</v>
      </c>
      <c r="C6036" s="2">
        <f>HYPERLINK("https://cao.dolgi.msk.ru/account/1080049692/", 1080049692)</f>
        <v>1080049692</v>
      </c>
      <c r="D6036" t="s">
        <v>5009</v>
      </c>
      <c r="E6036">
        <v>-9789.1200000000008</v>
      </c>
      <c r="F6036">
        <v>-0.92</v>
      </c>
      <c r="G6036" t="s">
        <v>12</v>
      </c>
      <c r="I6036" t="s">
        <v>13</v>
      </c>
    </row>
    <row r="6037" spans="1:9" hidden="1" x14ac:dyDescent="0.25">
      <c r="A6037" t="s">
        <v>4978</v>
      </c>
      <c r="B6037" t="s">
        <v>88</v>
      </c>
      <c r="C6037" s="2">
        <f>HYPERLINK("https://cao.dolgi.msk.ru/account/1080049705/", 1080049705)</f>
        <v>1080049705</v>
      </c>
      <c r="D6037" t="s">
        <v>5010</v>
      </c>
      <c r="E6037">
        <v>-6566.97</v>
      </c>
      <c r="F6037">
        <v>-1.06</v>
      </c>
      <c r="G6037" t="s">
        <v>12</v>
      </c>
      <c r="I6037" t="s">
        <v>13</v>
      </c>
    </row>
    <row r="6038" spans="1:9" hidden="1" x14ac:dyDescent="0.25">
      <c r="A6038" t="s">
        <v>4978</v>
      </c>
      <c r="B6038" t="s">
        <v>90</v>
      </c>
      <c r="C6038" s="2">
        <f>HYPERLINK("https://cao.dolgi.msk.ru/account/1080049713/", 1080049713)</f>
        <v>1080049713</v>
      </c>
      <c r="D6038" t="s">
        <v>5011</v>
      </c>
      <c r="E6038">
        <v>-5072.0200000000004</v>
      </c>
      <c r="F6038">
        <v>-1.24</v>
      </c>
      <c r="G6038" t="s">
        <v>12</v>
      </c>
      <c r="I6038" t="s">
        <v>13</v>
      </c>
    </row>
    <row r="6039" spans="1:9" hidden="1" x14ac:dyDescent="0.25">
      <c r="A6039" t="s">
        <v>4978</v>
      </c>
      <c r="B6039" t="s">
        <v>92</v>
      </c>
      <c r="C6039" s="2">
        <f>HYPERLINK("https://cao.dolgi.msk.ru/account/1080049721/", 1080049721)</f>
        <v>1080049721</v>
      </c>
      <c r="D6039" t="s">
        <v>5012</v>
      </c>
      <c r="E6039">
        <v>-52409.82</v>
      </c>
      <c r="F6039">
        <v>-25.14</v>
      </c>
      <c r="G6039" t="s">
        <v>12</v>
      </c>
      <c r="I6039" t="s">
        <v>13</v>
      </c>
    </row>
    <row r="6040" spans="1:9" hidden="1" x14ac:dyDescent="0.25">
      <c r="A6040" t="s">
        <v>4978</v>
      </c>
      <c r="B6040" t="s">
        <v>5013</v>
      </c>
      <c r="C6040" s="2">
        <f>HYPERLINK("https://cao.dolgi.msk.ru/account/1080049748/", 1080049748)</f>
        <v>1080049748</v>
      </c>
      <c r="D6040" t="s">
        <v>5014</v>
      </c>
      <c r="E6040">
        <v>-1638.52</v>
      </c>
      <c r="F6040">
        <v>-0.39</v>
      </c>
      <c r="G6040" t="s">
        <v>12</v>
      </c>
      <c r="I6040" t="s">
        <v>13</v>
      </c>
    </row>
    <row r="6041" spans="1:9" hidden="1" x14ac:dyDescent="0.25">
      <c r="A6041" t="s">
        <v>4978</v>
      </c>
      <c r="B6041" t="s">
        <v>94</v>
      </c>
      <c r="C6041" s="2">
        <f>HYPERLINK("https://cao.dolgi.msk.ru/account/1080049756/", 1080049756)</f>
        <v>1080049756</v>
      </c>
      <c r="D6041" t="s">
        <v>5015</v>
      </c>
      <c r="E6041">
        <v>-4185.66</v>
      </c>
      <c r="F6041">
        <v>-1.22</v>
      </c>
      <c r="G6041" t="s">
        <v>12</v>
      </c>
      <c r="I6041" t="s">
        <v>13</v>
      </c>
    </row>
    <row r="6042" spans="1:9" hidden="1" x14ac:dyDescent="0.25">
      <c r="A6042" t="s">
        <v>4978</v>
      </c>
      <c r="B6042" t="s">
        <v>96</v>
      </c>
      <c r="C6042" s="2">
        <f>HYPERLINK("https://cao.dolgi.msk.ru/account/1080049764/", 1080049764)</f>
        <v>1080049764</v>
      </c>
      <c r="D6042" t="s">
        <v>5016</v>
      </c>
      <c r="E6042">
        <v>-12176.89</v>
      </c>
      <c r="F6042">
        <v>-2.81</v>
      </c>
      <c r="G6042" t="s">
        <v>12</v>
      </c>
      <c r="I6042" t="s">
        <v>13</v>
      </c>
    </row>
    <row r="6043" spans="1:9" hidden="1" x14ac:dyDescent="0.25">
      <c r="A6043" t="s">
        <v>4978</v>
      </c>
      <c r="B6043" t="s">
        <v>98</v>
      </c>
      <c r="C6043" s="2">
        <f>HYPERLINK("https://cao.dolgi.msk.ru/account/1080049772/", 1080049772)</f>
        <v>1080049772</v>
      </c>
      <c r="D6043" t="s">
        <v>5017</v>
      </c>
      <c r="E6043">
        <v>-6553.64</v>
      </c>
      <c r="F6043">
        <v>-1.01</v>
      </c>
      <c r="G6043" t="s">
        <v>12</v>
      </c>
      <c r="I6043" t="s">
        <v>13</v>
      </c>
    </row>
    <row r="6044" spans="1:9" hidden="1" x14ac:dyDescent="0.25">
      <c r="A6044" t="s">
        <v>4978</v>
      </c>
      <c r="B6044" t="s">
        <v>100</v>
      </c>
      <c r="C6044" s="2">
        <f>HYPERLINK("https://cao.dolgi.msk.ru/account/1080049799/", 1080049799)</f>
        <v>1080049799</v>
      </c>
      <c r="D6044" t="s">
        <v>5018</v>
      </c>
      <c r="E6044">
        <v>-7559.65</v>
      </c>
      <c r="F6044">
        <v>-1.1100000000000001</v>
      </c>
      <c r="G6044" t="s">
        <v>12</v>
      </c>
      <c r="I6044" t="s">
        <v>13</v>
      </c>
    </row>
    <row r="6045" spans="1:9" hidden="1" x14ac:dyDescent="0.25">
      <c r="A6045" t="s">
        <v>4978</v>
      </c>
      <c r="B6045" t="s">
        <v>102</v>
      </c>
      <c r="C6045" s="2">
        <f>HYPERLINK("https://cao.dolgi.msk.ru/account/1080049801/", 1080049801)</f>
        <v>1080049801</v>
      </c>
      <c r="D6045" t="s">
        <v>5019</v>
      </c>
      <c r="E6045">
        <v>6304.42</v>
      </c>
      <c r="F6045">
        <v>0.98</v>
      </c>
      <c r="G6045" t="s">
        <v>12</v>
      </c>
      <c r="I6045" t="s">
        <v>13</v>
      </c>
    </row>
    <row r="6046" spans="1:9" hidden="1" x14ac:dyDescent="0.25">
      <c r="A6046" t="s">
        <v>4978</v>
      </c>
      <c r="B6046" t="s">
        <v>104</v>
      </c>
      <c r="C6046" s="2">
        <f>HYPERLINK("https://cao.dolgi.msk.ru/account/1080049828/", 1080049828)</f>
        <v>1080049828</v>
      </c>
      <c r="D6046" t="s">
        <v>5020</v>
      </c>
      <c r="E6046">
        <v>-3785.3</v>
      </c>
      <c r="F6046">
        <v>-0.9</v>
      </c>
      <c r="G6046" t="s">
        <v>12</v>
      </c>
      <c r="I6046" t="s">
        <v>13</v>
      </c>
    </row>
    <row r="6047" spans="1:9" x14ac:dyDescent="0.25">
      <c r="A6047" t="s">
        <v>4978</v>
      </c>
      <c r="B6047" t="s">
        <v>106</v>
      </c>
      <c r="C6047" s="2">
        <f>HYPERLINK("https://cao.dolgi.msk.ru/account/1080049836/", 1080049836)</f>
        <v>1080049836</v>
      </c>
      <c r="D6047" t="s">
        <v>5021</v>
      </c>
      <c r="E6047">
        <v>13107.16</v>
      </c>
      <c r="F6047">
        <v>1.99</v>
      </c>
      <c r="G6047" t="s">
        <v>12</v>
      </c>
      <c r="I6047" t="s">
        <v>13</v>
      </c>
    </row>
    <row r="6048" spans="1:9" hidden="1" x14ac:dyDescent="0.25">
      <c r="A6048" t="s">
        <v>4978</v>
      </c>
      <c r="B6048" t="s">
        <v>106</v>
      </c>
      <c r="C6048" s="2">
        <f>HYPERLINK("https://cao.dolgi.msk.ru/account/1080049844/", 1080049844)</f>
        <v>1080049844</v>
      </c>
      <c r="D6048" t="s">
        <v>5021</v>
      </c>
      <c r="G6048" t="s">
        <v>14</v>
      </c>
      <c r="I6048" t="s">
        <v>13</v>
      </c>
    </row>
    <row r="6049" spans="1:9" x14ac:dyDescent="0.25">
      <c r="A6049" t="s">
        <v>4978</v>
      </c>
      <c r="B6049" t="s">
        <v>108</v>
      </c>
      <c r="C6049" s="2">
        <f>HYPERLINK("https://cao.dolgi.msk.ru/account/1080049852/", 1080049852)</f>
        <v>1080049852</v>
      </c>
      <c r="D6049" t="s">
        <v>5022</v>
      </c>
      <c r="E6049">
        <v>59472.28</v>
      </c>
      <c r="F6049">
        <v>7.07</v>
      </c>
      <c r="G6049" t="s">
        <v>12</v>
      </c>
      <c r="I6049" t="s">
        <v>13</v>
      </c>
    </row>
    <row r="6050" spans="1:9" hidden="1" x14ac:dyDescent="0.25">
      <c r="A6050" t="s">
        <v>4978</v>
      </c>
      <c r="B6050" t="s">
        <v>110</v>
      </c>
      <c r="C6050" s="2">
        <f>HYPERLINK("https://cao.dolgi.msk.ru/account/1080050642/", 1080050642)</f>
        <v>1080050642</v>
      </c>
      <c r="D6050" t="s">
        <v>5023</v>
      </c>
      <c r="E6050">
        <v>-311.94</v>
      </c>
      <c r="F6050">
        <v>-0.04</v>
      </c>
      <c r="G6050" t="s">
        <v>12</v>
      </c>
      <c r="I6050" t="s">
        <v>13</v>
      </c>
    </row>
    <row r="6051" spans="1:9" hidden="1" x14ac:dyDescent="0.25">
      <c r="A6051" t="s">
        <v>4978</v>
      </c>
      <c r="B6051" t="s">
        <v>112</v>
      </c>
      <c r="C6051" s="2">
        <f>HYPERLINK("https://cao.dolgi.msk.ru/account/1080049879/", 1080049879)</f>
        <v>1080049879</v>
      </c>
      <c r="D6051" t="s">
        <v>5024</v>
      </c>
      <c r="E6051">
        <v>15.08</v>
      </c>
      <c r="F6051">
        <v>0</v>
      </c>
      <c r="G6051" t="s">
        <v>12</v>
      </c>
      <c r="I6051" t="s">
        <v>13</v>
      </c>
    </row>
    <row r="6052" spans="1:9" hidden="1" x14ac:dyDescent="0.25">
      <c r="A6052" t="s">
        <v>4978</v>
      </c>
      <c r="B6052" t="s">
        <v>114</v>
      </c>
      <c r="C6052" s="2">
        <f>HYPERLINK("https://cao.dolgi.msk.ru/account/1080049887/", 1080049887)</f>
        <v>1080049887</v>
      </c>
      <c r="D6052" t="s">
        <v>5025</v>
      </c>
      <c r="E6052">
        <v>-5605.45</v>
      </c>
      <c r="F6052">
        <v>-1.0900000000000001</v>
      </c>
      <c r="G6052" t="s">
        <v>12</v>
      </c>
      <c r="I6052" t="s">
        <v>13</v>
      </c>
    </row>
    <row r="6053" spans="1:9" hidden="1" x14ac:dyDescent="0.25">
      <c r="A6053" t="s">
        <v>4978</v>
      </c>
      <c r="B6053" t="s">
        <v>116</v>
      </c>
      <c r="C6053" s="2">
        <f>HYPERLINK("https://cao.dolgi.msk.ru/account/1080049908/", 1080049908)</f>
        <v>1080049908</v>
      </c>
      <c r="D6053" t="s">
        <v>5026</v>
      </c>
      <c r="E6053">
        <v>-17347.21</v>
      </c>
      <c r="F6053">
        <v>-1.95</v>
      </c>
      <c r="G6053" t="s">
        <v>12</v>
      </c>
      <c r="I6053" t="s">
        <v>13</v>
      </c>
    </row>
    <row r="6054" spans="1:9" hidden="1" x14ac:dyDescent="0.25">
      <c r="A6054" t="s">
        <v>4978</v>
      </c>
      <c r="B6054" t="s">
        <v>118</v>
      </c>
      <c r="C6054" s="2">
        <f>HYPERLINK("https://cao.dolgi.msk.ru/account/1080049916/", 1080049916)</f>
        <v>1080049916</v>
      </c>
      <c r="D6054" t="s">
        <v>5027</v>
      </c>
      <c r="E6054">
        <v>-5472.79</v>
      </c>
      <c r="F6054">
        <v>-1.07</v>
      </c>
      <c r="G6054" t="s">
        <v>12</v>
      </c>
      <c r="I6054" t="s">
        <v>13</v>
      </c>
    </row>
    <row r="6055" spans="1:9" hidden="1" x14ac:dyDescent="0.25">
      <c r="A6055" t="s">
        <v>4978</v>
      </c>
      <c r="B6055" t="s">
        <v>120</v>
      </c>
      <c r="C6055" s="2">
        <f>HYPERLINK("https://cao.dolgi.msk.ru/account/1080049924/", 1080049924)</f>
        <v>1080049924</v>
      </c>
      <c r="D6055" t="s">
        <v>5028</v>
      </c>
      <c r="E6055">
        <v>-2394.04</v>
      </c>
      <c r="F6055">
        <v>-1.07</v>
      </c>
      <c r="G6055" t="s">
        <v>12</v>
      </c>
      <c r="I6055" t="s">
        <v>13</v>
      </c>
    </row>
    <row r="6056" spans="1:9" hidden="1" x14ac:dyDescent="0.25">
      <c r="A6056" t="s">
        <v>4978</v>
      </c>
      <c r="B6056" t="s">
        <v>122</v>
      </c>
      <c r="C6056" s="2">
        <f>HYPERLINK("https://cao.dolgi.msk.ru/account/1080049932/", 1080049932)</f>
        <v>1080049932</v>
      </c>
      <c r="D6056" t="s">
        <v>5029</v>
      </c>
      <c r="E6056">
        <v>-7325.65</v>
      </c>
      <c r="F6056">
        <v>-0.99</v>
      </c>
      <c r="G6056" t="s">
        <v>12</v>
      </c>
      <c r="I6056" t="s">
        <v>13</v>
      </c>
    </row>
    <row r="6057" spans="1:9" hidden="1" x14ac:dyDescent="0.25">
      <c r="A6057" t="s">
        <v>4978</v>
      </c>
      <c r="B6057" t="s">
        <v>124</v>
      </c>
      <c r="C6057" s="2">
        <f>HYPERLINK("https://cao.dolgi.msk.ru/account/1080049959/", 1080049959)</f>
        <v>1080049959</v>
      </c>
      <c r="D6057" t="s">
        <v>5030</v>
      </c>
      <c r="E6057">
        <v>-10098.92</v>
      </c>
      <c r="F6057">
        <v>-1.02</v>
      </c>
      <c r="G6057" t="s">
        <v>12</v>
      </c>
      <c r="I6057" t="s">
        <v>13</v>
      </c>
    </row>
    <row r="6058" spans="1:9" hidden="1" x14ac:dyDescent="0.25">
      <c r="A6058" t="s">
        <v>4978</v>
      </c>
      <c r="B6058" t="s">
        <v>126</v>
      </c>
      <c r="C6058" s="2">
        <f>HYPERLINK("https://cao.dolgi.msk.ru/account/1080049983/", 1080049983)</f>
        <v>1080049983</v>
      </c>
      <c r="D6058" t="s">
        <v>15</v>
      </c>
      <c r="G6058" t="s">
        <v>14</v>
      </c>
      <c r="I6058" t="s">
        <v>13</v>
      </c>
    </row>
    <row r="6059" spans="1:9" hidden="1" x14ac:dyDescent="0.25">
      <c r="A6059" t="s">
        <v>4978</v>
      </c>
      <c r="B6059" t="s">
        <v>126</v>
      </c>
      <c r="C6059" s="2">
        <f>HYPERLINK("https://cao.dolgi.msk.ru/account/1089118367/", 1089118367)</f>
        <v>1089118367</v>
      </c>
      <c r="D6059" t="s">
        <v>5031</v>
      </c>
      <c r="E6059">
        <v>-5058.6899999999996</v>
      </c>
      <c r="F6059">
        <v>-1.33</v>
      </c>
      <c r="G6059" t="s">
        <v>12</v>
      </c>
      <c r="I6059" t="s">
        <v>13</v>
      </c>
    </row>
    <row r="6060" spans="1:9" hidden="1" x14ac:dyDescent="0.25">
      <c r="A6060" t="s">
        <v>4978</v>
      </c>
      <c r="B6060" t="s">
        <v>128</v>
      </c>
      <c r="C6060" s="2">
        <f>HYPERLINK("https://cao.dolgi.msk.ru/account/1080049991/", 1080049991)</f>
        <v>1080049991</v>
      </c>
      <c r="D6060" t="s">
        <v>5032</v>
      </c>
      <c r="E6060">
        <v>-6294.43</v>
      </c>
      <c r="F6060">
        <v>-1.23</v>
      </c>
      <c r="G6060" t="s">
        <v>12</v>
      </c>
      <c r="I6060" t="s">
        <v>13</v>
      </c>
    </row>
    <row r="6061" spans="1:9" hidden="1" x14ac:dyDescent="0.25">
      <c r="A6061" t="s">
        <v>4978</v>
      </c>
      <c r="B6061" t="s">
        <v>130</v>
      </c>
      <c r="C6061" s="2">
        <f>HYPERLINK("https://cao.dolgi.msk.ru/account/1080050001/", 1080050001)</f>
        <v>1080050001</v>
      </c>
      <c r="D6061" t="s">
        <v>5033</v>
      </c>
      <c r="E6061">
        <v>-7833.66</v>
      </c>
      <c r="F6061">
        <v>-2.62</v>
      </c>
      <c r="G6061" t="s">
        <v>12</v>
      </c>
      <c r="I6061" t="s">
        <v>13</v>
      </c>
    </row>
    <row r="6062" spans="1:9" x14ac:dyDescent="0.25">
      <c r="A6062" t="s">
        <v>4978</v>
      </c>
      <c r="B6062" t="s">
        <v>132</v>
      </c>
      <c r="C6062" s="2">
        <f>HYPERLINK("https://cao.dolgi.msk.ru/account/1080049262/", 1080049262)</f>
        <v>1080049262</v>
      </c>
      <c r="D6062" t="s">
        <v>15</v>
      </c>
      <c r="E6062">
        <v>230095.41</v>
      </c>
      <c r="F6062">
        <v>42.61</v>
      </c>
      <c r="G6062" t="s">
        <v>12</v>
      </c>
      <c r="H6062" t="s">
        <v>7</v>
      </c>
      <c r="I6062" t="s">
        <v>13</v>
      </c>
    </row>
    <row r="6063" spans="1:9" hidden="1" x14ac:dyDescent="0.25">
      <c r="A6063" t="s">
        <v>4978</v>
      </c>
      <c r="B6063" t="s">
        <v>132</v>
      </c>
      <c r="C6063" s="2">
        <f>HYPERLINK("https://cao.dolgi.msk.ru/account/1080050028/", 1080050028)</f>
        <v>1080050028</v>
      </c>
      <c r="D6063" t="s">
        <v>5034</v>
      </c>
      <c r="E6063">
        <v>-3302.65</v>
      </c>
      <c r="F6063">
        <v>-0.91</v>
      </c>
      <c r="G6063" t="s">
        <v>12</v>
      </c>
      <c r="H6063" t="s">
        <v>7</v>
      </c>
      <c r="I6063" t="s">
        <v>13</v>
      </c>
    </row>
    <row r="6064" spans="1:9" x14ac:dyDescent="0.25">
      <c r="A6064" t="s">
        <v>4978</v>
      </c>
      <c r="B6064" t="s">
        <v>132</v>
      </c>
      <c r="C6064" s="2">
        <f>HYPERLINK("https://cao.dolgi.msk.ru/account/1089126295/", 1089126295)</f>
        <v>1089126295</v>
      </c>
      <c r="D6064" t="s">
        <v>15</v>
      </c>
      <c r="E6064">
        <v>35346.78</v>
      </c>
      <c r="F6064">
        <v>5.0199999999999996</v>
      </c>
      <c r="G6064" t="s">
        <v>12</v>
      </c>
      <c r="H6064" t="s">
        <v>7</v>
      </c>
      <c r="I6064" t="s">
        <v>13</v>
      </c>
    </row>
    <row r="6065" spans="1:9" hidden="1" x14ac:dyDescent="0.25">
      <c r="A6065" t="s">
        <v>4978</v>
      </c>
      <c r="B6065" t="s">
        <v>133</v>
      </c>
      <c r="C6065" s="2">
        <f>HYPERLINK("https://cao.dolgi.msk.ru/account/1080050044/", 1080050044)</f>
        <v>1080050044</v>
      </c>
      <c r="D6065" t="s">
        <v>5035</v>
      </c>
      <c r="E6065">
        <v>1352.74</v>
      </c>
      <c r="G6065" t="s">
        <v>14</v>
      </c>
      <c r="I6065" t="s">
        <v>13</v>
      </c>
    </row>
    <row r="6066" spans="1:9" hidden="1" x14ac:dyDescent="0.25">
      <c r="A6066" t="s">
        <v>4978</v>
      </c>
      <c r="B6066" t="s">
        <v>133</v>
      </c>
      <c r="C6066" s="2">
        <f>HYPERLINK("https://cao.dolgi.msk.ru/account/1080050052/", 1080050052)</f>
        <v>1080050052</v>
      </c>
      <c r="D6066" t="s">
        <v>15</v>
      </c>
      <c r="E6066">
        <v>485.26</v>
      </c>
      <c r="G6066" t="s">
        <v>14</v>
      </c>
      <c r="I6066" t="s">
        <v>13</v>
      </c>
    </row>
    <row r="6067" spans="1:9" hidden="1" x14ac:dyDescent="0.25">
      <c r="A6067" t="s">
        <v>4978</v>
      </c>
      <c r="B6067" t="s">
        <v>133</v>
      </c>
      <c r="C6067" s="2">
        <f>HYPERLINK("https://cao.dolgi.msk.ru/account/1083270616/", 1083270616)</f>
        <v>1083270616</v>
      </c>
      <c r="D6067" t="s">
        <v>5036</v>
      </c>
      <c r="E6067">
        <v>-360.14</v>
      </c>
      <c r="F6067">
        <v>-7.0000000000000007E-2</v>
      </c>
      <c r="G6067" t="s">
        <v>12</v>
      </c>
      <c r="I6067" t="s">
        <v>13</v>
      </c>
    </row>
    <row r="6068" spans="1:9" hidden="1" x14ac:dyDescent="0.25">
      <c r="A6068" t="s">
        <v>4978</v>
      </c>
      <c r="B6068" t="s">
        <v>135</v>
      </c>
      <c r="C6068" s="2">
        <f>HYPERLINK("https://cao.dolgi.msk.ru/account/1080050079/", 1080050079)</f>
        <v>1080050079</v>
      </c>
      <c r="D6068" t="s">
        <v>5037</v>
      </c>
      <c r="E6068">
        <v>-4784.3999999999996</v>
      </c>
      <c r="F6068">
        <v>-1.1000000000000001</v>
      </c>
      <c r="G6068" t="s">
        <v>12</v>
      </c>
      <c r="I6068" t="s">
        <v>13</v>
      </c>
    </row>
    <row r="6069" spans="1:9" hidden="1" x14ac:dyDescent="0.25">
      <c r="A6069" t="s">
        <v>4978</v>
      </c>
      <c r="B6069" t="s">
        <v>137</v>
      </c>
      <c r="C6069" s="2">
        <f>HYPERLINK("https://cao.dolgi.msk.ru/account/1080050087/", 1080050087)</f>
        <v>1080050087</v>
      </c>
      <c r="D6069" t="s">
        <v>5038</v>
      </c>
      <c r="E6069">
        <v>-10985.76</v>
      </c>
      <c r="F6069">
        <v>-1.32</v>
      </c>
      <c r="G6069" t="s">
        <v>12</v>
      </c>
      <c r="I6069" t="s">
        <v>13</v>
      </c>
    </row>
    <row r="6070" spans="1:9" hidden="1" x14ac:dyDescent="0.25">
      <c r="A6070" t="s">
        <v>4978</v>
      </c>
      <c r="B6070" t="s">
        <v>139</v>
      </c>
      <c r="C6070" s="2">
        <f>HYPERLINK("https://cao.dolgi.msk.ru/account/1080050095/", 1080050095)</f>
        <v>1080050095</v>
      </c>
      <c r="D6070" t="s">
        <v>5039</v>
      </c>
      <c r="E6070">
        <v>6.86</v>
      </c>
      <c r="F6070">
        <v>0</v>
      </c>
      <c r="G6070" t="s">
        <v>12</v>
      </c>
      <c r="I6070" t="s">
        <v>13</v>
      </c>
    </row>
    <row r="6071" spans="1:9" hidden="1" x14ac:dyDescent="0.25">
      <c r="A6071" t="s">
        <v>4978</v>
      </c>
      <c r="B6071" t="s">
        <v>141</v>
      </c>
      <c r="C6071" s="2">
        <f>HYPERLINK("https://cao.dolgi.msk.ru/account/1080050108/", 1080050108)</f>
        <v>1080050108</v>
      </c>
      <c r="D6071" t="s">
        <v>5040</v>
      </c>
      <c r="E6071">
        <v>-4946.3599999999997</v>
      </c>
      <c r="F6071">
        <v>-0.93</v>
      </c>
      <c r="G6071" t="s">
        <v>12</v>
      </c>
      <c r="I6071" t="s">
        <v>13</v>
      </c>
    </row>
    <row r="6072" spans="1:9" hidden="1" x14ac:dyDescent="0.25">
      <c r="A6072" t="s">
        <v>4978</v>
      </c>
      <c r="B6072" t="s">
        <v>143</v>
      </c>
      <c r="C6072" s="2">
        <f>HYPERLINK("https://cao.dolgi.msk.ru/account/1080050116/", 1080050116)</f>
        <v>1080050116</v>
      </c>
      <c r="D6072" t="s">
        <v>5041</v>
      </c>
      <c r="E6072">
        <v>-4837.79</v>
      </c>
      <c r="F6072">
        <v>-1.04</v>
      </c>
      <c r="G6072" t="s">
        <v>12</v>
      </c>
      <c r="I6072" t="s">
        <v>13</v>
      </c>
    </row>
    <row r="6073" spans="1:9" hidden="1" x14ac:dyDescent="0.25">
      <c r="A6073" t="s">
        <v>4978</v>
      </c>
      <c r="B6073" t="s">
        <v>145</v>
      </c>
      <c r="C6073" s="2">
        <f>HYPERLINK("https://cao.dolgi.msk.ru/account/1080050124/", 1080050124)</f>
        <v>1080050124</v>
      </c>
      <c r="D6073" t="s">
        <v>5042</v>
      </c>
      <c r="E6073">
        <v>-1454.03</v>
      </c>
      <c r="F6073">
        <v>-0.27</v>
      </c>
      <c r="G6073" t="s">
        <v>12</v>
      </c>
      <c r="I6073" t="s">
        <v>13</v>
      </c>
    </row>
    <row r="6074" spans="1:9" hidden="1" x14ac:dyDescent="0.25">
      <c r="A6074" t="s">
        <v>4978</v>
      </c>
      <c r="B6074" t="s">
        <v>147</v>
      </c>
      <c r="C6074" s="2">
        <f>HYPERLINK("https://cao.dolgi.msk.ru/account/1080050132/", 1080050132)</f>
        <v>1080050132</v>
      </c>
      <c r="D6074" t="s">
        <v>5043</v>
      </c>
      <c r="E6074">
        <v>11.21</v>
      </c>
      <c r="F6074">
        <v>0</v>
      </c>
      <c r="G6074" t="s">
        <v>12</v>
      </c>
      <c r="I6074" t="s">
        <v>13</v>
      </c>
    </row>
    <row r="6075" spans="1:9" hidden="1" x14ac:dyDescent="0.25">
      <c r="A6075" t="s">
        <v>4978</v>
      </c>
      <c r="B6075" t="s">
        <v>149</v>
      </c>
      <c r="C6075" s="2">
        <f>HYPERLINK("https://cao.dolgi.msk.ru/account/1080050159/", 1080050159)</f>
        <v>1080050159</v>
      </c>
      <c r="D6075" t="s">
        <v>5044</v>
      </c>
      <c r="E6075">
        <v>-4040.44</v>
      </c>
      <c r="F6075">
        <v>-1.1100000000000001</v>
      </c>
      <c r="G6075" t="s">
        <v>12</v>
      </c>
      <c r="I6075" t="s">
        <v>13</v>
      </c>
    </row>
    <row r="6076" spans="1:9" hidden="1" x14ac:dyDescent="0.25">
      <c r="A6076" t="s">
        <v>4978</v>
      </c>
      <c r="B6076" t="s">
        <v>151</v>
      </c>
      <c r="C6076" s="2">
        <f>HYPERLINK("https://cao.dolgi.msk.ru/account/1080050167/", 1080050167)</f>
        <v>1080050167</v>
      </c>
      <c r="D6076" t="s">
        <v>5045</v>
      </c>
      <c r="E6076">
        <v>-6673.88</v>
      </c>
      <c r="F6076">
        <v>-1.03</v>
      </c>
      <c r="G6076" t="s">
        <v>12</v>
      </c>
      <c r="I6076" t="s">
        <v>13</v>
      </c>
    </row>
    <row r="6077" spans="1:9" hidden="1" x14ac:dyDescent="0.25">
      <c r="A6077" t="s">
        <v>4978</v>
      </c>
      <c r="B6077" t="s">
        <v>153</v>
      </c>
      <c r="C6077" s="2">
        <f>HYPERLINK("https://cao.dolgi.msk.ru/account/1080050175/", 1080050175)</f>
        <v>1080050175</v>
      </c>
      <c r="D6077" t="s">
        <v>5046</v>
      </c>
      <c r="E6077">
        <v>-137.36000000000001</v>
      </c>
      <c r="F6077">
        <v>-0.03</v>
      </c>
      <c r="G6077" t="s">
        <v>12</v>
      </c>
      <c r="I6077" t="s">
        <v>13</v>
      </c>
    </row>
    <row r="6078" spans="1:9" hidden="1" x14ac:dyDescent="0.25">
      <c r="A6078" t="s">
        <v>4978</v>
      </c>
      <c r="B6078" t="s">
        <v>155</v>
      </c>
      <c r="C6078" s="2">
        <f>HYPERLINK("https://cao.dolgi.msk.ru/account/1080050183/", 1080050183)</f>
        <v>1080050183</v>
      </c>
      <c r="D6078" t="s">
        <v>5047</v>
      </c>
      <c r="E6078">
        <v>0</v>
      </c>
      <c r="F6078">
        <v>0</v>
      </c>
      <c r="G6078" t="s">
        <v>12</v>
      </c>
      <c r="I6078" t="s">
        <v>13</v>
      </c>
    </row>
    <row r="6079" spans="1:9" hidden="1" x14ac:dyDescent="0.25">
      <c r="A6079" t="s">
        <v>4978</v>
      </c>
      <c r="B6079" t="s">
        <v>157</v>
      </c>
      <c r="C6079" s="2">
        <f>HYPERLINK("https://cao.dolgi.msk.ru/account/1080050191/", 1080050191)</f>
        <v>1080050191</v>
      </c>
      <c r="D6079" t="s">
        <v>5048</v>
      </c>
      <c r="E6079">
        <v>-4324.12</v>
      </c>
      <c r="F6079">
        <v>-0.96</v>
      </c>
      <c r="G6079" t="s">
        <v>12</v>
      </c>
      <c r="I6079" t="s">
        <v>13</v>
      </c>
    </row>
    <row r="6080" spans="1:9" hidden="1" x14ac:dyDescent="0.25">
      <c r="A6080" t="s">
        <v>4978</v>
      </c>
      <c r="B6080" t="s">
        <v>159</v>
      </c>
      <c r="C6080" s="2">
        <f>HYPERLINK("https://cao.dolgi.msk.ru/account/1080050204/", 1080050204)</f>
        <v>1080050204</v>
      </c>
      <c r="D6080" t="s">
        <v>5049</v>
      </c>
      <c r="E6080">
        <v>-3372.07</v>
      </c>
      <c r="F6080">
        <v>-0.96</v>
      </c>
      <c r="G6080" t="s">
        <v>12</v>
      </c>
      <c r="I6080" t="s">
        <v>13</v>
      </c>
    </row>
    <row r="6081" spans="1:9" hidden="1" x14ac:dyDescent="0.25">
      <c r="A6081" t="s">
        <v>4978</v>
      </c>
      <c r="B6081" t="s">
        <v>161</v>
      </c>
      <c r="C6081" s="2">
        <f>HYPERLINK("https://cao.dolgi.msk.ru/account/1080050212/", 1080050212)</f>
        <v>1080050212</v>
      </c>
      <c r="D6081" t="s">
        <v>5050</v>
      </c>
      <c r="E6081">
        <v>1513.67</v>
      </c>
      <c r="F6081">
        <v>0.25</v>
      </c>
      <c r="G6081" t="s">
        <v>12</v>
      </c>
      <c r="I6081" t="s">
        <v>13</v>
      </c>
    </row>
    <row r="6082" spans="1:9" hidden="1" x14ac:dyDescent="0.25">
      <c r="A6082" t="s">
        <v>4978</v>
      </c>
      <c r="B6082" t="s">
        <v>163</v>
      </c>
      <c r="C6082" s="2">
        <f>HYPERLINK("https://cao.dolgi.msk.ru/account/1080050239/", 1080050239)</f>
        <v>1080050239</v>
      </c>
      <c r="D6082" t="s">
        <v>5051</v>
      </c>
      <c r="E6082">
        <v>-18169.86</v>
      </c>
      <c r="F6082">
        <v>-2.99</v>
      </c>
      <c r="G6082" t="s">
        <v>12</v>
      </c>
      <c r="I6082" t="s">
        <v>13</v>
      </c>
    </row>
    <row r="6083" spans="1:9" hidden="1" x14ac:dyDescent="0.25">
      <c r="A6083" t="s">
        <v>4978</v>
      </c>
      <c r="B6083" t="s">
        <v>571</v>
      </c>
      <c r="C6083" s="2">
        <f>HYPERLINK("https://cao.dolgi.msk.ru/account/1080050247/", 1080050247)</f>
        <v>1080050247</v>
      </c>
      <c r="D6083" t="s">
        <v>5052</v>
      </c>
      <c r="E6083">
        <v>23.33</v>
      </c>
      <c r="F6083">
        <v>0</v>
      </c>
      <c r="G6083" t="s">
        <v>12</v>
      </c>
      <c r="I6083" t="s">
        <v>13</v>
      </c>
    </row>
    <row r="6084" spans="1:9" hidden="1" x14ac:dyDescent="0.25">
      <c r="A6084" t="s">
        <v>4978</v>
      </c>
      <c r="B6084" t="s">
        <v>682</v>
      </c>
      <c r="C6084" s="2">
        <f>HYPERLINK("https://cao.dolgi.msk.ru/account/1080050255/", 1080050255)</f>
        <v>1080050255</v>
      </c>
      <c r="D6084" t="s">
        <v>5053</v>
      </c>
      <c r="E6084">
        <v>79.34</v>
      </c>
      <c r="F6084">
        <v>0.01</v>
      </c>
      <c r="G6084" t="s">
        <v>12</v>
      </c>
      <c r="I6084" t="s">
        <v>13</v>
      </c>
    </row>
    <row r="6085" spans="1:9" x14ac:dyDescent="0.25">
      <c r="A6085" t="s">
        <v>4978</v>
      </c>
      <c r="B6085" t="s">
        <v>578</v>
      </c>
      <c r="C6085" s="2">
        <f>HYPERLINK("https://cao.dolgi.msk.ru/account/1080050263/", 1080050263)</f>
        <v>1080050263</v>
      </c>
      <c r="D6085" t="s">
        <v>5054</v>
      </c>
      <c r="E6085">
        <v>22146.94</v>
      </c>
      <c r="F6085">
        <v>4.68</v>
      </c>
      <c r="G6085" t="s">
        <v>12</v>
      </c>
      <c r="I6085" t="s">
        <v>13</v>
      </c>
    </row>
    <row r="6086" spans="1:9" hidden="1" x14ac:dyDescent="0.25">
      <c r="A6086" t="s">
        <v>4978</v>
      </c>
      <c r="B6086" t="s">
        <v>580</v>
      </c>
      <c r="C6086" s="2">
        <f>HYPERLINK("https://cao.dolgi.msk.ru/account/1080050271/", 1080050271)</f>
        <v>1080050271</v>
      </c>
      <c r="D6086" t="s">
        <v>5055</v>
      </c>
      <c r="E6086">
        <v>-1146.0999999999999</v>
      </c>
      <c r="F6086">
        <v>-0.36</v>
      </c>
      <c r="G6086" t="s">
        <v>12</v>
      </c>
      <c r="I6086" t="s">
        <v>13</v>
      </c>
    </row>
    <row r="6087" spans="1:9" hidden="1" x14ac:dyDescent="0.25">
      <c r="A6087" t="s">
        <v>4978</v>
      </c>
      <c r="B6087" t="s">
        <v>5056</v>
      </c>
      <c r="C6087" s="2">
        <f>HYPERLINK("https://cao.dolgi.msk.ru/account/1080050298/", 1080050298)</f>
        <v>1080050298</v>
      </c>
      <c r="D6087" t="s">
        <v>5057</v>
      </c>
      <c r="E6087">
        <v>3330.35</v>
      </c>
      <c r="F6087">
        <v>0.93</v>
      </c>
      <c r="G6087" t="s">
        <v>12</v>
      </c>
      <c r="I6087" t="s">
        <v>13</v>
      </c>
    </row>
    <row r="6088" spans="1:9" hidden="1" x14ac:dyDescent="0.25">
      <c r="A6088" t="s">
        <v>4978</v>
      </c>
      <c r="B6088" t="s">
        <v>686</v>
      </c>
      <c r="C6088" s="2">
        <f>HYPERLINK("https://cao.dolgi.msk.ru/account/1080050319/", 1080050319)</f>
        <v>1080050319</v>
      </c>
      <c r="D6088" t="s">
        <v>5058</v>
      </c>
      <c r="E6088">
        <v>-8374.16</v>
      </c>
      <c r="F6088">
        <v>-1.03</v>
      </c>
      <c r="G6088" t="s">
        <v>12</v>
      </c>
      <c r="I6088" t="s">
        <v>13</v>
      </c>
    </row>
    <row r="6089" spans="1:9" hidden="1" x14ac:dyDescent="0.25">
      <c r="A6089" t="s">
        <v>4978</v>
      </c>
      <c r="B6089" t="s">
        <v>582</v>
      </c>
      <c r="C6089" s="2">
        <f>HYPERLINK("https://cao.dolgi.msk.ru/account/1080050327/", 1080050327)</f>
        <v>1080050327</v>
      </c>
      <c r="D6089" t="s">
        <v>5059</v>
      </c>
      <c r="E6089">
        <v>0</v>
      </c>
      <c r="F6089">
        <v>0</v>
      </c>
      <c r="G6089" t="s">
        <v>12</v>
      </c>
      <c r="I6089" t="s">
        <v>13</v>
      </c>
    </row>
    <row r="6090" spans="1:9" hidden="1" x14ac:dyDescent="0.25">
      <c r="A6090" t="s">
        <v>4978</v>
      </c>
      <c r="B6090" t="s">
        <v>584</v>
      </c>
      <c r="C6090" s="2">
        <f>HYPERLINK("https://cao.dolgi.msk.ru/account/1080050335/", 1080050335)</f>
        <v>1080050335</v>
      </c>
      <c r="D6090" t="s">
        <v>5060</v>
      </c>
      <c r="E6090">
        <v>-5881.46</v>
      </c>
      <c r="F6090">
        <v>-0.95</v>
      </c>
      <c r="G6090" t="s">
        <v>12</v>
      </c>
      <c r="I6090" t="s">
        <v>13</v>
      </c>
    </row>
    <row r="6091" spans="1:9" hidden="1" x14ac:dyDescent="0.25">
      <c r="A6091" t="s">
        <v>4978</v>
      </c>
      <c r="B6091" t="s">
        <v>586</v>
      </c>
      <c r="C6091" s="2">
        <f>HYPERLINK("https://cao.dolgi.msk.ru/account/1080050343/", 1080050343)</f>
        <v>1080050343</v>
      </c>
      <c r="D6091" t="s">
        <v>5061</v>
      </c>
      <c r="E6091">
        <v>27.76</v>
      </c>
      <c r="F6091">
        <v>0</v>
      </c>
      <c r="G6091" t="s">
        <v>12</v>
      </c>
      <c r="I6091" t="s">
        <v>13</v>
      </c>
    </row>
    <row r="6092" spans="1:9" hidden="1" x14ac:dyDescent="0.25">
      <c r="A6092" t="s">
        <v>4978</v>
      </c>
      <c r="B6092" t="s">
        <v>588</v>
      </c>
      <c r="C6092" s="2">
        <f>HYPERLINK("https://cao.dolgi.msk.ru/account/1080050351/", 1080050351)</f>
        <v>1080050351</v>
      </c>
      <c r="D6092" t="s">
        <v>5062</v>
      </c>
      <c r="E6092">
        <v>-5907.56</v>
      </c>
      <c r="F6092">
        <v>-1.01</v>
      </c>
      <c r="G6092" t="s">
        <v>12</v>
      </c>
      <c r="I6092" t="s">
        <v>13</v>
      </c>
    </row>
    <row r="6093" spans="1:9" hidden="1" x14ac:dyDescent="0.25">
      <c r="A6093" t="s">
        <v>4978</v>
      </c>
      <c r="B6093" t="s">
        <v>590</v>
      </c>
      <c r="C6093" s="2">
        <f>HYPERLINK("https://cao.dolgi.msk.ru/account/1080050378/", 1080050378)</f>
        <v>1080050378</v>
      </c>
      <c r="D6093" t="s">
        <v>5063</v>
      </c>
      <c r="E6093">
        <v>945.11</v>
      </c>
      <c r="F6093">
        <v>0.21</v>
      </c>
      <c r="G6093" t="s">
        <v>12</v>
      </c>
      <c r="I6093" t="s">
        <v>13</v>
      </c>
    </row>
    <row r="6094" spans="1:9" hidden="1" x14ac:dyDescent="0.25">
      <c r="A6094" t="s">
        <v>4978</v>
      </c>
      <c r="B6094" t="s">
        <v>693</v>
      </c>
      <c r="C6094" s="2">
        <f>HYPERLINK("https://cao.dolgi.msk.ru/account/1080050386/", 1080050386)</f>
        <v>1080050386</v>
      </c>
      <c r="D6094" t="s">
        <v>5064</v>
      </c>
      <c r="E6094">
        <v>-382.87</v>
      </c>
      <c r="F6094">
        <v>-0.1</v>
      </c>
      <c r="G6094" t="s">
        <v>12</v>
      </c>
      <c r="I6094" t="s">
        <v>13</v>
      </c>
    </row>
    <row r="6095" spans="1:9" hidden="1" x14ac:dyDescent="0.25">
      <c r="A6095" t="s">
        <v>4978</v>
      </c>
      <c r="B6095" t="s">
        <v>694</v>
      </c>
      <c r="C6095" s="2">
        <f>HYPERLINK("https://cao.dolgi.msk.ru/account/1080050407/", 1080050407)</f>
        <v>1080050407</v>
      </c>
      <c r="D6095" t="s">
        <v>5065</v>
      </c>
      <c r="E6095">
        <v>-9502.0400000000009</v>
      </c>
      <c r="F6095">
        <v>-1.59</v>
      </c>
      <c r="G6095" t="s">
        <v>12</v>
      </c>
      <c r="I6095" t="s">
        <v>13</v>
      </c>
    </row>
    <row r="6096" spans="1:9" hidden="1" x14ac:dyDescent="0.25">
      <c r="A6096" t="s">
        <v>4978</v>
      </c>
      <c r="B6096" t="s">
        <v>696</v>
      </c>
      <c r="C6096" s="2">
        <f>HYPERLINK("https://cao.dolgi.msk.ru/account/1080050415/", 1080050415)</f>
        <v>1080050415</v>
      </c>
      <c r="D6096" t="s">
        <v>5066</v>
      </c>
      <c r="E6096">
        <v>-6616.89</v>
      </c>
      <c r="F6096">
        <v>-1.1299999999999999</v>
      </c>
      <c r="G6096" t="s">
        <v>12</v>
      </c>
      <c r="I6096" t="s">
        <v>13</v>
      </c>
    </row>
    <row r="6097" spans="1:9" hidden="1" x14ac:dyDescent="0.25">
      <c r="A6097" t="s">
        <v>5067</v>
      </c>
      <c r="B6097" t="s">
        <v>543</v>
      </c>
      <c r="C6097" s="2">
        <f>HYPERLINK("https://cao.dolgi.msk.ru/account/1080050423/", 1080050423)</f>
        <v>1080050423</v>
      </c>
      <c r="D6097" t="s">
        <v>5068</v>
      </c>
      <c r="E6097">
        <v>-87.04</v>
      </c>
      <c r="G6097" t="s">
        <v>14</v>
      </c>
      <c r="I6097" t="s">
        <v>13</v>
      </c>
    </row>
    <row r="6098" spans="1:9" hidden="1" x14ac:dyDescent="0.25">
      <c r="A6098" t="s">
        <v>5067</v>
      </c>
      <c r="B6098" t="s">
        <v>543</v>
      </c>
      <c r="C6098" s="2">
        <f>HYPERLINK("https://cao.dolgi.msk.ru/account/1083385851/", 1083385851)</f>
        <v>1083385851</v>
      </c>
      <c r="D6098" t="s">
        <v>5068</v>
      </c>
      <c r="E6098">
        <v>-417.33</v>
      </c>
      <c r="F6098">
        <v>-0.03</v>
      </c>
      <c r="G6098" t="s">
        <v>12</v>
      </c>
      <c r="I6098" t="s">
        <v>13</v>
      </c>
    </row>
    <row r="6099" spans="1:9" hidden="1" x14ac:dyDescent="0.25">
      <c r="A6099" t="s">
        <v>5067</v>
      </c>
      <c r="B6099" t="s">
        <v>545</v>
      </c>
      <c r="C6099" s="2">
        <f>HYPERLINK("https://cao.dolgi.msk.ru/account/1080050431/", 1080050431)</f>
        <v>1080050431</v>
      </c>
      <c r="D6099" t="s">
        <v>62</v>
      </c>
      <c r="E6099">
        <v>-1494.17</v>
      </c>
      <c r="G6099" t="s">
        <v>14</v>
      </c>
      <c r="I6099" t="s">
        <v>13</v>
      </c>
    </row>
    <row r="6100" spans="1:9" hidden="1" x14ac:dyDescent="0.25">
      <c r="A6100" t="s">
        <v>5067</v>
      </c>
      <c r="B6100" t="s">
        <v>545</v>
      </c>
      <c r="C6100" s="2">
        <f>HYPERLINK("https://cao.dolgi.msk.ru/account/1083385704/", 1083385704)</f>
        <v>1083385704</v>
      </c>
      <c r="D6100" t="s">
        <v>62</v>
      </c>
      <c r="E6100">
        <v>-6597.87</v>
      </c>
      <c r="F6100">
        <v>-1.04</v>
      </c>
      <c r="G6100" t="s">
        <v>12</v>
      </c>
      <c r="I6100" t="s">
        <v>13</v>
      </c>
    </row>
    <row r="6101" spans="1:9" hidden="1" x14ac:dyDescent="0.25">
      <c r="A6101" t="s">
        <v>5067</v>
      </c>
      <c r="B6101" t="s">
        <v>546</v>
      </c>
      <c r="C6101" s="2">
        <f>HYPERLINK("https://cao.dolgi.msk.ru/account/1080050458/", 1080050458)</f>
        <v>1080050458</v>
      </c>
      <c r="D6101" t="s">
        <v>5069</v>
      </c>
      <c r="E6101">
        <v>-105.44</v>
      </c>
      <c r="G6101" t="s">
        <v>14</v>
      </c>
      <c r="I6101" t="s">
        <v>13</v>
      </c>
    </row>
    <row r="6102" spans="1:9" hidden="1" x14ac:dyDescent="0.25">
      <c r="A6102" t="s">
        <v>5067</v>
      </c>
      <c r="B6102" t="s">
        <v>546</v>
      </c>
      <c r="C6102" s="2">
        <f>HYPERLINK("https://cao.dolgi.msk.ru/account/1083385763/", 1083385763)</f>
        <v>1083385763</v>
      </c>
      <c r="D6102" t="s">
        <v>5069</v>
      </c>
      <c r="E6102">
        <v>-10598.94</v>
      </c>
      <c r="F6102">
        <v>-0.98</v>
      </c>
      <c r="G6102" t="s">
        <v>12</v>
      </c>
      <c r="I6102" t="s">
        <v>13</v>
      </c>
    </row>
    <row r="6103" spans="1:9" hidden="1" x14ac:dyDescent="0.25">
      <c r="A6103" t="s">
        <v>5067</v>
      </c>
      <c r="B6103" t="s">
        <v>548</v>
      </c>
      <c r="C6103" s="2">
        <f>HYPERLINK("https://cao.dolgi.msk.ru/account/1080050466/", 1080050466)</f>
        <v>1080050466</v>
      </c>
      <c r="D6103" t="s">
        <v>5070</v>
      </c>
      <c r="E6103">
        <v>-6815.45</v>
      </c>
      <c r="G6103" t="s">
        <v>14</v>
      </c>
      <c r="I6103" t="s">
        <v>13</v>
      </c>
    </row>
    <row r="6104" spans="1:9" hidden="1" x14ac:dyDescent="0.25">
      <c r="A6104" t="s">
        <v>5067</v>
      </c>
      <c r="B6104" t="s">
        <v>548</v>
      </c>
      <c r="C6104" s="2">
        <f>HYPERLINK("https://cao.dolgi.msk.ru/account/1083385886/", 1083385886)</f>
        <v>1083385886</v>
      </c>
      <c r="D6104" t="s">
        <v>5070</v>
      </c>
      <c r="E6104">
        <v>0</v>
      </c>
      <c r="F6104">
        <v>0</v>
      </c>
      <c r="G6104" t="s">
        <v>12</v>
      </c>
      <c r="I6104" t="s">
        <v>13</v>
      </c>
    </row>
    <row r="6105" spans="1:9" hidden="1" x14ac:dyDescent="0.25">
      <c r="A6105" t="s">
        <v>5067</v>
      </c>
      <c r="B6105" t="s">
        <v>727</v>
      </c>
      <c r="C6105" s="2">
        <f>HYPERLINK("https://cao.dolgi.msk.ru/account/1080050474/", 1080050474)</f>
        <v>1080050474</v>
      </c>
      <c r="D6105" t="s">
        <v>5071</v>
      </c>
      <c r="E6105">
        <v>0</v>
      </c>
      <c r="G6105" t="s">
        <v>14</v>
      </c>
      <c r="I6105" t="s">
        <v>13</v>
      </c>
    </row>
    <row r="6106" spans="1:9" hidden="1" x14ac:dyDescent="0.25">
      <c r="A6106" t="s">
        <v>5067</v>
      </c>
      <c r="B6106" t="s">
        <v>727</v>
      </c>
      <c r="C6106" s="2">
        <f>HYPERLINK("https://cao.dolgi.msk.ru/account/1083385739/", 1083385739)</f>
        <v>1083385739</v>
      </c>
      <c r="D6106" t="s">
        <v>5071</v>
      </c>
      <c r="E6106">
        <v>-9954.44</v>
      </c>
      <c r="F6106">
        <v>-1.04</v>
      </c>
      <c r="G6106" t="s">
        <v>12</v>
      </c>
      <c r="I6106" t="s">
        <v>13</v>
      </c>
    </row>
    <row r="6107" spans="1:9" hidden="1" x14ac:dyDescent="0.25">
      <c r="A6107" t="s">
        <v>5067</v>
      </c>
      <c r="B6107" t="s">
        <v>551</v>
      </c>
      <c r="C6107" s="2">
        <f>HYPERLINK("https://cao.dolgi.msk.ru/account/1080050482/", 1080050482)</f>
        <v>1080050482</v>
      </c>
      <c r="D6107" t="s">
        <v>5072</v>
      </c>
      <c r="E6107">
        <v>-124.97</v>
      </c>
      <c r="G6107" t="s">
        <v>14</v>
      </c>
      <c r="I6107" t="s">
        <v>13</v>
      </c>
    </row>
    <row r="6108" spans="1:9" hidden="1" x14ac:dyDescent="0.25">
      <c r="A6108" t="s">
        <v>5067</v>
      </c>
      <c r="B6108" t="s">
        <v>551</v>
      </c>
      <c r="C6108" s="2">
        <f>HYPERLINK("https://cao.dolgi.msk.ru/account/1083385835/", 1083385835)</f>
        <v>1083385835</v>
      </c>
      <c r="D6108" t="s">
        <v>5072</v>
      </c>
      <c r="E6108">
        <v>-572.64</v>
      </c>
      <c r="F6108">
        <v>-0.05</v>
      </c>
      <c r="G6108" t="s">
        <v>12</v>
      </c>
      <c r="I6108" t="s">
        <v>13</v>
      </c>
    </row>
    <row r="6109" spans="1:9" hidden="1" x14ac:dyDescent="0.25">
      <c r="A6109" t="s">
        <v>5067</v>
      </c>
      <c r="B6109" t="s">
        <v>730</v>
      </c>
      <c r="C6109" s="2">
        <f>HYPERLINK("https://cao.dolgi.msk.ru/account/1080050503/", 1080050503)</f>
        <v>1080050503</v>
      </c>
      <c r="D6109" t="s">
        <v>5073</v>
      </c>
      <c r="E6109">
        <v>2048.6799999999998</v>
      </c>
      <c r="G6109" t="s">
        <v>14</v>
      </c>
      <c r="I6109" t="s">
        <v>13</v>
      </c>
    </row>
    <row r="6110" spans="1:9" x14ac:dyDescent="0.25">
      <c r="A6110" t="s">
        <v>5067</v>
      </c>
      <c r="B6110" t="s">
        <v>730</v>
      </c>
      <c r="C6110" s="2">
        <f>HYPERLINK("https://cao.dolgi.msk.ru/account/1083385747/", 1083385747)</f>
        <v>1083385747</v>
      </c>
      <c r="D6110" t="s">
        <v>5073</v>
      </c>
      <c r="E6110">
        <v>28722.62</v>
      </c>
      <c r="F6110">
        <v>2.12</v>
      </c>
      <c r="G6110" t="s">
        <v>12</v>
      </c>
      <c r="I6110" t="s">
        <v>13</v>
      </c>
    </row>
    <row r="6111" spans="1:9" hidden="1" x14ac:dyDescent="0.25">
      <c r="A6111" t="s">
        <v>5067</v>
      </c>
      <c r="B6111" t="s">
        <v>732</v>
      </c>
      <c r="C6111" s="2">
        <f>HYPERLINK("https://cao.dolgi.msk.ru/account/1080050511/", 1080050511)</f>
        <v>1080050511</v>
      </c>
      <c r="D6111" t="s">
        <v>5074</v>
      </c>
      <c r="E6111">
        <v>247.3</v>
      </c>
      <c r="G6111" t="s">
        <v>14</v>
      </c>
      <c r="I6111" t="s">
        <v>13</v>
      </c>
    </row>
    <row r="6112" spans="1:9" hidden="1" x14ac:dyDescent="0.25">
      <c r="A6112" t="s">
        <v>5067</v>
      </c>
      <c r="B6112" t="s">
        <v>732</v>
      </c>
      <c r="C6112" s="2">
        <f>HYPERLINK("https://cao.dolgi.msk.ru/account/1083385819/", 1083385819)</f>
        <v>1083385819</v>
      </c>
      <c r="D6112" t="s">
        <v>5074</v>
      </c>
      <c r="E6112">
        <v>9100.57</v>
      </c>
      <c r="F6112">
        <v>0.57999999999999996</v>
      </c>
      <c r="G6112" t="s">
        <v>12</v>
      </c>
      <c r="I6112" t="s">
        <v>13</v>
      </c>
    </row>
    <row r="6113" spans="1:9" hidden="1" x14ac:dyDescent="0.25">
      <c r="A6113" t="s">
        <v>5067</v>
      </c>
      <c r="B6113" t="s">
        <v>553</v>
      </c>
      <c r="C6113" s="2">
        <f>HYPERLINK("https://cao.dolgi.msk.ru/account/1080050538/", 1080050538)</f>
        <v>1080050538</v>
      </c>
      <c r="D6113" t="s">
        <v>5075</v>
      </c>
      <c r="E6113">
        <v>8096.65</v>
      </c>
      <c r="G6113" t="s">
        <v>14</v>
      </c>
      <c r="I6113" t="s">
        <v>13</v>
      </c>
    </row>
    <row r="6114" spans="1:9" hidden="1" x14ac:dyDescent="0.25">
      <c r="A6114" t="s">
        <v>5067</v>
      </c>
      <c r="B6114" t="s">
        <v>553</v>
      </c>
      <c r="C6114" s="2">
        <f>HYPERLINK("https://cao.dolgi.msk.ru/account/1083385712/", 1083385712)</f>
        <v>1083385712</v>
      </c>
      <c r="D6114" t="s">
        <v>5076</v>
      </c>
      <c r="E6114">
        <v>0</v>
      </c>
      <c r="F6114">
        <v>0</v>
      </c>
      <c r="G6114" t="s">
        <v>12</v>
      </c>
      <c r="I6114" t="s">
        <v>13</v>
      </c>
    </row>
    <row r="6115" spans="1:9" hidden="1" x14ac:dyDescent="0.25">
      <c r="A6115" t="s">
        <v>5067</v>
      </c>
      <c r="B6115" t="s">
        <v>555</v>
      </c>
      <c r="C6115" s="2">
        <f>HYPERLINK("https://cao.dolgi.msk.ru/account/1080050546/", 1080050546)</f>
        <v>1080050546</v>
      </c>
      <c r="D6115" t="s">
        <v>5077</v>
      </c>
      <c r="E6115">
        <v>0</v>
      </c>
      <c r="G6115" t="s">
        <v>14</v>
      </c>
      <c r="I6115" t="s">
        <v>13</v>
      </c>
    </row>
    <row r="6116" spans="1:9" hidden="1" x14ac:dyDescent="0.25">
      <c r="A6116" t="s">
        <v>5067</v>
      </c>
      <c r="B6116" t="s">
        <v>555</v>
      </c>
      <c r="C6116" s="2">
        <f>HYPERLINK("https://cao.dolgi.msk.ru/account/1083385827/", 1083385827)</f>
        <v>1083385827</v>
      </c>
      <c r="D6116" t="s">
        <v>5077</v>
      </c>
      <c r="E6116">
        <v>-14564.25</v>
      </c>
      <c r="F6116">
        <v>-0.99</v>
      </c>
      <c r="G6116" t="s">
        <v>12</v>
      </c>
      <c r="I6116" t="s">
        <v>13</v>
      </c>
    </row>
    <row r="6117" spans="1:9" hidden="1" x14ac:dyDescent="0.25">
      <c r="A6117" t="s">
        <v>5067</v>
      </c>
      <c r="B6117" t="s">
        <v>5078</v>
      </c>
      <c r="C6117" s="2">
        <f>HYPERLINK("https://cao.dolgi.msk.ru/account/1080050554/", 1080050554)</f>
        <v>1080050554</v>
      </c>
      <c r="D6117" t="s">
        <v>5079</v>
      </c>
      <c r="E6117">
        <v>-1536.4</v>
      </c>
      <c r="G6117" t="s">
        <v>14</v>
      </c>
      <c r="I6117" t="s">
        <v>13</v>
      </c>
    </row>
    <row r="6118" spans="1:9" hidden="1" x14ac:dyDescent="0.25">
      <c r="A6118" t="s">
        <v>5067</v>
      </c>
      <c r="B6118" t="s">
        <v>5078</v>
      </c>
      <c r="C6118" s="2">
        <f>HYPERLINK("https://cao.dolgi.msk.ru/account/1083385771/", 1083385771)</f>
        <v>1083385771</v>
      </c>
      <c r="D6118" t="s">
        <v>5079</v>
      </c>
      <c r="E6118">
        <v>-8130.92</v>
      </c>
      <c r="F6118">
        <v>-0.99</v>
      </c>
      <c r="G6118" t="s">
        <v>12</v>
      </c>
      <c r="I6118" t="s">
        <v>13</v>
      </c>
    </row>
    <row r="6119" spans="1:9" hidden="1" x14ac:dyDescent="0.25">
      <c r="A6119" t="s">
        <v>5067</v>
      </c>
      <c r="B6119" t="s">
        <v>736</v>
      </c>
      <c r="C6119" s="2">
        <f>HYPERLINK("https://cao.dolgi.msk.ru/account/1080050562/", 1080050562)</f>
        <v>1080050562</v>
      </c>
      <c r="D6119" t="s">
        <v>5080</v>
      </c>
      <c r="E6119">
        <v>3091</v>
      </c>
      <c r="G6119" t="s">
        <v>14</v>
      </c>
      <c r="I6119" t="s">
        <v>13</v>
      </c>
    </row>
    <row r="6120" spans="1:9" hidden="1" x14ac:dyDescent="0.25">
      <c r="A6120" t="s">
        <v>5067</v>
      </c>
      <c r="B6120" t="s">
        <v>736</v>
      </c>
      <c r="C6120" s="2">
        <f>HYPERLINK("https://cao.dolgi.msk.ru/account/1083385798/", 1083385798)</f>
        <v>1083385798</v>
      </c>
      <c r="D6120" t="s">
        <v>5080</v>
      </c>
      <c r="E6120">
        <v>-10381.530000000001</v>
      </c>
      <c r="F6120">
        <v>-1.02</v>
      </c>
      <c r="G6120" t="s">
        <v>12</v>
      </c>
      <c r="I6120" t="s">
        <v>13</v>
      </c>
    </row>
    <row r="6121" spans="1:9" hidden="1" x14ac:dyDescent="0.25">
      <c r="A6121" t="s">
        <v>5067</v>
      </c>
      <c r="B6121" t="s">
        <v>738</v>
      </c>
      <c r="C6121" s="2">
        <f>HYPERLINK("https://cao.dolgi.msk.ru/account/1080050589/", 1080050589)</f>
        <v>1080050589</v>
      </c>
      <c r="D6121" t="s">
        <v>5081</v>
      </c>
      <c r="E6121">
        <v>0</v>
      </c>
      <c r="G6121" t="s">
        <v>14</v>
      </c>
      <c r="I6121" t="s">
        <v>13</v>
      </c>
    </row>
    <row r="6122" spans="1:9" hidden="1" x14ac:dyDescent="0.25">
      <c r="A6122" t="s">
        <v>5067</v>
      </c>
      <c r="B6122" t="s">
        <v>738</v>
      </c>
      <c r="C6122" s="2">
        <f>HYPERLINK("https://cao.dolgi.msk.ru/account/1083385894/", 1083385894)</f>
        <v>1083385894</v>
      </c>
      <c r="D6122" t="s">
        <v>5081</v>
      </c>
      <c r="E6122">
        <v>-9771.41</v>
      </c>
      <c r="F6122">
        <v>-1.19</v>
      </c>
      <c r="G6122" t="s">
        <v>12</v>
      </c>
      <c r="I6122" t="s">
        <v>13</v>
      </c>
    </row>
    <row r="6123" spans="1:9" hidden="1" x14ac:dyDescent="0.25">
      <c r="A6123" t="s">
        <v>5067</v>
      </c>
      <c r="B6123" t="s">
        <v>740</v>
      </c>
      <c r="C6123" s="2">
        <f>HYPERLINK("https://cao.dolgi.msk.ru/account/1080050618/", 1080050618)</f>
        <v>1080050618</v>
      </c>
      <c r="D6123" t="s">
        <v>5082</v>
      </c>
      <c r="E6123">
        <v>-48.5</v>
      </c>
      <c r="G6123" t="s">
        <v>14</v>
      </c>
      <c r="I6123" t="s">
        <v>13</v>
      </c>
    </row>
    <row r="6124" spans="1:9" hidden="1" x14ac:dyDescent="0.25">
      <c r="A6124" t="s">
        <v>5067</v>
      </c>
      <c r="B6124" t="s">
        <v>740</v>
      </c>
      <c r="C6124" s="2">
        <f>HYPERLINK("https://cao.dolgi.msk.ru/account/1083385755/", 1083385755)</f>
        <v>1083385755</v>
      </c>
      <c r="D6124" t="s">
        <v>5082</v>
      </c>
      <c r="E6124">
        <v>-10676.15</v>
      </c>
      <c r="F6124">
        <v>-0.98</v>
      </c>
      <c r="G6124" t="s">
        <v>12</v>
      </c>
      <c r="I6124" t="s">
        <v>13</v>
      </c>
    </row>
    <row r="6125" spans="1:9" hidden="1" x14ac:dyDescent="0.25">
      <c r="A6125" t="s">
        <v>5067</v>
      </c>
      <c r="B6125" t="s">
        <v>5083</v>
      </c>
      <c r="C6125" s="2">
        <f>HYPERLINK("https://cao.dolgi.msk.ru/account/1080050597/", 1080050597)</f>
        <v>1080050597</v>
      </c>
      <c r="D6125" t="s">
        <v>5084</v>
      </c>
      <c r="E6125">
        <v>-9250.0300000000007</v>
      </c>
      <c r="G6125" t="s">
        <v>14</v>
      </c>
      <c r="I6125" t="s">
        <v>13</v>
      </c>
    </row>
    <row r="6126" spans="1:9" hidden="1" x14ac:dyDescent="0.25">
      <c r="A6126" t="s">
        <v>5067</v>
      </c>
      <c r="B6126" t="s">
        <v>5083</v>
      </c>
      <c r="C6126" s="2">
        <f>HYPERLINK("https://cao.dolgi.msk.ru/account/1083385878/", 1083385878)</f>
        <v>1083385878</v>
      </c>
      <c r="D6126" t="s">
        <v>5084</v>
      </c>
      <c r="E6126">
        <v>-14997.13</v>
      </c>
      <c r="F6126">
        <v>-1.1000000000000001</v>
      </c>
      <c r="G6126" t="s">
        <v>12</v>
      </c>
      <c r="I6126" t="s">
        <v>13</v>
      </c>
    </row>
    <row r="6127" spans="1:9" hidden="1" x14ac:dyDescent="0.25">
      <c r="A6127" t="s">
        <v>5067</v>
      </c>
      <c r="B6127" t="s">
        <v>742</v>
      </c>
      <c r="C6127" s="2">
        <f>HYPERLINK("https://cao.dolgi.msk.ru/account/1080050626/", 1080050626)</f>
        <v>1080050626</v>
      </c>
      <c r="D6127" t="s">
        <v>5085</v>
      </c>
      <c r="E6127">
        <v>310.39</v>
      </c>
      <c r="G6127" t="s">
        <v>14</v>
      </c>
      <c r="I6127" t="s">
        <v>13</v>
      </c>
    </row>
    <row r="6128" spans="1:9" hidden="1" x14ac:dyDescent="0.25">
      <c r="A6128" t="s">
        <v>5067</v>
      </c>
      <c r="B6128" t="s">
        <v>742</v>
      </c>
      <c r="C6128" s="2">
        <f>HYPERLINK("https://cao.dolgi.msk.ru/account/1083385843/", 1083385843)</f>
        <v>1083385843</v>
      </c>
      <c r="D6128" t="s">
        <v>5085</v>
      </c>
      <c r="E6128">
        <v>0</v>
      </c>
      <c r="F6128">
        <v>0</v>
      </c>
      <c r="G6128" t="s">
        <v>12</v>
      </c>
      <c r="I6128" t="s">
        <v>13</v>
      </c>
    </row>
    <row r="6129" spans="1:7" hidden="1" x14ac:dyDescent="0.25">
      <c r="A6129" t="s">
        <v>5086</v>
      </c>
      <c r="B6129" t="s">
        <v>10</v>
      </c>
      <c r="C6129" s="2">
        <f>HYPERLINK("https://cao.dolgi.msk.ru/account/1080303638/", 1080303638)</f>
        <v>1080303638</v>
      </c>
      <c r="G6129" t="s">
        <v>14</v>
      </c>
    </row>
    <row r="6130" spans="1:7" hidden="1" x14ac:dyDescent="0.25">
      <c r="A6130" t="s">
        <v>5086</v>
      </c>
      <c r="B6130" t="s">
        <v>16</v>
      </c>
      <c r="C6130" s="2">
        <f>HYPERLINK("https://cao.dolgi.msk.ru/account/1080303654/", 1080303654)</f>
        <v>1080303654</v>
      </c>
      <c r="E6130">
        <v>0</v>
      </c>
      <c r="G6130" t="s">
        <v>14</v>
      </c>
    </row>
    <row r="6131" spans="1:7" hidden="1" x14ac:dyDescent="0.25">
      <c r="A6131" t="s">
        <v>5086</v>
      </c>
      <c r="B6131" t="s">
        <v>18</v>
      </c>
      <c r="C6131" s="2">
        <f>HYPERLINK("https://cao.dolgi.msk.ru/account/1080303689/", 1080303689)</f>
        <v>1080303689</v>
      </c>
      <c r="G6131" t="s">
        <v>14</v>
      </c>
    </row>
    <row r="6132" spans="1:7" hidden="1" x14ac:dyDescent="0.25">
      <c r="A6132" t="s">
        <v>5086</v>
      </c>
      <c r="B6132" t="s">
        <v>20</v>
      </c>
      <c r="C6132" s="2">
        <f>HYPERLINK("https://cao.dolgi.msk.ru/account/1080303697/", 1080303697)</f>
        <v>1080303697</v>
      </c>
      <c r="G6132" t="s">
        <v>14</v>
      </c>
    </row>
    <row r="6133" spans="1:7" hidden="1" x14ac:dyDescent="0.25">
      <c r="A6133" t="s">
        <v>5086</v>
      </c>
      <c r="B6133" t="s">
        <v>21</v>
      </c>
      <c r="C6133" s="2">
        <f>HYPERLINK("https://cao.dolgi.msk.ru/account/1080303718/", 1080303718)</f>
        <v>1080303718</v>
      </c>
      <c r="G6133" t="s">
        <v>14</v>
      </c>
    </row>
    <row r="6134" spans="1:7" hidden="1" x14ac:dyDescent="0.25">
      <c r="A6134" t="s">
        <v>5086</v>
      </c>
      <c r="B6134" t="s">
        <v>21</v>
      </c>
      <c r="C6134" s="2">
        <f>HYPERLINK("https://cao.dolgi.msk.ru/account/1080303726/", 1080303726)</f>
        <v>1080303726</v>
      </c>
      <c r="G6134" t="s">
        <v>14</v>
      </c>
    </row>
    <row r="6135" spans="1:7" hidden="1" x14ac:dyDescent="0.25">
      <c r="A6135" t="s">
        <v>5086</v>
      </c>
      <c r="B6135" t="s">
        <v>21</v>
      </c>
      <c r="C6135" s="2">
        <f>HYPERLINK("https://cao.dolgi.msk.ru/account/1080303734/", 1080303734)</f>
        <v>1080303734</v>
      </c>
      <c r="G6135" t="s">
        <v>14</v>
      </c>
    </row>
    <row r="6136" spans="1:7" hidden="1" x14ac:dyDescent="0.25">
      <c r="A6136" t="s">
        <v>5086</v>
      </c>
      <c r="B6136" t="s">
        <v>22</v>
      </c>
      <c r="C6136" s="2">
        <f>HYPERLINK("https://cao.dolgi.msk.ru/account/1080303742/", 1080303742)</f>
        <v>1080303742</v>
      </c>
      <c r="G6136" t="s">
        <v>14</v>
      </c>
    </row>
    <row r="6137" spans="1:7" hidden="1" x14ac:dyDescent="0.25">
      <c r="A6137" t="s">
        <v>5086</v>
      </c>
      <c r="B6137" t="s">
        <v>23</v>
      </c>
      <c r="C6137" s="2">
        <f>HYPERLINK("https://cao.dolgi.msk.ru/account/1080303769/", 1080303769)</f>
        <v>1080303769</v>
      </c>
      <c r="G6137" t="s">
        <v>14</v>
      </c>
    </row>
    <row r="6138" spans="1:7" hidden="1" x14ac:dyDescent="0.25">
      <c r="A6138" t="s">
        <v>5086</v>
      </c>
      <c r="B6138" t="s">
        <v>23</v>
      </c>
      <c r="C6138" s="2">
        <f>HYPERLINK("https://cao.dolgi.msk.ru/account/1080303777/", 1080303777)</f>
        <v>1080303777</v>
      </c>
      <c r="G6138" t="s">
        <v>14</v>
      </c>
    </row>
    <row r="6139" spans="1:7" hidden="1" x14ac:dyDescent="0.25">
      <c r="A6139" t="s">
        <v>5086</v>
      </c>
      <c r="B6139" t="s">
        <v>24</v>
      </c>
      <c r="C6139" s="2">
        <f>HYPERLINK("https://cao.dolgi.msk.ru/account/1080303785/", 1080303785)</f>
        <v>1080303785</v>
      </c>
      <c r="G6139" t="s">
        <v>14</v>
      </c>
    </row>
    <row r="6140" spans="1:7" hidden="1" x14ac:dyDescent="0.25">
      <c r="A6140" t="s">
        <v>5086</v>
      </c>
      <c r="B6140" t="s">
        <v>27</v>
      </c>
      <c r="C6140" s="2">
        <f>HYPERLINK("https://cao.dolgi.msk.ru/account/1080303793/", 1080303793)</f>
        <v>1080303793</v>
      </c>
      <c r="G6140" t="s">
        <v>14</v>
      </c>
    </row>
    <row r="6141" spans="1:7" hidden="1" x14ac:dyDescent="0.25">
      <c r="A6141" t="s">
        <v>5086</v>
      </c>
      <c r="B6141" t="s">
        <v>33</v>
      </c>
      <c r="C6141" s="2">
        <f>HYPERLINK("https://cao.dolgi.msk.ru/account/1080303849/", 1080303849)</f>
        <v>1080303849</v>
      </c>
      <c r="G6141" t="s">
        <v>14</v>
      </c>
    </row>
    <row r="6142" spans="1:7" hidden="1" x14ac:dyDescent="0.25">
      <c r="A6142" t="s">
        <v>5086</v>
      </c>
      <c r="B6142" t="s">
        <v>34</v>
      </c>
      <c r="C6142" s="2">
        <f>HYPERLINK("https://cao.dolgi.msk.ru/account/1080303873/", 1080303873)</f>
        <v>1080303873</v>
      </c>
      <c r="G6142" t="s">
        <v>14</v>
      </c>
    </row>
    <row r="6143" spans="1:7" hidden="1" x14ac:dyDescent="0.25">
      <c r="A6143" t="s">
        <v>5086</v>
      </c>
      <c r="B6143" t="s">
        <v>36</v>
      </c>
      <c r="C6143" s="2">
        <f>HYPERLINK("https://cao.dolgi.msk.ru/account/1080303881/", 1080303881)</f>
        <v>1080303881</v>
      </c>
      <c r="G6143" t="s">
        <v>14</v>
      </c>
    </row>
    <row r="6144" spans="1:7" hidden="1" x14ac:dyDescent="0.25">
      <c r="A6144" t="s">
        <v>5086</v>
      </c>
      <c r="B6144" t="s">
        <v>36</v>
      </c>
      <c r="C6144" s="2">
        <f>HYPERLINK("https://cao.dolgi.msk.ru/account/1080303902/", 1080303902)</f>
        <v>1080303902</v>
      </c>
      <c r="E6144">
        <v>0</v>
      </c>
      <c r="G6144" t="s">
        <v>14</v>
      </c>
    </row>
    <row r="6145" spans="1:7" hidden="1" x14ac:dyDescent="0.25">
      <c r="A6145" t="s">
        <v>5086</v>
      </c>
      <c r="B6145" t="s">
        <v>38</v>
      </c>
      <c r="C6145" s="2">
        <f>HYPERLINK("https://cao.dolgi.msk.ru/account/1080303929/", 1080303929)</f>
        <v>1080303929</v>
      </c>
      <c r="G6145" t="s">
        <v>14</v>
      </c>
    </row>
    <row r="6146" spans="1:7" hidden="1" x14ac:dyDescent="0.25">
      <c r="A6146" t="s">
        <v>5086</v>
      </c>
      <c r="B6146" t="s">
        <v>39</v>
      </c>
      <c r="C6146" s="2">
        <f>HYPERLINK("https://cao.dolgi.msk.ru/account/1080303937/", 1080303937)</f>
        <v>1080303937</v>
      </c>
      <c r="G6146" t="s">
        <v>14</v>
      </c>
    </row>
    <row r="6147" spans="1:7" hidden="1" x14ac:dyDescent="0.25">
      <c r="A6147" t="s">
        <v>5086</v>
      </c>
      <c r="B6147" t="s">
        <v>39</v>
      </c>
      <c r="C6147" s="2">
        <f>HYPERLINK("https://cao.dolgi.msk.ru/account/1080303945/", 1080303945)</f>
        <v>1080303945</v>
      </c>
      <c r="E6147">
        <v>0</v>
      </c>
      <c r="G6147" t="s">
        <v>14</v>
      </c>
    </row>
    <row r="6148" spans="1:7" hidden="1" x14ac:dyDescent="0.25">
      <c r="A6148" t="s">
        <v>5086</v>
      </c>
      <c r="B6148" t="s">
        <v>39</v>
      </c>
      <c r="C6148" s="2">
        <f>HYPERLINK("https://cao.dolgi.msk.ru/account/1080303953/", 1080303953)</f>
        <v>1080303953</v>
      </c>
      <c r="G6148" t="s">
        <v>14</v>
      </c>
    </row>
    <row r="6149" spans="1:7" hidden="1" x14ac:dyDescent="0.25">
      <c r="A6149" t="s">
        <v>5086</v>
      </c>
      <c r="B6149" t="s">
        <v>40</v>
      </c>
      <c r="C6149" s="2">
        <f>HYPERLINK("https://cao.dolgi.msk.ru/account/1080303961/", 1080303961)</f>
        <v>1080303961</v>
      </c>
      <c r="G6149" t="s">
        <v>14</v>
      </c>
    </row>
    <row r="6150" spans="1:7" hidden="1" x14ac:dyDescent="0.25">
      <c r="A6150" t="s">
        <v>5086</v>
      </c>
      <c r="B6150" t="s">
        <v>41</v>
      </c>
      <c r="C6150" s="2">
        <f>HYPERLINK("https://cao.dolgi.msk.ru/account/1080303988/", 1080303988)</f>
        <v>1080303988</v>
      </c>
      <c r="G6150" t="s">
        <v>14</v>
      </c>
    </row>
    <row r="6151" spans="1:7" hidden="1" x14ac:dyDescent="0.25">
      <c r="A6151" t="s">
        <v>5086</v>
      </c>
      <c r="B6151" t="s">
        <v>41</v>
      </c>
      <c r="C6151" s="2">
        <f>HYPERLINK("https://cao.dolgi.msk.ru/account/1080303996/", 1080303996)</f>
        <v>1080303996</v>
      </c>
      <c r="G6151" t="s">
        <v>14</v>
      </c>
    </row>
    <row r="6152" spans="1:7" hidden="1" x14ac:dyDescent="0.25">
      <c r="A6152" t="s">
        <v>5086</v>
      </c>
      <c r="B6152" t="s">
        <v>42</v>
      </c>
      <c r="C6152" s="2">
        <f>HYPERLINK("https://cao.dolgi.msk.ru/account/1080304008/", 1080304008)</f>
        <v>1080304008</v>
      </c>
      <c r="G6152" t="s">
        <v>14</v>
      </c>
    </row>
    <row r="6153" spans="1:7" hidden="1" x14ac:dyDescent="0.25">
      <c r="A6153" t="s">
        <v>5086</v>
      </c>
      <c r="B6153" t="s">
        <v>44</v>
      </c>
      <c r="C6153" s="2">
        <f>HYPERLINK("https://cao.dolgi.msk.ru/account/1080304016/", 1080304016)</f>
        <v>1080304016</v>
      </c>
      <c r="G6153" t="s">
        <v>14</v>
      </c>
    </row>
    <row r="6154" spans="1:7" hidden="1" x14ac:dyDescent="0.25">
      <c r="A6154" t="s">
        <v>5086</v>
      </c>
      <c r="B6154" t="s">
        <v>44</v>
      </c>
      <c r="C6154" s="2">
        <f>HYPERLINK("https://cao.dolgi.msk.ru/account/1080304024/", 1080304024)</f>
        <v>1080304024</v>
      </c>
      <c r="E6154">
        <v>0</v>
      </c>
      <c r="G6154" t="s">
        <v>14</v>
      </c>
    </row>
    <row r="6155" spans="1:7" hidden="1" x14ac:dyDescent="0.25">
      <c r="A6155" t="s">
        <v>5086</v>
      </c>
      <c r="B6155" t="s">
        <v>66</v>
      </c>
      <c r="C6155" s="2">
        <f>HYPERLINK("https://cao.dolgi.msk.ru/account/1080304032/", 1080304032)</f>
        <v>1080304032</v>
      </c>
      <c r="E6155">
        <v>0</v>
      </c>
      <c r="G6155" t="s">
        <v>14</v>
      </c>
    </row>
    <row r="6156" spans="1:7" hidden="1" x14ac:dyDescent="0.25">
      <c r="A6156" t="s">
        <v>5086</v>
      </c>
      <c r="B6156" t="s">
        <v>66</v>
      </c>
      <c r="C6156" s="2">
        <f>HYPERLINK("https://cao.dolgi.msk.ru/account/1080304059/", 1080304059)</f>
        <v>1080304059</v>
      </c>
      <c r="E6156">
        <v>0</v>
      </c>
      <c r="G6156" t="s">
        <v>14</v>
      </c>
    </row>
    <row r="6157" spans="1:7" hidden="1" x14ac:dyDescent="0.25">
      <c r="A6157" t="s">
        <v>5086</v>
      </c>
      <c r="B6157" t="s">
        <v>68</v>
      </c>
      <c r="C6157" s="2">
        <f>HYPERLINK("https://cao.dolgi.msk.ru/account/1080304067/", 1080304067)</f>
        <v>1080304067</v>
      </c>
      <c r="G6157" t="s">
        <v>14</v>
      </c>
    </row>
    <row r="6158" spans="1:7" hidden="1" x14ac:dyDescent="0.25">
      <c r="A6158" t="s">
        <v>5086</v>
      </c>
      <c r="B6158" t="s">
        <v>74</v>
      </c>
      <c r="C6158" s="2">
        <f>HYPERLINK("https://cao.dolgi.msk.ru/account/1080304104/", 1080304104)</f>
        <v>1080304104</v>
      </c>
      <c r="G6158" t="s">
        <v>14</v>
      </c>
    </row>
    <row r="6159" spans="1:7" hidden="1" x14ac:dyDescent="0.25">
      <c r="A6159" t="s">
        <v>5086</v>
      </c>
      <c r="B6159" t="s">
        <v>74</v>
      </c>
      <c r="C6159" s="2">
        <f>HYPERLINK("https://cao.dolgi.msk.ru/account/1080304112/", 1080304112)</f>
        <v>1080304112</v>
      </c>
      <c r="G6159" t="s">
        <v>14</v>
      </c>
    </row>
    <row r="6160" spans="1:7" hidden="1" x14ac:dyDescent="0.25">
      <c r="A6160" t="s">
        <v>5086</v>
      </c>
      <c r="B6160" t="s">
        <v>76</v>
      </c>
      <c r="C6160" s="2">
        <f>HYPERLINK("https://cao.dolgi.msk.ru/account/1080304139/", 1080304139)</f>
        <v>1080304139</v>
      </c>
      <c r="G6160" t="s">
        <v>14</v>
      </c>
    </row>
    <row r="6161" spans="1:9" hidden="1" x14ac:dyDescent="0.25">
      <c r="A6161" t="s">
        <v>5086</v>
      </c>
      <c r="B6161" t="s">
        <v>78</v>
      </c>
      <c r="C6161" s="2">
        <f>HYPERLINK("https://cao.dolgi.msk.ru/account/1080303646/", 1080303646)</f>
        <v>1080303646</v>
      </c>
      <c r="G6161" t="s">
        <v>14</v>
      </c>
    </row>
    <row r="6162" spans="1:9" hidden="1" x14ac:dyDescent="0.25">
      <c r="A6162" t="s">
        <v>5086</v>
      </c>
      <c r="B6162" t="s">
        <v>78</v>
      </c>
      <c r="C6162" s="2">
        <f>HYPERLINK("https://cao.dolgi.msk.ru/account/1080303662/", 1080303662)</f>
        <v>1080303662</v>
      </c>
      <c r="G6162" t="s">
        <v>14</v>
      </c>
    </row>
    <row r="6163" spans="1:9" hidden="1" x14ac:dyDescent="0.25">
      <c r="A6163" t="s">
        <v>5086</v>
      </c>
      <c r="B6163" t="s">
        <v>80</v>
      </c>
      <c r="C6163" s="2">
        <f>HYPERLINK("https://cao.dolgi.msk.ru/account/1080304147/", 1080304147)</f>
        <v>1080304147</v>
      </c>
      <c r="G6163" t="s">
        <v>14</v>
      </c>
    </row>
    <row r="6164" spans="1:9" hidden="1" x14ac:dyDescent="0.25">
      <c r="A6164" t="s">
        <v>5086</v>
      </c>
      <c r="B6164" t="s">
        <v>80</v>
      </c>
      <c r="C6164" s="2">
        <f>HYPERLINK("https://cao.dolgi.msk.ru/account/1080304155/", 1080304155)</f>
        <v>1080304155</v>
      </c>
      <c r="G6164" t="s">
        <v>14</v>
      </c>
    </row>
    <row r="6165" spans="1:9" hidden="1" x14ac:dyDescent="0.25">
      <c r="A6165" t="s">
        <v>5086</v>
      </c>
      <c r="B6165" t="s">
        <v>80</v>
      </c>
      <c r="C6165" s="2">
        <f>HYPERLINK("https://cao.dolgi.msk.ru/account/1080304163/", 1080304163)</f>
        <v>1080304163</v>
      </c>
      <c r="G6165" t="s">
        <v>14</v>
      </c>
    </row>
    <row r="6166" spans="1:9" hidden="1" x14ac:dyDescent="0.25">
      <c r="A6166" t="s">
        <v>5086</v>
      </c>
      <c r="B6166" t="s">
        <v>82</v>
      </c>
      <c r="C6166" s="2">
        <f>HYPERLINK("https://cao.dolgi.msk.ru/account/1080304171/", 1080304171)</f>
        <v>1080304171</v>
      </c>
      <c r="G6166" t="s">
        <v>14</v>
      </c>
    </row>
    <row r="6167" spans="1:9" hidden="1" x14ac:dyDescent="0.25">
      <c r="A6167" t="s">
        <v>5086</v>
      </c>
      <c r="B6167" t="s">
        <v>84</v>
      </c>
      <c r="C6167" s="2">
        <f>HYPERLINK("https://cao.dolgi.msk.ru/account/1080304198/", 1080304198)</f>
        <v>1080304198</v>
      </c>
      <c r="G6167" t="s">
        <v>14</v>
      </c>
    </row>
    <row r="6168" spans="1:9" hidden="1" x14ac:dyDescent="0.25">
      <c r="A6168" t="s">
        <v>5086</v>
      </c>
      <c r="B6168" t="s">
        <v>84</v>
      </c>
      <c r="C6168" s="2">
        <f>HYPERLINK("https://cao.dolgi.msk.ru/account/1080304219/", 1080304219)</f>
        <v>1080304219</v>
      </c>
      <c r="G6168" t="s">
        <v>14</v>
      </c>
    </row>
    <row r="6169" spans="1:9" hidden="1" x14ac:dyDescent="0.25">
      <c r="A6169" t="s">
        <v>5086</v>
      </c>
      <c r="B6169" t="s">
        <v>86</v>
      </c>
      <c r="C6169" s="2">
        <f>HYPERLINK("https://cao.dolgi.msk.ru/account/1080304227/", 1080304227)</f>
        <v>1080304227</v>
      </c>
      <c r="G6169" t="s">
        <v>14</v>
      </c>
    </row>
    <row r="6170" spans="1:9" hidden="1" x14ac:dyDescent="0.25">
      <c r="A6170" t="s">
        <v>5086</v>
      </c>
      <c r="B6170" t="s">
        <v>88</v>
      </c>
      <c r="C6170" s="2">
        <f>HYPERLINK("https://cao.dolgi.msk.ru/account/1080304235/", 1080304235)</f>
        <v>1080304235</v>
      </c>
      <c r="G6170" t="s">
        <v>14</v>
      </c>
    </row>
    <row r="6171" spans="1:9" hidden="1" x14ac:dyDescent="0.25">
      <c r="A6171" t="s">
        <v>5087</v>
      </c>
      <c r="B6171" t="s">
        <v>16</v>
      </c>
      <c r="C6171" s="2">
        <f>HYPERLINK("https://cao.dolgi.msk.ru/account/1080126846/", 1080126846)</f>
        <v>1080126846</v>
      </c>
      <c r="D6171" t="s">
        <v>5088</v>
      </c>
      <c r="E6171">
        <v>-4764.08</v>
      </c>
      <c r="F6171">
        <v>-0.94</v>
      </c>
      <c r="G6171" t="s">
        <v>12</v>
      </c>
      <c r="I6171" t="s">
        <v>2409</v>
      </c>
    </row>
    <row r="6172" spans="1:9" hidden="1" x14ac:dyDescent="0.25">
      <c r="A6172" t="s">
        <v>5087</v>
      </c>
      <c r="B6172" t="s">
        <v>18</v>
      </c>
      <c r="C6172" s="2">
        <f>HYPERLINK("https://cao.dolgi.msk.ru/account/1080126854/", 1080126854)</f>
        <v>1080126854</v>
      </c>
      <c r="D6172" t="s">
        <v>5089</v>
      </c>
      <c r="E6172">
        <v>16.47</v>
      </c>
      <c r="F6172">
        <v>0</v>
      </c>
      <c r="G6172" t="s">
        <v>12</v>
      </c>
      <c r="I6172" t="s">
        <v>2409</v>
      </c>
    </row>
    <row r="6173" spans="1:9" hidden="1" x14ac:dyDescent="0.25">
      <c r="A6173" t="s">
        <v>5087</v>
      </c>
      <c r="B6173" t="s">
        <v>20</v>
      </c>
      <c r="C6173" s="2">
        <f>HYPERLINK("https://cao.dolgi.msk.ru/account/1080126862/", 1080126862)</f>
        <v>1080126862</v>
      </c>
      <c r="D6173" t="s">
        <v>5090</v>
      </c>
      <c r="E6173">
        <v>-13285.77</v>
      </c>
      <c r="F6173">
        <v>-1.05</v>
      </c>
      <c r="G6173" t="s">
        <v>12</v>
      </c>
      <c r="I6173" t="s">
        <v>2409</v>
      </c>
    </row>
    <row r="6174" spans="1:9" hidden="1" x14ac:dyDescent="0.25">
      <c r="A6174" t="s">
        <v>5087</v>
      </c>
      <c r="B6174" t="s">
        <v>21</v>
      </c>
      <c r="C6174" s="2">
        <f>HYPERLINK("https://cao.dolgi.msk.ru/account/1080126889/", 1080126889)</f>
        <v>1080126889</v>
      </c>
      <c r="D6174" t="s">
        <v>5091</v>
      </c>
      <c r="E6174">
        <v>-3547.93</v>
      </c>
      <c r="F6174">
        <v>-1.08</v>
      </c>
      <c r="G6174" t="s">
        <v>12</v>
      </c>
      <c r="I6174" t="s">
        <v>2409</v>
      </c>
    </row>
    <row r="6175" spans="1:9" hidden="1" x14ac:dyDescent="0.25">
      <c r="A6175" t="s">
        <v>5087</v>
      </c>
      <c r="B6175" t="s">
        <v>22</v>
      </c>
      <c r="C6175" s="2">
        <f>HYPERLINK("https://cao.dolgi.msk.ru/account/1080126897/", 1080126897)</f>
        <v>1080126897</v>
      </c>
      <c r="D6175" t="s">
        <v>5092</v>
      </c>
      <c r="E6175">
        <v>-6716.15</v>
      </c>
      <c r="F6175">
        <v>-1.1100000000000001</v>
      </c>
      <c r="G6175" t="s">
        <v>12</v>
      </c>
      <c r="I6175" t="s">
        <v>2409</v>
      </c>
    </row>
    <row r="6176" spans="1:9" hidden="1" x14ac:dyDescent="0.25">
      <c r="A6176" t="s">
        <v>5087</v>
      </c>
      <c r="B6176" t="s">
        <v>23</v>
      </c>
      <c r="C6176" s="2">
        <f>HYPERLINK("https://cao.dolgi.msk.ru/account/1080126918/", 1080126918)</f>
        <v>1080126918</v>
      </c>
      <c r="D6176" t="s">
        <v>5093</v>
      </c>
      <c r="E6176">
        <v>-2284.6</v>
      </c>
      <c r="F6176">
        <v>-1.1599999999999999</v>
      </c>
      <c r="G6176" t="s">
        <v>12</v>
      </c>
      <c r="I6176" t="s">
        <v>2409</v>
      </c>
    </row>
    <row r="6177" spans="1:9" hidden="1" x14ac:dyDescent="0.25">
      <c r="A6177" t="s">
        <v>5087</v>
      </c>
      <c r="B6177" t="s">
        <v>24</v>
      </c>
      <c r="C6177" s="2">
        <f>HYPERLINK("https://cao.dolgi.msk.ru/account/1080126926/", 1080126926)</f>
        <v>1080126926</v>
      </c>
      <c r="D6177" t="s">
        <v>5094</v>
      </c>
      <c r="E6177">
        <v>-4904.45</v>
      </c>
      <c r="F6177">
        <v>-1.0900000000000001</v>
      </c>
      <c r="G6177" t="s">
        <v>12</v>
      </c>
      <c r="I6177" t="s">
        <v>2409</v>
      </c>
    </row>
    <row r="6178" spans="1:9" x14ac:dyDescent="0.25">
      <c r="A6178" t="s">
        <v>5087</v>
      </c>
      <c r="B6178" t="s">
        <v>27</v>
      </c>
      <c r="C6178" s="2">
        <f>HYPERLINK("https://cao.dolgi.msk.ru/account/1080126934/", 1080126934)</f>
        <v>1080126934</v>
      </c>
      <c r="D6178" t="s">
        <v>5095</v>
      </c>
      <c r="E6178">
        <v>11778.46</v>
      </c>
      <c r="F6178">
        <v>2.0699999999999998</v>
      </c>
      <c r="G6178" t="s">
        <v>12</v>
      </c>
      <c r="I6178" t="s">
        <v>2409</v>
      </c>
    </row>
    <row r="6179" spans="1:9" hidden="1" x14ac:dyDescent="0.25">
      <c r="A6179" t="s">
        <v>5087</v>
      </c>
      <c r="B6179" t="s">
        <v>29</v>
      </c>
      <c r="C6179" s="2">
        <f>HYPERLINK("https://cao.dolgi.msk.ru/account/1080126942/", 1080126942)</f>
        <v>1080126942</v>
      </c>
      <c r="D6179" t="s">
        <v>5096</v>
      </c>
      <c r="E6179">
        <v>-4778.0200000000004</v>
      </c>
      <c r="F6179">
        <v>-1.0900000000000001</v>
      </c>
      <c r="G6179" t="s">
        <v>12</v>
      </c>
      <c r="I6179" t="s">
        <v>2409</v>
      </c>
    </row>
    <row r="6180" spans="1:9" hidden="1" x14ac:dyDescent="0.25">
      <c r="A6180" t="s">
        <v>5087</v>
      </c>
      <c r="B6180" t="s">
        <v>31</v>
      </c>
      <c r="C6180" s="2">
        <f>HYPERLINK("https://cao.dolgi.msk.ru/account/1080126969/", 1080126969)</f>
        <v>1080126969</v>
      </c>
      <c r="D6180" t="s">
        <v>5097</v>
      </c>
      <c r="E6180">
        <v>-9423.35</v>
      </c>
      <c r="F6180">
        <v>-1.1100000000000001</v>
      </c>
      <c r="G6180" t="s">
        <v>12</v>
      </c>
      <c r="I6180" t="s">
        <v>2409</v>
      </c>
    </row>
    <row r="6181" spans="1:9" hidden="1" x14ac:dyDescent="0.25">
      <c r="A6181" t="s">
        <v>5087</v>
      </c>
      <c r="B6181" t="s">
        <v>33</v>
      </c>
      <c r="C6181" s="2">
        <f>HYPERLINK("https://cao.dolgi.msk.ru/account/1080126977/", 1080126977)</f>
        <v>1080126977</v>
      </c>
      <c r="D6181" t="s">
        <v>5098</v>
      </c>
      <c r="E6181">
        <v>-8689.14</v>
      </c>
      <c r="F6181">
        <v>-1.03</v>
      </c>
      <c r="G6181" t="s">
        <v>12</v>
      </c>
      <c r="I6181" t="s">
        <v>2409</v>
      </c>
    </row>
    <row r="6182" spans="1:9" hidden="1" x14ac:dyDescent="0.25">
      <c r="A6182" t="s">
        <v>5087</v>
      </c>
      <c r="B6182" t="s">
        <v>34</v>
      </c>
      <c r="C6182" s="2">
        <f>HYPERLINK("https://cao.dolgi.msk.ru/account/1080126985/", 1080126985)</f>
        <v>1080126985</v>
      </c>
      <c r="D6182" t="s">
        <v>5099</v>
      </c>
      <c r="E6182">
        <v>-4167.67</v>
      </c>
      <c r="F6182">
        <v>-1.3</v>
      </c>
      <c r="G6182" t="s">
        <v>12</v>
      </c>
      <c r="I6182" t="s">
        <v>2409</v>
      </c>
    </row>
    <row r="6183" spans="1:9" hidden="1" x14ac:dyDescent="0.25">
      <c r="A6183" t="s">
        <v>5087</v>
      </c>
      <c r="B6183" t="s">
        <v>36</v>
      </c>
      <c r="C6183" s="2">
        <f>HYPERLINK("https://cao.dolgi.msk.ru/account/1080126993/", 1080126993)</f>
        <v>1080126993</v>
      </c>
      <c r="D6183" t="s">
        <v>5100</v>
      </c>
      <c r="E6183">
        <v>-2942</v>
      </c>
      <c r="F6183">
        <v>-1.1000000000000001</v>
      </c>
      <c r="G6183" t="s">
        <v>12</v>
      </c>
      <c r="I6183" t="s">
        <v>2409</v>
      </c>
    </row>
    <row r="6184" spans="1:9" hidden="1" x14ac:dyDescent="0.25">
      <c r="A6184" t="s">
        <v>5087</v>
      </c>
      <c r="B6184" t="s">
        <v>38</v>
      </c>
      <c r="C6184" s="2">
        <f>HYPERLINK("https://cao.dolgi.msk.ru/account/1080127005/", 1080127005)</f>
        <v>1080127005</v>
      </c>
      <c r="D6184" t="s">
        <v>5101</v>
      </c>
      <c r="E6184">
        <v>-9.6999999999999993</v>
      </c>
      <c r="F6184">
        <v>0</v>
      </c>
      <c r="G6184" t="s">
        <v>12</v>
      </c>
      <c r="I6184" t="s">
        <v>2409</v>
      </c>
    </row>
    <row r="6185" spans="1:9" hidden="1" x14ac:dyDescent="0.25">
      <c r="A6185" t="s">
        <v>5087</v>
      </c>
      <c r="B6185" t="s">
        <v>39</v>
      </c>
      <c r="C6185" s="2">
        <f>HYPERLINK("https://cao.dolgi.msk.ru/account/1080127013/", 1080127013)</f>
        <v>1080127013</v>
      </c>
      <c r="D6185" t="s">
        <v>5102</v>
      </c>
      <c r="E6185">
        <v>-3743.75</v>
      </c>
      <c r="F6185">
        <v>-1.1299999999999999</v>
      </c>
      <c r="G6185" t="s">
        <v>12</v>
      </c>
      <c r="I6185" t="s">
        <v>2409</v>
      </c>
    </row>
    <row r="6186" spans="1:9" hidden="1" x14ac:dyDescent="0.25">
      <c r="A6186" t="s">
        <v>5087</v>
      </c>
      <c r="B6186" t="s">
        <v>40</v>
      </c>
      <c r="C6186" s="2">
        <f>HYPERLINK("https://cao.dolgi.msk.ru/account/1080127021/", 1080127021)</f>
        <v>1080127021</v>
      </c>
      <c r="D6186" t="s">
        <v>5103</v>
      </c>
      <c r="E6186">
        <v>-5731.08</v>
      </c>
      <c r="F6186">
        <v>-1.1299999999999999</v>
      </c>
      <c r="G6186" t="s">
        <v>12</v>
      </c>
      <c r="I6186" t="s">
        <v>2409</v>
      </c>
    </row>
    <row r="6187" spans="1:9" hidden="1" x14ac:dyDescent="0.25">
      <c r="A6187" t="s">
        <v>5087</v>
      </c>
      <c r="B6187" t="s">
        <v>41</v>
      </c>
      <c r="C6187" s="2">
        <f>HYPERLINK("https://cao.dolgi.msk.ru/account/1080127048/", 1080127048)</f>
        <v>1080127048</v>
      </c>
      <c r="D6187" t="s">
        <v>5104</v>
      </c>
      <c r="E6187">
        <v>-4212.8900000000003</v>
      </c>
      <c r="F6187">
        <v>-1.1100000000000001</v>
      </c>
      <c r="G6187" t="s">
        <v>12</v>
      </c>
      <c r="I6187" t="s">
        <v>2409</v>
      </c>
    </row>
    <row r="6188" spans="1:9" hidden="1" x14ac:dyDescent="0.25">
      <c r="A6188" t="s">
        <v>5087</v>
      </c>
      <c r="B6188" t="s">
        <v>42</v>
      </c>
      <c r="C6188" s="2">
        <f>HYPERLINK("https://cao.dolgi.msk.ru/account/1080127056/", 1080127056)</f>
        <v>1080127056</v>
      </c>
      <c r="D6188" t="s">
        <v>5105</v>
      </c>
      <c r="E6188">
        <v>-6818.43</v>
      </c>
      <c r="F6188">
        <v>-1.29</v>
      </c>
      <c r="G6188" t="s">
        <v>12</v>
      </c>
      <c r="I6188" t="s">
        <v>2409</v>
      </c>
    </row>
    <row r="6189" spans="1:9" hidden="1" x14ac:dyDescent="0.25">
      <c r="A6189" t="s">
        <v>5087</v>
      </c>
      <c r="B6189" t="s">
        <v>44</v>
      </c>
      <c r="C6189" s="2">
        <f>HYPERLINK("https://cao.dolgi.msk.ru/account/1080127064/", 1080127064)</f>
        <v>1080127064</v>
      </c>
      <c r="D6189" t="s">
        <v>5106</v>
      </c>
      <c r="E6189">
        <v>-5040.71</v>
      </c>
      <c r="F6189">
        <v>-1.1399999999999999</v>
      </c>
      <c r="G6189" t="s">
        <v>12</v>
      </c>
      <c r="I6189" t="s">
        <v>2409</v>
      </c>
    </row>
    <row r="6190" spans="1:9" hidden="1" x14ac:dyDescent="0.25">
      <c r="A6190" t="s">
        <v>5087</v>
      </c>
      <c r="B6190" t="s">
        <v>66</v>
      </c>
      <c r="C6190" s="2">
        <f>HYPERLINK("https://cao.dolgi.msk.ru/account/1080127072/", 1080127072)</f>
        <v>1080127072</v>
      </c>
      <c r="D6190" t="s">
        <v>5107</v>
      </c>
      <c r="E6190">
        <v>-3919.61</v>
      </c>
      <c r="F6190">
        <v>-1.0900000000000001</v>
      </c>
      <c r="G6190" t="s">
        <v>12</v>
      </c>
      <c r="I6190" t="s">
        <v>2409</v>
      </c>
    </row>
    <row r="6191" spans="1:9" hidden="1" x14ac:dyDescent="0.25">
      <c r="A6191" t="s">
        <v>5087</v>
      </c>
      <c r="B6191" t="s">
        <v>68</v>
      </c>
      <c r="C6191" s="2">
        <f>HYPERLINK("https://cao.dolgi.msk.ru/account/1080127099/", 1080127099)</f>
        <v>1080127099</v>
      </c>
      <c r="D6191" t="s">
        <v>5108</v>
      </c>
      <c r="E6191">
        <v>-4450.6899999999996</v>
      </c>
      <c r="F6191">
        <v>-0.79</v>
      </c>
      <c r="G6191" t="s">
        <v>12</v>
      </c>
      <c r="I6191" t="s">
        <v>2409</v>
      </c>
    </row>
    <row r="6192" spans="1:9" hidden="1" x14ac:dyDescent="0.25">
      <c r="A6192" t="s">
        <v>5087</v>
      </c>
      <c r="B6192" t="s">
        <v>70</v>
      </c>
      <c r="C6192" s="2">
        <f>HYPERLINK("https://cao.dolgi.msk.ru/account/1080127101/", 1080127101)</f>
        <v>1080127101</v>
      </c>
      <c r="D6192" t="s">
        <v>5109</v>
      </c>
      <c r="E6192">
        <v>4719.62</v>
      </c>
      <c r="F6192">
        <v>0.88</v>
      </c>
      <c r="G6192" t="s">
        <v>12</v>
      </c>
      <c r="I6192" t="s">
        <v>2409</v>
      </c>
    </row>
    <row r="6193" spans="1:9" hidden="1" x14ac:dyDescent="0.25">
      <c r="A6193" t="s">
        <v>5087</v>
      </c>
      <c r="B6193" t="s">
        <v>72</v>
      </c>
      <c r="C6193" s="2">
        <f>HYPERLINK("https://cao.dolgi.msk.ru/account/1080127128/", 1080127128)</f>
        <v>1080127128</v>
      </c>
      <c r="D6193" t="s">
        <v>5110</v>
      </c>
      <c r="E6193">
        <v>2149.3200000000002</v>
      </c>
      <c r="F6193">
        <v>0.65</v>
      </c>
      <c r="G6193" t="s">
        <v>12</v>
      </c>
      <c r="I6193" t="s">
        <v>2409</v>
      </c>
    </row>
    <row r="6194" spans="1:9" x14ac:dyDescent="0.25">
      <c r="A6194" t="s">
        <v>5087</v>
      </c>
      <c r="B6194" t="s">
        <v>74</v>
      </c>
      <c r="C6194" s="2">
        <f>HYPERLINK("https://cao.dolgi.msk.ru/account/1080127136/", 1080127136)</f>
        <v>1080127136</v>
      </c>
      <c r="D6194" t="s">
        <v>5111</v>
      </c>
      <c r="E6194">
        <v>3648.4</v>
      </c>
      <c r="F6194">
        <v>1.32</v>
      </c>
      <c r="G6194" t="s">
        <v>12</v>
      </c>
      <c r="I6194" t="s">
        <v>2409</v>
      </c>
    </row>
    <row r="6195" spans="1:9" hidden="1" x14ac:dyDescent="0.25">
      <c r="A6195" t="s">
        <v>5087</v>
      </c>
      <c r="B6195" t="s">
        <v>76</v>
      </c>
      <c r="C6195" s="2">
        <f>HYPERLINK("https://cao.dolgi.msk.ru/account/1080127144/", 1080127144)</f>
        <v>1080127144</v>
      </c>
      <c r="D6195" t="s">
        <v>5112</v>
      </c>
      <c r="E6195">
        <v>-7059.4</v>
      </c>
      <c r="F6195">
        <v>-1.47</v>
      </c>
      <c r="G6195" t="s">
        <v>12</v>
      </c>
      <c r="I6195" t="s">
        <v>2409</v>
      </c>
    </row>
    <row r="6196" spans="1:9" hidden="1" x14ac:dyDescent="0.25">
      <c r="A6196" t="s">
        <v>5087</v>
      </c>
      <c r="B6196" t="s">
        <v>78</v>
      </c>
      <c r="C6196" s="2">
        <f>HYPERLINK("https://cao.dolgi.msk.ru/account/1080127152/", 1080127152)</f>
        <v>1080127152</v>
      </c>
      <c r="D6196" t="s">
        <v>5113</v>
      </c>
      <c r="E6196">
        <v>-7332.74</v>
      </c>
      <c r="F6196">
        <v>-1.28</v>
      </c>
      <c r="G6196" t="s">
        <v>12</v>
      </c>
      <c r="I6196" t="s">
        <v>2409</v>
      </c>
    </row>
    <row r="6197" spans="1:9" x14ac:dyDescent="0.25">
      <c r="A6197" t="s">
        <v>5087</v>
      </c>
      <c r="B6197" t="s">
        <v>80</v>
      </c>
      <c r="C6197" s="2">
        <f>HYPERLINK("https://cao.dolgi.msk.ru/account/1080127179/", 1080127179)</f>
        <v>1080127179</v>
      </c>
      <c r="D6197" t="s">
        <v>5114</v>
      </c>
      <c r="E6197">
        <v>4514</v>
      </c>
      <c r="F6197">
        <v>1.02</v>
      </c>
      <c r="G6197" t="s">
        <v>12</v>
      </c>
      <c r="I6197" t="s">
        <v>2409</v>
      </c>
    </row>
    <row r="6198" spans="1:9" hidden="1" x14ac:dyDescent="0.25">
      <c r="A6198" t="s">
        <v>5087</v>
      </c>
      <c r="B6198" t="s">
        <v>82</v>
      </c>
      <c r="C6198" s="2">
        <f>HYPERLINK("https://cao.dolgi.msk.ru/account/1080127187/", 1080127187)</f>
        <v>1080127187</v>
      </c>
      <c r="D6198" t="s">
        <v>5115</v>
      </c>
      <c r="E6198">
        <v>-2173.66</v>
      </c>
      <c r="F6198">
        <v>-1.04</v>
      </c>
      <c r="G6198" t="s">
        <v>12</v>
      </c>
      <c r="I6198" t="s">
        <v>2409</v>
      </c>
    </row>
    <row r="6199" spans="1:9" hidden="1" x14ac:dyDescent="0.25">
      <c r="A6199" t="s">
        <v>5087</v>
      </c>
      <c r="B6199" t="s">
        <v>84</v>
      </c>
      <c r="C6199" s="2">
        <f>HYPERLINK("https://cao.dolgi.msk.ru/account/1080127195/", 1080127195)</f>
        <v>1080127195</v>
      </c>
      <c r="D6199" t="s">
        <v>5116</v>
      </c>
      <c r="E6199">
        <v>-5269.86</v>
      </c>
      <c r="F6199">
        <v>-1.1299999999999999</v>
      </c>
      <c r="G6199" t="s">
        <v>12</v>
      </c>
      <c r="I6199" t="s">
        <v>2409</v>
      </c>
    </row>
    <row r="6200" spans="1:9" hidden="1" x14ac:dyDescent="0.25">
      <c r="A6200" t="s">
        <v>5087</v>
      </c>
      <c r="B6200" t="s">
        <v>86</v>
      </c>
      <c r="C6200" s="2">
        <f>HYPERLINK("https://cao.dolgi.msk.ru/account/1080127208/", 1080127208)</f>
        <v>1080127208</v>
      </c>
      <c r="D6200" t="s">
        <v>15</v>
      </c>
      <c r="E6200">
        <v>-89.17</v>
      </c>
      <c r="F6200">
        <v>-0.01</v>
      </c>
      <c r="G6200" t="s">
        <v>12</v>
      </c>
      <c r="I6200" t="s">
        <v>2409</v>
      </c>
    </row>
    <row r="6201" spans="1:9" hidden="1" x14ac:dyDescent="0.25">
      <c r="A6201" t="s">
        <v>5087</v>
      </c>
      <c r="B6201" t="s">
        <v>88</v>
      </c>
      <c r="C6201" s="2">
        <f>HYPERLINK("https://cao.dolgi.msk.ru/account/1080127718/", 1080127718)</f>
        <v>1080127718</v>
      </c>
      <c r="D6201" t="s">
        <v>5117</v>
      </c>
      <c r="E6201">
        <v>-5707.09</v>
      </c>
      <c r="F6201">
        <v>-1.04</v>
      </c>
      <c r="G6201" t="s">
        <v>12</v>
      </c>
      <c r="I6201" t="s">
        <v>2409</v>
      </c>
    </row>
    <row r="6202" spans="1:9" hidden="1" x14ac:dyDescent="0.25">
      <c r="A6202" t="s">
        <v>5087</v>
      </c>
      <c r="B6202" t="s">
        <v>90</v>
      </c>
      <c r="C6202" s="2">
        <f>HYPERLINK("https://cao.dolgi.msk.ru/account/1080127216/", 1080127216)</f>
        <v>1080127216</v>
      </c>
      <c r="D6202" t="s">
        <v>5118</v>
      </c>
      <c r="E6202">
        <v>-77.88</v>
      </c>
      <c r="F6202">
        <v>-0.02</v>
      </c>
      <c r="G6202" t="s">
        <v>12</v>
      </c>
      <c r="I6202" t="s">
        <v>2409</v>
      </c>
    </row>
    <row r="6203" spans="1:9" hidden="1" x14ac:dyDescent="0.25">
      <c r="A6203" t="s">
        <v>5087</v>
      </c>
      <c r="B6203" t="s">
        <v>92</v>
      </c>
      <c r="C6203" s="2">
        <f>HYPERLINK("https://cao.dolgi.msk.ru/account/1080127224/", 1080127224)</f>
        <v>1080127224</v>
      </c>
      <c r="D6203" t="s">
        <v>5119</v>
      </c>
      <c r="E6203">
        <v>-633.91</v>
      </c>
      <c r="F6203">
        <v>-0.1</v>
      </c>
      <c r="G6203" t="s">
        <v>12</v>
      </c>
      <c r="I6203" t="s">
        <v>2409</v>
      </c>
    </row>
    <row r="6204" spans="1:9" hidden="1" x14ac:dyDescent="0.25">
      <c r="A6204" t="s">
        <v>5087</v>
      </c>
      <c r="B6204" t="s">
        <v>94</v>
      </c>
      <c r="C6204" s="2">
        <f>HYPERLINK("https://cao.dolgi.msk.ru/account/1080127232/", 1080127232)</f>
        <v>1080127232</v>
      </c>
      <c r="D6204" t="s">
        <v>5120</v>
      </c>
      <c r="E6204">
        <v>-4844.8599999999997</v>
      </c>
      <c r="F6204">
        <v>-1.24</v>
      </c>
      <c r="G6204" t="s">
        <v>12</v>
      </c>
      <c r="I6204" t="s">
        <v>2409</v>
      </c>
    </row>
    <row r="6205" spans="1:9" hidden="1" x14ac:dyDescent="0.25">
      <c r="A6205" t="s">
        <v>5087</v>
      </c>
      <c r="B6205" t="s">
        <v>96</v>
      </c>
      <c r="C6205" s="2">
        <f>HYPERLINK("https://cao.dolgi.msk.ru/account/1080127259/", 1080127259)</f>
        <v>1080127259</v>
      </c>
      <c r="D6205" t="s">
        <v>5121</v>
      </c>
      <c r="E6205">
        <v>-3370.07</v>
      </c>
      <c r="F6205">
        <v>-1.1100000000000001</v>
      </c>
      <c r="G6205" t="s">
        <v>12</v>
      </c>
      <c r="I6205" t="s">
        <v>2409</v>
      </c>
    </row>
    <row r="6206" spans="1:9" hidden="1" x14ac:dyDescent="0.25">
      <c r="A6206" t="s">
        <v>5087</v>
      </c>
      <c r="B6206" t="s">
        <v>98</v>
      </c>
      <c r="C6206" s="2">
        <f>HYPERLINK("https://cao.dolgi.msk.ru/account/1080127267/", 1080127267)</f>
        <v>1080127267</v>
      </c>
      <c r="D6206" t="s">
        <v>5122</v>
      </c>
      <c r="E6206">
        <v>-4175.67</v>
      </c>
      <c r="F6206">
        <v>-1.39</v>
      </c>
      <c r="G6206" t="s">
        <v>12</v>
      </c>
      <c r="I6206" t="s">
        <v>2409</v>
      </c>
    </row>
    <row r="6207" spans="1:9" hidden="1" x14ac:dyDescent="0.25">
      <c r="A6207" t="s">
        <v>5087</v>
      </c>
      <c r="B6207" t="s">
        <v>100</v>
      </c>
      <c r="C6207" s="2">
        <f>HYPERLINK("https://cao.dolgi.msk.ru/account/1080127275/", 1080127275)</f>
        <v>1080127275</v>
      </c>
      <c r="D6207" t="s">
        <v>5123</v>
      </c>
      <c r="E6207">
        <v>-6867.21</v>
      </c>
      <c r="F6207">
        <v>-1.45</v>
      </c>
      <c r="G6207" t="s">
        <v>12</v>
      </c>
      <c r="I6207" t="s">
        <v>2409</v>
      </c>
    </row>
    <row r="6208" spans="1:9" hidden="1" x14ac:dyDescent="0.25">
      <c r="A6208" t="s">
        <v>5087</v>
      </c>
      <c r="B6208" t="s">
        <v>102</v>
      </c>
      <c r="C6208" s="2">
        <f>HYPERLINK("https://cao.dolgi.msk.ru/account/1080127283/", 1080127283)</f>
        <v>1080127283</v>
      </c>
      <c r="D6208" t="s">
        <v>5124</v>
      </c>
      <c r="E6208">
        <v>-8825.2800000000007</v>
      </c>
      <c r="F6208">
        <v>-1.69</v>
      </c>
      <c r="G6208" t="s">
        <v>12</v>
      </c>
      <c r="I6208" t="s">
        <v>2409</v>
      </c>
    </row>
    <row r="6209" spans="1:9" x14ac:dyDescent="0.25">
      <c r="A6209" t="s">
        <v>5087</v>
      </c>
      <c r="B6209" t="s">
        <v>104</v>
      </c>
      <c r="C6209" s="2">
        <f>HYPERLINK("https://cao.dolgi.msk.ru/account/1080127291/", 1080127291)</f>
        <v>1080127291</v>
      </c>
      <c r="D6209" t="s">
        <v>5125</v>
      </c>
      <c r="E6209">
        <v>10637.92</v>
      </c>
      <c r="F6209">
        <v>2.06</v>
      </c>
      <c r="G6209" t="s">
        <v>12</v>
      </c>
      <c r="I6209" t="s">
        <v>2409</v>
      </c>
    </row>
    <row r="6210" spans="1:9" hidden="1" x14ac:dyDescent="0.25">
      <c r="A6210" t="s">
        <v>5087</v>
      </c>
      <c r="B6210" t="s">
        <v>106</v>
      </c>
      <c r="C6210" s="2">
        <f>HYPERLINK("https://cao.dolgi.msk.ru/account/1080127304/", 1080127304)</f>
        <v>1080127304</v>
      </c>
      <c r="D6210" t="s">
        <v>5126</v>
      </c>
      <c r="E6210">
        <v>-793.83</v>
      </c>
      <c r="F6210">
        <v>-0.16</v>
      </c>
      <c r="G6210" t="s">
        <v>12</v>
      </c>
      <c r="I6210" t="s">
        <v>2409</v>
      </c>
    </row>
    <row r="6211" spans="1:9" hidden="1" x14ac:dyDescent="0.25">
      <c r="A6211" t="s">
        <v>5087</v>
      </c>
      <c r="B6211" t="s">
        <v>108</v>
      </c>
      <c r="C6211" s="2">
        <f>HYPERLINK("https://cao.dolgi.msk.ru/account/1080127312/", 1080127312)</f>
        <v>1080127312</v>
      </c>
      <c r="D6211" t="s">
        <v>5127</v>
      </c>
      <c r="E6211">
        <v>-6798.68</v>
      </c>
      <c r="F6211">
        <v>-1.1299999999999999</v>
      </c>
      <c r="G6211" t="s">
        <v>12</v>
      </c>
      <c r="I6211" t="s">
        <v>2409</v>
      </c>
    </row>
    <row r="6212" spans="1:9" hidden="1" x14ac:dyDescent="0.25">
      <c r="A6212" t="s">
        <v>5087</v>
      </c>
      <c r="B6212" t="s">
        <v>110</v>
      </c>
      <c r="C6212" s="2">
        <f>HYPERLINK("https://cao.dolgi.msk.ru/account/1080127339/", 1080127339)</f>
        <v>1080127339</v>
      </c>
      <c r="D6212" t="s">
        <v>5128</v>
      </c>
      <c r="E6212">
        <v>-4283.3100000000004</v>
      </c>
      <c r="F6212">
        <v>-1.1000000000000001</v>
      </c>
      <c r="G6212" t="s">
        <v>12</v>
      </c>
      <c r="I6212" t="s">
        <v>2409</v>
      </c>
    </row>
    <row r="6213" spans="1:9" hidden="1" x14ac:dyDescent="0.25">
      <c r="A6213" t="s">
        <v>5087</v>
      </c>
      <c r="B6213" t="s">
        <v>112</v>
      </c>
      <c r="C6213" s="2">
        <f>HYPERLINK("https://cao.dolgi.msk.ru/account/1080127347/", 1080127347)</f>
        <v>1080127347</v>
      </c>
      <c r="D6213" t="s">
        <v>5129</v>
      </c>
      <c r="E6213">
        <v>-3628.61</v>
      </c>
      <c r="F6213">
        <v>-1.03</v>
      </c>
      <c r="G6213" t="s">
        <v>12</v>
      </c>
      <c r="I6213" t="s">
        <v>2409</v>
      </c>
    </row>
    <row r="6214" spans="1:9" hidden="1" x14ac:dyDescent="0.25">
      <c r="A6214" t="s">
        <v>5087</v>
      </c>
      <c r="B6214" t="s">
        <v>114</v>
      </c>
      <c r="C6214" s="2">
        <f>HYPERLINK("https://cao.dolgi.msk.ru/account/1080127355/", 1080127355)</f>
        <v>1080127355</v>
      </c>
      <c r="D6214" t="s">
        <v>5130</v>
      </c>
      <c r="E6214">
        <v>-3911.98</v>
      </c>
      <c r="F6214">
        <v>-1.1200000000000001</v>
      </c>
      <c r="G6214" t="s">
        <v>12</v>
      </c>
      <c r="I6214" t="s">
        <v>2409</v>
      </c>
    </row>
    <row r="6215" spans="1:9" hidden="1" x14ac:dyDescent="0.25">
      <c r="A6215" t="s">
        <v>5087</v>
      </c>
      <c r="B6215" t="s">
        <v>116</v>
      </c>
      <c r="C6215" s="2">
        <f>HYPERLINK("https://cao.dolgi.msk.ru/account/1080127363/", 1080127363)</f>
        <v>1080127363</v>
      </c>
      <c r="D6215" t="s">
        <v>5131</v>
      </c>
      <c r="E6215">
        <v>-4674.2700000000004</v>
      </c>
      <c r="F6215">
        <v>-1.1200000000000001</v>
      </c>
      <c r="G6215" t="s">
        <v>12</v>
      </c>
      <c r="I6215" t="s">
        <v>2409</v>
      </c>
    </row>
    <row r="6216" spans="1:9" hidden="1" x14ac:dyDescent="0.25">
      <c r="A6216" t="s">
        <v>5087</v>
      </c>
      <c r="B6216" t="s">
        <v>118</v>
      </c>
      <c r="C6216" s="2">
        <f>HYPERLINK("https://cao.dolgi.msk.ru/account/1080127371/", 1080127371)</f>
        <v>1080127371</v>
      </c>
      <c r="D6216" t="s">
        <v>5132</v>
      </c>
      <c r="E6216">
        <v>-4532.26</v>
      </c>
      <c r="F6216">
        <v>-1.1399999999999999</v>
      </c>
      <c r="G6216" t="s">
        <v>12</v>
      </c>
      <c r="I6216" t="s">
        <v>2409</v>
      </c>
    </row>
    <row r="6217" spans="1:9" hidden="1" x14ac:dyDescent="0.25">
      <c r="A6217" t="s">
        <v>5087</v>
      </c>
      <c r="B6217" t="s">
        <v>120</v>
      </c>
      <c r="C6217" s="2">
        <f>HYPERLINK("https://cao.dolgi.msk.ru/account/1080127398/", 1080127398)</f>
        <v>1080127398</v>
      </c>
      <c r="D6217" t="s">
        <v>5133</v>
      </c>
      <c r="E6217">
        <v>-6169.07</v>
      </c>
      <c r="F6217">
        <v>-1.48</v>
      </c>
      <c r="G6217" t="s">
        <v>12</v>
      </c>
      <c r="I6217" t="s">
        <v>2409</v>
      </c>
    </row>
    <row r="6218" spans="1:9" hidden="1" x14ac:dyDescent="0.25">
      <c r="A6218" t="s">
        <v>5087</v>
      </c>
      <c r="B6218" t="s">
        <v>122</v>
      </c>
      <c r="C6218" s="2">
        <f>HYPERLINK("https://cao.dolgi.msk.ru/account/1080127419/", 1080127419)</f>
        <v>1080127419</v>
      </c>
      <c r="D6218" t="s">
        <v>5134</v>
      </c>
      <c r="E6218">
        <v>-5894.49</v>
      </c>
      <c r="F6218">
        <v>-1.1299999999999999</v>
      </c>
      <c r="G6218" t="s">
        <v>12</v>
      </c>
      <c r="I6218" t="s">
        <v>2409</v>
      </c>
    </row>
    <row r="6219" spans="1:9" hidden="1" x14ac:dyDescent="0.25">
      <c r="A6219" t="s">
        <v>5087</v>
      </c>
      <c r="B6219" t="s">
        <v>124</v>
      </c>
      <c r="C6219" s="2">
        <f>HYPERLINK("https://cao.dolgi.msk.ru/account/1080127443/", 1080127443)</f>
        <v>1080127443</v>
      </c>
      <c r="D6219" t="s">
        <v>5135</v>
      </c>
      <c r="E6219">
        <v>-2621.4299999999998</v>
      </c>
      <c r="F6219">
        <v>-1.1100000000000001</v>
      </c>
      <c r="G6219" t="s">
        <v>12</v>
      </c>
      <c r="I6219" t="s">
        <v>2409</v>
      </c>
    </row>
    <row r="6220" spans="1:9" hidden="1" x14ac:dyDescent="0.25">
      <c r="A6220" t="s">
        <v>5087</v>
      </c>
      <c r="B6220" t="s">
        <v>124</v>
      </c>
      <c r="C6220" s="2">
        <f>HYPERLINK("https://cao.dolgi.msk.ru/account/1080325773/", 1080325773)</f>
        <v>1080325773</v>
      </c>
      <c r="D6220" t="s">
        <v>5135</v>
      </c>
      <c r="E6220">
        <v>-2218.1999999999998</v>
      </c>
      <c r="F6220">
        <v>-1.33</v>
      </c>
      <c r="G6220" t="s">
        <v>12</v>
      </c>
      <c r="I6220" t="s">
        <v>2409</v>
      </c>
    </row>
    <row r="6221" spans="1:9" hidden="1" x14ac:dyDescent="0.25">
      <c r="A6221" t="s">
        <v>5087</v>
      </c>
      <c r="B6221" t="s">
        <v>126</v>
      </c>
      <c r="C6221" s="2">
        <f>HYPERLINK("https://cao.dolgi.msk.ru/account/1080127427/", 1080127427)</f>
        <v>1080127427</v>
      </c>
      <c r="D6221" t="s">
        <v>5136</v>
      </c>
      <c r="E6221">
        <v>-5460.28</v>
      </c>
      <c r="F6221">
        <v>-0.93</v>
      </c>
      <c r="G6221" t="s">
        <v>12</v>
      </c>
      <c r="I6221" t="s">
        <v>2409</v>
      </c>
    </row>
    <row r="6222" spans="1:9" hidden="1" x14ac:dyDescent="0.25">
      <c r="A6222" t="s">
        <v>5087</v>
      </c>
      <c r="B6222" t="s">
        <v>128</v>
      </c>
      <c r="C6222" s="2">
        <f>HYPERLINK("https://cao.dolgi.msk.ru/account/1080127435/", 1080127435)</f>
        <v>1080127435</v>
      </c>
      <c r="D6222" t="s">
        <v>5137</v>
      </c>
      <c r="E6222">
        <v>-3954.28</v>
      </c>
      <c r="F6222">
        <v>-1.32</v>
      </c>
      <c r="G6222" t="s">
        <v>12</v>
      </c>
      <c r="I6222" t="s">
        <v>2409</v>
      </c>
    </row>
    <row r="6223" spans="1:9" hidden="1" x14ac:dyDescent="0.25">
      <c r="A6223" t="s">
        <v>5087</v>
      </c>
      <c r="B6223" t="s">
        <v>130</v>
      </c>
      <c r="C6223" s="2">
        <f>HYPERLINK("https://cao.dolgi.msk.ru/account/1080127451/", 1080127451)</f>
        <v>1080127451</v>
      </c>
      <c r="D6223" t="s">
        <v>5138</v>
      </c>
      <c r="E6223">
        <v>-1954.53</v>
      </c>
      <c r="F6223">
        <v>-0.38</v>
      </c>
      <c r="G6223" t="s">
        <v>12</v>
      </c>
      <c r="I6223" t="s">
        <v>2409</v>
      </c>
    </row>
    <row r="6224" spans="1:9" hidden="1" x14ac:dyDescent="0.25">
      <c r="A6224" t="s">
        <v>5087</v>
      </c>
      <c r="B6224" t="s">
        <v>132</v>
      </c>
      <c r="C6224" s="2">
        <f>HYPERLINK("https://cao.dolgi.msk.ru/account/1080127478/", 1080127478)</f>
        <v>1080127478</v>
      </c>
      <c r="D6224" t="s">
        <v>5139</v>
      </c>
      <c r="E6224">
        <v>-5333.75</v>
      </c>
      <c r="F6224">
        <v>-1.1499999999999999</v>
      </c>
      <c r="G6224" t="s">
        <v>12</v>
      </c>
      <c r="I6224" t="s">
        <v>2409</v>
      </c>
    </row>
    <row r="6225" spans="1:9" hidden="1" x14ac:dyDescent="0.25">
      <c r="A6225" t="s">
        <v>5087</v>
      </c>
      <c r="B6225" t="s">
        <v>133</v>
      </c>
      <c r="C6225" s="2">
        <f>HYPERLINK("https://cao.dolgi.msk.ru/account/1080127486/", 1080127486)</f>
        <v>1080127486</v>
      </c>
      <c r="D6225" t="s">
        <v>5140</v>
      </c>
      <c r="E6225">
        <v>-3197.43</v>
      </c>
      <c r="F6225">
        <v>-1.06</v>
      </c>
      <c r="G6225" t="s">
        <v>12</v>
      </c>
      <c r="I6225" t="s">
        <v>2409</v>
      </c>
    </row>
    <row r="6226" spans="1:9" hidden="1" x14ac:dyDescent="0.25">
      <c r="A6226" t="s">
        <v>5087</v>
      </c>
      <c r="B6226" t="s">
        <v>135</v>
      </c>
      <c r="C6226" s="2">
        <f>HYPERLINK("https://cao.dolgi.msk.ru/account/1080127494/", 1080127494)</f>
        <v>1080127494</v>
      </c>
      <c r="D6226" t="s">
        <v>5141</v>
      </c>
      <c r="E6226">
        <v>-536.09</v>
      </c>
      <c r="F6226">
        <v>-0.17</v>
      </c>
      <c r="G6226" t="s">
        <v>12</v>
      </c>
      <c r="I6226" t="s">
        <v>2409</v>
      </c>
    </row>
    <row r="6227" spans="1:9" hidden="1" x14ac:dyDescent="0.25">
      <c r="A6227" t="s">
        <v>5087</v>
      </c>
      <c r="B6227" t="s">
        <v>137</v>
      </c>
      <c r="C6227" s="2">
        <f>HYPERLINK("https://cao.dolgi.msk.ru/account/1080127507/", 1080127507)</f>
        <v>1080127507</v>
      </c>
      <c r="D6227" t="s">
        <v>5142</v>
      </c>
      <c r="E6227">
        <v>-3608.84</v>
      </c>
      <c r="F6227">
        <v>-0.97</v>
      </c>
      <c r="G6227" t="s">
        <v>12</v>
      </c>
      <c r="I6227" t="s">
        <v>2409</v>
      </c>
    </row>
    <row r="6228" spans="1:9" hidden="1" x14ac:dyDescent="0.25">
      <c r="A6228" t="s">
        <v>5087</v>
      </c>
      <c r="B6228" t="s">
        <v>139</v>
      </c>
      <c r="C6228" s="2">
        <f>HYPERLINK("https://cao.dolgi.msk.ru/account/1080127515/", 1080127515)</f>
        <v>1080127515</v>
      </c>
      <c r="D6228" t="s">
        <v>5143</v>
      </c>
      <c r="E6228">
        <v>-2642.83</v>
      </c>
      <c r="F6228">
        <v>-1.1200000000000001</v>
      </c>
      <c r="G6228" t="s">
        <v>12</v>
      </c>
      <c r="I6228" t="s">
        <v>2409</v>
      </c>
    </row>
    <row r="6229" spans="1:9" hidden="1" x14ac:dyDescent="0.25">
      <c r="A6229" t="s">
        <v>5087</v>
      </c>
      <c r="B6229" t="s">
        <v>141</v>
      </c>
      <c r="C6229" s="2">
        <f>HYPERLINK("https://cao.dolgi.msk.ru/account/1080127523/", 1080127523)</f>
        <v>1080127523</v>
      </c>
      <c r="D6229" t="s">
        <v>5144</v>
      </c>
      <c r="E6229">
        <v>-4961.43</v>
      </c>
      <c r="F6229">
        <v>-1.1399999999999999</v>
      </c>
      <c r="G6229" t="s">
        <v>12</v>
      </c>
      <c r="I6229" t="s">
        <v>2409</v>
      </c>
    </row>
    <row r="6230" spans="1:9" x14ac:dyDescent="0.25">
      <c r="A6230" t="s">
        <v>5087</v>
      </c>
      <c r="B6230" t="s">
        <v>143</v>
      </c>
      <c r="C6230" s="2">
        <f>HYPERLINK("https://cao.dolgi.msk.ru/account/1080127531/", 1080127531)</f>
        <v>1080127531</v>
      </c>
      <c r="D6230" t="s">
        <v>5145</v>
      </c>
      <c r="E6230">
        <v>3508.15</v>
      </c>
      <c r="F6230">
        <v>1.87</v>
      </c>
      <c r="G6230" t="s">
        <v>12</v>
      </c>
      <c r="I6230" t="s">
        <v>2409</v>
      </c>
    </row>
    <row r="6231" spans="1:9" hidden="1" x14ac:dyDescent="0.25">
      <c r="A6231" t="s">
        <v>5087</v>
      </c>
      <c r="B6231" t="s">
        <v>145</v>
      </c>
      <c r="C6231" s="2">
        <f>HYPERLINK("https://cao.dolgi.msk.ru/account/1080127558/", 1080127558)</f>
        <v>1080127558</v>
      </c>
      <c r="D6231" t="s">
        <v>5146</v>
      </c>
      <c r="E6231">
        <v>-3644.6</v>
      </c>
      <c r="F6231">
        <v>-1.1100000000000001</v>
      </c>
      <c r="G6231" t="s">
        <v>12</v>
      </c>
      <c r="I6231" t="s">
        <v>2409</v>
      </c>
    </row>
    <row r="6232" spans="1:9" hidden="1" x14ac:dyDescent="0.25">
      <c r="A6232" t="s">
        <v>5087</v>
      </c>
      <c r="B6232" t="s">
        <v>147</v>
      </c>
      <c r="C6232" s="2">
        <f>HYPERLINK("https://cao.dolgi.msk.ru/account/1080127566/", 1080127566)</f>
        <v>1080127566</v>
      </c>
      <c r="D6232" t="s">
        <v>5147</v>
      </c>
      <c r="E6232">
        <v>-6151.02</v>
      </c>
      <c r="F6232">
        <v>-1.17</v>
      </c>
      <c r="G6232" t="s">
        <v>12</v>
      </c>
      <c r="I6232" t="s">
        <v>2409</v>
      </c>
    </row>
    <row r="6233" spans="1:9" hidden="1" x14ac:dyDescent="0.25">
      <c r="A6233" t="s">
        <v>5087</v>
      </c>
      <c r="B6233" t="s">
        <v>149</v>
      </c>
      <c r="C6233" s="2">
        <f>HYPERLINK("https://cao.dolgi.msk.ru/account/1080127574/", 1080127574)</f>
        <v>1080127574</v>
      </c>
      <c r="D6233" t="s">
        <v>5148</v>
      </c>
      <c r="E6233">
        <v>-759.64</v>
      </c>
      <c r="F6233">
        <v>-0.13</v>
      </c>
      <c r="G6233" t="s">
        <v>12</v>
      </c>
      <c r="I6233" t="s">
        <v>2409</v>
      </c>
    </row>
    <row r="6234" spans="1:9" hidden="1" x14ac:dyDescent="0.25">
      <c r="A6234" t="s">
        <v>5087</v>
      </c>
      <c r="B6234" t="s">
        <v>151</v>
      </c>
      <c r="C6234" s="2">
        <f>HYPERLINK("https://cao.dolgi.msk.ru/account/1080127582/", 1080127582)</f>
        <v>1080127582</v>
      </c>
      <c r="D6234" t="s">
        <v>5149</v>
      </c>
      <c r="E6234">
        <v>-1535.65</v>
      </c>
      <c r="F6234">
        <v>-0.57999999999999996</v>
      </c>
      <c r="G6234" t="s">
        <v>12</v>
      </c>
      <c r="I6234" t="s">
        <v>2409</v>
      </c>
    </row>
    <row r="6235" spans="1:9" hidden="1" x14ac:dyDescent="0.25">
      <c r="A6235" t="s">
        <v>5087</v>
      </c>
      <c r="B6235" t="s">
        <v>153</v>
      </c>
      <c r="C6235" s="2">
        <f>HYPERLINK("https://cao.dolgi.msk.ru/account/1080127603/", 1080127603)</f>
        <v>1080127603</v>
      </c>
      <c r="D6235" t="s">
        <v>5150</v>
      </c>
      <c r="E6235">
        <v>-4070.16</v>
      </c>
      <c r="F6235">
        <v>-1.29</v>
      </c>
      <c r="G6235" t="s">
        <v>12</v>
      </c>
      <c r="I6235" t="s">
        <v>2409</v>
      </c>
    </row>
    <row r="6236" spans="1:9" hidden="1" x14ac:dyDescent="0.25">
      <c r="A6236" t="s">
        <v>5087</v>
      </c>
      <c r="B6236" t="s">
        <v>155</v>
      </c>
      <c r="C6236" s="2">
        <f>HYPERLINK("https://cao.dolgi.msk.ru/account/1080127611/", 1080127611)</f>
        <v>1080127611</v>
      </c>
      <c r="D6236" t="s">
        <v>5151</v>
      </c>
      <c r="E6236">
        <v>-5959.17</v>
      </c>
      <c r="F6236">
        <v>-1.1000000000000001</v>
      </c>
      <c r="G6236" t="s">
        <v>12</v>
      </c>
      <c r="I6236" t="s">
        <v>2409</v>
      </c>
    </row>
    <row r="6237" spans="1:9" x14ac:dyDescent="0.25">
      <c r="A6237" t="s">
        <v>5087</v>
      </c>
      <c r="B6237" t="s">
        <v>157</v>
      </c>
      <c r="C6237" s="2">
        <f>HYPERLINK("https://cao.dolgi.msk.ru/account/1080127638/", 1080127638)</f>
        <v>1080127638</v>
      </c>
      <c r="D6237" t="s">
        <v>5152</v>
      </c>
      <c r="E6237">
        <v>9477.8799999999992</v>
      </c>
      <c r="F6237">
        <v>2</v>
      </c>
      <c r="G6237" t="s">
        <v>12</v>
      </c>
      <c r="I6237" t="s">
        <v>2409</v>
      </c>
    </row>
    <row r="6238" spans="1:9" hidden="1" x14ac:dyDescent="0.25">
      <c r="A6238" t="s">
        <v>5087</v>
      </c>
      <c r="B6238" t="s">
        <v>159</v>
      </c>
      <c r="C6238" s="2">
        <f>HYPERLINK("https://cao.dolgi.msk.ru/account/1080127646/", 1080127646)</f>
        <v>1080127646</v>
      </c>
      <c r="D6238" t="s">
        <v>5153</v>
      </c>
      <c r="E6238">
        <v>-7840.85</v>
      </c>
      <c r="F6238">
        <v>-2.16</v>
      </c>
      <c r="G6238" t="s">
        <v>12</v>
      </c>
      <c r="I6238" t="s">
        <v>2409</v>
      </c>
    </row>
    <row r="6239" spans="1:9" hidden="1" x14ac:dyDescent="0.25">
      <c r="A6239" t="s">
        <v>5087</v>
      </c>
      <c r="B6239" t="s">
        <v>161</v>
      </c>
      <c r="C6239" s="2">
        <f>HYPERLINK("https://cao.dolgi.msk.ru/account/1080127654/", 1080127654)</f>
        <v>1080127654</v>
      </c>
      <c r="D6239" t="s">
        <v>5154</v>
      </c>
      <c r="E6239">
        <v>-2956.15</v>
      </c>
      <c r="F6239">
        <v>-1.17</v>
      </c>
      <c r="G6239" t="s">
        <v>12</v>
      </c>
      <c r="I6239" t="s">
        <v>2409</v>
      </c>
    </row>
    <row r="6240" spans="1:9" hidden="1" x14ac:dyDescent="0.25">
      <c r="A6240" t="s">
        <v>5087</v>
      </c>
      <c r="B6240" t="s">
        <v>163</v>
      </c>
      <c r="C6240" s="2">
        <f>HYPERLINK("https://cao.dolgi.msk.ru/account/1080127662/", 1080127662)</f>
        <v>1080127662</v>
      </c>
      <c r="D6240" t="s">
        <v>5155</v>
      </c>
      <c r="E6240">
        <v>-6575.68</v>
      </c>
      <c r="F6240">
        <v>-1.27</v>
      </c>
      <c r="G6240" t="s">
        <v>12</v>
      </c>
      <c r="I6240" t="s">
        <v>2409</v>
      </c>
    </row>
    <row r="6241" spans="1:9" hidden="1" x14ac:dyDescent="0.25">
      <c r="A6241" t="s">
        <v>5087</v>
      </c>
      <c r="B6241" t="s">
        <v>571</v>
      </c>
      <c r="C6241" s="2">
        <f>HYPERLINK("https://cao.dolgi.msk.ru/account/1080127689/", 1080127689)</f>
        <v>1080127689</v>
      </c>
      <c r="D6241" t="s">
        <v>5156</v>
      </c>
      <c r="E6241">
        <v>-13.98</v>
      </c>
      <c r="F6241">
        <v>0</v>
      </c>
      <c r="G6241" t="s">
        <v>12</v>
      </c>
      <c r="I6241" t="s">
        <v>2409</v>
      </c>
    </row>
    <row r="6242" spans="1:9" hidden="1" x14ac:dyDescent="0.25">
      <c r="A6242" t="s">
        <v>5087</v>
      </c>
      <c r="B6242" t="s">
        <v>682</v>
      </c>
      <c r="C6242" s="2">
        <f>HYPERLINK("https://cao.dolgi.msk.ru/account/1080127697/", 1080127697)</f>
        <v>1080127697</v>
      </c>
      <c r="D6242" t="s">
        <v>5157</v>
      </c>
      <c r="E6242">
        <v>-1707.67</v>
      </c>
      <c r="F6242">
        <v>-1.1100000000000001</v>
      </c>
      <c r="G6242" t="s">
        <v>12</v>
      </c>
      <c r="I6242" t="s">
        <v>2409</v>
      </c>
    </row>
    <row r="6243" spans="1:9" hidden="1" x14ac:dyDescent="0.25">
      <c r="A6243" t="s">
        <v>5158</v>
      </c>
      <c r="B6243" t="s">
        <v>18</v>
      </c>
      <c r="C6243" s="2">
        <f>HYPERLINK("https://cao.dolgi.msk.ru/account/1080020494/", 1080020494)</f>
        <v>1080020494</v>
      </c>
      <c r="D6243" t="s">
        <v>5159</v>
      </c>
      <c r="G6243" t="s">
        <v>14</v>
      </c>
      <c r="I6243" t="s">
        <v>13</v>
      </c>
    </row>
    <row r="6244" spans="1:9" hidden="1" x14ac:dyDescent="0.25">
      <c r="A6244" t="s">
        <v>5160</v>
      </c>
      <c r="B6244" t="s">
        <v>10</v>
      </c>
      <c r="C6244" s="2">
        <f>HYPERLINK("https://cao.dolgi.msk.ru/account/1089114219/", 1089114219)</f>
        <v>1089114219</v>
      </c>
      <c r="D6244" t="s">
        <v>5161</v>
      </c>
      <c r="E6244">
        <v>-4344.24</v>
      </c>
      <c r="F6244">
        <v>-1.99</v>
      </c>
      <c r="G6244" t="s">
        <v>12</v>
      </c>
      <c r="I6244" t="s">
        <v>13</v>
      </c>
    </row>
    <row r="6245" spans="1:9" hidden="1" x14ac:dyDescent="0.25">
      <c r="A6245" t="s">
        <v>5160</v>
      </c>
      <c r="B6245" t="s">
        <v>16</v>
      </c>
      <c r="C6245" s="2">
        <f>HYPERLINK("https://cao.dolgi.msk.ru/account/1089114227/", 1089114227)</f>
        <v>1089114227</v>
      </c>
      <c r="D6245" t="s">
        <v>5162</v>
      </c>
      <c r="E6245">
        <v>19.399999999999999</v>
      </c>
      <c r="F6245">
        <v>0.01</v>
      </c>
      <c r="G6245" t="s">
        <v>12</v>
      </c>
      <c r="I6245" t="s">
        <v>13</v>
      </c>
    </row>
    <row r="6246" spans="1:9" hidden="1" x14ac:dyDescent="0.25">
      <c r="A6246" t="s">
        <v>5160</v>
      </c>
      <c r="B6246" t="s">
        <v>18</v>
      </c>
      <c r="C6246" s="2">
        <f>HYPERLINK("https://cao.dolgi.msk.ru/account/1089114235/", 1089114235)</f>
        <v>1089114235</v>
      </c>
      <c r="D6246" t="s">
        <v>5163</v>
      </c>
      <c r="E6246">
        <v>-3146.67</v>
      </c>
      <c r="F6246">
        <v>-1</v>
      </c>
      <c r="G6246" t="s">
        <v>12</v>
      </c>
      <c r="I6246" t="s">
        <v>13</v>
      </c>
    </row>
    <row r="6247" spans="1:9" hidden="1" x14ac:dyDescent="0.25">
      <c r="A6247" t="s">
        <v>5160</v>
      </c>
      <c r="B6247" t="s">
        <v>20</v>
      </c>
      <c r="C6247" s="2">
        <f>HYPERLINK("https://cao.dolgi.msk.ru/account/1089114243/", 1089114243)</f>
        <v>1089114243</v>
      </c>
      <c r="D6247" t="s">
        <v>5164</v>
      </c>
      <c r="E6247">
        <v>-7869.96</v>
      </c>
      <c r="F6247">
        <v>-0.63</v>
      </c>
      <c r="G6247" t="s">
        <v>12</v>
      </c>
      <c r="I6247" t="s">
        <v>13</v>
      </c>
    </row>
    <row r="6248" spans="1:9" hidden="1" x14ac:dyDescent="0.25">
      <c r="A6248" t="s">
        <v>5160</v>
      </c>
      <c r="B6248" t="s">
        <v>21</v>
      </c>
      <c r="C6248" s="2">
        <f>HYPERLINK("https://cao.dolgi.msk.ru/account/1089114251/", 1089114251)</f>
        <v>1089114251</v>
      </c>
      <c r="D6248" t="s">
        <v>5165</v>
      </c>
      <c r="E6248">
        <v>-7350.52</v>
      </c>
      <c r="F6248">
        <v>-1.08</v>
      </c>
      <c r="G6248" t="s">
        <v>12</v>
      </c>
      <c r="I6248" t="s">
        <v>13</v>
      </c>
    </row>
    <row r="6249" spans="1:9" hidden="1" x14ac:dyDescent="0.25">
      <c r="A6249" t="s">
        <v>5160</v>
      </c>
      <c r="B6249" t="s">
        <v>22</v>
      </c>
      <c r="C6249" s="2">
        <f>HYPERLINK("https://cao.dolgi.msk.ru/account/1089114278/", 1089114278)</f>
        <v>1089114278</v>
      </c>
      <c r="D6249" t="s">
        <v>5166</v>
      </c>
      <c r="E6249">
        <v>0</v>
      </c>
      <c r="F6249">
        <v>0</v>
      </c>
      <c r="G6249" t="s">
        <v>12</v>
      </c>
      <c r="I6249" t="s">
        <v>13</v>
      </c>
    </row>
    <row r="6250" spans="1:9" hidden="1" x14ac:dyDescent="0.25">
      <c r="A6250" t="s">
        <v>5160</v>
      </c>
      <c r="B6250" t="s">
        <v>23</v>
      </c>
      <c r="C6250" s="2">
        <f>HYPERLINK("https://cao.dolgi.msk.ru/account/1089004351/", 1089004351)</f>
        <v>1089004351</v>
      </c>
      <c r="D6250" t="s">
        <v>5166</v>
      </c>
      <c r="E6250">
        <v>-546.19000000000005</v>
      </c>
      <c r="F6250">
        <v>-0.1</v>
      </c>
      <c r="G6250" t="s">
        <v>12</v>
      </c>
      <c r="I6250" t="s">
        <v>13</v>
      </c>
    </row>
    <row r="6251" spans="1:9" hidden="1" x14ac:dyDescent="0.25">
      <c r="A6251" t="s">
        <v>5160</v>
      </c>
      <c r="B6251" t="s">
        <v>24</v>
      </c>
      <c r="C6251" s="2">
        <f>HYPERLINK("https://cao.dolgi.msk.ru/account/1089114286/", 1089114286)</f>
        <v>1089114286</v>
      </c>
      <c r="D6251" t="s">
        <v>5167</v>
      </c>
      <c r="E6251">
        <v>-4499.13</v>
      </c>
      <c r="F6251">
        <v>-0.64</v>
      </c>
      <c r="G6251" t="s">
        <v>12</v>
      </c>
      <c r="I6251" t="s">
        <v>13</v>
      </c>
    </row>
    <row r="6252" spans="1:9" hidden="1" x14ac:dyDescent="0.25">
      <c r="A6252" t="s">
        <v>5160</v>
      </c>
      <c r="B6252" t="s">
        <v>27</v>
      </c>
      <c r="C6252" s="2">
        <f>HYPERLINK("https://cao.dolgi.msk.ru/account/1089114294/", 1089114294)</f>
        <v>1089114294</v>
      </c>
      <c r="D6252" t="s">
        <v>5168</v>
      </c>
      <c r="E6252">
        <v>-8260.7900000000009</v>
      </c>
      <c r="F6252">
        <v>-1.01</v>
      </c>
      <c r="G6252" t="s">
        <v>12</v>
      </c>
      <c r="I6252" t="s">
        <v>13</v>
      </c>
    </row>
    <row r="6253" spans="1:9" hidden="1" x14ac:dyDescent="0.25">
      <c r="A6253" t="s">
        <v>5160</v>
      </c>
      <c r="B6253" t="s">
        <v>29</v>
      </c>
      <c r="C6253" s="2">
        <f>HYPERLINK("https://cao.dolgi.msk.ru/account/1089114307/", 1089114307)</f>
        <v>1089114307</v>
      </c>
      <c r="D6253" t="s">
        <v>5169</v>
      </c>
      <c r="E6253">
        <v>6312.42</v>
      </c>
      <c r="F6253">
        <v>1</v>
      </c>
      <c r="G6253" t="s">
        <v>12</v>
      </c>
      <c r="I6253" t="s">
        <v>13</v>
      </c>
    </row>
    <row r="6254" spans="1:9" hidden="1" x14ac:dyDescent="0.25">
      <c r="A6254" t="s">
        <v>5160</v>
      </c>
      <c r="B6254" t="s">
        <v>31</v>
      </c>
      <c r="C6254" s="2">
        <f>HYPERLINK("https://cao.dolgi.msk.ru/account/1089114315/", 1089114315)</f>
        <v>1089114315</v>
      </c>
      <c r="D6254" t="s">
        <v>5170</v>
      </c>
      <c r="E6254">
        <v>-12.51</v>
      </c>
      <c r="F6254">
        <v>0</v>
      </c>
      <c r="G6254" t="s">
        <v>12</v>
      </c>
      <c r="I6254" t="s">
        <v>13</v>
      </c>
    </row>
    <row r="6255" spans="1:9" hidden="1" x14ac:dyDescent="0.25">
      <c r="A6255" t="s">
        <v>5160</v>
      </c>
      <c r="B6255" t="s">
        <v>33</v>
      </c>
      <c r="C6255" s="2">
        <f>HYPERLINK("https://cao.dolgi.msk.ru/account/1089004343/", 1089004343)</f>
        <v>1089004343</v>
      </c>
      <c r="D6255" t="s">
        <v>5171</v>
      </c>
      <c r="E6255">
        <v>-3571.57</v>
      </c>
      <c r="F6255">
        <v>-1.07</v>
      </c>
      <c r="G6255" t="s">
        <v>12</v>
      </c>
      <c r="I6255" t="s">
        <v>13</v>
      </c>
    </row>
    <row r="6256" spans="1:9" hidden="1" x14ac:dyDescent="0.25">
      <c r="A6256" t="s">
        <v>5160</v>
      </c>
      <c r="B6256" t="s">
        <v>34</v>
      </c>
      <c r="C6256" s="2">
        <f>HYPERLINK("https://cao.dolgi.msk.ru/account/1089114323/", 1089114323)</f>
        <v>1089114323</v>
      </c>
      <c r="D6256" t="s">
        <v>5172</v>
      </c>
      <c r="E6256">
        <v>-7732.93</v>
      </c>
      <c r="F6256">
        <v>-1</v>
      </c>
      <c r="G6256" t="s">
        <v>12</v>
      </c>
      <c r="I6256" t="s">
        <v>13</v>
      </c>
    </row>
    <row r="6257" spans="1:9" hidden="1" x14ac:dyDescent="0.25">
      <c r="A6257" t="s">
        <v>5160</v>
      </c>
      <c r="B6257" t="s">
        <v>36</v>
      </c>
      <c r="C6257" s="2">
        <f>HYPERLINK("https://cao.dolgi.msk.ru/account/1089114331/", 1089114331)</f>
        <v>1089114331</v>
      </c>
      <c r="D6257" t="s">
        <v>5173</v>
      </c>
      <c r="E6257">
        <v>-6742.76</v>
      </c>
      <c r="F6257">
        <v>-1.3</v>
      </c>
      <c r="G6257" t="s">
        <v>12</v>
      </c>
      <c r="I6257" t="s">
        <v>13</v>
      </c>
    </row>
    <row r="6258" spans="1:9" hidden="1" x14ac:dyDescent="0.25">
      <c r="A6258" t="s">
        <v>5160</v>
      </c>
      <c r="B6258" t="s">
        <v>38</v>
      </c>
      <c r="C6258" s="2">
        <f>HYPERLINK("https://cao.dolgi.msk.ru/account/1089114358/", 1089114358)</f>
        <v>1089114358</v>
      </c>
      <c r="D6258" t="s">
        <v>5174</v>
      </c>
      <c r="E6258">
        <v>-3716.91</v>
      </c>
      <c r="F6258">
        <v>-1.06</v>
      </c>
      <c r="G6258" t="s">
        <v>12</v>
      </c>
      <c r="I6258" t="s">
        <v>13</v>
      </c>
    </row>
    <row r="6259" spans="1:9" hidden="1" x14ac:dyDescent="0.25">
      <c r="A6259" t="s">
        <v>5160</v>
      </c>
      <c r="B6259" t="s">
        <v>39</v>
      </c>
      <c r="C6259" s="2">
        <f>HYPERLINK("https://cao.dolgi.msk.ru/account/1089114366/", 1089114366)</f>
        <v>1089114366</v>
      </c>
      <c r="D6259" t="s">
        <v>5175</v>
      </c>
      <c r="E6259">
        <v>-2182.08</v>
      </c>
      <c r="F6259">
        <v>-0.99</v>
      </c>
      <c r="G6259" t="s">
        <v>12</v>
      </c>
      <c r="I6259" t="s">
        <v>13</v>
      </c>
    </row>
    <row r="6260" spans="1:9" hidden="1" x14ac:dyDescent="0.25">
      <c r="A6260" t="s">
        <v>5160</v>
      </c>
      <c r="B6260" t="s">
        <v>40</v>
      </c>
      <c r="C6260" s="2">
        <f>HYPERLINK("https://cao.dolgi.msk.ru/account/1089114374/", 1089114374)</f>
        <v>1089114374</v>
      </c>
      <c r="D6260" t="s">
        <v>5176</v>
      </c>
      <c r="E6260">
        <v>-4012.75</v>
      </c>
      <c r="F6260">
        <v>-1.05</v>
      </c>
      <c r="G6260" t="s">
        <v>12</v>
      </c>
      <c r="I6260" t="s">
        <v>13</v>
      </c>
    </row>
    <row r="6261" spans="1:9" hidden="1" x14ac:dyDescent="0.25">
      <c r="A6261" t="s">
        <v>5160</v>
      </c>
      <c r="B6261" t="s">
        <v>41</v>
      </c>
      <c r="C6261" s="2">
        <f>HYPERLINK("https://cao.dolgi.msk.ru/account/1089007421/", 1089007421)</f>
        <v>1089007421</v>
      </c>
      <c r="D6261" t="s">
        <v>5177</v>
      </c>
      <c r="E6261">
        <v>-2434.35</v>
      </c>
      <c r="F6261">
        <v>-0.99</v>
      </c>
      <c r="G6261" t="s">
        <v>12</v>
      </c>
      <c r="I6261" t="s">
        <v>13</v>
      </c>
    </row>
    <row r="6262" spans="1:9" hidden="1" x14ac:dyDescent="0.25">
      <c r="A6262" t="s">
        <v>5160</v>
      </c>
      <c r="B6262" t="s">
        <v>42</v>
      </c>
      <c r="C6262" s="2">
        <f>HYPERLINK("https://cao.dolgi.msk.ru/account/1089114382/", 1089114382)</f>
        <v>1089114382</v>
      </c>
      <c r="D6262" t="s">
        <v>5178</v>
      </c>
      <c r="E6262">
        <v>-5702.54</v>
      </c>
      <c r="F6262">
        <v>-1.06</v>
      </c>
      <c r="G6262" t="s">
        <v>12</v>
      </c>
      <c r="I6262" t="s">
        <v>13</v>
      </c>
    </row>
    <row r="6263" spans="1:9" hidden="1" x14ac:dyDescent="0.25">
      <c r="A6263" t="s">
        <v>5160</v>
      </c>
      <c r="B6263" t="s">
        <v>44</v>
      </c>
      <c r="C6263" s="2">
        <f>HYPERLINK("https://cao.dolgi.msk.ru/account/1089114403/", 1089114403)</f>
        <v>1089114403</v>
      </c>
      <c r="D6263" t="s">
        <v>5179</v>
      </c>
      <c r="E6263">
        <v>-3466.83</v>
      </c>
      <c r="F6263">
        <v>-1.03</v>
      </c>
      <c r="G6263" t="s">
        <v>12</v>
      </c>
      <c r="I6263" t="s">
        <v>13</v>
      </c>
    </row>
    <row r="6264" spans="1:9" hidden="1" x14ac:dyDescent="0.25">
      <c r="A6264" t="s">
        <v>5160</v>
      </c>
      <c r="B6264" t="s">
        <v>66</v>
      </c>
      <c r="C6264" s="2">
        <f>HYPERLINK("https://cao.dolgi.msk.ru/account/1089114411/", 1089114411)</f>
        <v>1089114411</v>
      </c>
      <c r="D6264" t="s">
        <v>15</v>
      </c>
      <c r="E6264">
        <v>-3818.24</v>
      </c>
      <c r="F6264">
        <v>-0.44</v>
      </c>
      <c r="G6264" t="s">
        <v>12</v>
      </c>
      <c r="I6264" t="s">
        <v>13</v>
      </c>
    </row>
    <row r="6265" spans="1:9" hidden="1" x14ac:dyDescent="0.25">
      <c r="A6265" t="s">
        <v>5160</v>
      </c>
      <c r="B6265" t="s">
        <v>68</v>
      </c>
      <c r="C6265" s="2">
        <f>HYPERLINK("https://cao.dolgi.msk.ru/account/1089114438/", 1089114438)</f>
        <v>1089114438</v>
      </c>
      <c r="D6265" t="s">
        <v>5180</v>
      </c>
      <c r="E6265">
        <v>-3333.54</v>
      </c>
      <c r="F6265">
        <v>-1.02</v>
      </c>
      <c r="G6265" t="s">
        <v>12</v>
      </c>
      <c r="I6265" t="s">
        <v>13</v>
      </c>
    </row>
    <row r="6266" spans="1:9" hidden="1" x14ac:dyDescent="0.25">
      <c r="A6266" t="s">
        <v>5160</v>
      </c>
      <c r="B6266" t="s">
        <v>70</v>
      </c>
      <c r="C6266" s="2">
        <f>HYPERLINK("https://cao.dolgi.msk.ru/account/1089114446/", 1089114446)</f>
        <v>1089114446</v>
      </c>
      <c r="D6266" t="s">
        <v>5181</v>
      </c>
      <c r="E6266">
        <v>-4026.41</v>
      </c>
      <c r="F6266">
        <v>-1.1100000000000001</v>
      </c>
      <c r="G6266" t="s">
        <v>12</v>
      </c>
      <c r="I6266" t="s">
        <v>13</v>
      </c>
    </row>
    <row r="6267" spans="1:9" hidden="1" x14ac:dyDescent="0.25">
      <c r="A6267" t="s">
        <v>5160</v>
      </c>
      <c r="B6267" t="s">
        <v>72</v>
      </c>
      <c r="C6267" s="2">
        <f>HYPERLINK("https://cao.dolgi.msk.ru/account/1089114454/", 1089114454)</f>
        <v>1089114454</v>
      </c>
      <c r="D6267" t="s">
        <v>5182</v>
      </c>
      <c r="E6267">
        <v>0</v>
      </c>
      <c r="F6267">
        <v>0</v>
      </c>
      <c r="G6267" t="s">
        <v>12</v>
      </c>
      <c r="I6267" t="s">
        <v>13</v>
      </c>
    </row>
    <row r="6268" spans="1:9" hidden="1" x14ac:dyDescent="0.25">
      <c r="A6268" t="s">
        <v>5160</v>
      </c>
      <c r="B6268" t="s">
        <v>74</v>
      </c>
      <c r="C6268" s="2">
        <f>HYPERLINK("https://cao.dolgi.msk.ru/account/1089114462/", 1089114462)</f>
        <v>1089114462</v>
      </c>
      <c r="D6268" t="s">
        <v>5183</v>
      </c>
      <c r="E6268">
        <v>-4117.3</v>
      </c>
      <c r="F6268">
        <v>-1.04</v>
      </c>
      <c r="G6268" t="s">
        <v>12</v>
      </c>
      <c r="I6268" t="s">
        <v>13</v>
      </c>
    </row>
    <row r="6269" spans="1:9" hidden="1" x14ac:dyDescent="0.25">
      <c r="A6269" t="s">
        <v>5160</v>
      </c>
      <c r="B6269" t="s">
        <v>76</v>
      </c>
      <c r="C6269" s="2">
        <f>HYPERLINK("https://cao.dolgi.msk.ru/account/1089008256/", 1089008256)</f>
        <v>1089008256</v>
      </c>
      <c r="D6269" t="s">
        <v>5184</v>
      </c>
      <c r="E6269">
        <v>-6607.4</v>
      </c>
      <c r="F6269">
        <v>-1.02</v>
      </c>
      <c r="G6269" t="s">
        <v>12</v>
      </c>
      <c r="I6269" t="s">
        <v>13</v>
      </c>
    </row>
    <row r="6270" spans="1:9" hidden="1" x14ac:dyDescent="0.25">
      <c r="A6270" t="s">
        <v>5160</v>
      </c>
      <c r="B6270" t="s">
        <v>78</v>
      </c>
      <c r="C6270" s="2">
        <f>HYPERLINK("https://cao.dolgi.msk.ru/account/1089114497/", 1089114497)</f>
        <v>1089114497</v>
      </c>
      <c r="D6270" t="s">
        <v>1082</v>
      </c>
      <c r="E6270">
        <v>-8544.27</v>
      </c>
      <c r="F6270">
        <v>-1</v>
      </c>
      <c r="G6270" t="s">
        <v>12</v>
      </c>
      <c r="I6270" t="s">
        <v>13</v>
      </c>
    </row>
    <row r="6271" spans="1:9" hidden="1" x14ac:dyDescent="0.25">
      <c r="A6271" t="s">
        <v>5160</v>
      </c>
      <c r="B6271" t="s">
        <v>80</v>
      </c>
      <c r="C6271" s="2">
        <f>HYPERLINK("https://cao.dolgi.msk.ru/account/1089114518/", 1089114518)</f>
        <v>1089114518</v>
      </c>
      <c r="D6271" t="s">
        <v>5185</v>
      </c>
      <c r="E6271">
        <v>-6938.97</v>
      </c>
      <c r="F6271">
        <v>-1.01</v>
      </c>
      <c r="G6271" t="s">
        <v>12</v>
      </c>
      <c r="I6271" t="s">
        <v>13</v>
      </c>
    </row>
    <row r="6272" spans="1:9" hidden="1" x14ac:dyDescent="0.25">
      <c r="A6272" t="s">
        <v>5160</v>
      </c>
      <c r="B6272" t="s">
        <v>82</v>
      </c>
      <c r="C6272" s="2">
        <f>HYPERLINK("https://cao.dolgi.msk.ru/account/1089114526/", 1089114526)</f>
        <v>1089114526</v>
      </c>
      <c r="D6272" t="s">
        <v>5186</v>
      </c>
      <c r="E6272">
        <v>-4912.46</v>
      </c>
      <c r="F6272">
        <v>-0.99</v>
      </c>
      <c r="G6272" t="s">
        <v>12</v>
      </c>
      <c r="I6272" t="s">
        <v>13</v>
      </c>
    </row>
    <row r="6273" spans="1:9" hidden="1" x14ac:dyDescent="0.25">
      <c r="A6273" t="s">
        <v>5160</v>
      </c>
      <c r="B6273" t="s">
        <v>84</v>
      </c>
      <c r="C6273" s="2">
        <f>HYPERLINK("https://cao.dolgi.msk.ru/account/1089114534/", 1089114534)</f>
        <v>1089114534</v>
      </c>
      <c r="D6273" t="s">
        <v>736</v>
      </c>
      <c r="E6273">
        <v>-1695.12</v>
      </c>
      <c r="F6273">
        <v>-0.4</v>
      </c>
      <c r="G6273" t="s">
        <v>12</v>
      </c>
      <c r="I6273" t="s">
        <v>13</v>
      </c>
    </row>
    <row r="6274" spans="1:9" hidden="1" x14ac:dyDescent="0.25">
      <c r="A6274" t="s">
        <v>5160</v>
      </c>
      <c r="B6274" t="s">
        <v>86</v>
      </c>
      <c r="C6274" s="2">
        <f>HYPERLINK("https://cao.dolgi.msk.ru/account/1089114542/", 1089114542)</f>
        <v>1089114542</v>
      </c>
      <c r="D6274" t="s">
        <v>5187</v>
      </c>
      <c r="E6274">
        <v>-3634.55</v>
      </c>
      <c r="F6274">
        <v>-1.05</v>
      </c>
      <c r="G6274" t="s">
        <v>12</v>
      </c>
      <c r="I6274" t="s">
        <v>13</v>
      </c>
    </row>
    <row r="6275" spans="1:9" hidden="1" x14ac:dyDescent="0.25">
      <c r="A6275" t="s">
        <v>5160</v>
      </c>
      <c r="B6275" t="s">
        <v>88</v>
      </c>
      <c r="C6275" s="2">
        <f>HYPERLINK("https://cao.dolgi.msk.ru/account/1089114569/", 1089114569)</f>
        <v>1089114569</v>
      </c>
      <c r="D6275" t="s">
        <v>5188</v>
      </c>
      <c r="E6275">
        <v>-7041.39</v>
      </c>
      <c r="F6275">
        <v>-1.01</v>
      </c>
      <c r="G6275" t="s">
        <v>12</v>
      </c>
      <c r="I6275" t="s">
        <v>13</v>
      </c>
    </row>
    <row r="6276" spans="1:9" hidden="1" x14ac:dyDescent="0.25">
      <c r="A6276" t="s">
        <v>5160</v>
      </c>
      <c r="B6276" t="s">
        <v>90</v>
      </c>
      <c r="C6276" s="2">
        <f>HYPERLINK("https://cao.dolgi.msk.ru/account/1089114577/", 1089114577)</f>
        <v>1089114577</v>
      </c>
      <c r="D6276" t="s">
        <v>5189</v>
      </c>
      <c r="E6276">
        <v>-1332.72</v>
      </c>
      <c r="F6276">
        <v>-0.18</v>
      </c>
      <c r="G6276" t="s">
        <v>12</v>
      </c>
      <c r="I6276" t="s">
        <v>13</v>
      </c>
    </row>
    <row r="6277" spans="1:9" hidden="1" x14ac:dyDescent="0.25">
      <c r="A6277" t="s">
        <v>5160</v>
      </c>
      <c r="B6277" t="s">
        <v>92</v>
      </c>
      <c r="C6277" s="2">
        <f>HYPERLINK("https://cao.dolgi.msk.ru/account/1089114585/", 1089114585)</f>
        <v>1089114585</v>
      </c>
      <c r="D6277" t="s">
        <v>5190</v>
      </c>
      <c r="E6277">
        <v>-7921.45</v>
      </c>
      <c r="F6277">
        <v>-1.38</v>
      </c>
      <c r="G6277" t="s">
        <v>12</v>
      </c>
      <c r="I6277" t="s">
        <v>13</v>
      </c>
    </row>
    <row r="6278" spans="1:9" hidden="1" x14ac:dyDescent="0.25">
      <c r="A6278" t="s">
        <v>5160</v>
      </c>
      <c r="B6278" t="s">
        <v>94</v>
      </c>
      <c r="C6278" s="2">
        <f>HYPERLINK("https://cao.dolgi.msk.ru/account/1089114593/", 1089114593)</f>
        <v>1089114593</v>
      </c>
      <c r="D6278" t="s">
        <v>5191</v>
      </c>
      <c r="E6278">
        <v>-5843.91</v>
      </c>
      <c r="F6278">
        <v>-0.5</v>
      </c>
      <c r="G6278" t="s">
        <v>12</v>
      </c>
      <c r="I6278" t="s">
        <v>13</v>
      </c>
    </row>
    <row r="6279" spans="1:9" hidden="1" x14ac:dyDescent="0.25">
      <c r="A6279" t="s">
        <v>5160</v>
      </c>
      <c r="B6279" t="s">
        <v>96</v>
      </c>
      <c r="C6279" s="2">
        <f>HYPERLINK("https://cao.dolgi.msk.ru/account/1089004386/", 1089004386)</f>
        <v>1089004386</v>
      </c>
      <c r="D6279" t="s">
        <v>15</v>
      </c>
      <c r="E6279">
        <v>0</v>
      </c>
      <c r="F6279">
        <v>0</v>
      </c>
      <c r="G6279" t="s">
        <v>12</v>
      </c>
      <c r="I6279" t="s">
        <v>13</v>
      </c>
    </row>
    <row r="6280" spans="1:9" hidden="1" x14ac:dyDescent="0.25">
      <c r="A6280" t="s">
        <v>5160</v>
      </c>
      <c r="B6280" t="s">
        <v>98</v>
      </c>
      <c r="C6280" s="2">
        <f>HYPERLINK("https://cao.dolgi.msk.ru/account/1089114606/", 1089114606)</f>
        <v>1089114606</v>
      </c>
      <c r="D6280" t="s">
        <v>5192</v>
      </c>
      <c r="E6280">
        <v>-4817.83</v>
      </c>
      <c r="F6280">
        <v>-1.01</v>
      </c>
      <c r="G6280" t="s">
        <v>12</v>
      </c>
      <c r="I6280" t="s">
        <v>13</v>
      </c>
    </row>
    <row r="6281" spans="1:9" hidden="1" x14ac:dyDescent="0.25">
      <c r="A6281" t="s">
        <v>5160</v>
      </c>
      <c r="B6281" t="s">
        <v>100</v>
      </c>
      <c r="C6281" s="2">
        <f>HYPERLINK("https://cao.dolgi.msk.ru/account/1089114614/", 1089114614)</f>
        <v>1089114614</v>
      </c>
      <c r="D6281" t="s">
        <v>1082</v>
      </c>
      <c r="E6281">
        <v>-7799.47</v>
      </c>
      <c r="F6281">
        <v>-1.08</v>
      </c>
      <c r="G6281" t="s">
        <v>12</v>
      </c>
      <c r="I6281" t="s">
        <v>13</v>
      </c>
    </row>
    <row r="6282" spans="1:9" hidden="1" x14ac:dyDescent="0.25">
      <c r="A6282" t="s">
        <v>5160</v>
      </c>
      <c r="B6282" t="s">
        <v>102</v>
      </c>
      <c r="C6282" s="2">
        <f>HYPERLINK("https://cao.dolgi.msk.ru/account/1089114622/", 1089114622)</f>
        <v>1089114622</v>
      </c>
      <c r="D6282" t="s">
        <v>5193</v>
      </c>
      <c r="E6282">
        <v>-5877.17</v>
      </c>
      <c r="F6282">
        <v>-1.06</v>
      </c>
      <c r="G6282" t="s">
        <v>12</v>
      </c>
      <c r="I6282" t="s">
        <v>13</v>
      </c>
    </row>
    <row r="6283" spans="1:9" hidden="1" x14ac:dyDescent="0.25">
      <c r="A6283" t="s">
        <v>5160</v>
      </c>
      <c r="B6283" t="s">
        <v>104</v>
      </c>
      <c r="C6283" s="2">
        <f>HYPERLINK("https://cao.dolgi.msk.ru/account/1089114649/", 1089114649)</f>
        <v>1089114649</v>
      </c>
      <c r="D6283" t="s">
        <v>5194</v>
      </c>
      <c r="E6283">
        <v>-4185.92</v>
      </c>
      <c r="F6283">
        <v>-0.97</v>
      </c>
      <c r="G6283" t="s">
        <v>12</v>
      </c>
      <c r="I6283" t="s">
        <v>13</v>
      </c>
    </row>
    <row r="6284" spans="1:9" hidden="1" x14ac:dyDescent="0.25">
      <c r="A6284" t="s">
        <v>5160</v>
      </c>
      <c r="B6284" t="s">
        <v>106</v>
      </c>
      <c r="C6284" s="2">
        <f>HYPERLINK("https://cao.dolgi.msk.ru/account/1089114657/", 1089114657)</f>
        <v>1089114657</v>
      </c>
      <c r="D6284" t="s">
        <v>5195</v>
      </c>
      <c r="E6284">
        <v>-6311.65</v>
      </c>
      <c r="F6284">
        <v>-1.08</v>
      </c>
      <c r="G6284" t="s">
        <v>12</v>
      </c>
      <c r="I6284" t="s">
        <v>13</v>
      </c>
    </row>
    <row r="6285" spans="1:9" hidden="1" x14ac:dyDescent="0.25">
      <c r="A6285" t="s">
        <v>5160</v>
      </c>
      <c r="B6285" t="s">
        <v>108</v>
      </c>
      <c r="C6285" s="2">
        <f>HYPERLINK("https://cao.dolgi.msk.ru/account/1089114665/", 1089114665)</f>
        <v>1089114665</v>
      </c>
      <c r="D6285" t="s">
        <v>5196</v>
      </c>
      <c r="E6285">
        <v>-5384.62</v>
      </c>
      <c r="F6285">
        <v>-1</v>
      </c>
      <c r="G6285" t="s">
        <v>12</v>
      </c>
      <c r="I6285" t="s">
        <v>13</v>
      </c>
    </row>
    <row r="6286" spans="1:9" hidden="1" x14ac:dyDescent="0.25">
      <c r="A6286" t="s">
        <v>5160</v>
      </c>
      <c r="B6286" t="s">
        <v>110</v>
      </c>
      <c r="C6286" s="2">
        <f>HYPERLINK("https://cao.dolgi.msk.ru/account/1089114673/", 1089114673)</f>
        <v>1089114673</v>
      </c>
      <c r="D6286" t="s">
        <v>5197</v>
      </c>
      <c r="E6286">
        <v>-249.77</v>
      </c>
      <c r="F6286">
        <v>-0.08</v>
      </c>
      <c r="G6286" t="s">
        <v>12</v>
      </c>
      <c r="I6286" t="s">
        <v>13</v>
      </c>
    </row>
    <row r="6287" spans="1:9" hidden="1" x14ac:dyDescent="0.25">
      <c r="A6287" t="s">
        <v>5160</v>
      </c>
      <c r="B6287" t="s">
        <v>112</v>
      </c>
      <c r="C6287" s="2">
        <f>HYPERLINK("https://cao.dolgi.msk.ru/account/1089004378/", 1089004378)</f>
        <v>1089004378</v>
      </c>
      <c r="D6287" t="s">
        <v>5198</v>
      </c>
      <c r="E6287">
        <v>-3987.73</v>
      </c>
      <c r="F6287">
        <v>-0.99</v>
      </c>
      <c r="G6287" t="s">
        <v>12</v>
      </c>
      <c r="I6287" t="s">
        <v>13</v>
      </c>
    </row>
    <row r="6288" spans="1:9" hidden="1" x14ac:dyDescent="0.25">
      <c r="A6288" t="s">
        <v>5160</v>
      </c>
      <c r="B6288" t="s">
        <v>114</v>
      </c>
      <c r="C6288" s="2">
        <f>HYPERLINK("https://cao.dolgi.msk.ru/account/1089114681/", 1089114681)</f>
        <v>1089114681</v>
      </c>
      <c r="D6288" t="s">
        <v>5199</v>
      </c>
      <c r="E6288">
        <v>-8073.15</v>
      </c>
      <c r="F6288">
        <v>-0.9</v>
      </c>
      <c r="G6288" t="s">
        <v>12</v>
      </c>
      <c r="I6288" t="s">
        <v>13</v>
      </c>
    </row>
    <row r="6289" spans="1:9" hidden="1" x14ac:dyDescent="0.25">
      <c r="A6289" t="s">
        <v>5160</v>
      </c>
      <c r="B6289" t="s">
        <v>116</v>
      </c>
      <c r="C6289" s="2">
        <f>HYPERLINK("https://cao.dolgi.msk.ru/account/1089114702/", 1089114702)</f>
        <v>1089114702</v>
      </c>
      <c r="D6289" t="s">
        <v>5200</v>
      </c>
      <c r="E6289">
        <v>-6567.83</v>
      </c>
      <c r="F6289">
        <v>-1</v>
      </c>
      <c r="G6289" t="s">
        <v>12</v>
      </c>
      <c r="I6289" t="s">
        <v>13</v>
      </c>
    </row>
    <row r="6290" spans="1:9" hidden="1" x14ac:dyDescent="0.25">
      <c r="A6290" t="s">
        <v>5160</v>
      </c>
      <c r="B6290" t="s">
        <v>118</v>
      </c>
      <c r="C6290" s="2">
        <f>HYPERLINK("https://cao.dolgi.msk.ru/account/1089114729/", 1089114729)</f>
        <v>1089114729</v>
      </c>
      <c r="D6290" t="s">
        <v>5201</v>
      </c>
      <c r="E6290">
        <v>-413.75</v>
      </c>
      <c r="F6290">
        <v>-7.0000000000000007E-2</v>
      </c>
      <c r="G6290" t="s">
        <v>12</v>
      </c>
      <c r="I6290" t="s">
        <v>13</v>
      </c>
    </row>
    <row r="6291" spans="1:9" hidden="1" x14ac:dyDescent="0.25">
      <c r="A6291" t="s">
        <v>5160</v>
      </c>
      <c r="B6291" t="s">
        <v>120</v>
      </c>
      <c r="C6291" s="2">
        <f>HYPERLINK("https://cao.dolgi.msk.ru/account/1089114737/", 1089114737)</f>
        <v>1089114737</v>
      </c>
      <c r="D6291" t="s">
        <v>5202</v>
      </c>
      <c r="E6291">
        <v>-3763.39</v>
      </c>
      <c r="F6291">
        <v>-1.01</v>
      </c>
      <c r="G6291" t="s">
        <v>12</v>
      </c>
      <c r="I6291" t="s">
        <v>13</v>
      </c>
    </row>
    <row r="6292" spans="1:9" hidden="1" x14ac:dyDescent="0.25">
      <c r="A6292" t="s">
        <v>5160</v>
      </c>
      <c r="B6292" t="s">
        <v>122</v>
      </c>
      <c r="C6292" s="2">
        <f>HYPERLINK("https://cao.dolgi.msk.ru/account/1089114745/", 1089114745)</f>
        <v>1089114745</v>
      </c>
      <c r="D6292" t="s">
        <v>5203</v>
      </c>
      <c r="E6292">
        <v>-4247.09</v>
      </c>
      <c r="F6292">
        <v>-1.02</v>
      </c>
      <c r="G6292" t="s">
        <v>12</v>
      </c>
      <c r="I6292" t="s">
        <v>13</v>
      </c>
    </row>
    <row r="6293" spans="1:9" hidden="1" x14ac:dyDescent="0.25">
      <c r="A6293" t="s">
        <v>5160</v>
      </c>
      <c r="B6293" t="s">
        <v>124</v>
      </c>
      <c r="C6293" s="2">
        <f>HYPERLINK("https://cao.dolgi.msk.ru/account/1089114753/", 1089114753)</f>
        <v>1089114753</v>
      </c>
      <c r="D6293" t="s">
        <v>5204</v>
      </c>
      <c r="E6293">
        <v>-10211.65</v>
      </c>
      <c r="F6293">
        <v>-1.1599999999999999</v>
      </c>
      <c r="G6293" t="s">
        <v>12</v>
      </c>
      <c r="I6293" t="s">
        <v>13</v>
      </c>
    </row>
    <row r="6294" spans="1:9" hidden="1" x14ac:dyDescent="0.25">
      <c r="A6294" t="s">
        <v>5160</v>
      </c>
      <c r="B6294" t="s">
        <v>126</v>
      </c>
      <c r="C6294" s="2">
        <f>HYPERLINK("https://cao.dolgi.msk.ru/account/1089114761/", 1089114761)</f>
        <v>1089114761</v>
      </c>
      <c r="D6294" t="s">
        <v>5205</v>
      </c>
      <c r="E6294">
        <v>-5206.32</v>
      </c>
      <c r="F6294">
        <v>-1.03</v>
      </c>
      <c r="G6294" t="s">
        <v>12</v>
      </c>
      <c r="I6294" t="s">
        <v>13</v>
      </c>
    </row>
    <row r="6295" spans="1:9" hidden="1" x14ac:dyDescent="0.25">
      <c r="A6295" t="s">
        <v>5160</v>
      </c>
      <c r="B6295" t="s">
        <v>128</v>
      </c>
      <c r="C6295" s="2">
        <f>HYPERLINK("https://cao.dolgi.msk.ru/account/1089114788/", 1089114788)</f>
        <v>1089114788</v>
      </c>
      <c r="D6295" t="s">
        <v>1082</v>
      </c>
      <c r="E6295">
        <v>-6398.73</v>
      </c>
      <c r="F6295">
        <v>-1.01</v>
      </c>
      <c r="G6295" t="s">
        <v>12</v>
      </c>
      <c r="I6295" t="s">
        <v>13</v>
      </c>
    </row>
    <row r="6296" spans="1:9" hidden="1" x14ac:dyDescent="0.25">
      <c r="A6296" t="s">
        <v>5160</v>
      </c>
      <c r="B6296" t="s">
        <v>130</v>
      </c>
      <c r="C6296" s="2">
        <f>HYPERLINK("https://cao.dolgi.msk.ru/account/1089114796/", 1089114796)</f>
        <v>1089114796</v>
      </c>
      <c r="D6296" t="s">
        <v>5206</v>
      </c>
      <c r="E6296">
        <v>-13878.34</v>
      </c>
      <c r="F6296">
        <v>-1.45</v>
      </c>
      <c r="G6296" t="s">
        <v>12</v>
      </c>
      <c r="I6296" t="s">
        <v>13</v>
      </c>
    </row>
    <row r="6297" spans="1:9" hidden="1" x14ac:dyDescent="0.25">
      <c r="A6297" t="s">
        <v>5160</v>
      </c>
      <c r="B6297" t="s">
        <v>132</v>
      </c>
      <c r="C6297" s="2">
        <f>HYPERLINK("https://cao.dolgi.msk.ru/account/1089114809/", 1089114809)</f>
        <v>1089114809</v>
      </c>
      <c r="D6297" t="s">
        <v>5207</v>
      </c>
      <c r="E6297">
        <v>-3579.19</v>
      </c>
      <c r="F6297">
        <v>-1.04</v>
      </c>
      <c r="G6297" t="s">
        <v>12</v>
      </c>
      <c r="I6297" t="s">
        <v>13</v>
      </c>
    </row>
    <row r="6298" spans="1:9" hidden="1" x14ac:dyDescent="0.25">
      <c r="A6298" t="s">
        <v>5160</v>
      </c>
      <c r="B6298" t="s">
        <v>133</v>
      </c>
      <c r="C6298" s="2">
        <f>HYPERLINK("https://cao.dolgi.msk.ru/account/1089114817/", 1089114817)</f>
        <v>1089114817</v>
      </c>
      <c r="D6298" t="s">
        <v>5208</v>
      </c>
      <c r="E6298">
        <v>-7262.71</v>
      </c>
      <c r="F6298">
        <v>-1.1399999999999999</v>
      </c>
      <c r="G6298" t="s">
        <v>12</v>
      </c>
      <c r="I6298" t="s">
        <v>13</v>
      </c>
    </row>
    <row r="6299" spans="1:9" hidden="1" x14ac:dyDescent="0.25">
      <c r="A6299" t="s">
        <v>5209</v>
      </c>
      <c r="B6299" t="s">
        <v>5210</v>
      </c>
      <c r="C6299" s="2">
        <f>HYPERLINK("https://cao.dolgi.msk.ru/account/1080019856/", 1080019856)</f>
        <v>1080019856</v>
      </c>
      <c r="D6299" t="s">
        <v>5211</v>
      </c>
      <c r="E6299">
        <v>2210.02</v>
      </c>
      <c r="G6299" t="s">
        <v>14</v>
      </c>
      <c r="I6299" t="s">
        <v>13</v>
      </c>
    </row>
    <row r="6300" spans="1:9" hidden="1" x14ac:dyDescent="0.25">
      <c r="A6300" t="s">
        <v>5209</v>
      </c>
      <c r="B6300" t="s">
        <v>5210</v>
      </c>
      <c r="C6300" s="2">
        <f>HYPERLINK("https://cao.dolgi.msk.ru/account/1083385974/", 1083385974)</f>
        <v>1083385974</v>
      </c>
      <c r="D6300" t="s">
        <v>5211</v>
      </c>
      <c r="E6300">
        <v>-8188.13</v>
      </c>
      <c r="F6300">
        <v>-0.7</v>
      </c>
      <c r="G6300" t="s">
        <v>12</v>
      </c>
      <c r="I6300" t="s">
        <v>13</v>
      </c>
    </row>
    <row r="6301" spans="1:9" hidden="1" x14ac:dyDescent="0.25">
      <c r="A6301" t="s">
        <v>5209</v>
      </c>
      <c r="B6301" t="s">
        <v>92</v>
      </c>
      <c r="C6301" s="2">
        <f>HYPERLINK("https://cao.dolgi.msk.ru/account/1080019864/", 1080019864)</f>
        <v>1080019864</v>
      </c>
      <c r="D6301" t="s">
        <v>5212</v>
      </c>
      <c r="E6301">
        <v>336.96</v>
      </c>
      <c r="G6301" t="s">
        <v>14</v>
      </c>
      <c r="I6301" t="s">
        <v>13</v>
      </c>
    </row>
    <row r="6302" spans="1:9" hidden="1" x14ac:dyDescent="0.25">
      <c r="A6302" t="s">
        <v>5209</v>
      </c>
      <c r="B6302" t="s">
        <v>94</v>
      </c>
      <c r="C6302" s="2">
        <f>HYPERLINK("https://cao.dolgi.msk.ru/account/1080019872/", 1080019872)</f>
        <v>1080019872</v>
      </c>
      <c r="D6302" t="s">
        <v>5213</v>
      </c>
      <c r="E6302">
        <v>23194.92</v>
      </c>
      <c r="G6302" t="s">
        <v>14</v>
      </c>
      <c r="I6302" t="s">
        <v>13</v>
      </c>
    </row>
    <row r="6303" spans="1:9" x14ac:dyDescent="0.25">
      <c r="A6303" t="s">
        <v>5209</v>
      </c>
      <c r="B6303" t="s">
        <v>94</v>
      </c>
      <c r="C6303" s="2">
        <f>HYPERLINK("https://cao.dolgi.msk.ru/account/1083385923/", 1083385923)</f>
        <v>1083385923</v>
      </c>
      <c r="D6303" t="s">
        <v>5213</v>
      </c>
      <c r="E6303">
        <v>19359.169999999998</v>
      </c>
      <c r="F6303">
        <v>2.44</v>
      </c>
      <c r="G6303" t="s">
        <v>12</v>
      </c>
      <c r="I6303" t="s">
        <v>13</v>
      </c>
    </row>
    <row r="6304" spans="1:9" hidden="1" x14ac:dyDescent="0.25">
      <c r="A6304" t="s">
        <v>5209</v>
      </c>
      <c r="B6304" t="s">
        <v>96</v>
      </c>
      <c r="C6304" s="2">
        <f>HYPERLINK("https://cao.dolgi.msk.ru/account/1080019899/", 1080019899)</f>
        <v>1080019899</v>
      </c>
      <c r="D6304" t="s">
        <v>15</v>
      </c>
      <c r="E6304">
        <v>0</v>
      </c>
      <c r="G6304" t="s">
        <v>14</v>
      </c>
      <c r="I6304" t="s">
        <v>13</v>
      </c>
    </row>
    <row r="6305" spans="1:9" hidden="1" x14ac:dyDescent="0.25">
      <c r="A6305" t="s">
        <v>5209</v>
      </c>
      <c r="B6305" t="s">
        <v>96</v>
      </c>
      <c r="C6305" s="2">
        <f>HYPERLINK("https://cao.dolgi.msk.ru/account/1083386053/", 1083386053)</f>
        <v>1083386053</v>
      </c>
      <c r="D6305" t="s">
        <v>15</v>
      </c>
      <c r="E6305">
        <v>-599.04</v>
      </c>
      <c r="F6305">
        <v>-0.1</v>
      </c>
      <c r="G6305" t="s">
        <v>12</v>
      </c>
      <c r="I6305" t="s">
        <v>13</v>
      </c>
    </row>
    <row r="6306" spans="1:9" hidden="1" x14ac:dyDescent="0.25">
      <c r="A6306" t="s">
        <v>5209</v>
      </c>
      <c r="B6306" t="s">
        <v>98</v>
      </c>
      <c r="C6306" s="2">
        <f>HYPERLINK("https://cao.dolgi.msk.ru/account/1080019901/", 1080019901)</f>
        <v>1080019901</v>
      </c>
      <c r="D6306" t="s">
        <v>5214</v>
      </c>
      <c r="E6306">
        <v>-175.35</v>
      </c>
      <c r="G6306" t="s">
        <v>14</v>
      </c>
      <c r="I6306" t="s">
        <v>13</v>
      </c>
    </row>
    <row r="6307" spans="1:9" hidden="1" x14ac:dyDescent="0.25">
      <c r="A6307" t="s">
        <v>5209</v>
      </c>
      <c r="B6307" t="s">
        <v>98</v>
      </c>
      <c r="C6307" s="2">
        <f>HYPERLINK("https://cao.dolgi.msk.ru/account/1080019928/", 1080019928)</f>
        <v>1080019928</v>
      </c>
      <c r="D6307" t="s">
        <v>5215</v>
      </c>
      <c r="G6307" t="s">
        <v>14</v>
      </c>
      <c r="I6307" t="s">
        <v>13</v>
      </c>
    </row>
    <row r="6308" spans="1:9" hidden="1" x14ac:dyDescent="0.25">
      <c r="A6308" t="s">
        <v>5209</v>
      </c>
      <c r="B6308" t="s">
        <v>98</v>
      </c>
      <c r="C6308" s="2">
        <f>HYPERLINK("https://cao.dolgi.msk.ru/account/1080019936/", 1080019936)</f>
        <v>1080019936</v>
      </c>
      <c r="D6308" t="s">
        <v>5214</v>
      </c>
      <c r="G6308" t="s">
        <v>14</v>
      </c>
      <c r="I6308" t="s">
        <v>13</v>
      </c>
    </row>
    <row r="6309" spans="1:9" hidden="1" x14ac:dyDescent="0.25">
      <c r="A6309" t="s">
        <v>5209</v>
      </c>
      <c r="B6309" t="s">
        <v>98</v>
      </c>
      <c r="C6309" s="2">
        <f>HYPERLINK("https://cao.dolgi.msk.ru/account/1083385931/", 1083385931)</f>
        <v>1083385931</v>
      </c>
      <c r="D6309" t="s">
        <v>5214</v>
      </c>
      <c r="E6309">
        <v>-10234.01</v>
      </c>
      <c r="F6309">
        <v>-0.93</v>
      </c>
      <c r="G6309" t="s">
        <v>12</v>
      </c>
      <c r="I6309" t="s">
        <v>13</v>
      </c>
    </row>
    <row r="6310" spans="1:9" hidden="1" x14ac:dyDescent="0.25">
      <c r="A6310" t="s">
        <v>5209</v>
      </c>
      <c r="B6310" t="s">
        <v>100</v>
      </c>
      <c r="C6310" s="2">
        <f>HYPERLINK("https://cao.dolgi.msk.ru/account/1080019944/", 1080019944)</f>
        <v>1080019944</v>
      </c>
      <c r="D6310" t="s">
        <v>5216</v>
      </c>
      <c r="E6310">
        <v>63.18</v>
      </c>
      <c r="G6310" t="s">
        <v>14</v>
      </c>
      <c r="I6310" t="s">
        <v>13</v>
      </c>
    </row>
    <row r="6311" spans="1:9" hidden="1" x14ac:dyDescent="0.25">
      <c r="A6311" t="s">
        <v>5209</v>
      </c>
      <c r="B6311" t="s">
        <v>100</v>
      </c>
      <c r="C6311" s="2">
        <f>HYPERLINK("https://cao.dolgi.msk.ru/account/1083385958/", 1083385958)</f>
        <v>1083385958</v>
      </c>
      <c r="D6311" t="s">
        <v>5216</v>
      </c>
      <c r="E6311">
        <v>-5249.21</v>
      </c>
      <c r="F6311">
        <v>-0.77</v>
      </c>
      <c r="G6311" t="s">
        <v>12</v>
      </c>
      <c r="I6311" t="s">
        <v>13</v>
      </c>
    </row>
    <row r="6312" spans="1:9" hidden="1" x14ac:dyDescent="0.25">
      <c r="A6312" t="s">
        <v>5209</v>
      </c>
      <c r="B6312" t="s">
        <v>102</v>
      </c>
      <c r="C6312" s="2">
        <f>HYPERLINK("https://cao.dolgi.msk.ru/account/1080019952/", 1080019952)</f>
        <v>1080019952</v>
      </c>
      <c r="D6312" t="s">
        <v>5217</v>
      </c>
      <c r="E6312">
        <v>-8493.82</v>
      </c>
      <c r="G6312" t="s">
        <v>14</v>
      </c>
      <c r="I6312" t="s">
        <v>13</v>
      </c>
    </row>
    <row r="6313" spans="1:9" hidden="1" x14ac:dyDescent="0.25">
      <c r="A6313" t="s">
        <v>5209</v>
      </c>
      <c r="B6313" t="s">
        <v>102</v>
      </c>
      <c r="C6313" s="2">
        <f>HYPERLINK("https://cao.dolgi.msk.ru/account/1083386088/", 1083386088)</f>
        <v>1083386088</v>
      </c>
      <c r="D6313" t="s">
        <v>5217</v>
      </c>
      <c r="E6313">
        <v>-5958.48</v>
      </c>
      <c r="F6313">
        <v>-0.94</v>
      </c>
      <c r="G6313" t="s">
        <v>12</v>
      </c>
      <c r="I6313" t="s">
        <v>13</v>
      </c>
    </row>
    <row r="6314" spans="1:9" hidden="1" x14ac:dyDescent="0.25">
      <c r="A6314" t="s">
        <v>5209</v>
      </c>
      <c r="B6314" t="s">
        <v>104</v>
      </c>
      <c r="C6314" s="2">
        <f>HYPERLINK("https://cao.dolgi.msk.ru/account/1080019979/", 1080019979)</f>
        <v>1080019979</v>
      </c>
      <c r="D6314" t="s">
        <v>5218</v>
      </c>
      <c r="E6314">
        <v>22.14</v>
      </c>
      <c r="F6314">
        <v>0.2</v>
      </c>
      <c r="G6314" t="s">
        <v>14</v>
      </c>
      <c r="I6314" t="s">
        <v>13</v>
      </c>
    </row>
    <row r="6315" spans="1:9" hidden="1" x14ac:dyDescent="0.25">
      <c r="A6315" t="s">
        <v>5209</v>
      </c>
      <c r="B6315" t="s">
        <v>104</v>
      </c>
      <c r="C6315" s="2">
        <f>HYPERLINK("https://cao.dolgi.msk.ru/account/1083385966/", 1083385966)</f>
        <v>1083385966</v>
      </c>
      <c r="D6315" t="s">
        <v>5218</v>
      </c>
      <c r="E6315">
        <v>-3550.25</v>
      </c>
      <c r="F6315">
        <v>-0.88</v>
      </c>
      <c r="G6315" t="s">
        <v>12</v>
      </c>
      <c r="I6315" t="s">
        <v>13</v>
      </c>
    </row>
    <row r="6316" spans="1:9" hidden="1" x14ac:dyDescent="0.25">
      <c r="A6316" t="s">
        <v>5209</v>
      </c>
      <c r="B6316" t="s">
        <v>106</v>
      </c>
      <c r="C6316" s="2">
        <f>HYPERLINK("https://cao.dolgi.msk.ru/account/1080019987/", 1080019987)</f>
        <v>1080019987</v>
      </c>
      <c r="D6316" t="s">
        <v>5219</v>
      </c>
      <c r="E6316">
        <v>-78.27</v>
      </c>
      <c r="G6316" t="s">
        <v>14</v>
      </c>
      <c r="I6316" t="s">
        <v>13</v>
      </c>
    </row>
    <row r="6317" spans="1:9" hidden="1" x14ac:dyDescent="0.25">
      <c r="A6317" t="s">
        <v>5209</v>
      </c>
      <c r="B6317" t="s">
        <v>106</v>
      </c>
      <c r="C6317" s="2">
        <f>HYPERLINK("https://cao.dolgi.msk.ru/account/1083385982/", 1083385982)</f>
        <v>1083385982</v>
      </c>
      <c r="D6317" t="s">
        <v>5219</v>
      </c>
      <c r="E6317">
        <v>0</v>
      </c>
      <c r="F6317">
        <v>0</v>
      </c>
      <c r="G6317" t="s">
        <v>12</v>
      </c>
      <c r="I6317" t="s">
        <v>13</v>
      </c>
    </row>
    <row r="6318" spans="1:9" hidden="1" x14ac:dyDescent="0.25">
      <c r="A6318" t="s">
        <v>5209</v>
      </c>
      <c r="B6318" t="s">
        <v>108</v>
      </c>
      <c r="C6318" s="2">
        <f>HYPERLINK("https://cao.dolgi.msk.ru/account/1080019995/", 1080019995)</f>
        <v>1080019995</v>
      </c>
      <c r="D6318" t="s">
        <v>5220</v>
      </c>
      <c r="E6318">
        <v>-15.38</v>
      </c>
      <c r="G6318" t="s">
        <v>14</v>
      </c>
      <c r="I6318" t="s">
        <v>13</v>
      </c>
    </row>
    <row r="6319" spans="1:9" hidden="1" x14ac:dyDescent="0.25">
      <c r="A6319" t="s">
        <v>5209</v>
      </c>
      <c r="B6319" t="s">
        <v>108</v>
      </c>
      <c r="C6319" s="2">
        <f>HYPERLINK("https://cao.dolgi.msk.ru/account/1083385907/", 1083385907)</f>
        <v>1083385907</v>
      </c>
      <c r="D6319" t="s">
        <v>5220</v>
      </c>
      <c r="E6319">
        <v>0</v>
      </c>
      <c r="F6319">
        <v>0</v>
      </c>
      <c r="G6319" t="s">
        <v>12</v>
      </c>
      <c r="I6319" t="s">
        <v>13</v>
      </c>
    </row>
    <row r="6320" spans="1:9" hidden="1" x14ac:dyDescent="0.25">
      <c r="A6320" t="s">
        <v>5209</v>
      </c>
      <c r="B6320" t="s">
        <v>110</v>
      </c>
      <c r="C6320" s="2">
        <f>HYPERLINK("https://cao.dolgi.msk.ru/account/1080020005/", 1080020005)</f>
        <v>1080020005</v>
      </c>
      <c r="D6320" t="s">
        <v>5221</v>
      </c>
      <c r="E6320">
        <v>-256.27</v>
      </c>
      <c r="G6320" t="s">
        <v>14</v>
      </c>
      <c r="I6320" t="s">
        <v>13</v>
      </c>
    </row>
    <row r="6321" spans="1:9" hidden="1" x14ac:dyDescent="0.25">
      <c r="A6321" t="s">
        <v>5209</v>
      </c>
      <c r="B6321" t="s">
        <v>110</v>
      </c>
      <c r="C6321" s="2">
        <f>HYPERLINK("https://cao.dolgi.msk.ru/account/1083385915/", 1083385915)</f>
        <v>1083385915</v>
      </c>
      <c r="D6321" t="s">
        <v>5221</v>
      </c>
      <c r="E6321">
        <v>0</v>
      </c>
      <c r="F6321">
        <v>0</v>
      </c>
      <c r="G6321" t="s">
        <v>12</v>
      </c>
      <c r="I6321" t="s">
        <v>13</v>
      </c>
    </row>
    <row r="6322" spans="1:9" hidden="1" x14ac:dyDescent="0.25">
      <c r="A6322" t="s">
        <v>5209</v>
      </c>
      <c r="B6322" t="s">
        <v>112</v>
      </c>
      <c r="C6322" s="2">
        <f>HYPERLINK("https://cao.dolgi.msk.ru/account/1080020013/", 1080020013)</f>
        <v>1080020013</v>
      </c>
      <c r="D6322" t="s">
        <v>5222</v>
      </c>
      <c r="E6322">
        <v>-48.7</v>
      </c>
      <c r="G6322" t="s">
        <v>14</v>
      </c>
      <c r="I6322" t="s">
        <v>13</v>
      </c>
    </row>
    <row r="6323" spans="1:9" hidden="1" x14ac:dyDescent="0.25">
      <c r="A6323" t="s">
        <v>5209</v>
      </c>
      <c r="B6323" t="s">
        <v>112</v>
      </c>
      <c r="C6323" s="2">
        <f>HYPERLINK("https://cao.dolgi.msk.ru/account/1083386037/", 1083386037)</f>
        <v>1083386037</v>
      </c>
      <c r="D6323" t="s">
        <v>5222</v>
      </c>
      <c r="E6323">
        <v>-4177.8100000000004</v>
      </c>
      <c r="F6323">
        <v>-0.95</v>
      </c>
      <c r="G6323" t="s">
        <v>12</v>
      </c>
      <c r="I6323" t="s">
        <v>13</v>
      </c>
    </row>
    <row r="6324" spans="1:9" hidden="1" x14ac:dyDescent="0.25">
      <c r="A6324" t="s">
        <v>5209</v>
      </c>
      <c r="B6324" t="s">
        <v>114</v>
      </c>
      <c r="C6324" s="2">
        <f>HYPERLINK("https://cao.dolgi.msk.ru/account/1080020021/", 1080020021)</f>
        <v>1080020021</v>
      </c>
      <c r="D6324" t="s">
        <v>5223</v>
      </c>
      <c r="E6324">
        <v>-19.420000000000002</v>
      </c>
      <c r="G6324" t="s">
        <v>14</v>
      </c>
      <c r="I6324" t="s">
        <v>13</v>
      </c>
    </row>
    <row r="6325" spans="1:9" hidden="1" x14ac:dyDescent="0.25">
      <c r="A6325" t="s">
        <v>5209</v>
      </c>
      <c r="B6325" t="s">
        <v>114</v>
      </c>
      <c r="C6325" s="2">
        <f>HYPERLINK("https://cao.dolgi.msk.ru/account/1083386045/", 1083386045)</f>
        <v>1083386045</v>
      </c>
      <c r="D6325" t="s">
        <v>5223</v>
      </c>
      <c r="E6325">
        <v>-7816.91</v>
      </c>
      <c r="F6325">
        <v>-0.94</v>
      </c>
      <c r="G6325" t="s">
        <v>12</v>
      </c>
      <c r="I6325" t="s">
        <v>13</v>
      </c>
    </row>
    <row r="6326" spans="1:9" hidden="1" x14ac:dyDescent="0.25">
      <c r="A6326" t="s">
        <v>5209</v>
      </c>
      <c r="B6326" t="s">
        <v>116</v>
      </c>
      <c r="C6326" s="2">
        <f>HYPERLINK("https://cao.dolgi.msk.ru/account/1080020048/", 1080020048)</f>
        <v>1080020048</v>
      </c>
      <c r="D6326" t="s">
        <v>5224</v>
      </c>
      <c r="E6326">
        <v>97.4</v>
      </c>
      <c r="F6326">
        <v>0.09</v>
      </c>
      <c r="G6326" t="s">
        <v>14</v>
      </c>
      <c r="I6326" t="s">
        <v>13</v>
      </c>
    </row>
    <row r="6327" spans="1:9" hidden="1" x14ac:dyDescent="0.25">
      <c r="A6327" t="s">
        <v>5209</v>
      </c>
      <c r="B6327" t="s">
        <v>116</v>
      </c>
      <c r="C6327" s="2">
        <f>HYPERLINK("https://cao.dolgi.msk.ru/account/1083386061/", 1083386061)</f>
        <v>1083386061</v>
      </c>
      <c r="D6327" t="s">
        <v>5224</v>
      </c>
      <c r="E6327">
        <v>-5124.59</v>
      </c>
      <c r="F6327">
        <v>-0.92</v>
      </c>
      <c r="G6327" t="s">
        <v>12</v>
      </c>
      <c r="I6327" t="s">
        <v>13</v>
      </c>
    </row>
    <row r="6328" spans="1:9" hidden="1" x14ac:dyDescent="0.25">
      <c r="A6328" t="s">
        <v>5209</v>
      </c>
      <c r="B6328" t="s">
        <v>118</v>
      </c>
      <c r="C6328" s="2">
        <f>HYPERLINK("https://cao.dolgi.msk.ru/account/1080020056/", 1080020056)</f>
        <v>1080020056</v>
      </c>
      <c r="D6328" t="s">
        <v>62</v>
      </c>
      <c r="E6328">
        <v>9692.4</v>
      </c>
      <c r="G6328" t="s">
        <v>14</v>
      </c>
      <c r="I6328" t="s">
        <v>13</v>
      </c>
    </row>
    <row r="6329" spans="1:9" hidden="1" x14ac:dyDescent="0.25">
      <c r="A6329" t="s">
        <v>5209</v>
      </c>
      <c r="B6329" t="s">
        <v>118</v>
      </c>
      <c r="C6329" s="2">
        <f>HYPERLINK("https://cao.dolgi.msk.ru/account/1083386002/", 1083386002)</f>
        <v>1083386002</v>
      </c>
      <c r="D6329" t="s">
        <v>62</v>
      </c>
      <c r="E6329">
        <v>0</v>
      </c>
      <c r="F6329">
        <v>0</v>
      </c>
      <c r="G6329" t="s">
        <v>12</v>
      </c>
      <c r="I6329" t="s">
        <v>13</v>
      </c>
    </row>
    <row r="6330" spans="1:9" hidden="1" x14ac:dyDescent="0.25">
      <c r="A6330" t="s">
        <v>5209</v>
      </c>
      <c r="B6330" t="s">
        <v>120</v>
      </c>
      <c r="C6330" s="2">
        <f>HYPERLINK("https://cao.dolgi.msk.ru/account/1080020064/", 1080020064)</f>
        <v>1080020064</v>
      </c>
      <c r="D6330" t="s">
        <v>5225</v>
      </c>
      <c r="E6330">
        <v>1199.74</v>
      </c>
      <c r="F6330">
        <v>1.1200000000000001</v>
      </c>
      <c r="G6330" t="s">
        <v>14</v>
      </c>
      <c r="I6330" t="s">
        <v>13</v>
      </c>
    </row>
    <row r="6331" spans="1:9" hidden="1" x14ac:dyDescent="0.25">
      <c r="A6331" t="s">
        <v>5209</v>
      </c>
      <c r="B6331" t="s">
        <v>120</v>
      </c>
      <c r="C6331" s="2">
        <f>HYPERLINK("https://cao.dolgi.msk.ru/account/1083386096/", 1083386096)</f>
        <v>1083386096</v>
      </c>
      <c r="D6331" t="s">
        <v>5225</v>
      </c>
      <c r="E6331">
        <v>-6373.91</v>
      </c>
      <c r="F6331">
        <v>-0.97</v>
      </c>
      <c r="G6331" t="s">
        <v>12</v>
      </c>
      <c r="I6331" t="s">
        <v>13</v>
      </c>
    </row>
    <row r="6332" spans="1:9" hidden="1" x14ac:dyDescent="0.25">
      <c r="A6332" t="s">
        <v>5209</v>
      </c>
      <c r="B6332" t="s">
        <v>122</v>
      </c>
      <c r="C6332" s="2">
        <f>HYPERLINK("https://cao.dolgi.msk.ru/account/1080020072/", 1080020072)</f>
        <v>1080020072</v>
      </c>
      <c r="D6332" t="s">
        <v>5226</v>
      </c>
      <c r="E6332">
        <v>0</v>
      </c>
      <c r="F6332">
        <v>0</v>
      </c>
      <c r="G6332" t="s">
        <v>14</v>
      </c>
      <c r="I6332" t="s">
        <v>13</v>
      </c>
    </row>
    <row r="6333" spans="1:9" hidden="1" x14ac:dyDescent="0.25">
      <c r="A6333" t="s">
        <v>5209</v>
      </c>
      <c r="B6333" t="s">
        <v>122</v>
      </c>
      <c r="C6333" s="2">
        <f>HYPERLINK("https://cao.dolgi.msk.ru/account/1083386029/", 1083386029)</f>
        <v>1083386029</v>
      </c>
      <c r="D6333" t="s">
        <v>5226</v>
      </c>
      <c r="E6333">
        <v>-6083.19</v>
      </c>
      <c r="F6333">
        <v>-0.97</v>
      </c>
      <c r="G6333" t="s">
        <v>12</v>
      </c>
      <c r="I6333" t="s">
        <v>13</v>
      </c>
    </row>
    <row r="6334" spans="1:9" hidden="1" x14ac:dyDescent="0.25">
      <c r="A6334" t="s">
        <v>5227</v>
      </c>
      <c r="B6334" t="s">
        <v>16</v>
      </c>
      <c r="C6334" s="2">
        <f>HYPERLINK("https://cao.dolgi.msk.ru/account/1083284794/", 1083284794)</f>
        <v>1083284794</v>
      </c>
      <c r="D6334" t="s">
        <v>15</v>
      </c>
      <c r="E6334">
        <v>124319.58</v>
      </c>
      <c r="G6334" t="s">
        <v>14</v>
      </c>
      <c r="I6334" t="s">
        <v>13</v>
      </c>
    </row>
    <row r="6335" spans="1:9" x14ac:dyDescent="0.25">
      <c r="A6335" t="s">
        <v>5227</v>
      </c>
      <c r="B6335" t="s">
        <v>16</v>
      </c>
      <c r="C6335" s="2">
        <f>HYPERLINK("https://cao.dolgi.msk.ru/account/1083390802/", 1083390802)</f>
        <v>1083390802</v>
      </c>
      <c r="D6335" t="s">
        <v>15</v>
      </c>
      <c r="E6335">
        <v>167602.31</v>
      </c>
      <c r="F6335">
        <v>32.29</v>
      </c>
      <c r="G6335" t="s">
        <v>12</v>
      </c>
      <c r="I6335" t="s">
        <v>13</v>
      </c>
    </row>
    <row r="6336" spans="1:9" hidden="1" x14ac:dyDescent="0.25">
      <c r="A6336" t="s">
        <v>5227</v>
      </c>
      <c r="B6336" t="s">
        <v>18</v>
      </c>
      <c r="C6336" s="2">
        <f>HYPERLINK("https://cao.dolgi.msk.ru/account/1083284807/", 1083284807)</f>
        <v>1083284807</v>
      </c>
      <c r="D6336" t="s">
        <v>15</v>
      </c>
      <c r="E6336">
        <v>127366.34</v>
      </c>
      <c r="G6336" t="s">
        <v>14</v>
      </c>
      <c r="I6336" t="s">
        <v>13</v>
      </c>
    </row>
    <row r="6337" spans="1:9" x14ac:dyDescent="0.25">
      <c r="A6337" t="s">
        <v>5227</v>
      </c>
      <c r="B6337" t="s">
        <v>18</v>
      </c>
      <c r="C6337" s="2">
        <f>HYPERLINK("https://cao.dolgi.msk.ru/account/1083390837/", 1083390837)</f>
        <v>1083390837</v>
      </c>
      <c r="D6337" t="s">
        <v>15</v>
      </c>
      <c r="E6337">
        <v>171378.24</v>
      </c>
      <c r="F6337">
        <v>32.29</v>
      </c>
      <c r="G6337" t="s">
        <v>12</v>
      </c>
      <c r="I6337" t="s">
        <v>13</v>
      </c>
    </row>
    <row r="6338" spans="1:9" hidden="1" x14ac:dyDescent="0.25">
      <c r="A6338" t="s">
        <v>5227</v>
      </c>
      <c r="B6338" t="s">
        <v>20</v>
      </c>
      <c r="C6338" s="2">
        <f>HYPERLINK("https://cao.dolgi.msk.ru/account/1083284815/", 1083284815)</f>
        <v>1083284815</v>
      </c>
      <c r="D6338" t="s">
        <v>15</v>
      </c>
      <c r="E6338">
        <v>128582.9</v>
      </c>
      <c r="G6338" t="s">
        <v>14</v>
      </c>
      <c r="I6338" t="s">
        <v>13</v>
      </c>
    </row>
    <row r="6339" spans="1:9" x14ac:dyDescent="0.25">
      <c r="A6339" t="s">
        <v>5227</v>
      </c>
      <c r="B6339" t="s">
        <v>20</v>
      </c>
      <c r="C6339" s="2">
        <f>HYPERLINK("https://cao.dolgi.msk.ru/account/1083390845/", 1083390845)</f>
        <v>1083390845</v>
      </c>
      <c r="D6339" t="s">
        <v>15</v>
      </c>
      <c r="E6339">
        <v>173022.63</v>
      </c>
      <c r="F6339">
        <v>32.29</v>
      </c>
      <c r="G6339" t="s">
        <v>12</v>
      </c>
      <c r="I6339" t="s">
        <v>13</v>
      </c>
    </row>
    <row r="6340" spans="1:9" hidden="1" x14ac:dyDescent="0.25">
      <c r="A6340" t="s">
        <v>5227</v>
      </c>
      <c r="B6340" t="s">
        <v>21</v>
      </c>
      <c r="C6340" s="2">
        <f>HYPERLINK("https://cao.dolgi.msk.ru/account/1083284946/", 1083284946)</f>
        <v>1083284946</v>
      </c>
      <c r="D6340" t="s">
        <v>15</v>
      </c>
      <c r="E6340">
        <v>400088.38</v>
      </c>
      <c r="F6340">
        <v>696.61</v>
      </c>
      <c r="G6340" t="s">
        <v>14</v>
      </c>
      <c r="I6340" t="s">
        <v>13</v>
      </c>
    </row>
    <row r="6341" spans="1:9" x14ac:dyDescent="0.25">
      <c r="A6341" t="s">
        <v>5227</v>
      </c>
      <c r="B6341" t="s">
        <v>21</v>
      </c>
      <c r="C6341" s="2">
        <f>HYPERLINK("https://cao.dolgi.msk.ru/account/1083390829/", 1083390829)</f>
        <v>1083390829</v>
      </c>
      <c r="D6341" t="s">
        <v>15</v>
      </c>
      <c r="E6341">
        <v>539226.31999999995</v>
      </c>
      <c r="F6341">
        <v>32.29</v>
      </c>
      <c r="G6341" t="s">
        <v>12</v>
      </c>
      <c r="I6341" t="s">
        <v>13</v>
      </c>
    </row>
    <row r="6342" spans="1:9" hidden="1" x14ac:dyDescent="0.25">
      <c r="A6342" t="s">
        <v>5228</v>
      </c>
      <c r="B6342" t="s">
        <v>24</v>
      </c>
      <c r="C6342" s="2">
        <f>HYPERLINK("https://cao.dolgi.msk.ru/account/1080019514/", 1080019514)</f>
        <v>1080019514</v>
      </c>
      <c r="D6342" t="s">
        <v>5229</v>
      </c>
      <c r="E6342">
        <v>0</v>
      </c>
      <c r="G6342" t="s">
        <v>14</v>
      </c>
      <c r="I6342" t="s">
        <v>13</v>
      </c>
    </row>
    <row r="6343" spans="1:9" hidden="1" x14ac:dyDescent="0.25">
      <c r="A6343" t="s">
        <v>5228</v>
      </c>
      <c r="B6343" t="s">
        <v>24</v>
      </c>
      <c r="C6343" s="2">
        <f>HYPERLINK("https://cao.dolgi.msk.ru/account/1083386168/", 1083386168)</f>
        <v>1083386168</v>
      </c>
      <c r="D6343" t="s">
        <v>5229</v>
      </c>
      <c r="E6343">
        <v>16869.28</v>
      </c>
      <c r="F6343">
        <v>0.98</v>
      </c>
      <c r="G6343" t="s">
        <v>12</v>
      </c>
      <c r="I6343" t="s">
        <v>13</v>
      </c>
    </row>
    <row r="6344" spans="1:9" hidden="1" x14ac:dyDescent="0.25">
      <c r="A6344" t="s">
        <v>5228</v>
      </c>
      <c r="B6344" t="s">
        <v>29</v>
      </c>
      <c r="C6344" s="2">
        <f>HYPERLINK("https://cao.dolgi.msk.ru/account/1080019557/", 1080019557)</f>
        <v>1080019557</v>
      </c>
      <c r="D6344" t="s">
        <v>5230</v>
      </c>
      <c r="E6344">
        <v>-1574.51</v>
      </c>
      <c r="G6344" t="s">
        <v>14</v>
      </c>
      <c r="I6344" t="s">
        <v>13</v>
      </c>
    </row>
    <row r="6345" spans="1:9" hidden="1" x14ac:dyDescent="0.25">
      <c r="A6345" t="s">
        <v>5228</v>
      </c>
      <c r="B6345" t="s">
        <v>29</v>
      </c>
      <c r="C6345" s="2">
        <f>HYPERLINK("https://cao.dolgi.msk.ru/account/1083386192/", 1083386192)</f>
        <v>1083386192</v>
      </c>
      <c r="D6345" t="s">
        <v>5230</v>
      </c>
      <c r="E6345">
        <v>19806.240000000002</v>
      </c>
      <c r="F6345">
        <v>1</v>
      </c>
      <c r="G6345" t="s">
        <v>12</v>
      </c>
      <c r="I6345" t="s">
        <v>13</v>
      </c>
    </row>
    <row r="6346" spans="1:9" hidden="1" x14ac:dyDescent="0.25">
      <c r="A6346" t="s">
        <v>5228</v>
      </c>
      <c r="B6346" t="s">
        <v>36</v>
      </c>
      <c r="C6346" s="2">
        <f>HYPERLINK("https://cao.dolgi.msk.ru/account/1080019629/", 1080019629)</f>
        <v>1080019629</v>
      </c>
      <c r="D6346" t="s">
        <v>62</v>
      </c>
      <c r="E6346">
        <v>0</v>
      </c>
      <c r="G6346" t="s">
        <v>14</v>
      </c>
      <c r="I6346" t="s">
        <v>13</v>
      </c>
    </row>
    <row r="6347" spans="1:9" hidden="1" x14ac:dyDescent="0.25">
      <c r="A6347" t="s">
        <v>5228</v>
      </c>
      <c r="B6347" t="s">
        <v>36</v>
      </c>
      <c r="C6347" s="2">
        <f>HYPERLINK("https://cao.dolgi.msk.ru/account/1083386328/", 1083386328)</f>
        <v>1083386328</v>
      </c>
      <c r="D6347" t="s">
        <v>62</v>
      </c>
      <c r="E6347">
        <v>-15792.86</v>
      </c>
      <c r="F6347">
        <v>-1.1100000000000001</v>
      </c>
      <c r="G6347" t="s">
        <v>12</v>
      </c>
      <c r="I6347" t="s">
        <v>13</v>
      </c>
    </row>
    <row r="6348" spans="1:9" hidden="1" x14ac:dyDescent="0.25">
      <c r="A6348" t="s">
        <v>5228</v>
      </c>
      <c r="B6348" t="s">
        <v>38</v>
      </c>
      <c r="C6348" s="2">
        <f>HYPERLINK("https://cao.dolgi.msk.ru/account/1080019637/", 1080019637)</f>
        <v>1080019637</v>
      </c>
      <c r="D6348" t="s">
        <v>5231</v>
      </c>
      <c r="E6348">
        <v>-5277.98</v>
      </c>
      <c r="G6348" t="s">
        <v>14</v>
      </c>
      <c r="I6348" t="s">
        <v>13</v>
      </c>
    </row>
    <row r="6349" spans="1:9" hidden="1" x14ac:dyDescent="0.25">
      <c r="A6349" t="s">
        <v>5228</v>
      </c>
      <c r="B6349" t="s">
        <v>38</v>
      </c>
      <c r="C6349" s="2">
        <f>HYPERLINK("https://cao.dolgi.msk.ru/account/1083386272/", 1083386272)</f>
        <v>1083386272</v>
      </c>
      <c r="D6349" t="s">
        <v>5231</v>
      </c>
      <c r="E6349">
        <v>0</v>
      </c>
      <c r="F6349">
        <v>0</v>
      </c>
      <c r="G6349" t="s">
        <v>12</v>
      </c>
      <c r="I6349" t="s">
        <v>13</v>
      </c>
    </row>
    <row r="6350" spans="1:9" hidden="1" x14ac:dyDescent="0.25">
      <c r="A6350" t="s">
        <v>5228</v>
      </c>
      <c r="B6350" t="s">
        <v>39</v>
      </c>
      <c r="C6350" s="2">
        <f>HYPERLINK("https://cao.dolgi.msk.ru/account/1080019661/", 1080019661)</f>
        <v>1080019661</v>
      </c>
      <c r="D6350" t="s">
        <v>5232</v>
      </c>
      <c r="E6350">
        <v>16.28</v>
      </c>
      <c r="G6350" t="s">
        <v>14</v>
      </c>
      <c r="I6350" t="s">
        <v>13</v>
      </c>
    </row>
    <row r="6351" spans="1:9" hidden="1" x14ac:dyDescent="0.25">
      <c r="A6351" t="s">
        <v>5228</v>
      </c>
      <c r="B6351" t="s">
        <v>39</v>
      </c>
      <c r="C6351" s="2">
        <f>HYPERLINK("https://cao.dolgi.msk.ru/account/1083386256/", 1083386256)</f>
        <v>1083386256</v>
      </c>
      <c r="D6351" t="s">
        <v>5232</v>
      </c>
      <c r="E6351">
        <v>-142.06</v>
      </c>
      <c r="F6351">
        <v>-0.03</v>
      </c>
      <c r="G6351" t="s">
        <v>12</v>
      </c>
      <c r="I6351" t="s">
        <v>13</v>
      </c>
    </row>
    <row r="6352" spans="1:9" hidden="1" x14ac:dyDescent="0.25">
      <c r="A6352" t="s">
        <v>5228</v>
      </c>
      <c r="B6352" t="s">
        <v>40</v>
      </c>
      <c r="C6352" s="2">
        <f>HYPERLINK("https://cao.dolgi.msk.ru/account/1080019688/", 1080019688)</f>
        <v>1080019688</v>
      </c>
      <c r="D6352" t="s">
        <v>5233</v>
      </c>
      <c r="E6352">
        <v>0</v>
      </c>
      <c r="F6352">
        <v>0</v>
      </c>
      <c r="G6352" t="s">
        <v>14</v>
      </c>
      <c r="I6352" t="s">
        <v>13</v>
      </c>
    </row>
    <row r="6353" spans="1:9" hidden="1" x14ac:dyDescent="0.25">
      <c r="A6353" t="s">
        <v>5228</v>
      </c>
      <c r="B6353" t="s">
        <v>40</v>
      </c>
      <c r="C6353" s="2">
        <f>HYPERLINK("https://cao.dolgi.msk.ru/account/1083386205/", 1083386205)</f>
        <v>1083386205</v>
      </c>
      <c r="D6353" t="s">
        <v>5233</v>
      </c>
      <c r="E6353">
        <v>-4835.62</v>
      </c>
      <c r="F6353">
        <v>-1.1000000000000001</v>
      </c>
      <c r="G6353" t="s">
        <v>12</v>
      </c>
      <c r="I6353" t="s">
        <v>13</v>
      </c>
    </row>
    <row r="6354" spans="1:9" hidden="1" x14ac:dyDescent="0.25">
      <c r="A6354" t="s">
        <v>5228</v>
      </c>
      <c r="B6354" t="s">
        <v>41</v>
      </c>
      <c r="C6354" s="2">
        <f>HYPERLINK("https://cao.dolgi.msk.ru/account/1080019696/", 1080019696)</f>
        <v>1080019696</v>
      </c>
      <c r="D6354" t="s">
        <v>5234</v>
      </c>
      <c r="E6354">
        <v>0</v>
      </c>
      <c r="G6354" t="s">
        <v>14</v>
      </c>
      <c r="I6354" t="s">
        <v>13</v>
      </c>
    </row>
    <row r="6355" spans="1:9" hidden="1" x14ac:dyDescent="0.25">
      <c r="A6355" t="s">
        <v>5228</v>
      </c>
      <c r="B6355" t="s">
        <v>41</v>
      </c>
      <c r="C6355" s="2">
        <f>HYPERLINK("https://cao.dolgi.msk.ru/account/1083386176/", 1083386176)</f>
        <v>1083386176</v>
      </c>
      <c r="D6355" t="s">
        <v>5234</v>
      </c>
      <c r="E6355">
        <v>0</v>
      </c>
      <c r="F6355">
        <v>0</v>
      </c>
      <c r="G6355" t="s">
        <v>12</v>
      </c>
      <c r="I6355" t="s">
        <v>13</v>
      </c>
    </row>
    <row r="6356" spans="1:9" hidden="1" x14ac:dyDescent="0.25">
      <c r="A6356" t="s">
        <v>5228</v>
      </c>
      <c r="B6356" t="s">
        <v>42</v>
      </c>
      <c r="C6356" s="2">
        <f>HYPERLINK("https://cao.dolgi.msk.ru/account/1080019709/", 1080019709)</f>
        <v>1080019709</v>
      </c>
      <c r="D6356" t="s">
        <v>5235</v>
      </c>
      <c r="E6356">
        <v>903.36</v>
      </c>
      <c r="F6356">
        <v>1</v>
      </c>
      <c r="G6356" t="s">
        <v>14</v>
      </c>
      <c r="I6356" t="s">
        <v>13</v>
      </c>
    </row>
    <row r="6357" spans="1:9" hidden="1" x14ac:dyDescent="0.25">
      <c r="A6357" t="s">
        <v>5228</v>
      </c>
      <c r="B6357" t="s">
        <v>42</v>
      </c>
      <c r="C6357" s="2">
        <f>HYPERLINK("https://cao.dolgi.msk.ru/account/1083386213/", 1083386213)</f>
        <v>1083386213</v>
      </c>
      <c r="D6357" t="s">
        <v>5235</v>
      </c>
      <c r="E6357">
        <v>0</v>
      </c>
      <c r="F6357">
        <v>0</v>
      </c>
      <c r="G6357" t="s">
        <v>12</v>
      </c>
      <c r="I6357" t="s">
        <v>13</v>
      </c>
    </row>
    <row r="6358" spans="1:9" hidden="1" x14ac:dyDescent="0.25">
      <c r="A6358" t="s">
        <v>5228</v>
      </c>
      <c r="B6358" t="s">
        <v>44</v>
      </c>
      <c r="C6358" s="2">
        <f>HYPERLINK("https://cao.dolgi.msk.ru/account/1080020099/", 1080020099)</f>
        <v>1080020099</v>
      </c>
      <c r="D6358" t="s">
        <v>62</v>
      </c>
      <c r="E6358">
        <v>40.26</v>
      </c>
      <c r="F6358">
        <v>0.15</v>
      </c>
      <c r="G6358" t="s">
        <v>14</v>
      </c>
      <c r="I6358" t="s">
        <v>13</v>
      </c>
    </row>
    <row r="6359" spans="1:9" hidden="1" x14ac:dyDescent="0.25">
      <c r="A6359" t="s">
        <v>5228</v>
      </c>
      <c r="B6359" t="s">
        <v>44</v>
      </c>
      <c r="C6359" s="2">
        <f>HYPERLINK("https://cao.dolgi.msk.ru/account/1083386301/", 1083386301)</f>
        <v>1083386301</v>
      </c>
      <c r="D6359" t="s">
        <v>62</v>
      </c>
      <c r="E6359">
        <v>-4909.72</v>
      </c>
      <c r="F6359">
        <v>-1.1100000000000001</v>
      </c>
      <c r="G6359" t="s">
        <v>12</v>
      </c>
      <c r="I6359" t="s">
        <v>13</v>
      </c>
    </row>
    <row r="6360" spans="1:9" hidden="1" x14ac:dyDescent="0.25">
      <c r="A6360" t="s">
        <v>5228</v>
      </c>
      <c r="B6360" t="s">
        <v>66</v>
      </c>
      <c r="C6360" s="2">
        <f>HYPERLINK("https://cao.dolgi.msk.ru/account/1080019717/", 1080019717)</f>
        <v>1080019717</v>
      </c>
      <c r="D6360" t="s">
        <v>5236</v>
      </c>
      <c r="E6360">
        <v>3.07</v>
      </c>
      <c r="F6360">
        <v>0.01</v>
      </c>
      <c r="G6360" t="s">
        <v>14</v>
      </c>
      <c r="I6360" t="s">
        <v>13</v>
      </c>
    </row>
    <row r="6361" spans="1:9" hidden="1" x14ac:dyDescent="0.25">
      <c r="A6361" t="s">
        <v>5228</v>
      </c>
      <c r="B6361" t="s">
        <v>66</v>
      </c>
      <c r="C6361" s="2">
        <f>HYPERLINK("https://cao.dolgi.msk.ru/account/1083386109/", 1083386109)</f>
        <v>1083386109</v>
      </c>
      <c r="D6361" t="s">
        <v>5236</v>
      </c>
      <c r="E6361">
        <v>-4606.13</v>
      </c>
      <c r="F6361">
        <v>-1.0900000000000001</v>
      </c>
      <c r="G6361" t="s">
        <v>12</v>
      </c>
      <c r="I6361" t="s">
        <v>13</v>
      </c>
    </row>
    <row r="6362" spans="1:9" hidden="1" x14ac:dyDescent="0.25">
      <c r="A6362" t="s">
        <v>5228</v>
      </c>
      <c r="B6362" t="s">
        <v>68</v>
      </c>
      <c r="C6362" s="2">
        <f>HYPERLINK("https://cao.dolgi.msk.ru/account/1080019725/", 1080019725)</f>
        <v>1080019725</v>
      </c>
      <c r="D6362" t="s">
        <v>5237</v>
      </c>
      <c r="E6362">
        <v>591.23</v>
      </c>
      <c r="G6362" t="s">
        <v>14</v>
      </c>
      <c r="I6362" t="s">
        <v>13</v>
      </c>
    </row>
    <row r="6363" spans="1:9" hidden="1" x14ac:dyDescent="0.25">
      <c r="A6363" t="s">
        <v>5228</v>
      </c>
      <c r="B6363" t="s">
        <v>68</v>
      </c>
      <c r="C6363" s="2">
        <f>HYPERLINK("https://cao.dolgi.msk.ru/account/1083386221/", 1083386221)</f>
        <v>1083386221</v>
      </c>
      <c r="D6363" t="s">
        <v>5237</v>
      </c>
      <c r="E6363">
        <v>-4638.08</v>
      </c>
      <c r="F6363">
        <v>-1.1000000000000001</v>
      </c>
      <c r="G6363" t="s">
        <v>12</v>
      </c>
      <c r="I6363" t="s">
        <v>13</v>
      </c>
    </row>
    <row r="6364" spans="1:9" hidden="1" x14ac:dyDescent="0.25">
      <c r="A6364" t="s">
        <v>5228</v>
      </c>
      <c r="B6364" t="s">
        <v>70</v>
      </c>
      <c r="C6364" s="2">
        <f>HYPERLINK("https://cao.dolgi.msk.ru/account/1080019733/", 1080019733)</f>
        <v>1080019733</v>
      </c>
      <c r="D6364" t="s">
        <v>5238</v>
      </c>
      <c r="E6364">
        <v>-803.7</v>
      </c>
      <c r="G6364" t="s">
        <v>14</v>
      </c>
      <c r="I6364" t="s">
        <v>13</v>
      </c>
    </row>
    <row r="6365" spans="1:9" hidden="1" x14ac:dyDescent="0.25">
      <c r="A6365" t="s">
        <v>5228</v>
      </c>
      <c r="B6365" t="s">
        <v>70</v>
      </c>
      <c r="C6365" s="2">
        <f>HYPERLINK("https://cao.dolgi.msk.ru/account/1083386184/", 1083386184)</f>
        <v>1083386184</v>
      </c>
      <c r="D6365" t="s">
        <v>5238</v>
      </c>
      <c r="E6365">
        <v>7519.83</v>
      </c>
      <c r="F6365">
        <v>1</v>
      </c>
      <c r="G6365" t="s">
        <v>12</v>
      </c>
      <c r="I6365" t="s">
        <v>13</v>
      </c>
    </row>
    <row r="6366" spans="1:9" hidden="1" x14ac:dyDescent="0.25">
      <c r="A6366" t="s">
        <v>5228</v>
      </c>
      <c r="B6366" t="s">
        <v>72</v>
      </c>
      <c r="C6366" s="2">
        <f>HYPERLINK("https://cao.dolgi.msk.ru/account/1080019741/", 1080019741)</f>
        <v>1080019741</v>
      </c>
      <c r="D6366" t="s">
        <v>5239</v>
      </c>
      <c r="E6366">
        <v>0</v>
      </c>
      <c r="G6366" t="s">
        <v>14</v>
      </c>
      <c r="I6366" t="s">
        <v>13</v>
      </c>
    </row>
    <row r="6367" spans="1:9" hidden="1" x14ac:dyDescent="0.25">
      <c r="A6367" t="s">
        <v>5228</v>
      </c>
      <c r="B6367" t="s">
        <v>72</v>
      </c>
      <c r="C6367" s="2">
        <f>HYPERLINK("https://cao.dolgi.msk.ru/account/1083386248/", 1083386248)</f>
        <v>1083386248</v>
      </c>
      <c r="D6367" t="s">
        <v>5239</v>
      </c>
      <c r="E6367">
        <v>-751.69</v>
      </c>
      <c r="F6367">
        <v>-0.16</v>
      </c>
      <c r="G6367" t="s">
        <v>12</v>
      </c>
      <c r="I6367" t="s">
        <v>13</v>
      </c>
    </row>
    <row r="6368" spans="1:9" hidden="1" x14ac:dyDescent="0.25">
      <c r="A6368" t="s">
        <v>5228</v>
      </c>
      <c r="B6368" t="s">
        <v>74</v>
      </c>
      <c r="C6368" s="2">
        <f>HYPERLINK("https://cao.dolgi.msk.ru/account/1080019768/", 1080019768)</f>
        <v>1080019768</v>
      </c>
      <c r="D6368" t="s">
        <v>5240</v>
      </c>
      <c r="E6368">
        <v>-433.89</v>
      </c>
      <c r="G6368" t="s">
        <v>14</v>
      </c>
      <c r="I6368" t="s">
        <v>13</v>
      </c>
    </row>
    <row r="6369" spans="1:9" hidden="1" x14ac:dyDescent="0.25">
      <c r="A6369" t="s">
        <v>5228</v>
      </c>
      <c r="B6369" t="s">
        <v>74</v>
      </c>
      <c r="C6369" s="2">
        <f>HYPERLINK("https://cao.dolgi.msk.ru/account/1083386264/", 1083386264)</f>
        <v>1083386264</v>
      </c>
      <c r="D6369" t="s">
        <v>5240</v>
      </c>
      <c r="E6369">
        <v>-5344.46</v>
      </c>
      <c r="F6369">
        <v>-1.1399999999999999</v>
      </c>
      <c r="G6369" t="s">
        <v>12</v>
      </c>
      <c r="I6369" t="s">
        <v>13</v>
      </c>
    </row>
    <row r="6370" spans="1:9" hidden="1" x14ac:dyDescent="0.25">
      <c r="A6370" t="s">
        <v>5228</v>
      </c>
      <c r="B6370" t="s">
        <v>76</v>
      </c>
      <c r="C6370" s="2">
        <f>HYPERLINK("https://cao.dolgi.msk.ru/account/1080019776/", 1080019776)</f>
        <v>1080019776</v>
      </c>
      <c r="D6370" t="s">
        <v>5241</v>
      </c>
      <c r="E6370">
        <v>535.79999999999995</v>
      </c>
      <c r="F6370">
        <v>1</v>
      </c>
      <c r="G6370" t="s">
        <v>14</v>
      </c>
      <c r="I6370" t="s">
        <v>13</v>
      </c>
    </row>
    <row r="6371" spans="1:9" hidden="1" x14ac:dyDescent="0.25">
      <c r="A6371" t="s">
        <v>5228</v>
      </c>
      <c r="B6371" t="s">
        <v>76</v>
      </c>
      <c r="C6371" s="2">
        <f>HYPERLINK("https://cao.dolgi.msk.ru/account/1083386299/", 1083386299)</f>
        <v>1083386299</v>
      </c>
      <c r="D6371" t="s">
        <v>5241</v>
      </c>
      <c r="E6371">
        <v>2410.96</v>
      </c>
      <c r="F6371">
        <v>0.46</v>
      </c>
      <c r="G6371" t="s">
        <v>12</v>
      </c>
      <c r="I6371" t="s">
        <v>13</v>
      </c>
    </row>
    <row r="6372" spans="1:9" hidden="1" x14ac:dyDescent="0.25">
      <c r="A6372" t="s">
        <v>5228</v>
      </c>
      <c r="B6372" t="s">
        <v>78</v>
      </c>
      <c r="C6372" s="2">
        <f>HYPERLINK("https://cao.dolgi.msk.ru/account/1080019784/", 1080019784)</f>
        <v>1080019784</v>
      </c>
      <c r="D6372" t="s">
        <v>5242</v>
      </c>
      <c r="E6372">
        <v>0</v>
      </c>
      <c r="F6372">
        <v>0</v>
      </c>
      <c r="G6372" t="s">
        <v>14</v>
      </c>
      <c r="I6372" t="s">
        <v>13</v>
      </c>
    </row>
    <row r="6373" spans="1:9" hidden="1" x14ac:dyDescent="0.25">
      <c r="A6373" t="s">
        <v>5228</v>
      </c>
      <c r="B6373" t="s">
        <v>78</v>
      </c>
      <c r="C6373" s="2">
        <f>HYPERLINK("https://cao.dolgi.msk.ru/account/1083386117/", 1083386117)</f>
        <v>1083386117</v>
      </c>
      <c r="D6373" t="s">
        <v>5242</v>
      </c>
      <c r="E6373">
        <v>-4781.8900000000003</v>
      </c>
      <c r="F6373">
        <v>-1.0900000000000001</v>
      </c>
      <c r="G6373" t="s">
        <v>12</v>
      </c>
      <c r="I6373" t="s">
        <v>13</v>
      </c>
    </row>
    <row r="6374" spans="1:9" hidden="1" x14ac:dyDescent="0.25">
      <c r="A6374" t="s">
        <v>5228</v>
      </c>
      <c r="B6374" t="s">
        <v>80</v>
      </c>
      <c r="C6374" s="2">
        <f>HYPERLINK("https://cao.dolgi.msk.ru/account/1080019792/", 1080019792)</f>
        <v>1080019792</v>
      </c>
      <c r="D6374" t="s">
        <v>5243</v>
      </c>
      <c r="E6374">
        <v>0</v>
      </c>
      <c r="G6374" t="s">
        <v>14</v>
      </c>
      <c r="I6374" t="s">
        <v>13</v>
      </c>
    </row>
    <row r="6375" spans="1:9" hidden="1" x14ac:dyDescent="0.25">
      <c r="A6375" t="s">
        <v>5228</v>
      </c>
      <c r="B6375" t="s">
        <v>80</v>
      </c>
      <c r="C6375" s="2">
        <f>HYPERLINK("https://cao.dolgi.msk.ru/account/1083386336/", 1083386336)</f>
        <v>1083386336</v>
      </c>
      <c r="D6375" t="s">
        <v>5243</v>
      </c>
      <c r="E6375">
        <v>-2424.25</v>
      </c>
      <c r="F6375">
        <v>-1.1000000000000001</v>
      </c>
      <c r="G6375" t="s">
        <v>12</v>
      </c>
      <c r="I6375" t="s">
        <v>13</v>
      </c>
    </row>
    <row r="6376" spans="1:9" hidden="1" x14ac:dyDescent="0.25">
      <c r="A6376" t="s">
        <v>5228</v>
      </c>
      <c r="B6376" t="s">
        <v>82</v>
      </c>
      <c r="C6376" s="2">
        <f>HYPERLINK("https://cao.dolgi.msk.ru/account/1080019805/", 1080019805)</f>
        <v>1080019805</v>
      </c>
      <c r="D6376" t="s">
        <v>5244</v>
      </c>
      <c r="E6376">
        <v>325.49</v>
      </c>
      <c r="F6376">
        <v>0.88</v>
      </c>
      <c r="G6376" t="s">
        <v>14</v>
      </c>
      <c r="I6376" t="s">
        <v>13</v>
      </c>
    </row>
    <row r="6377" spans="1:9" hidden="1" x14ac:dyDescent="0.25">
      <c r="A6377" t="s">
        <v>5228</v>
      </c>
      <c r="B6377" t="s">
        <v>82</v>
      </c>
      <c r="C6377" s="2">
        <f>HYPERLINK("https://cao.dolgi.msk.ru/account/1083386125/", 1083386125)</f>
        <v>1083386125</v>
      </c>
      <c r="D6377" t="s">
        <v>5244</v>
      </c>
      <c r="E6377">
        <v>-5427.18</v>
      </c>
      <c r="F6377">
        <v>-0.95</v>
      </c>
      <c r="G6377" t="s">
        <v>12</v>
      </c>
      <c r="I6377" t="s">
        <v>13</v>
      </c>
    </row>
    <row r="6378" spans="1:9" hidden="1" x14ac:dyDescent="0.25">
      <c r="A6378" t="s">
        <v>5228</v>
      </c>
      <c r="B6378" t="s">
        <v>84</v>
      </c>
      <c r="C6378" s="2">
        <f>HYPERLINK("https://cao.dolgi.msk.ru/account/1080019813/", 1080019813)</f>
        <v>1080019813</v>
      </c>
      <c r="D6378" t="s">
        <v>5245</v>
      </c>
      <c r="E6378">
        <v>4429.67</v>
      </c>
      <c r="G6378" t="s">
        <v>14</v>
      </c>
      <c r="I6378" t="s">
        <v>13</v>
      </c>
    </row>
    <row r="6379" spans="1:9" hidden="1" x14ac:dyDescent="0.25">
      <c r="A6379" t="s">
        <v>5228</v>
      </c>
      <c r="B6379" t="s">
        <v>84</v>
      </c>
      <c r="C6379" s="2">
        <f>HYPERLINK("https://cao.dolgi.msk.ru/account/1083386133/", 1083386133)</f>
        <v>1083386133</v>
      </c>
      <c r="D6379" t="s">
        <v>5245</v>
      </c>
      <c r="E6379">
        <v>5790.42</v>
      </c>
      <c r="F6379">
        <v>1</v>
      </c>
      <c r="G6379" t="s">
        <v>12</v>
      </c>
      <c r="I6379" t="s">
        <v>13</v>
      </c>
    </row>
    <row r="6380" spans="1:9" hidden="1" x14ac:dyDescent="0.25">
      <c r="A6380" t="s">
        <v>5228</v>
      </c>
      <c r="B6380" t="s">
        <v>86</v>
      </c>
      <c r="C6380" s="2">
        <f>HYPERLINK("https://cao.dolgi.msk.ru/account/1080019821/", 1080019821)</f>
        <v>1080019821</v>
      </c>
      <c r="D6380" t="s">
        <v>5246</v>
      </c>
      <c r="E6380">
        <v>-75.400000000000006</v>
      </c>
      <c r="F6380">
        <v>-0.05</v>
      </c>
      <c r="G6380" t="s">
        <v>14</v>
      </c>
      <c r="I6380" t="s">
        <v>13</v>
      </c>
    </row>
    <row r="6381" spans="1:9" hidden="1" x14ac:dyDescent="0.25">
      <c r="A6381" t="s">
        <v>5228</v>
      </c>
      <c r="B6381" t="s">
        <v>86</v>
      </c>
      <c r="C6381" s="2">
        <f>HYPERLINK("https://cao.dolgi.msk.ru/account/1083386141/", 1083386141)</f>
        <v>1083386141</v>
      </c>
      <c r="D6381" t="s">
        <v>5246</v>
      </c>
      <c r="E6381">
        <v>-5727.6</v>
      </c>
      <c r="F6381">
        <v>-1.1000000000000001</v>
      </c>
      <c r="G6381" t="s">
        <v>12</v>
      </c>
      <c r="I6381" t="s">
        <v>13</v>
      </c>
    </row>
    <row r="6382" spans="1:9" hidden="1" x14ac:dyDescent="0.25">
      <c r="A6382" t="s">
        <v>5247</v>
      </c>
      <c r="B6382" t="s">
        <v>23</v>
      </c>
      <c r="C6382" s="2">
        <f>HYPERLINK("https://cao.dolgi.msk.ru/account/1080020582/", 1080020582)</f>
        <v>1080020582</v>
      </c>
      <c r="D6382" t="s">
        <v>5248</v>
      </c>
      <c r="E6382">
        <v>-71.98</v>
      </c>
      <c r="F6382">
        <v>-0.01</v>
      </c>
      <c r="G6382" t="s">
        <v>12</v>
      </c>
      <c r="I6382" t="s">
        <v>13</v>
      </c>
    </row>
    <row r="6383" spans="1:9" hidden="1" x14ac:dyDescent="0.25">
      <c r="A6383" t="s">
        <v>5247</v>
      </c>
      <c r="B6383" t="s">
        <v>24</v>
      </c>
      <c r="C6383" s="2">
        <f>HYPERLINK("https://cao.dolgi.msk.ru/account/1080020611/", 1080020611)</f>
        <v>1080020611</v>
      </c>
      <c r="D6383" t="s">
        <v>5249</v>
      </c>
      <c r="E6383">
        <v>-2240.7800000000002</v>
      </c>
      <c r="F6383">
        <v>-0.22</v>
      </c>
      <c r="G6383" t="s">
        <v>12</v>
      </c>
      <c r="I6383" t="s">
        <v>13</v>
      </c>
    </row>
    <row r="6384" spans="1:9" x14ac:dyDescent="0.25">
      <c r="A6384" t="s">
        <v>5247</v>
      </c>
      <c r="B6384" t="s">
        <v>27</v>
      </c>
      <c r="C6384" s="2">
        <f>HYPERLINK("https://cao.dolgi.msk.ru/account/1080020654/", 1080020654)</f>
        <v>1080020654</v>
      </c>
      <c r="D6384" t="s">
        <v>5250</v>
      </c>
      <c r="E6384">
        <v>20526.02</v>
      </c>
      <c r="F6384">
        <v>1.34</v>
      </c>
      <c r="G6384" t="s">
        <v>12</v>
      </c>
      <c r="I6384" t="s">
        <v>13</v>
      </c>
    </row>
    <row r="6385" spans="1:9" hidden="1" x14ac:dyDescent="0.25">
      <c r="A6385" t="s">
        <v>5247</v>
      </c>
      <c r="B6385" t="s">
        <v>29</v>
      </c>
      <c r="C6385" s="2">
        <f>HYPERLINK("https://cao.dolgi.msk.ru/account/1080020662/", 1080020662)</f>
        <v>1080020662</v>
      </c>
      <c r="D6385" t="s">
        <v>5251</v>
      </c>
      <c r="E6385">
        <v>-9431.7000000000007</v>
      </c>
      <c r="F6385">
        <v>-0.85</v>
      </c>
      <c r="G6385" t="s">
        <v>12</v>
      </c>
      <c r="I6385" t="s">
        <v>13</v>
      </c>
    </row>
    <row r="6386" spans="1:9" hidden="1" x14ac:dyDescent="0.25">
      <c r="A6386" t="s">
        <v>5247</v>
      </c>
      <c r="B6386" t="s">
        <v>31</v>
      </c>
      <c r="C6386" s="2">
        <f>HYPERLINK("https://cao.dolgi.msk.ru/account/1080020689/", 1080020689)</f>
        <v>1080020689</v>
      </c>
      <c r="D6386" t="s">
        <v>5252</v>
      </c>
      <c r="E6386">
        <v>-491.79</v>
      </c>
      <c r="F6386">
        <v>-0.05</v>
      </c>
      <c r="G6386" t="s">
        <v>12</v>
      </c>
      <c r="I6386" t="s">
        <v>13</v>
      </c>
    </row>
    <row r="6387" spans="1:9" hidden="1" x14ac:dyDescent="0.25">
      <c r="A6387" t="s">
        <v>5247</v>
      </c>
      <c r="B6387" t="s">
        <v>33</v>
      </c>
      <c r="C6387" s="2">
        <f>HYPERLINK("https://cao.dolgi.msk.ru/account/1080020697/", 1080020697)</f>
        <v>1080020697</v>
      </c>
      <c r="D6387" t="s">
        <v>5253</v>
      </c>
      <c r="E6387">
        <v>-11963.93</v>
      </c>
      <c r="F6387">
        <v>-1.19</v>
      </c>
      <c r="G6387" t="s">
        <v>12</v>
      </c>
      <c r="I6387" t="s">
        <v>13</v>
      </c>
    </row>
    <row r="6388" spans="1:9" hidden="1" x14ac:dyDescent="0.25">
      <c r="A6388" t="s">
        <v>5254</v>
      </c>
      <c r="B6388" t="s">
        <v>18</v>
      </c>
      <c r="C6388" s="2">
        <f>HYPERLINK("https://cao.dolgi.msk.ru/account/1080030078/", 1080030078)</f>
        <v>1080030078</v>
      </c>
      <c r="D6388" t="s">
        <v>15</v>
      </c>
      <c r="G6388" t="s">
        <v>14</v>
      </c>
      <c r="I6388" t="s">
        <v>13</v>
      </c>
    </row>
    <row r="6389" spans="1:9" hidden="1" x14ac:dyDescent="0.25">
      <c r="A6389" t="s">
        <v>5254</v>
      </c>
      <c r="B6389" t="s">
        <v>22</v>
      </c>
      <c r="C6389" s="2">
        <f>HYPERLINK("https://cao.dolgi.msk.ru/account/1080030094/", 1080030094)</f>
        <v>1080030094</v>
      </c>
      <c r="D6389" t="s">
        <v>5255</v>
      </c>
      <c r="E6389">
        <v>229.67</v>
      </c>
      <c r="F6389">
        <v>0.05</v>
      </c>
      <c r="G6389" t="s">
        <v>12</v>
      </c>
      <c r="H6389" t="s">
        <v>7</v>
      </c>
      <c r="I6389" t="s">
        <v>13</v>
      </c>
    </row>
    <row r="6390" spans="1:9" hidden="1" x14ac:dyDescent="0.25">
      <c r="A6390" t="s">
        <v>5254</v>
      </c>
      <c r="B6390" t="s">
        <v>22</v>
      </c>
      <c r="C6390" s="2">
        <f>HYPERLINK("https://cao.dolgi.msk.ru/account/1080030107/", 1080030107)</f>
        <v>1080030107</v>
      </c>
      <c r="D6390" t="s">
        <v>5256</v>
      </c>
      <c r="E6390">
        <v>-45.15</v>
      </c>
      <c r="F6390">
        <v>-0.01</v>
      </c>
      <c r="G6390" t="s">
        <v>12</v>
      </c>
      <c r="H6390" t="s">
        <v>7</v>
      </c>
      <c r="I6390" t="s">
        <v>13</v>
      </c>
    </row>
    <row r="6391" spans="1:9" hidden="1" x14ac:dyDescent="0.25">
      <c r="A6391" t="s">
        <v>5254</v>
      </c>
      <c r="B6391" t="s">
        <v>22</v>
      </c>
      <c r="C6391" s="2">
        <f>HYPERLINK("https://cao.dolgi.msk.ru/account/1080030334/", 1080030334)</f>
        <v>1080030334</v>
      </c>
      <c r="D6391" t="s">
        <v>5256</v>
      </c>
      <c r="E6391">
        <v>0</v>
      </c>
      <c r="F6391">
        <v>0</v>
      </c>
      <c r="G6391" t="s">
        <v>12</v>
      </c>
      <c r="H6391" t="s">
        <v>7</v>
      </c>
      <c r="I6391" t="s">
        <v>13</v>
      </c>
    </row>
    <row r="6392" spans="1:9" hidden="1" x14ac:dyDescent="0.25">
      <c r="A6392" t="s">
        <v>5254</v>
      </c>
      <c r="B6392" t="s">
        <v>23</v>
      </c>
      <c r="C6392" s="2">
        <f>HYPERLINK("https://cao.dolgi.msk.ru/account/1080030131/", 1080030131)</f>
        <v>1080030131</v>
      </c>
      <c r="D6392" t="s">
        <v>5257</v>
      </c>
      <c r="E6392">
        <v>-7763.57</v>
      </c>
      <c r="F6392">
        <v>-1.1200000000000001</v>
      </c>
      <c r="G6392" t="s">
        <v>12</v>
      </c>
      <c r="I6392" t="s">
        <v>13</v>
      </c>
    </row>
    <row r="6393" spans="1:9" hidden="1" x14ac:dyDescent="0.25">
      <c r="A6393" t="s">
        <v>5254</v>
      </c>
      <c r="B6393" t="s">
        <v>24</v>
      </c>
      <c r="C6393" s="2">
        <f>HYPERLINK("https://cao.dolgi.msk.ru/account/1080030115/", 1080030115)</f>
        <v>1080030115</v>
      </c>
      <c r="D6393" t="s">
        <v>5258</v>
      </c>
      <c r="E6393">
        <v>-5621.83</v>
      </c>
      <c r="F6393">
        <v>-1.08</v>
      </c>
      <c r="G6393" t="s">
        <v>12</v>
      </c>
      <c r="I6393" t="s">
        <v>13</v>
      </c>
    </row>
    <row r="6394" spans="1:9" hidden="1" x14ac:dyDescent="0.25">
      <c r="A6394" t="s">
        <v>5254</v>
      </c>
      <c r="B6394" t="s">
        <v>27</v>
      </c>
      <c r="C6394" s="2">
        <f>HYPERLINK("https://cao.dolgi.msk.ru/account/1080030123/", 1080030123)</f>
        <v>1080030123</v>
      </c>
      <c r="D6394" t="s">
        <v>15</v>
      </c>
      <c r="G6394" t="s">
        <v>14</v>
      </c>
      <c r="I6394" t="s">
        <v>13</v>
      </c>
    </row>
    <row r="6395" spans="1:9" hidden="1" x14ac:dyDescent="0.25">
      <c r="A6395" t="s">
        <v>5254</v>
      </c>
      <c r="B6395" t="s">
        <v>29</v>
      </c>
      <c r="C6395" s="2">
        <f>HYPERLINK("https://cao.dolgi.msk.ru/account/1080030166/", 1080030166)</f>
        <v>1080030166</v>
      </c>
      <c r="D6395" t="s">
        <v>5259</v>
      </c>
      <c r="E6395">
        <v>-11565.34</v>
      </c>
      <c r="F6395">
        <v>-1.1499999999999999</v>
      </c>
      <c r="G6395" t="s">
        <v>12</v>
      </c>
      <c r="I6395" t="s">
        <v>13</v>
      </c>
    </row>
    <row r="6396" spans="1:9" hidden="1" x14ac:dyDescent="0.25">
      <c r="A6396" t="s">
        <v>5254</v>
      </c>
      <c r="B6396" t="s">
        <v>31</v>
      </c>
      <c r="C6396" s="2">
        <f>HYPERLINK("https://cao.dolgi.msk.ru/account/1080030174/", 1080030174)</f>
        <v>1080030174</v>
      </c>
      <c r="D6396" t="s">
        <v>5260</v>
      </c>
      <c r="E6396">
        <v>-17012.25</v>
      </c>
      <c r="F6396">
        <v>-2.16</v>
      </c>
      <c r="G6396" t="s">
        <v>12</v>
      </c>
      <c r="I6396" t="s">
        <v>13</v>
      </c>
    </row>
    <row r="6397" spans="1:9" hidden="1" x14ac:dyDescent="0.25">
      <c r="A6397" t="s">
        <v>5254</v>
      </c>
      <c r="B6397" t="s">
        <v>33</v>
      </c>
      <c r="C6397" s="2">
        <f>HYPERLINK("https://cao.dolgi.msk.ru/account/1080030182/", 1080030182)</f>
        <v>1080030182</v>
      </c>
      <c r="D6397" t="s">
        <v>5261</v>
      </c>
      <c r="E6397">
        <v>-6455.3</v>
      </c>
      <c r="F6397">
        <v>-1.0900000000000001</v>
      </c>
      <c r="G6397" t="s">
        <v>12</v>
      </c>
      <c r="I6397" t="s">
        <v>13</v>
      </c>
    </row>
    <row r="6398" spans="1:9" hidden="1" x14ac:dyDescent="0.25">
      <c r="A6398" t="s">
        <v>5254</v>
      </c>
      <c r="B6398" t="s">
        <v>34</v>
      </c>
      <c r="C6398" s="2">
        <f>HYPERLINK("https://cao.dolgi.msk.ru/account/1080030238/", 1080030238)</f>
        <v>1080030238</v>
      </c>
      <c r="D6398" t="s">
        <v>15</v>
      </c>
      <c r="E6398">
        <v>-11767.22</v>
      </c>
      <c r="F6398">
        <v>-1.06</v>
      </c>
      <c r="G6398" t="s">
        <v>12</v>
      </c>
      <c r="I6398" t="s">
        <v>13</v>
      </c>
    </row>
    <row r="6399" spans="1:9" hidden="1" x14ac:dyDescent="0.25">
      <c r="A6399" t="s">
        <v>5254</v>
      </c>
      <c r="B6399" t="s">
        <v>36</v>
      </c>
      <c r="C6399" s="2">
        <f>HYPERLINK("https://cao.dolgi.msk.ru/account/1080030262/", 1080030262)</f>
        <v>1080030262</v>
      </c>
      <c r="D6399" t="s">
        <v>5262</v>
      </c>
      <c r="E6399">
        <v>-9379.99</v>
      </c>
      <c r="F6399">
        <v>-1.2</v>
      </c>
      <c r="G6399" t="s">
        <v>12</v>
      </c>
      <c r="I6399" t="s">
        <v>13</v>
      </c>
    </row>
    <row r="6400" spans="1:9" hidden="1" x14ac:dyDescent="0.25">
      <c r="A6400" t="s">
        <v>5254</v>
      </c>
      <c r="B6400" t="s">
        <v>38</v>
      </c>
      <c r="C6400" s="2">
        <f>HYPERLINK("https://cao.dolgi.msk.ru/account/1080030289/", 1080030289)</f>
        <v>1080030289</v>
      </c>
      <c r="D6400" t="s">
        <v>5263</v>
      </c>
      <c r="E6400">
        <v>5516.04</v>
      </c>
      <c r="F6400">
        <v>0.69</v>
      </c>
      <c r="G6400" t="s">
        <v>12</v>
      </c>
      <c r="I6400" t="s">
        <v>13</v>
      </c>
    </row>
    <row r="6401" spans="1:9" hidden="1" x14ac:dyDescent="0.25">
      <c r="A6401" t="s">
        <v>5254</v>
      </c>
      <c r="B6401" t="s">
        <v>39</v>
      </c>
      <c r="C6401" s="2">
        <f>HYPERLINK("https://cao.dolgi.msk.ru/account/1080030158/", 1080030158)</f>
        <v>1080030158</v>
      </c>
      <c r="D6401" t="s">
        <v>5264</v>
      </c>
      <c r="E6401">
        <v>6582.9</v>
      </c>
      <c r="F6401">
        <v>0.97</v>
      </c>
      <c r="G6401" t="s">
        <v>12</v>
      </c>
      <c r="I6401" t="s">
        <v>13</v>
      </c>
    </row>
    <row r="6402" spans="1:9" hidden="1" x14ac:dyDescent="0.25">
      <c r="A6402" t="s">
        <v>5254</v>
      </c>
      <c r="B6402" t="s">
        <v>40</v>
      </c>
      <c r="C6402" s="2">
        <f>HYPERLINK("https://cao.dolgi.msk.ru/account/1080030297/", 1080030297)</f>
        <v>1080030297</v>
      </c>
      <c r="D6402" t="s">
        <v>5265</v>
      </c>
      <c r="E6402">
        <v>-2330.92</v>
      </c>
      <c r="F6402">
        <v>-1.1599999999999999</v>
      </c>
      <c r="G6402" t="s">
        <v>12</v>
      </c>
      <c r="H6402" t="s">
        <v>7</v>
      </c>
      <c r="I6402" t="s">
        <v>13</v>
      </c>
    </row>
    <row r="6403" spans="1:9" hidden="1" x14ac:dyDescent="0.25">
      <c r="A6403" t="s">
        <v>5254</v>
      </c>
      <c r="B6403" t="s">
        <v>40</v>
      </c>
      <c r="C6403" s="2">
        <f>HYPERLINK("https://cao.dolgi.msk.ru/account/1080030318/", 1080030318)</f>
        <v>1080030318</v>
      </c>
      <c r="D6403" t="s">
        <v>5265</v>
      </c>
      <c r="E6403">
        <v>-3788.2</v>
      </c>
      <c r="F6403">
        <v>-1.1399999999999999</v>
      </c>
      <c r="G6403" t="s">
        <v>12</v>
      </c>
      <c r="H6403" t="s">
        <v>7</v>
      </c>
      <c r="I6403" t="s">
        <v>13</v>
      </c>
    </row>
    <row r="6404" spans="1:9" hidden="1" x14ac:dyDescent="0.25">
      <c r="A6404" t="s">
        <v>5254</v>
      </c>
      <c r="B6404" t="s">
        <v>40</v>
      </c>
      <c r="C6404" s="2">
        <f>HYPERLINK("https://cao.dolgi.msk.ru/account/1080030377/", 1080030377)</f>
        <v>1080030377</v>
      </c>
      <c r="D6404" t="s">
        <v>62</v>
      </c>
      <c r="E6404">
        <v>-2660.4</v>
      </c>
      <c r="F6404">
        <v>-1.1100000000000001</v>
      </c>
      <c r="G6404" t="s">
        <v>12</v>
      </c>
      <c r="H6404" t="s">
        <v>7</v>
      </c>
      <c r="I6404" t="s">
        <v>13</v>
      </c>
    </row>
    <row r="6405" spans="1:9" x14ac:dyDescent="0.25">
      <c r="A6405" t="s">
        <v>5254</v>
      </c>
      <c r="B6405" t="s">
        <v>40</v>
      </c>
      <c r="C6405" s="2">
        <f>HYPERLINK("https://cao.dolgi.msk.ru/account/1080030385/", 1080030385)</f>
        <v>1080030385</v>
      </c>
      <c r="D6405" t="s">
        <v>15</v>
      </c>
      <c r="E6405">
        <v>14781.95</v>
      </c>
      <c r="F6405">
        <v>4.4400000000000004</v>
      </c>
      <c r="G6405" t="s">
        <v>12</v>
      </c>
      <c r="H6405" t="s">
        <v>7</v>
      </c>
      <c r="I6405" t="s">
        <v>13</v>
      </c>
    </row>
    <row r="6406" spans="1:9" hidden="1" x14ac:dyDescent="0.25">
      <c r="A6406" t="s">
        <v>5254</v>
      </c>
      <c r="B6406" t="s">
        <v>40</v>
      </c>
      <c r="C6406" s="2">
        <f>HYPERLINK("https://cao.dolgi.msk.ru/account/1089122788/", 1089122788)</f>
        <v>1089122788</v>
      </c>
      <c r="D6406" t="s">
        <v>15</v>
      </c>
      <c r="E6406">
        <v>-2521.96</v>
      </c>
      <c r="F6406">
        <v>-1.1299999999999999</v>
      </c>
      <c r="G6406" t="s">
        <v>12</v>
      </c>
      <c r="H6406" t="s">
        <v>7</v>
      </c>
      <c r="I6406" t="s">
        <v>13</v>
      </c>
    </row>
    <row r="6407" spans="1:9" hidden="1" x14ac:dyDescent="0.25">
      <c r="A6407" t="s">
        <v>5254</v>
      </c>
      <c r="B6407" t="s">
        <v>41</v>
      </c>
      <c r="C6407" s="2">
        <f>HYPERLINK("https://cao.dolgi.msk.ru/account/1080030326/", 1080030326)</f>
        <v>1080030326</v>
      </c>
      <c r="D6407" t="s">
        <v>5266</v>
      </c>
      <c r="E6407">
        <v>-13289.44</v>
      </c>
      <c r="F6407">
        <v>-1.48</v>
      </c>
      <c r="G6407" t="s">
        <v>12</v>
      </c>
      <c r="I6407" t="s">
        <v>13</v>
      </c>
    </row>
    <row r="6408" spans="1:9" hidden="1" x14ac:dyDescent="0.25">
      <c r="A6408" t="s">
        <v>5254</v>
      </c>
      <c r="B6408" t="s">
        <v>42</v>
      </c>
      <c r="C6408" s="2">
        <f>HYPERLINK("https://cao.dolgi.msk.ru/account/1080030342/", 1080030342)</f>
        <v>1080030342</v>
      </c>
      <c r="D6408" t="s">
        <v>15</v>
      </c>
      <c r="E6408">
        <v>-8805.1200000000008</v>
      </c>
      <c r="F6408">
        <v>-1.1499999999999999</v>
      </c>
      <c r="G6408" t="s">
        <v>12</v>
      </c>
      <c r="I6408" t="s">
        <v>13</v>
      </c>
    </row>
    <row r="6409" spans="1:9" hidden="1" x14ac:dyDescent="0.25">
      <c r="A6409" t="s">
        <v>5254</v>
      </c>
      <c r="B6409" t="s">
        <v>44</v>
      </c>
      <c r="C6409" s="2">
        <f>HYPERLINK("https://cao.dolgi.msk.ru/account/1080030369/", 1080030369)</f>
        <v>1080030369</v>
      </c>
      <c r="D6409" t="s">
        <v>5267</v>
      </c>
      <c r="E6409">
        <v>0</v>
      </c>
      <c r="F6409">
        <v>0</v>
      </c>
      <c r="G6409" t="s">
        <v>12</v>
      </c>
      <c r="I6409" t="s">
        <v>13</v>
      </c>
    </row>
    <row r="6410" spans="1:9" hidden="1" x14ac:dyDescent="0.25">
      <c r="A6410" t="s">
        <v>5254</v>
      </c>
      <c r="B6410" t="s">
        <v>66</v>
      </c>
      <c r="C6410" s="2">
        <f>HYPERLINK("https://cao.dolgi.msk.ru/account/1080030393/", 1080030393)</f>
        <v>1080030393</v>
      </c>
      <c r="D6410" t="s">
        <v>5268</v>
      </c>
      <c r="E6410">
        <v>-43636.28</v>
      </c>
      <c r="F6410">
        <v>-1.0900000000000001</v>
      </c>
      <c r="G6410" t="s">
        <v>12</v>
      </c>
      <c r="I6410" t="s">
        <v>13</v>
      </c>
    </row>
    <row r="6411" spans="1:9" hidden="1" x14ac:dyDescent="0.25">
      <c r="A6411" t="s">
        <v>5269</v>
      </c>
      <c r="B6411" t="s">
        <v>10</v>
      </c>
      <c r="C6411" s="2">
        <f>HYPERLINK("https://cao.dolgi.msk.ru/account/1080077941/", 1080077941)</f>
        <v>1080077941</v>
      </c>
      <c r="D6411" t="s">
        <v>15</v>
      </c>
      <c r="E6411">
        <v>2395.14</v>
      </c>
      <c r="F6411">
        <v>0.57999999999999996</v>
      </c>
      <c r="G6411" t="s">
        <v>12</v>
      </c>
      <c r="I6411" t="s">
        <v>230</v>
      </c>
    </row>
    <row r="6412" spans="1:9" hidden="1" x14ac:dyDescent="0.25">
      <c r="A6412" t="s">
        <v>5269</v>
      </c>
      <c r="B6412" t="s">
        <v>231</v>
      </c>
      <c r="C6412" s="2">
        <f>HYPERLINK("https://cao.dolgi.msk.ru/account/1080077968/", 1080077968)</f>
        <v>1080077968</v>
      </c>
      <c r="D6412" t="s">
        <v>5270</v>
      </c>
      <c r="E6412">
        <v>-4396.34</v>
      </c>
      <c r="F6412">
        <v>-1.22</v>
      </c>
      <c r="G6412" t="s">
        <v>12</v>
      </c>
      <c r="I6412" t="s">
        <v>230</v>
      </c>
    </row>
    <row r="6413" spans="1:9" hidden="1" x14ac:dyDescent="0.25">
      <c r="A6413" t="s">
        <v>5269</v>
      </c>
      <c r="B6413" t="s">
        <v>16</v>
      </c>
      <c r="C6413" s="2">
        <f>HYPERLINK("https://cao.dolgi.msk.ru/account/1080077976/", 1080077976)</f>
        <v>1080077976</v>
      </c>
      <c r="D6413" t="s">
        <v>5271</v>
      </c>
      <c r="E6413">
        <v>-2399.58</v>
      </c>
      <c r="F6413">
        <v>-0.91</v>
      </c>
      <c r="G6413" t="s">
        <v>12</v>
      </c>
      <c r="I6413" t="s">
        <v>230</v>
      </c>
    </row>
    <row r="6414" spans="1:9" hidden="1" x14ac:dyDescent="0.25">
      <c r="A6414" t="s">
        <v>5269</v>
      </c>
      <c r="B6414" t="s">
        <v>234</v>
      </c>
      <c r="C6414" s="2">
        <f>HYPERLINK("https://cao.dolgi.msk.ru/account/1080077984/", 1080077984)</f>
        <v>1080077984</v>
      </c>
      <c r="D6414" t="s">
        <v>5272</v>
      </c>
      <c r="E6414">
        <v>563.13</v>
      </c>
      <c r="F6414">
        <v>0.1</v>
      </c>
      <c r="G6414" t="s">
        <v>12</v>
      </c>
      <c r="I6414" t="s">
        <v>230</v>
      </c>
    </row>
    <row r="6415" spans="1:9" hidden="1" x14ac:dyDescent="0.25">
      <c r="A6415" t="s">
        <v>5269</v>
      </c>
      <c r="B6415" t="s">
        <v>18</v>
      </c>
      <c r="C6415" s="2">
        <f>HYPERLINK("https://cao.dolgi.msk.ru/account/1080078004/", 1080078004)</f>
        <v>1080078004</v>
      </c>
      <c r="D6415" t="s">
        <v>5273</v>
      </c>
      <c r="E6415">
        <v>-4777.87</v>
      </c>
      <c r="F6415">
        <v>-1.08</v>
      </c>
      <c r="G6415" t="s">
        <v>12</v>
      </c>
      <c r="I6415" t="s">
        <v>230</v>
      </c>
    </row>
    <row r="6416" spans="1:9" hidden="1" x14ac:dyDescent="0.25">
      <c r="A6416" t="s">
        <v>5269</v>
      </c>
      <c r="B6416" t="s">
        <v>237</v>
      </c>
      <c r="C6416" s="2">
        <f>HYPERLINK("https://cao.dolgi.msk.ru/account/1080077992/", 1080077992)</f>
        <v>1080077992</v>
      </c>
      <c r="D6416" t="s">
        <v>5274</v>
      </c>
      <c r="E6416">
        <v>-4294.55</v>
      </c>
      <c r="F6416">
        <v>-1.05</v>
      </c>
      <c r="G6416" t="s">
        <v>12</v>
      </c>
      <c r="I6416" t="s">
        <v>230</v>
      </c>
    </row>
    <row r="6417" spans="1:9" hidden="1" x14ac:dyDescent="0.25">
      <c r="A6417" t="s">
        <v>5269</v>
      </c>
      <c r="B6417" t="s">
        <v>20</v>
      </c>
      <c r="C6417" s="2">
        <f>HYPERLINK("https://cao.dolgi.msk.ru/account/1080078047/", 1080078047)</f>
        <v>1080078047</v>
      </c>
      <c r="D6417" t="s">
        <v>5275</v>
      </c>
      <c r="E6417">
        <v>-7561.05</v>
      </c>
      <c r="F6417">
        <v>-1.06</v>
      </c>
      <c r="G6417" t="s">
        <v>12</v>
      </c>
      <c r="I6417" t="s">
        <v>230</v>
      </c>
    </row>
    <row r="6418" spans="1:9" hidden="1" x14ac:dyDescent="0.25">
      <c r="A6418" t="s">
        <v>5269</v>
      </c>
      <c r="B6418" t="s">
        <v>240</v>
      </c>
      <c r="C6418" s="2">
        <f>HYPERLINK("https://cao.dolgi.msk.ru/account/1080078039/", 1080078039)</f>
        <v>1080078039</v>
      </c>
      <c r="D6418" t="s">
        <v>62</v>
      </c>
      <c r="E6418">
        <v>-4632.6499999999996</v>
      </c>
      <c r="F6418">
        <v>-1.1299999999999999</v>
      </c>
      <c r="G6418" t="s">
        <v>12</v>
      </c>
      <c r="I6418" t="s">
        <v>230</v>
      </c>
    </row>
    <row r="6419" spans="1:9" hidden="1" x14ac:dyDescent="0.25">
      <c r="A6419" t="s">
        <v>5269</v>
      </c>
      <c r="B6419" t="s">
        <v>21</v>
      </c>
      <c r="C6419" s="2">
        <f>HYPERLINK("https://cao.dolgi.msk.ru/account/1080078012/", 1080078012)</f>
        <v>1080078012</v>
      </c>
      <c r="D6419" t="s">
        <v>5276</v>
      </c>
      <c r="E6419">
        <v>-7392.36</v>
      </c>
      <c r="F6419">
        <v>-1.07</v>
      </c>
      <c r="G6419" t="s">
        <v>12</v>
      </c>
      <c r="I6419" t="s">
        <v>230</v>
      </c>
    </row>
    <row r="6420" spans="1:9" x14ac:dyDescent="0.25">
      <c r="A6420" t="s">
        <v>5269</v>
      </c>
      <c r="B6420" t="s">
        <v>242</v>
      </c>
      <c r="C6420" s="2">
        <f>HYPERLINK("https://cao.dolgi.msk.ru/account/1080078071/", 1080078071)</f>
        <v>1080078071</v>
      </c>
      <c r="D6420" t="s">
        <v>5277</v>
      </c>
      <c r="E6420">
        <v>50576.99</v>
      </c>
      <c r="F6420">
        <v>14.52</v>
      </c>
      <c r="G6420" t="s">
        <v>12</v>
      </c>
      <c r="I6420" t="s">
        <v>230</v>
      </c>
    </row>
    <row r="6421" spans="1:9" hidden="1" x14ac:dyDescent="0.25">
      <c r="A6421" t="s">
        <v>5269</v>
      </c>
      <c r="B6421" t="s">
        <v>22</v>
      </c>
      <c r="C6421" s="2">
        <f>HYPERLINK("https://cao.dolgi.msk.ru/account/1080078055/", 1080078055)</f>
        <v>1080078055</v>
      </c>
      <c r="D6421" t="s">
        <v>5278</v>
      </c>
      <c r="E6421">
        <v>5699.75</v>
      </c>
      <c r="F6421">
        <v>1</v>
      </c>
      <c r="G6421" t="s">
        <v>12</v>
      </c>
      <c r="I6421" t="s">
        <v>230</v>
      </c>
    </row>
    <row r="6422" spans="1:9" x14ac:dyDescent="0.25">
      <c r="A6422" t="s">
        <v>5269</v>
      </c>
      <c r="B6422" t="s">
        <v>245</v>
      </c>
      <c r="C6422" s="2">
        <f>HYPERLINK("https://cao.dolgi.msk.ru/account/1080078063/", 1080078063)</f>
        <v>1080078063</v>
      </c>
      <c r="D6422" t="s">
        <v>5279</v>
      </c>
      <c r="E6422">
        <v>329826.92</v>
      </c>
      <c r="F6422">
        <v>57.72</v>
      </c>
      <c r="G6422" t="s">
        <v>12</v>
      </c>
      <c r="I6422" t="s">
        <v>230</v>
      </c>
    </row>
    <row r="6423" spans="1:9" x14ac:dyDescent="0.25">
      <c r="A6423" t="s">
        <v>5269</v>
      </c>
      <c r="B6423" t="s">
        <v>23</v>
      </c>
      <c r="C6423" s="2">
        <f>HYPERLINK("https://cao.dolgi.msk.ru/account/1080078119/", 1080078119)</f>
        <v>1080078119</v>
      </c>
      <c r="D6423" t="s">
        <v>5280</v>
      </c>
      <c r="E6423">
        <v>9361.91</v>
      </c>
      <c r="F6423">
        <v>1.01</v>
      </c>
      <c r="G6423" t="s">
        <v>12</v>
      </c>
      <c r="I6423" t="s">
        <v>230</v>
      </c>
    </row>
    <row r="6424" spans="1:9" hidden="1" x14ac:dyDescent="0.25">
      <c r="A6424" t="s">
        <v>5269</v>
      </c>
      <c r="B6424" t="s">
        <v>248</v>
      </c>
      <c r="C6424" s="2">
        <f>HYPERLINK("https://cao.dolgi.msk.ru/account/1080078098/", 1080078098)</f>
        <v>1080078098</v>
      </c>
      <c r="D6424" t="s">
        <v>5281</v>
      </c>
      <c r="E6424">
        <v>-3669.5</v>
      </c>
      <c r="F6424">
        <v>-1.04</v>
      </c>
      <c r="G6424" t="s">
        <v>12</v>
      </c>
      <c r="I6424" t="s">
        <v>230</v>
      </c>
    </row>
    <row r="6425" spans="1:9" hidden="1" x14ac:dyDescent="0.25">
      <c r="A6425" t="s">
        <v>5269</v>
      </c>
      <c r="B6425" t="s">
        <v>24</v>
      </c>
      <c r="C6425" s="2">
        <f>HYPERLINK("https://cao.dolgi.msk.ru/account/1080078127/", 1080078127)</f>
        <v>1080078127</v>
      </c>
      <c r="D6425" t="s">
        <v>5282</v>
      </c>
      <c r="E6425">
        <v>-4379.18</v>
      </c>
      <c r="F6425">
        <v>-0.92</v>
      </c>
      <c r="G6425" t="s">
        <v>12</v>
      </c>
      <c r="I6425" t="s">
        <v>230</v>
      </c>
    </row>
    <row r="6426" spans="1:9" hidden="1" x14ac:dyDescent="0.25">
      <c r="A6426" t="s">
        <v>5269</v>
      </c>
      <c r="B6426" t="s">
        <v>251</v>
      </c>
      <c r="C6426" s="2">
        <f>HYPERLINK("https://cao.dolgi.msk.ru/account/1080078135/", 1080078135)</f>
        <v>1080078135</v>
      </c>
      <c r="D6426" t="s">
        <v>5283</v>
      </c>
      <c r="E6426">
        <v>-3216.31</v>
      </c>
      <c r="F6426">
        <v>-1.03</v>
      </c>
      <c r="G6426" t="s">
        <v>12</v>
      </c>
      <c r="I6426" t="s">
        <v>230</v>
      </c>
    </row>
    <row r="6427" spans="1:9" x14ac:dyDescent="0.25">
      <c r="A6427" t="s">
        <v>5269</v>
      </c>
      <c r="B6427" t="s">
        <v>27</v>
      </c>
      <c r="C6427" s="2">
        <f>HYPERLINK("https://cao.dolgi.msk.ru/account/1080078143/", 1080078143)</f>
        <v>1080078143</v>
      </c>
      <c r="D6427" t="s">
        <v>5284</v>
      </c>
      <c r="E6427">
        <v>8363.4</v>
      </c>
      <c r="F6427">
        <v>1.79</v>
      </c>
      <c r="G6427" t="s">
        <v>12</v>
      </c>
      <c r="I6427" t="s">
        <v>230</v>
      </c>
    </row>
    <row r="6428" spans="1:9" hidden="1" x14ac:dyDescent="0.25">
      <c r="A6428" t="s">
        <v>5269</v>
      </c>
      <c r="B6428" t="s">
        <v>254</v>
      </c>
      <c r="C6428" s="2">
        <f>HYPERLINK("https://cao.dolgi.msk.ru/account/1080078151/", 1080078151)</f>
        <v>1080078151</v>
      </c>
      <c r="D6428" t="s">
        <v>5285</v>
      </c>
      <c r="E6428">
        <v>-5449.99</v>
      </c>
      <c r="F6428">
        <v>-1.1100000000000001</v>
      </c>
      <c r="G6428" t="s">
        <v>12</v>
      </c>
      <c r="I6428" t="s">
        <v>230</v>
      </c>
    </row>
    <row r="6429" spans="1:9" hidden="1" x14ac:dyDescent="0.25">
      <c r="A6429" t="s">
        <v>5269</v>
      </c>
      <c r="B6429" t="s">
        <v>29</v>
      </c>
      <c r="C6429" s="2">
        <f>HYPERLINK("https://cao.dolgi.msk.ru/account/1080078178/", 1080078178)</f>
        <v>1080078178</v>
      </c>
      <c r="D6429" t="s">
        <v>5286</v>
      </c>
      <c r="E6429">
        <v>-5973.61</v>
      </c>
      <c r="F6429">
        <v>-1.1499999999999999</v>
      </c>
      <c r="G6429" t="s">
        <v>12</v>
      </c>
      <c r="I6429" t="s">
        <v>230</v>
      </c>
    </row>
    <row r="6430" spans="1:9" hidden="1" x14ac:dyDescent="0.25">
      <c r="A6430" t="s">
        <v>5269</v>
      </c>
      <c r="B6430" t="s">
        <v>256</v>
      </c>
      <c r="C6430" s="2">
        <f>HYPERLINK("https://cao.dolgi.msk.ru/account/1080078186/", 1080078186)</f>
        <v>1080078186</v>
      </c>
      <c r="D6430" t="s">
        <v>5287</v>
      </c>
      <c r="E6430">
        <v>-3268.76</v>
      </c>
      <c r="F6430">
        <v>-1.02</v>
      </c>
      <c r="G6430" t="s">
        <v>12</v>
      </c>
      <c r="I6430" t="s">
        <v>230</v>
      </c>
    </row>
    <row r="6431" spans="1:9" hidden="1" x14ac:dyDescent="0.25">
      <c r="A6431" t="s">
        <v>5269</v>
      </c>
      <c r="B6431" t="s">
        <v>31</v>
      </c>
      <c r="C6431" s="2">
        <f>HYPERLINK("https://cao.dolgi.msk.ru/account/1080078194/", 1080078194)</f>
        <v>1080078194</v>
      </c>
      <c r="D6431" t="s">
        <v>5288</v>
      </c>
      <c r="E6431">
        <v>-4863.6099999999997</v>
      </c>
      <c r="F6431">
        <v>-1.0900000000000001</v>
      </c>
      <c r="G6431" t="s">
        <v>12</v>
      </c>
      <c r="I6431" t="s">
        <v>230</v>
      </c>
    </row>
    <row r="6432" spans="1:9" hidden="1" x14ac:dyDescent="0.25">
      <c r="A6432" t="s">
        <v>5269</v>
      </c>
      <c r="B6432" t="s">
        <v>5289</v>
      </c>
      <c r="C6432" s="2">
        <f>HYPERLINK("https://cao.dolgi.msk.ru/account/1080078207/", 1080078207)</f>
        <v>1080078207</v>
      </c>
      <c r="D6432" t="s">
        <v>62</v>
      </c>
      <c r="E6432">
        <v>-1922.25</v>
      </c>
      <c r="F6432">
        <v>-0.26</v>
      </c>
      <c r="G6432" t="s">
        <v>12</v>
      </c>
      <c r="I6432" t="s">
        <v>230</v>
      </c>
    </row>
    <row r="6433" spans="1:9" hidden="1" x14ac:dyDescent="0.25">
      <c r="A6433" t="s">
        <v>5269</v>
      </c>
      <c r="B6433" t="s">
        <v>40</v>
      </c>
      <c r="C6433" s="2">
        <f>HYPERLINK("https://cao.dolgi.msk.ru/account/1080078215/", 1080078215)</f>
        <v>1080078215</v>
      </c>
      <c r="D6433" t="s">
        <v>5290</v>
      </c>
      <c r="E6433">
        <v>-5305.64</v>
      </c>
      <c r="F6433">
        <v>-1.1100000000000001</v>
      </c>
      <c r="G6433" t="s">
        <v>12</v>
      </c>
      <c r="I6433" t="s">
        <v>230</v>
      </c>
    </row>
    <row r="6434" spans="1:9" hidden="1" x14ac:dyDescent="0.25">
      <c r="A6434" t="s">
        <v>5269</v>
      </c>
      <c r="B6434" t="s">
        <v>41</v>
      </c>
      <c r="C6434" s="2">
        <f>HYPERLINK("https://cao.dolgi.msk.ru/account/1080078223/", 1080078223)</f>
        <v>1080078223</v>
      </c>
      <c r="D6434" t="s">
        <v>5291</v>
      </c>
      <c r="E6434">
        <v>-5344.9</v>
      </c>
      <c r="F6434">
        <v>-2.11</v>
      </c>
      <c r="G6434" t="s">
        <v>12</v>
      </c>
      <c r="I6434" t="s">
        <v>230</v>
      </c>
    </row>
    <row r="6435" spans="1:9" hidden="1" x14ac:dyDescent="0.25">
      <c r="A6435" t="s">
        <v>5269</v>
      </c>
      <c r="B6435" t="s">
        <v>41</v>
      </c>
      <c r="C6435" s="2">
        <f>HYPERLINK("https://cao.dolgi.msk.ru/account/1083272232/", 1083272232)</f>
        <v>1083272232</v>
      </c>
      <c r="D6435" t="s">
        <v>15</v>
      </c>
      <c r="E6435">
        <v>-3293.13</v>
      </c>
      <c r="F6435">
        <v>-1.07</v>
      </c>
      <c r="G6435" t="s">
        <v>12</v>
      </c>
      <c r="I6435" t="s">
        <v>230</v>
      </c>
    </row>
    <row r="6436" spans="1:9" hidden="1" x14ac:dyDescent="0.25">
      <c r="A6436" t="s">
        <v>5269</v>
      </c>
      <c r="B6436" t="s">
        <v>42</v>
      </c>
      <c r="C6436" s="2">
        <f>HYPERLINK("https://cao.dolgi.msk.ru/account/1080078231/", 1080078231)</f>
        <v>1080078231</v>
      </c>
      <c r="D6436" t="s">
        <v>5292</v>
      </c>
      <c r="E6436">
        <v>-5496.12</v>
      </c>
      <c r="F6436">
        <v>-1.28</v>
      </c>
      <c r="G6436" t="s">
        <v>12</v>
      </c>
      <c r="I6436" t="s">
        <v>230</v>
      </c>
    </row>
    <row r="6437" spans="1:9" hidden="1" x14ac:dyDescent="0.25">
      <c r="A6437" t="s">
        <v>5269</v>
      </c>
      <c r="B6437" t="s">
        <v>44</v>
      </c>
      <c r="C6437" s="2">
        <f>HYPERLINK("https://cao.dolgi.msk.ru/account/1080078258/", 1080078258)</f>
        <v>1080078258</v>
      </c>
      <c r="D6437" t="s">
        <v>5293</v>
      </c>
      <c r="E6437">
        <v>7765.6</v>
      </c>
      <c r="F6437">
        <v>0.96</v>
      </c>
      <c r="G6437" t="s">
        <v>12</v>
      </c>
      <c r="I6437" t="s">
        <v>230</v>
      </c>
    </row>
    <row r="6438" spans="1:9" hidden="1" x14ac:dyDescent="0.25">
      <c r="A6438" t="s">
        <v>5269</v>
      </c>
      <c r="B6438" t="s">
        <v>66</v>
      </c>
      <c r="C6438" s="2">
        <f>HYPERLINK("https://cao.dolgi.msk.ru/account/1080078266/", 1080078266)</f>
        <v>1080078266</v>
      </c>
      <c r="D6438" t="s">
        <v>5294</v>
      </c>
      <c r="E6438">
        <v>-2844.17</v>
      </c>
      <c r="F6438">
        <v>-1.1200000000000001</v>
      </c>
      <c r="G6438" t="s">
        <v>12</v>
      </c>
      <c r="I6438" t="s">
        <v>230</v>
      </c>
    </row>
    <row r="6439" spans="1:9" hidden="1" x14ac:dyDescent="0.25">
      <c r="A6439" t="s">
        <v>5269</v>
      </c>
      <c r="B6439" t="s">
        <v>68</v>
      </c>
      <c r="C6439" s="2">
        <f>HYPERLINK("https://cao.dolgi.msk.ru/account/1080078274/", 1080078274)</f>
        <v>1080078274</v>
      </c>
      <c r="D6439" t="s">
        <v>5295</v>
      </c>
      <c r="E6439">
        <v>-7197.33</v>
      </c>
      <c r="F6439">
        <v>-1.04</v>
      </c>
      <c r="G6439" t="s">
        <v>12</v>
      </c>
      <c r="I6439" t="s">
        <v>230</v>
      </c>
    </row>
    <row r="6440" spans="1:9" x14ac:dyDescent="0.25">
      <c r="A6440" t="s">
        <v>5269</v>
      </c>
      <c r="B6440" t="s">
        <v>70</v>
      </c>
      <c r="C6440" s="2">
        <f>HYPERLINK("https://cao.dolgi.msk.ru/account/1080078282/", 1080078282)</f>
        <v>1080078282</v>
      </c>
      <c r="D6440" t="s">
        <v>5296</v>
      </c>
      <c r="E6440">
        <v>4503.47</v>
      </c>
      <c r="F6440">
        <v>1.03</v>
      </c>
      <c r="G6440" t="s">
        <v>12</v>
      </c>
      <c r="I6440" t="s">
        <v>230</v>
      </c>
    </row>
    <row r="6441" spans="1:9" hidden="1" x14ac:dyDescent="0.25">
      <c r="A6441" t="s">
        <v>5269</v>
      </c>
      <c r="B6441" t="s">
        <v>72</v>
      </c>
      <c r="C6441" s="2">
        <f>HYPERLINK("https://cao.dolgi.msk.ru/account/1080078303/", 1080078303)</f>
        <v>1080078303</v>
      </c>
      <c r="D6441" t="s">
        <v>5297</v>
      </c>
      <c r="E6441">
        <v>-3354.38</v>
      </c>
      <c r="F6441">
        <v>-0.95</v>
      </c>
      <c r="G6441" t="s">
        <v>12</v>
      </c>
      <c r="I6441" t="s">
        <v>230</v>
      </c>
    </row>
    <row r="6442" spans="1:9" hidden="1" x14ac:dyDescent="0.25">
      <c r="A6442" t="s">
        <v>5269</v>
      </c>
      <c r="B6442" t="s">
        <v>74</v>
      </c>
      <c r="C6442" s="2">
        <f>HYPERLINK("https://cao.dolgi.msk.ru/account/1080078311/", 1080078311)</f>
        <v>1080078311</v>
      </c>
      <c r="D6442" t="s">
        <v>5298</v>
      </c>
      <c r="E6442">
        <v>-6913.27</v>
      </c>
      <c r="F6442">
        <v>-1.1599999999999999</v>
      </c>
      <c r="G6442" t="s">
        <v>12</v>
      </c>
      <c r="I6442" t="s">
        <v>230</v>
      </c>
    </row>
    <row r="6443" spans="1:9" hidden="1" x14ac:dyDescent="0.25">
      <c r="A6443" t="s">
        <v>5269</v>
      </c>
      <c r="B6443" t="s">
        <v>76</v>
      </c>
      <c r="C6443" s="2">
        <f>HYPERLINK("https://cao.dolgi.msk.ru/account/1080078338/", 1080078338)</f>
        <v>1080078338</v>
      </c>
      <c r="D6443" t="s">
        <v>5299</v>
      </c>
      <c r="E6443">
        <v>-6510.07</v>
      </c>
      <c r="F6443">
        <v>-1.06</v>
      </c>
      <c r="G6443" t="s">
        <v>12</v>
      </c>
      <c r="I6443" t="s">
        <v>230</v>
      </c>
    </row>
    <row r="6444" spans="1:9" hidden="1" x14ac:dyDescent="0.25">
      <c r="A6444" t="s">
        <v>5269</v>
      </c>
      <c r="B6444" t="s">
        <v>78</v>
      </c>
      <c r="C6444" s="2">
        <f>HYPERLINK("https://cao.dolgi.msk.ru/account/1080078346/", 1080078346)</f>
        <v>1080078346</v>
      </c>
      <c r="D6444" t="s">
        <v>5300</v>
      </c>
      <c r="E6444">
        <v>-3980.72</v>
      </c>
      <c r="F6444">
        <v>-1.08</v>
      </c>
      <c r="G6444" t="s">
        <v>12</v>
      </c>
      <c r="I6444" t="s">
        <v>230</v>
      </c>
    </row>
    <row r="6445" spans="1:9" hidden="1" x14ac:dyDescent="0.25">
      <c r="A6445" t="s">
        <v>5269</v>
      </c>
      <c r="B6445" t="s">
        <v>80</v>
      </c>
      <c r="C6445" s="2">
        <f>HYPERLINK("https://cao.dolgi.msk.ru/account/1080078354/", 1080078354)</f>
        <v>1080078354</v>
      </c>
      <c r="D6445" t="s">
        <v>5301</v>
      </c>
      <c r="E6445">
        <v>-4752.54</v>
      </c>
      <c r="F6445">
        <v>-1</v>
      </c>
      <c r="G6445" t="s">
        <v>12</v>
      </c>
      <c r="I6445" t="s">
        <v>230</v>
      </c>
    </row>
    <row r="6446" spans="1:9" hidden="1" x14ac:dyDescent="0.25">
      <c r="A6446" t="s">
        <v>5269</v>
      </c>
      <c r="B6446" t="s">
        <v>82</v>
      </c>
      <c r="C6446" s="2">
        <f>HYPERLINK("https://cao.dolgi.msk.ru/account/1080078362/", 1080078362)</f>
        <v>1080078362</v>
      </c>
      <c r="D6446" t="s">
        <v>5302</v>
      </c>
      <c r="E6446">
        <v>0</v>
      </c>
      <c r="F6446">
        <v>0</v>
      </c>
      <c r="G6446" t="s">
        <v>12</v>
      </c>
      <c r="I6446" t="s">
        <v>230</v>
      </c>
    </row>
    <row r="6447" spans="1:9" hidden="1" x14ac:dyDescent="0.25">
      <c r="A6447" t="s">
        <v>5269</v>
      </c>
      <c r="B6447" t="s">
        <v>84</v>
      </c>
      <c r="C6447" s="2">
        <f>HYPERLINK("https://cao.dolgi.msk.ru/account/1080078389/", 1080078389)</f>
        <v>1080078389</v>
      </c>
      <c r="D6447" t="s">
        <v>5303</v>
      </c>
      <c r="E6447">
        <v>-5678.25</v>
      </c>
      <c r="F6447">
        <v>-1.28</v>
      </c>
      <c r="G6447" t="s">
        <v>12</v>
      </c>
      <c r="I6447" t="s">
        <v>230</v>
      </c>
    </row>
    <row r="6448" spans="1:9" hidden="1" x14ac:dyDescent="0.25">
      <c r="A6448" t="s">
        <v>5269</v>
      </c>
      <c r="B6448" t="s">
        <v>86</v>
      </c>
      <c r="C6448" s="2">
        <f>HYPERLINK("https://cao.dolgi.msk.ru/account/1080078397/", 1080078397)</f>
        <v>1080078397</v>
      </c>
      <c r="D6448" t="s">
        <v>5304</v>
      </c>
      <c r="E6448">
        <v>-4268.8599999999997</v>
      </c>
      <c r="F6448">
        <v>-1.06</v>
      </c>
      <c r="G6448" t="s">
        <v>12</v>
      </c>
      <c r="I6448" t="s">
        <v>230</v>
      </c>
    </row>
    <row r="6449" spans="1:9" hidden="1" x14ac:dyDescent="0.25">
      <c r="A6449" t="s">
        <v>5269</v>
      </c>
      <c r="B6449" t="s">
        <v>88</v>
      </c>
      <c r="C6449" s="2">
        <f>HYPERLINK("https://cao.dolgi.msk.ru/account/1080078418/", 1080078418)</f>
        <v>1080078418</v>
      </c>
      <c r="D6449" t="s">
        <v>5305</v>
      </c>
      <c r="E6449">
        <v>47.54</v>
      </c>
      <c r="F6449">
        <v>0.01</v>
      </c>
      <c r="G6449" t="s">
        <v>12</v>
      </c>
      <c r="I6449" t="s">
        <v>230</v>
      </c>
    </row>
    <row r="6450" spans="1:9" hidden="1" x14ac:dyDescent="0.25">
      <c r="A6450" t="s">
        <v>5269</v>
      </c>
      <c r="B6450" t="s">
        <v>90</v>
      </c>
      <c r="C6450" s="2">
        <f>HYPERLINK("https://cao.dolgi.msk.ru/account/1080078426/", 1080078426)</f>
        <v>1080078426</v>
      </c>
      <c r="D6450" t="s">
        <v>5306</v>
      </c>
      <c r="E6450">
        <v>-5019.74</v>
      </c>
      <c r="F6450">
        <v>-1.1200000000000001</v>
      </c>
      <c r="G6450" t="s">
        <v>12</v>
      </c>
      <c r="I6450" t="s">
        <v>230</v>
      </c>
    </row>
    <row r="6451" spans="1:9" hidden="1" x14ac:dyDescent="0.25">
      <c r="A6451" t="s">
        <v>5269</v>
      </c>
      <c r="B6451" t="s">
        <v>92</v>
      </c>
      <c r="C6451" s="2">
        <f>HYPERLINK("https://cao.dolgi.msk.ru/account/1080078434/", 1080078434)</f>
        <v>1080078434</v>
      </c>
      <c r="D6451" t="s">
        <v>5307</v>
      </c>
      <c r="E6451">
        <v>-5129.25</v>
      </c>
      <c r="F6451">
        <v>-1.0900000000000001</v>
      </c>
      <c r="G6451" t="s">
        <v>12</v>
      </c>
      <c r="I6451" t="s">
        <v>230</v>
      </c>
    </row>
    <row r="6452" spans="1:9" hidden="1" x14ac:dyDescent="0.25">
      <c r="A6452" t="s">
        <v>5308</v>
      </c>
      <c r="B6452" t="s">
        <v>10</v>
      </c>
      <c r="C6452" s="2">
        <f>HYPERLINK("https://cao.dolgi.msk.ru/account/1080064374/", 1080064374)</f>
        <v>1080064374</v>
      </c>
      <c r="D6452" t="s">
        <v>5309</v>
      </c>
      <c r="E6452">
        <v>-4411.03</v>
      </c>
      <c r="F6452">
        <v>-0.97</v>
      </c>
      <c r="G6452" t="s">
        <v>12</v>
      </c>
      <c r="I6452" t="s">
        <v>230</v>
      </c>
    </row>
    <row r="6453" spans="1:9" hidden="1" x14ac:dyDescent="0.25">
      <c r="A6453" t="s">
        <v>5308</v>
      </c>
      <c r="B6453" t="s">
        <v>16</v>
      </c>
      <c r="C6453" s="2">
        <f>HYPERLINK("https://cao.dolgi.msk.ru/account/1080064382/", 1080064382)</f>
        <v>1080064382</v>
      </c>
      <c r="D6453" t="s">
        <v>5310</v>
      </c>
      <c r="E6453">
        <v>-4374.1000000000004</v>
      </c>
      <c r="F6453">
        <v>-1.06</v>
      </c>
      <c r="G6453" t="s">
        <v>12</v>
      </c>
      <c r="I6453" t="s">
        <v>230</v>
      </c>
    </row>
    <row r="6454" spans="1:9" hidden="1" x14ac:dyDescent="0.25">
      <c r="A6454" t="s">
        <v>5308</v>
      </c>
      <c r="B6454" t="s">
        <v>16</v>
      </c>
      <c r="C6454" s="2">
        <f>HYPERLINK("https://cao.dolgi.msk.ru/account/1089124935/", 1089124935)</f>
        <v>1089124935</v>
      </c>
      <c r="D6454" t="s">
        <v>15</v>
      </c>
      <c r="E6454">
        <v>-3019.35</v>
      </c>
      <c r="F6454">
        <v>-1.63</v>
      </c>
      <c r="G6454" t="s">
        <v>12</v>
      </c>
      <c r="I6454" t="s">
        <v>230</v>
      </c>
    </row>
    <row r="6455" spans="1:9" hidden="1" x14ac:dyDescent="0.25">
      <c r="A6455" t="s">
        <v>5308</v>
      </c>
      <c r="B6455" t="s">
        <v>18</v>
      </c>
      <c r="C6455" s="2">
        <f>HYPERLINK("https://cao.dolgi.msk.ru/account/1080064403/", 1080064403)</f>
        <v>1080064403</v>
      </c>
      <c r="D6455" t="s">
        <v>5311</v>
      </c>
      <c r="E6455">
        <v>77.599999999999994</v>
      </c>
      <c r="F6455">
        <v>0.01</v>
      </c>
      <c r="G6455" t="s">
        <v>12</v>
      </c>
      <c r="I6455" t="s">
        <v>230</v>
      </c>
    </row>
    <row r="6456" spans="1:9" x14ac:dyDescent="0.25">
      <c r="A6456" t="s">
        <v>5308</v>
      </c>
      <c r="B6456" t="s">
        <v>20</v>
      </c>
      <c r="C6456" s="2">
        <f>HYPERLINK("https://cao.dolgi.msk.ru/account/1080064411/", 1080064411)</f>
        <v>1080064411</v>
      </c>
      <c r="D6456" t="s">
        <v>5312</v>
      </c>
      <c r="E6456">
        <v>321301.64</v>
      </c>
      <c r="F6456">
        <v>35.31</v>
      </c>
      <c r="G6456" t="s">
        <v>12</v>
      </c>
      <c r="I6456" t="s">
        <v>230</v>
      </c>
    </row>
    <row r="6457" spans="1:9" hidden="1" x14ac:dyDescent="0.25">
      <c r="A6457" t="s">
        <v>5308</v>
      </c>
      <c r="B6457" t="s">
        <v>21</v>
      </c>
      <c r="C6457" s="2">
        <f>HYPERLINK("https://cao.dolgi.msk.ru/account/1080064438/", 1080064438)</f>
        <v>1080064438</v>
      </c>
      <c r="D6457" t="s">
        <v>5313</v>
      </c>
      <c r="E6457">
        <v>-11361.73</v>
      </c>
      <c r="F6457">
        <v>-0.98</v>
      </c>
      <c r="G6457" t="s">
        <v>12</v>
      </c>
      <c r="I6457" t="s">
        <v>230</v>
      </c>
    </row>
    <row r="6458" spans="1:9" hidden="1" x14ac:dyDescent="0.25">
      <c r="A6458" t="s">
        <v>5308</v>
      </c>
      <c r="B6458" t="s">
        <v>22</v>
      </c>
      <c r="C6458" s="2">
        <f>HYPERLINK("https://cao.dolgi.msk.ru/account/1080064446/", 1080064446)</f>
        <v>1080064446</v>
      </c>
      <c r="D6458" t="s">
        <v>5314</v>
      </c>
      <c r="E6458">
        <v>-8285.99</v>
      </c>
      <c r="F6458">
        <v>-1.06</v>
      </c>
      <c r="G6458" t="s">
        <v>12</v>
      </c>
      <c r="I6458" t="s">
        <v>230</v>
      </c>
    </row>
    <row r="6459" spans="1:9" x14ac:dyDescent="0.25">
      <c r="A6459" t="s">
        <v>5308</v>
      </c>
      <c r="B6459" t="s">
        <v>23</v>
      </c>
      <c r="C6459" s="2">
        <f>HYPERLINK("https://cao.dolgi.msk.ru/account/1080064454/", 1080064454)</f>
        <v>1080064454</v>
      </c>
      <c r="D6459" t="s">
        <v>5315</v>
      </c>
      <c r="E6459">
        <v>299022.01</v>
      </c>
      <c r="F6459">
        <v>26.5</v>
      </c>
      <c r="G6459" t="s">
        <v>12</v>
      </c>
      <c r="I6459" t="s">
        <v>230</v>
      </c>
    </row>
    <row r="6460" spans="1:9" hidden="1" x14ac:dyDescent="0.25">
      <c r="A6460" t="s">
        <v>5308</v>
      </c>
      <c r="B6460" t="s">
        <v>24</v>
      </c>
      <c r="C6460" s="2">
        <f>HYPERLINK("https://cao.dolgi.msk.ru/account/1080064462/", 1080064462)</f>
        <v>1080064462</v>
      </c>
      <c r="D6460" t="s">
        <v>62</v>
      </c>
      <c r="E6460">
        <v>0</v>
      </c>
      <c r="F6460">
        <v>0</v>
      </c>
      <c r="G6460" t="s">
        <v>12</v>
      </c>
      <c r="I6460" t="s">
        <v>230</v>
      </c>
    </row>
    <row r="6461" spans="1:9" hidden="1" x14ac:dyDescent="0.25">
      <c r="A6461" t="s">
        <v>5308</v>
      </c>
      <c r="B6461" t="s">
        <v>27</v>
      </c>
      <c r="C6461" s="2">
        <f>HYPERLINK("https://cao.dolgi.msk.ru/account/1080064489/", 1080064489)</f>
        <v>1080064489</v>
      </c>
      <c r="D6461" t="s">
        <v>5316</v>
      </c>
      <c r="E6461">
        <v>-25747.02</v>
      </c>
      <c r="F6461">
        <v>-2.69</v>
      </c>
      <c r="G6461" t="s">
        <v>12</v>
      </c>
      <c r="I6461" t="s">
        <v>230</v>
      </c>
    </row>
    <row r="6462" spans="1:9" hidden="1" x14ac:dyDescent="0.25">
      <c r="A6462" t="s">
        <v>5308</v>
      </c>
      <c r="B6462" t="s">
        <v>29</v>
      </c>
      <c r="C6462" s="2">
        <f>HYPERLINK("https://cao.dolgi.msk.ru/account/1080064497/", 1080064497)</f>
        <v>1080064497</v>
      </c>
      <c r="D6462" t="s">
        <v>5317</v>
      </c>
      <c r="E6462">
        <v>-12805.01</v>
      </c>
      <c r="F6462">
        <v>-1.97</v>
      </c>
      <c r="G6462" t="s">
        <v>12</v>
      </c>
      <c r="I6462" t="s">
        <v>230</v>
      </c>
    </row>
    <row r="6463" spans="1:9" hidden="1" x14ac:dyDescent="0.25">
      <c r="A6463" t="s">
        <v>5308</v>
      </c>
      <c r="B6463" t="s">
        <v>31</v>
      </c>
      <c r="C6463" s="2">
        <f>HYPERLINK("https://cao.dolgi.msk.ru/account/1080064534/", 1080064534)</f>
        <v>1080064534</v>
      </c>
      <c r="D6463" t="s">
        <v>5318</v>
      </c>
      <c r="E6463">
        <v>-8024.62</v>
      </c>
      <c r="F6463">
        <v>-0.85</v>
      </c>
      <c r="G6463" t="s">
        <v>12</v>
      </c>
      <c r="I6463" t="s">
        <v>230</v>
      </c>
    </row>
    <row r="6464" spans="1:9" hidden="1" x14ac:dyDescent="0.25">
      <c r="A6464" t="s">
        <v>5308</v>
      </c>
      <c r="B6464" t="s">
        <v>33</v>
      </c>
      <c r="C6464" s="2">
        <f>HYPERLINK("https://cao.dolgi.msk.ru/account/1080064542/", 1080064542)</f>
        <v>1080064542</v>
      </c>
      <c r="D6464" t="s">
        <v>5319</v>
      </c>
      <c r="E6464">
        <v>-6820.72</v>
      </c>
      <c r="F6464">
        <v>-0.9</v>
      </c>
      <c r="G6464" t="s">
        <v>12</v>
      </c>
      <c r="I6464" t="s">
        <v>230</v>
      </c>
    </row>
    <row r="6465" spans="1:9" hidden="1" x14ac:dyDescent="0.25">
      <c r="A6465" t="s">
        <v>5320</v>
      </c>
      <c r="B6465" t="s">
        <v>10</v>
      </c>
      <c r="C6465" s="2">
        <f>HYPERLINK("https://cao.dolgi.msk.ru/account/1080063726/", 1080063726)</f>
        <v>1080063726</v>
      </c>
      <c r="D6465" t="s">
        <v>5321</v>
      </c>
      <c r="E6465">
        <v>3571.69</v>
      </c>
      <c r="F6465">
        <v>0.95</v>
      </c>
      <c r="G6465" t="s">
        <v>12</v>
      </c>
      <c r="I6465" t="s">
        <v>230</v>
      </c>
    </row>
    <row r="6466" spans="1:9" hidden="1" x14ac:dyDescent="0.25">
      <c r="A6466" t="s">
        <v>5320</v>
      </c>
      <c r="B6466" t="s">
        <v>16</v>
      </c>
      <c r="C6466" s="2">
        <f>HYPERLINK("https://cao.dolgi.msk.ru/account/1080063734/", 1080063734)</f>
        <v>1080063734</v>
      </c>
      <c r="D6466" t="s">
        <v>5322</v>
      </c>
      <c r="E6466">
        <v>1312.93</v>
      </c>
      <c r="F6466">
        <v>0.16</v>
      </c>
      <c r="G6466" t="s">
        <v>12</v>
      </c>
      <c r="I6466" t="s">
        <v>230</v>
      </c>
    </row>
    <row r="6467" spans="1:9" hidden="1" x14ac:dyDescent="0.25">
      <c r="A6467" t="s">
        <v>5320</v>
      </c>
      <c r="B6467" t="s">
        <v>18</v>
      </c>
      <c r="C6467" s="2">
        <f>HYPERLINK("https://cao.dolgi.msk.ru/account/1080063742/", 1080063742)</f>
        <v>1080063742</v>
      </c>
      <c r="D6467" t="s">
        <v>5323</v>
      </c>
      <c r="E6467">
        <v>-8709.74</v>
      </c>
      <c r="F6467">
        <v>-1.1100000000000001</v>
      </c>
      <c r="G6467" t="s">
        <v>12</v>
      </c>
      <c r="I6467" t="s">
        <v>230</v>
      </c>
    </row>
    <row r="6468" spans="1:9" hidden="1" x14ac:dyDescent="0.25">
      <c r="A6468" t="s">
        <v>5320</v>
      </c>
      <c r="B6468" t="s">
        <v>20</v>
      </c>
      <c r="C6468" s="2">
        <f>HYPERLINK("https://cao.dolgi.msk.ru/account/1080063769/", 1080063769)</f>
        <v>1080063769</v>
      </c>
      <c r="D6468" t="s">
        <v>5324</v>
      </c>
      <c r="E6468">
        <v>-8633.08</v>
      </c>
      <c r="F6468">
        <v>-1.01</v>
      </c>
      <c r="G6468" t="s">
        <v>12</v>
      </c>
      <c r="I6468" t="s">
        <v>230</v>
      </c>
    </row>
    <row r="6469" spans="1:9" hidden="1" x14ac:dyDescent="0.25">
      <c r="A6469" t="s">
        <v>5320</v>
      </c>
      <c r="B6469" t="s">
        <v>21</v>
      </c>
      <c r="C6469" s="2">
        <f>HYPERLINK("https://cao.dolgi.msk.ru/account/1080063777/", 1080063777)</f>
        <v>1080063777</v>
      </c>
      <c r="D6469" t="s">
        <v>5325</v>
      </c>
      <c r="E6469">
        <v>-7797.21</v>
      </c>
      <c r="F6469">
        <v>-1.29</v>
      </c>
      <c r="G6469" t="s">
        <v>12</v>
      </c>
      <c r="I6469" t="s">
        <v>230</v>
      </c>
    </row>
    <row r="6470" spans="1:9" hidden="1" x14ac:dyDescent="0.25">
      <c r="A6470" t="s">
        <v>5320</v>
      </c>
      <c r="B6470" t="s">
        <v>22</v>
      </c>
      <c r="C6470" s="2">
        <f>HYPERLINK("https://cao.dolgi.msk.ru/account/1080063793/", 1080063793)</f>
        <v>1080063793</v>
      </c>
      <c r="D6470" t="s">
        <v>5326</v>
      </c>
      <c r="E6470">
        <v>-4788.1000000000004</v>
      </c>
      <c r="F6470">
        <v>-1.1399999999999999</v>
      </c>
      <c r="G6470" t="s">
        <v>12</v>
      </c>
      <c r="I6470" t="s">
        <v>230</v>
      </c>
    </row>
    <row r="6471" spans="1:9" hidden="1" x14ac:dyDescent="0.25">
      <c r="A6471" t="s">
        <v>5320</v>
      </c>
      <c r="B6471" t="s">
        <v>23</v>
      </c>
      <c r="C6471" s="2">
        <f>HYPERLINK("https://cao.dolgi.msk.ru/account/1080063806/", 1080063806)</f>
        <v>1080063806</v>
      </c>
      <c r="D6471" t="s">
        <v>5327</v>
      </c>
      <c r="E6471">
        <v>-4396.04</v>
      </c>
      <c r="F6471">
        <v>-0.99</v>
      </c>
      <c r="G6471" t="s">
        <v>12</v>
      </c>
      <c r="I6471" t="s">
        <v>230</v>
      </c>
    </row>
    <row r="6472" spans="1:9" hidden="1" x14ac:dyDescent="0.25">
      <c r="A6472" t="s">
        <v>5320</v>
      </c>
      <c r="B6472" t="s">
        <v>24</v>
      </c>
      <c r="C6472" s="2">
        <f>HYPERLINK("https://cao.dolgi.msk.ru/account/1080063822/", 1080063822)</f>
        <v>1080063822</v>
      </c>
      <c r="D6472" t="s">
        <v>5328</v>
      </c>
      <c r="E6472">
        <v>-7274.12</v>
      </c>
      <c r="F6472">
        <v>-1.1599999999999999</v>
      </c>
      <c r="G6472" t="s">
        <v>12</v>
      </c>
      <c r="I6472" t="s">
        <v>230</v>
      </c>
    </row>
    <row r="6473" spans="1:9" hidden="1" x14ac:dyDescent="0.25">
      <c r="A6473" t="s">
        <v>5320</v>
      </c>
      <c r="B6473" t="s">
        <v>27</v>
      </c>
      <c r="C6473" s="2">
        <f>HYPERLINK("https://cao.dolgi.msk.ru/account/1080063865/", 1080063865)</f>
        <v>1080063865</v>
      </c>
      <c r="D6473" t="s">
        <v>5329</v>
      </c>
      <c r="E6473">
        <v>-5866.87</v>
      </c>
      <c r="F6473">
        <v>-0.68</v>
      </c>
      <c r="G6473" t="s">
        <v>12</v>
      </c>
      <c r="I6473" t="s">
        <v>230</v>
      </c>
    </row>
    <row r="6474" spans="1:9" hidden="1" x14ac:dyDescent="0.25">
      <c r="A6474" t="s">
        <v>5320</v>
      </c>
      <c r="B6474" t="s">
        <v>29</v>
      </c>
      <c r="C6474" s="2">
        <f>HYPERLINK("https://cao.dolgi.msk.ru/account/1080063849/", 1080063849)</f>
        <v>1080063849</v>
      </c>
      <c r="D6474" t="s">
        <v>5330</v>
      </c>
      <c r="E6474">
        <v>-3070.9</v>
      </c>
      <c r="F6474">
        <v>-0.94</v>
      </c>
      <c r="G6474" t="s">
        <v>12</v>
      </c>
      <c r="H6474" t="s">
        <v>7</v>
      </c>
      <c r="I6474" t="s">
        <v>230</v>
      </c>
    </row>
    <row r="6475" spans="1:9" hidden="1" x14ac:dyDescent="0.25">
      <c r="A6475" t="s">
        <v>5320</v>
      </c>
      <c r="B6475" t="s">
        <v>29</v>
      </c>
      <c r="C6475" s="2">
        <f>HYPERLINK("https://cao.dolgi.msk.ru/account/1080063873/", 1080063873)</f>
        <v>1080063873</v>
      </c>
      <c r="D6475" t="s">
        <v>62</v>
      </c>
      <c r="E6475">
        <v>13.26</v>
      </c>
      <c r="F6475">
        <v>0</v>
      </c>
      <c r="G6475" t="s">
        <v>12</v>
      </c>
      <c r="H6475" t="s">
        <v>7</v>
      </c>
      <c r="I6475" t="s">
        <v>230</v>
      </c>
    </row>
    <row r="6476" spans="1:9" x14ac:dyDescent="0.25">
      <c r="A6476" t="s">
        <v>5320</v>
      </c>
      <c r="B6476" t="s">
        <v>31</v>
      </c>
      <c r="C6476" s="2">
        <f>HYPERLINK("https://cao.dolgi.msk.ru/account/1080063902/", 1080063902)</f>
        <v>1080063902</v>
      </c>
      <c r="D6476" t="s">
        <v>5331</v>
      </c>
      <c r="E6476">
        <v>12249</v>
      </c>
      <c r="F6476">
        <v>1.96</v>
      </c>
      <c r="G6476" t="s">
        <v>12</v>
      </c>
      <c r="I6476" t="s">
        <v>230</v>
      </c>
    </row>
    <row r="6477" spans="1:9" hidden="1" x14ac:dyDescent="0.25">
      <c r="A6477" t="s">
        <v>5320</v>
      </c>
      <c r="B6477" t="s">
        <v>33</v>
      </c>
      <c r="C6477" s="2">
        <f>HYPERLINK("https://cao.dolgi.msk.ru/account/1080063929/", 1080063929)</f>
        <v>1080063929</v>
      </c>
      <c r="D6477" t="s">
        <v>5332</v>
      </c>
      <c r="E6477">
        <v>-9074.7099999999991</v>
      </c>
      <c r="F6477">
        <v>-2.11</v>
      </c>
      <c r="G6477" t="s">
        <v>12</v>
      </c>
      <c r="I6477" t="s">
        <v>230</v>
      </c>
    </row>
    <row r="6478" spans="1:9" hidden="1" x14ac:dyDescent="0.25">
      <c r="A6478" t="s">
        <v>5320</v>
      </c>
      <c r="B6478" t="s">
        <v>34</v>
      </c>
      <c r="C6478" s="2">
        <f>HYPERLINK("https://cao.dolgi.msk.ru/account/1080063937/", 1080063937)</f>
        <v>1080063937</v>
      </c>
      <c r="D6478" t="s">
        <v>62</v>
      </c>
      <c r="E6478">
        <v>0</v>
      </c>
      <c r="F6478">
        <v>0</v>
      </c>
      <c r="G6478" t="s">
        <v>12</v>
      </c>
      <c r="I6478" t="s">
        <v>230</v>
      </c>
    </row>
    <row r="6479" spans="1:9" hidden="1" x14ac:dyDescent="0.25">
      <c r="A6479" t="s">
        <v>5320</v>
      </c>
      <c r="B6479" t="s">
        <v>36</v>
      </c>
      <c r="C6479" s="2">
        <f>HYPERLINK("https://cao.dolgi.msk.ru/account/1080064307/", 1080064307)</f>
        <v>1080064307</v>
      </c>
      <c r="D6479" t="s">
        <v>5333</v>
      </c>
      <c r="E6479">
        <v>-4932.7299999999996</v>
      </c>
      <c r="F6479">
        <v>-1.04</v>
      </c>
      <c r="G6479" t="s">
        <v>12</v>
      </c>
      <c r="I6479" t="s">
        <v>230</v>
      </c>
    </row>
    <row r="6480" spans="1:9" hidden="1" x14ac:dyDescent="0.25">
      <c r="A6480" t="s">
        <v>5320</v>
      </c>
      <c r="B6480" t="s">
        <v>38</v>
      </c>
      <c r="C6480" s="2">
        <f>HYPERLINK("https://cao.dolgi.msk.ru/account/1080063953/", 1080063953)</f>
        <v>1080063953</v>
      </c>
      <c r="D6480" t="s">
        <v>15</v>
      </c>
      <c r="E6480">
        <v>7399.01</v>
      </c>
      <c r="G6480" t="s">
        <v>14</v>
      </c>
      <c r="I6480" t="s">
        <v>230</v>
      </c>
    </row>
    <row r="6481" spans="1:9" hidden="1" x14ac:dyDescent="0.25">
      <c r="A6481" t="s">
        <v>5320</v>
      </c>
      <c r="B6481" t="s">
        <v>38</v>
      </c>
      <c r="C6481" s="2">
        <f>HYPERLINK("https://cao.dolgi.msk.ru/account/1083391848/", 1083391848)</f>
        <v>1083391848</v>
      </c>
      <c r="D6481" t="s">
        <v>15</v>
      </c>
      <c r="E6481">
        <v>-31.05</v>
      </c>
      <c r="F6481">
        <v>-0.01</v>
      </c>
      <c r="G6481" t="s">
        <v>12</v>
      </c>
      <c r="I6481" t="s">
        <v>230</v>
      </c>
    </row>
    <row r="6482" spans="1:9" hidden="1" x14ac:dyDescent="0.25">
      <c r="A6482" t="s">
        <v>5320</v>
      </c>
      <c r="B6482" t="s">
        <v>39</v>
      </c>
      <c r="C6482" s="2">
        <f>HYPERLINK("https://cao.dolgi.msk.ru/account/1080063961/", 1080063961)</f>
        <v>1080063961</v>
      </c>
      <c r="D6482" t="s">
        <v>5334</v>
      </c>
      <c r="E6482">
        <v>-5452.09</v>
      </c>
      <c r="F6482">
        <v>-1.01</v>
      </c>
      <c r="G6482" t="s">
        <v>12</v>
      </c>
      <c r="I6482" t="s">
        <v>230</v>
      </c>
    </row>
    <row r="6483" spans="1:9" hidden="1" x14ac:dyDescent="0.25">
      <c r="A6483" t="s">
        <v>5320</v>
      </c>
      <c r="B6483" t="s">
        <v>40</v>
      </c>
      <c r="C6483" s="2">
        <f>HYPERLINK("https://cao.dolgi.msk.ru/account/1080063988/", 1080063988)</f>
        <v>1080063988</v>
      </c>
      <c r="D6483" t="s">
        <v>5335</v>
      </c>
      <c r="E6483">
        <v>-3195.7</v>
      </c>
      <c r="F6483">
        <v>-1.1100000000000001</v>
      </c>
      <c r="G6483" t="s">
        <v>12</v>
      </c>
      <c r="I6483" t="s">
        <v>230</v>
      </c>
    </row>
    <row r="6484" spans="1:9" hidden="1" x14ac:dyDescent="0.25">
      <c r="A6484" t="s">
        <v>5320</v>
      </c>
      <c r="B6484" t="s">
        <v>41</v>
      </c>
      <c r="C6484" s="2">
        <f>HYPERLINK("https://cao.dolgi.msk.ru/account/1080063996/", 1080063996)</f>
        <v>1080063996</v>
      </c>
      <c r="D6484" t="s">
        <v>5336</v>
      </c>
      <c r="E6484">
        <v>-8654.2199999999993</v>
      </c>
      <c r="F6484">
        <v>-1.05</v>
      </c>
      <c r="G6484" t="s">
        <v>12</v>
      </c>
      <c r="I6484" t="s">
        <v>230</v>
      </c>
    </row>
    <row r="6485" spans="1:9" hidden="1" x14ac:dyDescent="0.25">
      <c r="A6485" t="s">
        <v>5320</v>
      </c>
      <c r="B6485" t="s">
        <v>42</v>
      </c>
      <c r="C6485" s="2">
        <f>HYPERLINK("https://cao.dolgi.msk.ru/account/1080064008/", 1080064008)</f>
        <v>1080064008</v>
      </c>
      <c r="D6485" t="s">
        <v>5337</v>
      </c>
      <c r="E6485">
        <v>4627.17</v>
      </c>
      <c r="F6485">
        <v>0.57999999999999996</v>
      </c>
      <c r="G6485" t="s">
        <v>12</v>
      </c>
      <c r="I6485" t="s">
        <v>230</v>
      </c>
    </row>
    <row r="6486" spans="1:9" hidden="1" x14ac:dyDescent="0.25">
      <c r="A6486" t="s">
        <v>5320</v>
      </c>
      <c r="B6486" t="s">
        <v>277</v>
      </c>
      <c r="C6486" s="2">
        <f>HYPERLINK("https://cao.dolgi.msk.ru/account/1080064016/", 1080064016)</f>
        <v>1080064016</v>
      </c>
      <c r="D6486" t="s">
        <v>5338</v>
      </c>
      <c r="E6486">
        <v>-9088.35</v>
      </c>
      <c r="F6486">
        <v>-1.47</v>
      </c>
      <c r="G6486" t="s">
        <v>12</v>
      </c>
      <c r="I6486" t="s">
        <v>230</v>
      </c>
    </row>
    <row r="6487" spans="1:9" hidden="1" x14ac:dyDescent="0.25">
      <c r="A6487" t="s">
        <v>5320</v>
      </c>
      <c r="B6487" t="s">
        <v>282</v>
      </c>
      <c r="C6487" s="2">
        <f>HYPERLINK("https://cao.dolgi.msk.ru/account/1080064358/", 1080064358)</f>
        <v>1080064358</v>
      </c>
      <c r="D6487" t="s">
        <v>5339</v>
      </c>
      <c r="E6487">
        <v>194.62</v>
      </c>
      <c r="F6487">
        <v>0.03</v>
      </c>
      <c r="G6487" t="s">
        <v>12</v>
      </c>
      <c r="I6487" t="s">
        <v>230</v>
      </c>
    </row>
    <row r="6488" spans="1:9" hidden="1" x14ac:dyDescent="0.25">
      <c r="A6488" t="s">
        <v>5320</v>
      </c>
      <c r="B6488" t="s">
        <v>68</v>
      </c>
      <c r="C6488" s="2">
        <f>HYPERLINK("https://cao.dolgi.msk.ru/account/1080064024/", 1080064024)</f>
        <v>1080064024</v>
      </c>
      <c r="D6488" t="s">
        <v>5340</v>
      </c>
      <c r="E6488">
        <v>-7891.47</v>
      </c>
      <c r="F6488">
        <v>-1.1599999999999999</v>
      </c>
      <c r="G6488" t="s">
        <v>12</v>
      </c>
      <c r="I6488" t="s">
        <v>230</v>
      </c>
    </row>
    <row r="6489" spans="1:9" hidden="1" x14ac:dyDescent="0.25">
      <c r="A6489" t="s">
        <v>5320</v>
      </c>
      <c r="B6489" t="s">
        <v>70</v>
      </c>
      <c r="C6489" s="2">
        <f>HYPERLINK("https://cao.dolgi.msk.ru/account/1080064032/", 1080064032)</f>
        <v>1080064032</v>
      </c>
      <c r="D6489" t="s">
        <v>5341</v>
      </c>
      <c r="E6489">
        <v>-7743.62</v>
      </c>
      <c r="F6489">
        <v>-0.85</v>
      </c>
      <c r="G6489" t="s">
        <v>12</v>
      </c>
      <c r="I6489" t="s">
        <v>230</v>
      </c>
    </row>
    <row r="6490" spans="1:9" hidden="1" x14ac:dyDescent="0.25">
      <c r="A6490" t="s">
        <v>5320</v>
      </c>
      <c r="B6490" t="s">
        <v>5342</v>
      </c>
      <c r="C6490" s="2">
        <f>HYPERLINK("https://cao.dolgi.msk.ru/account/1083378096/", 1083378096)</f>
        <v>1083378096</v>
      </c>
      <c r="D6490" t="s">
        <v>15</v>
      </c>
      <c r="E6490">
        <v>8247.77</v>
      </c>
      <c r="F6490">
        <v>1</v>
      </c>
      <c r="G6490" t="s">
        <v>12</v>
      </c>
      <c r="I6490" t="s">
        <v>230</v>
      </c>
    </row>
    <row r="6491" spans="1:9" hidden="1" x14ac:dyDescent="0.25">
      <c r="A6491" t="s">
        <v>5320</v>
      </c>
      <c r="B6491" t="s">
        <v>74</v>
      </c>
      <c r="C6491" s="2">
        <f>HYPERLINK("https://cao.dolgi.msk.ru/account/1080064059/", 1080064059)</f>
        <v>1080064059</v>
      </c>
      <c r="D6491" t="s">
        <v>5343</v>
      </c>
      <c r="E6491">
        <v>-7335.78</v>
      </c>
      <c r="F6491">
        <v>-0.89</v>
      </c>
      <c r="G6491" t="s">
        <v>12</v>
      </c>
      <c r="I6491" t="s">
        <v>230</v>
      </c>
    </row>
    <row r="6492" spans="1:9" hidden="1" x14ac:dyDescent="0.25">
      <c r="A6492" t="s">
        <v>5320</v>
      </c>
      <c r="B6492" t="s">
        <v>76</v>
      </c>
      <c r="C6492" s="2">
        <f>HYPERLINK("https://cao.dolgi.msk.ru/account/1080064067/", 1080064067)</f>
        <v>1080064067</v>
      </c>
      <c r="D6492" t="s">
        <v>5344</v>
      </c>
      <c r="E6492">
        <v>2971.81</v>
      </c>
      <c r="F6492">
        <v>0.28000000000000003</v>
      </c>
      <c r="G6492" t="s">
        <v>12</v>
      </c>
      <c r="I6492" t="s">
        <v>230</v>
      </c>
    </row>
    <row r="6493" spans="1:9" hidden="1" x14ac:dyDescent="0.25">
      <c r="A6493" t="s">
        <v>5320</v>
      </c>
      <c r="B6493" t="s">
        <v>78</v>
      </c>
      <c r="C6493" s="2">
        <f>HYPERLINK("https://cao.dolgi.msk.ru/account/1080064075/", 1080064075)</f>
        <v>1080064075</v>
      </c>
      <c r="D6493" t="s">
        <v>5345</v>
      </c>
      <c r="E6493">
        <v>-0.59</v>
      </c>
      <c r="F6493">
        <v>0</v>
      </c>
      <c r="G6493" t="s">
        <v>12</v>
      </c>
      <c r="I6493" t="s">
        <v>230</v>
      </c>
    </row>
    <row r="6494" spans="1:9" hidden="1" x14ac:dyDescent="0.25">
      <c r="A6494" t="s">
        <v>5320</v>
      </c>
      <c r="B6494" t="s">
        <v>80</v>
      </c>
      <c r="C6494" s="2">
        <f>HYPERLINK("https://cao.dolgi.msk.ru/account/1080064083/", 1080064083)</f>
        <v>1080064083</v>
      </c>
      <c r="D6494" t="s">
        <v>5346</v>
      </c>
      <c r="E6494">
        <v>1304.56</v>
      </c>
      <c r="F6494">
        <v>0.16</v>
      </c>
      <c r="G6494" t="s">
        <v>12</v>
      </c>
      <c r="I6494" t="s">
        <v>230</v>
      </c>
    </row>
    <row r="6495" spans="1:9" hidden="1" x14ac:dyDescent="0.25">
      <c r="A6495" t="s">
        <v>5320</v>
      </c>
      <c r="B6495" t="s">
        <v>82</v>
      </c>
      <c r="C6495" s="2">
        <f>HYPERLINK("https://cao.dolgi.msk.ru/account/1080064091/", 1080064091)</f>
        <v>1080064091</v>
      </c>
      <c r="D6495" t="s">
        <v>5347</v>
      </c>
      <c r="E6495">
        <v>64.78</v>
      </c>
      <c r="F6495">
        <v>0.01</v>
      </c>
      <c r="G6495" t="s">
        <v>12</v>
      </c>
      <c r="I6495" t="s">
        <v>230</v>
      </c>
    </row>
    <row r="6496" spans="1:9" hidden="1" x14ac:dyDescent="0.25">
      <c r="A6496" t="s">
        <v>5320</v>
      </c>
      <c r="B6496" t="s">
        <v>84</v>
      </c>
      <c r="C6496" s="2">
        <f>HYPERLINK("https://cao.dolgi.msk.ru/account/1080064104/", 1080064104)</f>
        <v>1080064104</v>
      </c>
      <c r="D6496" t="s">
        <v>5348</v>
      </c>
      <c r="E6496">
        <v>-6311.58</v>
      </c>
      <c r="F6496">
        <v>-1.1299999999999999</v>
      </c>
      <c r="G6496" t="s">
        <v>12</v>
      </c>
      <c r="I6496" t="s">
        <v>230</v>
      </c>
    </row>
    <row r="6497" spans="1:9" hidden="1" x14ac:dyDescent="0.25">
      <c r="A6497" t="s">
        <v>5320</v>
      </c>
      <c r="B6497" t="s">
        <v>86</v>
      </c>
      <c r="C6497" s="2">
        <f>HYPERLINK("https://cao.dolgi.msk.ru/account/1080064139/", 1080064139)</f>
        <v>1080064139</v>
      </c>
      <c r="D6497" t="s">
        <v>5349</v>
      </c>
      <c r="E6497">
        <v>-5850.5</v>
      </c>
      <c r="F6497">
        <v>-1.1100000000000001</v>
      </c>
      <c r="G6497" t="s">
        <v>12</v>
      </c>
      <c r="I6497" t="s">
        <v>230</v>
      </c>
    </row>
    <row r="6498" spans="1:9" hidden="1" x14ac:dyDescent="0.25">
      <c r="A6498" t="s">
        <v>5320</v>
      </c>
      <c r="B6498" t="s">
        <v>88</v>
      </c>
      <c r="C6498" s="2">
        <f>HYPERLINK("https://cao.dolgi.msk.ru/account/1080064147/", 1080064147)</f>
        <v>1080064147</v>
      </c>
      <c r="D6498" t="s">
        <v>5350</v>
      </c>
      <c r="E6498">
        <v>-9393.56</v>
      </c>
      <c r="F6498">
        <v>-1.06</v>
      </c>
      <c r="G6498" t="s">
        <v>12</v>
      </c>
      <c r="I6498" t="s">
        <v>230</v>
      </c>
    </row>
    <row r="6499" spans="1:9" hidden="1" x14ac:dyDescent="0.25">
      <c r="A6499" t="s">
        <v>5320</v>
      </c>
      <c r="B6499" t="s">
        <v>90</v>
      </c>
      <c r="C6499" s="2">
        <f>HYPERLINK("https://cao.dolgi.msk.ru/account/1080064155/", 1080064155)</f>
        <v>1080064155</v>
      </c>
      <c r="D6499" t="s">
        <v>5351</v>
      </c>
      <c r="E6499">
        <v>-10744.04</v>
      </c>
      <c r="F6499">
        <v>-2.39</v>
      </c>
      <c r="G6499" t="s">
        <v>12</v>
      </c>
      <c r="I6499" t="s">
        <v>230</v>
      </c>
    </row>
    <row r="6500" spans="1:9" hidden="1" x14ac:dyDescent="0.25">
      <c r="A6500" t="s">
        <v>5320</v>
      </c>
      <c r="B6500" t="s">
        <v>92</v>
      </c>
      <c r="C6500" s="2">
        <f>HYPERLINK("https://cao.dolgi.msk.ru/account/1080064163/", 1080064163)</f>
        <v>1080064163</v>
      </c>
      <c r="D6500" t="s">
        <v>5352</v>
      </c>
      <c r="E6500">
        <v>6754.98</v>
      </c>
      <c r="F6500">
        <v>0.99</v>
      </c>
      <c r="G6500" t="s">
        <v>12</v>
      </c>
      <c r="I6500" t="s">
        <v>230</v>
      </c>
    </row>
    <row r="6501" spans="1:9" hidden="1" x14ac:dyDescent="0.25">
      <c r="A6501" t="s">
        <v>5320</v>
      </c>
      <c r="B6501" t="s">
        <v>94</v>
      </c>
      <c r="C6501" s="2">
        <f>HYPERLINK("https://cao.dolgi.msk.ru/account/1080064171/", 1080064171)</f>
        <v>1080064171</v>
      </c>
      <c r="D6501" t="s">
        <v>5353</v>
      </c>
      <c r="E6501">
        <v>-6437.67</v>
      </c>
      <c r="F6501">
        <v>-1.46</v>
      </c>
      <c r="G6501" t="s">
        <v>12</v>
      </c>
      <c r="I6501" t="s">
        <v>230</v>
      </c>
    </row>
    <row r="6502" spans="1:9" x14ac:dyDescent="0.25">
      <c r="A6502" t="s">
        <v>5320</v>
      </c>
      <c r="B6502" t="s">
        <v>96</v>
      </c>
      <c r="C6502" s="2">
        <f>HYPERLINK("https://cao.dolgi.msk.ru/account/1080064198/", 1080064198)</f>
        <v>1080064198</v>
      </c>
      <c r="D6502" t="s">
        <v>5354</v>
      </c>
      <c r="E6502">
        <v>8780.7000000000007</v>
      </c>
      <c r="F6502">
        <v>1.24</v>
      </c>
      <c r="G6502" t="s">
        <v>12</v>
      </c>
      <c r="I6502" t="s">
        <v>230</v>
      </c>
    </row>
    <row r="6503" spans="1:9" hidden="1" x14ac:dyDescent="0.25">
      <c r="A6503" t="s">
        <v>5320</v>
      </c>
      <c r="B6503" t="s">
        <v>98</v>
      </c>
      <c r="C6503" s="2">
        <f>HYPERLINK("https://cao.dolgi.msk.ru/account/1080064366/", 1080064366)</f>
        <v>1080064366</v>
      </c>
      <c r="D6503" t="s">
        <v>5355</v>
      </c>
      <c r="E6503">
        <v>-5534.57</v>
      </c>
      <c r="F6503">
        <v>-1.1200000000000001</v>
      </c>
      <c r="G6503" t="s">
        <v>12</v>
      </c>
      <c r="I6503" t="s">
        <v>230</v>
      </c>
    </row>
    <row r="6504" spans="1:9" hidden="1" x14ac:dyDescent="0.25">
      <c r="A6504" t="s">
        <v>5320</v>
      </c>
      <c r="B6504" t="s">
        <v>100</v>
      </c>
      <c r="C6504" s="2">
        <f>HYPERLINK("https://cao.dolgi.msk.ru/account/1080064219/", 1080064219)</f>
        <v>1080064219</v>
      </c>
      <c r="D6504" t="s">
        <v>5356</v>
      </c>
      <c r="E6504">
        <v>-9577.27</v>
      </c>
      <c r="F6504">
        <v>-1.58</v>
      </c>
      <c r="G6504" t="s">
        <v>12</v>
      </c>
      <c r="I6504" t="s">
        <v>230</v>
      </c>
    </row>
    <row r="6505" spans="1:9" hidden="1" x14ac:dyDescent="0.25">
      <c r="A6505" t="s">
        <v>5320</v>
      </c>
      <c r="B6505" t="s">
        <v>102</v>
      </c>
      <c r="C6505" s="2">
        <f>HYPERLINK("https://cao.dolgi.msk.ru/account/1080064227/", 1080064227)</f>
        <v>1080064227</v>
      </c>
      <c r="D6505" t="s">
        <v>5357</v>
      </c>
      <c r="E6505">
        <v>-3265.01</v>
      </c>
      <c r="F6505">
        <v>-0.96</v>
      </c>
      <c r="G6505" t="s">
        <v>12</v>
      </c>
      <c r="I6505" t="s">
        <v>230</v>
      </c>
    </row>
    <row r="6506" spans="1:9" x14ac:dyDescent="0.25">
      <c r="A6506" t="s">
        <v>5320</v>
      </c>
      <c r="B6506" t="s">
        <v>106</v>
      </c>
      <c r="C6506" s="2">
        <f>HYPERLINK("https://cao.dolgi.msk.ru/account/1080063785/", 1080063785)</f>
        <v>1080063785</v>
      </c>
      <c r="D6506" t="s">
        <v>5358</v>
      </c>
      <c r="E6506">
        <v>63554.77</v>
      </c>
      <c r="F6506">
        <v>15.1</v>
      </c>
      <c r="G6506" t="s">
        <v>12</v>
      </c>
      <c r="I6506" t="s">
        <v>230</v>
      </c>
    </row>
    <row r="6507" spans="1:9" hidden="1" x14ac:dyDescent="0.25">
      <c r="A6507" t="s">
        <v>5320</v>
      </c>
      <c r="B6507" t="s">
        <v>108</v>
      </c>
      <c r="C6507" s="2">
        <f>HYPERLINK("https://cao.dolgi.msk.ru/account/1080063857/", 1080063857)</f>
        <v>1080063857</v>
      </c>
      <c r="D6507" t="s">
        <v>5359</v>
      </c>
      <c r="E6507">
        <v>-6681.53</v>
      </c>
      <c r="F6507">
        <v>-0.97</v>
      </c>
      <c r="G6507" t="s">
        <v>12</v>
      </c>
      <c r="I6507" t="s">
        <v>230</v>
      </c>
    </row>
    <row r="6508" spans="1:9" hidden="1" x14ac:dyDescent="0.25">
      <c r="A6508" t="s">
        <v>5320</v>
      </c>
      <c r="B6508" t="s">
        <v>110</v>
      </c>
      <c r="C6508" s="2">
        <f>HYPERLINK("https://cao.dolgi.msk.ru/account/1080064235/", 1080064235)</f>
        <v>1080064235</v>
      </c>
      <c r="D6508" t="s">
        <v>5360</v>
      </c>
      <c r="E6508">
        <v>1190.9000000000001</v>
      </c>
      <c r="F6508">
        <v>0.17</v>
      </c>
      <c r="G6508" t="s">
        <v>12</v>
      </c>
      <c r="I6508" t="s">
        <v>230</v>
      </c>
    </row>
    <row r="6509" spans="1:9" hidden="1" x14ac:dyDescent="0.25">
      <c r="A6509" t="s">
        <v>5320</v>
      </c>
      <c r="B6509" t="s">
        <v>112</v>
      </c>
      <c r="C6509" s="2">
        <f>HYPERLINK("https://cao.dolgi.msk.ru/account/1080064243/", 1080064243)</f>
        <v>1080064243</v>
      </c>
      <c r="D6509" t="s">
        <v>5361</v>
      </c>
      <c r="E6509">
        <v>-4327.82</v>
      </c>
      <c r="F6509">
        <v>-1.17</v>
      </c>
      <c r="G6509" t="s">
        <v>12</v>
      </c>
      <c r="I6509" t="s">
        <v>230</v>
      </c>
    </row>
    <row r="6510" spans="1:9" hidden="1" x14ac:dyDescent="0.25">
      <c r="A6510" t="s">
        <v>5320</v>
      </c>
      <c r="B6510" t="s">
        <v>114</v>
      </c>
      <c r="C6510" s="2">
        <f>HYPERLINK("https://cao.dolgi.msk.ru/account/1080064278/", 1080064278)</f>
        <v>1080064278</v>
      </c>
      <c r="D6510" t="s">
        <v>5362</v>
      </c>
      <c r="E6510">
        <v>-7187.23</v>
      </c>
      <c r="F6510">
        <v>-1.29</v>
      </c>
      <c r="G6510" t="s">
        <v>12</v>
      </c>
      <c r="I6510" t="s">
        <v>230</v>
      </c>
    </row>
    <row r="6511" spans="1:9" hidden="1" x14ac:dyDescent="0.25">
      <c r="A6511" t="s">
        <v>5320</v>
      </c>
      <c r="B6511" t="s">
        <v>118</v>
      </c>
      <c r="C6511" s="2">
        <f>HYPERLINK("https://cao.dolgi.msk.ru/account/1080064286/", 1080064286)</f>
        <v>1080064286</v>
      </c>
      <c r="D6511" t="s">
        <v>5363</v>
      </c>
      <c r="E6511">
        <v>-58.2</v>
      </c>
      <c r="F6511">
        <v>-0.01</v>
      </c>
      <c r="G6511" t="s">
        <v>12</v>
      </c>
      <c r="I6511" t="s">
        <v>230</v>
      </c>
    </row>
    <row r="6512" spans="1:9" hidden="1" x14ac:dyDescent="0.25">
      <c r="A6512" t="s">
        <v>5320</v>
      </c>
      <c r="B6512" t="s">
        <v>120</v>
      </c>
      <c r="C6512" s="2">
        <f>HYPERLINK("https://cao.dolgi.msk.ru/account/1080064331/", 1080064331)</f>
        <v>1080064331</v>
      </c>
      <c r="D6512" t="s">
        <v>5364</v>
      </c>
      <c r="E6512">
        <v>-8110.14</v>
      </c>
      <c r="F6512">
        <v>-1.05</v>
      </c>
      <c r="G6512" t="s">
        <v>12</v>
      </c>
      <c r="I6512" t="s">
        <v>230</v>
      </c>
    </row>
    <row r="6513" spans="1:9" x14ac:dyDescent="0.25">
      <c r="A6513" t="s">
        <v>5320</v>
      </c>
      <c r="B6513" t="s">
        <v>122</v>
      </c>
      <c r="C6513" s="2">
        <f>HYPERLINK("https://cao.dolgi.msk.ru/account/1080064294/", 1080064294)</f>
        <v>1080064294</v>
      </c>
      <c r="D6513" t="s">
        <v>15</v>
      </c>
      <c r="E6513">
        <v>7886.27</v>
      </c>
      <c r="F6513">
        <v>1.01</v>
      </c>
      <c r="G6513" t="s">
        <v>12</v>
      </c>
      <c r="I6513" t="s">
        <v>230</v>
      </c>
    </row>
    <row r="6514" spans="1:9" hidden="1" x14ac:dyDescent="0.25">
      <c r="A6514" t="s">
        <v>5320</v>
      </c>
      <c r="B6514" t="s">
        <v>124</v>
      </c>
      <c r="C6514" s="2">
        <f>HYPERLINK("https://cao.dolgi.msk.ru/account/1080063814/", 1080063814)</f>
        <v>1080063814</v>
      </c>
      <c r="D6514" t="s">
        <v>5365</v>
      </c>
      <c r="E6514">
        <v>5.8</v>
      </c>
      <c r="F6514">
        <v>0</v>
      </c>
      <c r="G6514" t="s">
        <v>12</v>
      </c>
      <c r="I6514" t="s">
        <v>230</v>
      </c>
    </row>
    <row r="6515" spans="1:9" hidden="1" x14ac:dyDescent="0.25">
      <c r="A6515" t="s">
        <v>5320</v>
      </c>
      <c r="B6515" t="s">
        <v>124</v>
      </c>
      <c r="C6515" s="2">
        <f>HYPERLINK("https://cao.dolgi.msk.ru/account/1083393958/", 1083393958)</f>
        <v>1083393958</v>
      </c>
      <c r="D6515" t="s">
        <v>189</v>
      </c>
      <c r="E6515">
        <v>-3441.67</v>
      </c>
      <c r="F6515">
        <v>-1.08</v>
      </c>
      <c r="G6515" t="s">
        <v>12</v>
      </c>
      <c r="I6515" t="s">
        <v>230</v>
      </c>
    </row>
    <row r="6516" spans="1:9" hidden="1" x14ac:dyDescent="0.25">
      <c r="A6516" t="s">
        <v>5320</v>
      </c>
      <c r="B6516" t="s">
        <v>126</v>
      </c>
      <c r="C6516" s="2">
        <f>HYPERLINK("https://cao.dolgi.msk.ru/account/1080064315/", 1080064315)</f>
        <v>1080064315</v>
      </c>
      <c r="D6516" t="s">
        <v>5366</v>
      </c>
      <c r="E6516">
        <v>2069.7399999999998</v>
      </c>
      <c r="F6516">
        <v>0.36</v>
      </c>
      <c r="G6516" t="s">
        <v>12</v>
      </c>
      <c r="I6516" t="s">
        <v>230</v>
      </c>
    </row>
    <row r="6517" spans="1:9" x14ac:dyDescent="0.25">
      <c r="A6517" t="s">
        <v>5320</v>
      </c>
      <c r="B6517" t="s">
        <v>128</v>
      </c>
      <c r="C6517" s="2">
        <f>HYPERLINK("https://cao.dolgi.msk.ru/account/1080064323/", 1080064323)</f>
        <v>1080064323</v>
      </c>
      <c r="D6517" t="s">
        <v>5367</v>
      </c>
      <c r="E6517">
        <v>26796.92</v>
      </c>
      <c r="F6517">
        <v>3.83</v>
      </c>
      <c r="G6517" t="s">
        <v>12</v>
      </c>
      <c r="I6517" t="s">
        <v>230</v>
      </c>
    </row>
    <row r="6518" spans="1:9" hidden="1" x14ac:dyDescent="0.25">
      <c r="A6518" t="s">
        <v>5368</v>
      </c>
      <c r="B6518" t="s">
        <v>10</v>
      </c>
      <c r="C6518" s="2">
        <f>HYPERLINK("https://cao.dolgi.msk.ru/account/1080065297/", 1080065297)</f>
        <v>1080065297</v>
      </c>
      <c r="D6518" t="s">
        <v>5369</v>
      </c>
      <c r="E6518">
        <v>4202.6899999999996</v>
      </c>
      <c r="F6518">
        <v>0.75</v>
      </c>
      <c r="G6518" t="s">
        <v>12</v>
      </c>
      <c r="I6518" t="s">
        <v>230</v>
      </c>
    </row>
    <row r="6519" spans="1:9" x14ac:dyDescent="0.25">
      <c r="A6519" t="s">
        <v>5368</v>
      </c>
      <c r="B6519" t="s">
        <v>16</v>
      </c>
      <c r="C6519" s="2">
        <f>HYPERLINK("https://cao.dolgi.msk.ru/account/1080065318/", 1080065318)</f>
        <v>1080065318</v>
      </c>
      <c r="D6519" t="s">
        <v>5370</v>
      </c>
      <c r="E6519">
        <v>6164.46</v>
      </c>
      <c r="F6519">
        <v>1.01</v>
      </c>
      <c r="G6519" t="s">
        <v>12</v>
      </c>
      <c r="I6519" t="s">
        <v>230</v>
      </c>
    </row>
    <row r="6520" spans="1:9" x14ac:dyDescent="0.25">
      <c r="A6520" t="s">
        <v>5368</v>
      </c>
      <c r="B6520" t="s">
        <v>18</v>
      </c>
      <c r="C6520" s="2">
        <f>HYPERLINK("https://cao.dolgi.msk.ru/account/1080065326/", 1080065326)</f>
        <v>1080065326</v>
      </c>
      <c r="D6520" t="s">
        <v>5371</v>
      </c>
      <c r="E6520">
        <v>21712.33</v>
      </c>
      <c r="F6520">
        <v>2.76</v>
      </c>
      <c r="G6520" t="s">
        <v>12</v>
      </c>
      <c r="I6520" t="s">
        <v>230</v>
      </c>
    </row>
    <row r="6521" spans="1:9" hidden="1" x14ac:dyDescent="0.25">
      <c r="A6521" t="s">
        <v>5368</v>
      </c>
      <c r="B6521" t="s">
        <v>21</v>
      </c>
      <c r="C6521" s="2">
        <f>HYPERLINK("https://cao.dolgi.msk.ru/account/1080065377/", 1080065377)</f>
        <v>1080065377</v>
      </c>
      <c r="D6521" t="s">
        <v>5372</v>
      </c>
      <c r="E6521">
        <v>-8117.53</v>
      </c>
      <c r="F6521">
        <v>-1.06</v>
      </c>
      <c r="G6521" t="s">
        <v>12</v>
      </c>
      <c r="I6521" t="s">
        <v>230</v>
      </c>
    </row>
    <row r="6522" spans="1:9" hidden="1" x14ac:dyDescent="0.25">
      <c r="A6522" t="s">
        <v>5368</v>
      </c>
      <c r="B6522" t="s">
        <v>22</v>
      </c>
      <c r="C6522" s="2">
        <f>HYPERLINK("https://cao.dolgi.msk.ru/account/1080065385/", 1080065385)</f>
        <v>1080065385</v>
      </c>
      <c r="D6522" t="s">
        <v>5373</v>
      </c>
      <c r="E6522">
        <v>0</v>
      </c>
      <c r="F6522">
        <v>0</v>
      </c>
      <c r="G6522" t="s">
        <v>12</v>
      </c>
      <c r="I6522" t="s">
        <v>230</v>
      </c>
    </row>
    <row r="6523" spans="1:9" hidden="1" x14ac:dyDescent="0.25">
      <c r="A6523" t="s">
        <v>5368</v>
      </c>
      <c r="B6523" t="s">
        <v>23</v>
      </c>
      <c r="C6523" s="2">
        <f>HYPERLINK("https://cao.dolgi.msk.ru/account/1080065393/", 1080065393)</f>
        <v>1080065393</v>
      </c>
      <c r="D6523" t="s">
        <v>5374</v>
      </c>
      <c r="E6523">
        <v>-10165.719999999999</v>
      </c>
      <c r="F6523">
        <v>-1.1000000000000001</v>
      </c>
      <c r="G6523" t="s">
        <v>12</v>
      </c>
      <c r="I6523" t="s">
        <v>230</v>
      </c>
    </row>
    <row r="6524" spans="1:9" hidden="1" x14ac:dyDescent="0.25">
      <c r="A6524" t="s">
        <v>5368</v>
      </c>
      <c r="B6524" t="s">
        <v>24</v>
      </c>
      <c r="C6524" s="2">
        <f>HYPERLINK("https://cao.dolgi.msk.ru/account/1080065406/", 1080065406)</f>
        <v>1080065406</v>
      </c>
      <c r="D6524" t="s">
        <v>5375</v>
      </c>
      <c r="E6524">
        <v>-11863.72</v>
      </c>
      <c r="F6524">
        <v>-1.9</v>
      </c>
      <c r="G6524" t="s">
        <v>12</v>
      </c>
      <c r="I6524" t="s">
        <v>230</v>
      </c>
    </row>
    <row r="6525" spans="1:9" hidden="1" x14ac:dyDescent="0.25">
      <c r="A6525" t="s">
        <v>5368</v>
      </c>
      <c r="B6525" t="s">
        <v>27</v>
      </c>
      <c r="C6525" s="2">
        <f>HYPERLINK("https://cao.dolgi.msk.ru/account/1080065414/", 1080065414)</f>
        <v>1080065414</v>
      </c>
      <c r="D6525" t="s">
        <v>5376</v>
      </c>
      <c r="E6525">
        <v>186.71</v>
      </c>
      <c r="F6525">
        <v>0.02</v>
      </c>
      <c r="G6525" t="s">
        <v>12</v>
      </c>
      <c r="I6525" t="s">
        <v>230</v>
      </c>
    </row>
    <row r="6526" spans="1:9" hidden="1" x14ac:dyDescent="0.25">
      <c r="A6526" t="s">
        <v>5368</v>
      </c>
      <c r="B6526" t="s">
        <v>29</v>
      </c>
      <c r="C6526" s="2">
        <f>HYPERLINK("https://cao.dolgi.msk.ru/account/1080065422/", 1080065422)</f>
        <v>1080065422</v>
      </c>
      <c r="D6526" t="s">
        <v>5377</v>
      </c>
      <c r="E6526">
        <v>-7024.7</v>
      </c>
      <c r="F6526">
        <v>-1.08</v>
      </c>
      <c r="G6526" t="s">
        <v>12</v>
      </c>
      <c r="I6526" t="s">
        <v>230</v>
      </c>
    </row>
    <row r="6527" spans="1:9" hidden="1" x14ac:dyDescent="0.25">
      <c r="A6527" t="s">
        <v>5368</v>
      </c>
      <c r="B6527" t="s">
        <v>31</v>
      </c>
      <c r="C6527" s="2">
        <f>HYPERLINK("https://cao.dolgi.msk.ru/account/1080065449/", 1080065449)</f>
        <v>1080065449</v>
      </c>
      <c r="D6527" t="s">
        <v>5378</v>
      </c>
      <c r="E6527">
        <v>-4457.6000000000004</v>
      </c>
      <c r="F6527">
        <v>-1.0900000000000001</v>
      </c>
      <c r="G6527" t="s">
        <v>12</v>
      </c>
      <c r="I6527" t="s">
        <v>230</v>
      </c>
    </row>
    <row r="6528" spans="1:9" hidden="1" x14ac:dyDescent="0.25">
      <c r="A6528" t="s">
        <v>5368</v>
      </c>
      <c r="B6528" t="s">
        <v>33</v>
      </c>
      <c r="C6528" s="2">
        <f>HYPERLINK("https://cao.dolgi.msk.ru/account/1080065457/", 1080065457)</f>
        <v>1080065457</v>
      </c>
      <c r="D6528" t="s">
        <v>5379</v>
      </c>
      <c r="E6528">
        <v>-8241.75</v>
      </c>
      <c r="F6528">
        <v>-1.02</v>
      </c>
      <c r="G6528" t="s">
        <v>12</v>
      </c>
      <c r="I6528" t="s">
        <v>230</v>
      </c>
    </row>
    <row r="6529" spans="1:9" hidden="1" x14ac:dyDescent="0.25">
      <c r="A6529" t="s">
        <v>5368</v>
      </c>
      <c r="B6529" t="s">
        <v>34</v>
      </c>
      <c r="C6529" s="2">
        <f>HYPERLINK("https://cao.dolgi.msk.ru/account/1080065465/", 1080065465)</f>
        <v>1080065465</v>
      </c>
      <c r="D6529" t="s">
        <v>15</v>
      </c>
      <c r="E6529">
        <v>-834.37</v>
      </c>
      <c r="F6529">
        <v>-0.09</v>
      </c>
      <c r="G6529" t="s">
        <v>12</v>
      </c>
      <c r="I6529" t="s">
        <v>230</v>
      </c>
    </row>
    <row r="6530" spans="1:9" hidden="1" x14ac:dyDescent="0.25">
      <c r="A6530" t="s">
        <v>5368</v>
      </c>
      <c r="B6530" t="s">
        <v>36</v>
      </c>
      <c r="C6530" s="2">
        <f>HYPERLINK("https://cao.dolgi.msk.ru/account/1080065473/", 1080065473)</f>
        <v>1080065473</v>
      </c>
      <c r="D6530" t="s">
        <v>62</v>
      </c>
      <c r="E6530">
        <v>-3783.45</v>
      </c>
      <c r="F6530">
        <v>-1.26</v>
      </c>
      <c r="G6530" t="s">
        <v>12</v>
      </c>
      <c r="I6530" t="s">
        <v>230</v>
      </c>
    </row>
    <row r="6531" spans="1:9" hidden="1" x14ac:dyDescent="0.25">
      <c r="A6531" t="s">
        <v>5368</v>
      </c>
      <c r="B6531" t="s">
        <v>36</v>
      </c>
      <c r="C6531" s="2">
        <f>HYPERLINK("https://cao.dolgi.msk.ru/account/1089114964/", 1089114964)</f>
        <v>1089114964</v>
      </c>
      <c r="D6531" t="s">
        <v>15</v>
      </c>
      <c r="E6531">
        <v>-3167.04</v>
      </c>
      <c r="F6531">
        <v>-1.1000000000000001</v>
      </c>
      <c r="G6531" t="s">
        <v>12</v>
      </c>
      <c r="I6531" t="s">
        <v>230</v>
      </c>
    </row>
    <row r="6532" spans="1:9" hidden="1" x14ac:dyDescent="0.25">
      <c r="A6532" t="s">
        <v>5368</v>
      </c>
      <c r="B6532" t="s">
        <v>38</v>
      </c>
      <c r="C6532" s="2">
        <f>HYPERLINK("https://cao.dolgi.msk.ru/account/1080065481/", 1080065481)</f>
        <v>1080065481</v>
      </c>
      <c r="D6532" t="s">
        <v>5380</v>
      </c>
      <c r="E6532">
        <v>-5238.59</v>
      </c>
      <c r="F6532">
        <v>-1.1299999999999999</v>
      </c>
      <c r="G6532" t="s">
        <v>12</v>
      </c>
      <c r="I6532" t="s">
        <v>230</v>
      </c>
    </row>
    <row r="6533" spans="1:9" hidden="1" x14ac:dyDescent="0.25">
      <c r="A6533" t="s">
        <v>5368</v>
      </c>
      <c r="B6533" t="s">
        <v>39</v>
      </c>
      <c r="C6533" s="2">
        <f>HYPERLINK("https://cao.dolgi.msk.ru/account/1080065502/", 1080065502)</f>
        <v>1080065502</v>
      </c>
      <c r="D6533" t="s">
        <v>5381</v>
      </c>
      <c r="E6533">
        <v>-8271.4500000000007</v>
      </c>
      <c r="F6533">
        <v>-1.1200000000000001</v>
      </c>
      <c r="G6533" t="s">
        <v>12</v>
      </c>
      <c r="I6533" t="s">
        <v>230</v>
      </c>
    </row>
    <row r="6534" spans="1:9" x14ac:dyDescent="0.25">
      <c r="A6534" t="s">
        <v>5368</v>
      </c>
      <c r="B6534" t="s">
        <v>40</v>
      </c>
      <c r="C6534" s="2">
        <f>HYPERLINK("https://cao.dolgi.msk.ru/account/1080065529/", 1080065529)</f>
        <v>1080065529</v>
      </c>
      <c r="D6534" t="s">
        <v>5382</v>
      </c>
      <c r="E6534">
        <v>9702.44</v>
      </c>
      <c r="F6534">
        <v>1.02</v>
      </c>
      <c r="G6534" t="s">
        <v>12</v>
      </c>
      <c r="I6534" t="s">
        <v>230</v>
      </c>
    </row>
    <row r="6535" spans="1:9" hidden="1" x14ac:dyDescent="0.25">
      <c r="A6535" t="s">
        <v>5368</v>
      </c>
      <c r="B6535" t="s">
        <v>41</v>
      </c>
      <c r="C6535" s="2">
        <f>HYPERLINK("https://cao.dolgi.msk.ru/account/1080065537/", 1080065537)</f>
        <v>1080065537</v>
      </c>
      <c r="D6535" t="s">
        <v>5383</v>
      </c>
      <c r="E6535">
        <v>2130.27</v>
      </c>
      <c r="F6535">
        <v>0.25</v>
      </c>
      <c r="G6535" t="s">
        <v>12</v>
      </c>
      <c r="I6535" t="s">
        <v>230</v>
      </c>
    </row>
    <row r="6536" spans="1:9" hidden="1" x14ac:dyDescent="0.25">
      <c r="A6536" t="s">
        <v>5368</v>
      </c>
      <c r="B6536" t="s">
        <v>42</v>
      </c>
      <c r="C6536" s="2">
        <f>HYPERLINK("https://cao.dolgi.msk.ru/account/1080065545/", 1080065545)</f>
        <v>1080065545</v>
      </c>
      <c r="D6536" t="s">
        <v>5384</v>
      </c>
      <c r="E6536">
        <v>-6363.8</v>
      </c>
      <c r="F6536">
        <v>-1.06</v>
      </c>
      <c r="G6536" t="s">
        <v>12</v>
      </c>
      <c r="I6536" t="s">
        <v>230</v>
      </c>
    </row>
    <row r="6537" spans="1:9" hidden="1" x14ac:dyDescent="0.25">
      <c r="A6537" t="s">
        <v>5368</v>
      </c>
      <c r="B6537" t="s">
        <v>44</v>
      </c>
      <c r="C6537" s="2">
        <f>HYPERLINK("https://cao.dolgi.msk.ru/account/1080065553/", 1080065553)</f>
        <v>1080065553</v>
      </c>
      <c r="D6537" t="s">
        <v>5385</v>
      </c>
      <c r="E6537">
        <v>-7262.19</v>
      </c>
      <c r="F6537">
        <v>-1.07</v>
      </c>
      <c r="G6537" t="s">
        <v>12</v>
      </c>
      <c r="I6537" t="s">
        <v>230</v>
      </c>
    </row>
    <row r="6538" spans="1:9" hidden="1" x14ac:dyDescent="0.25">
      <c r="A6538" t="s">
        <v>5368</v>
      </c>
      <c r="B6538" t="s">
        <v>66</v>
      </c>
      <c r="C6538" s="2">
        <f>HYPERLINK("https://cao.dolgi.msk.ru/account/1080065561/", 1080065561)</f>
        <v>1080065561</v>
      </c>
      <c r="D6538" t="s">
        <v>736</v>
      </c>
      <c r="E6538">
        <v>-6569.37</v>
      </c>
      <c r="F6538">
        <v>-1.61</v>
      </c>
      <c r="G6538" t="s">
        <v>12</v>
      </c>
      <c r="I6538" t="s">
        <v>230</v>
      </c>
    </row>
    <row r="6539" spans="1:9" hidden="1" x14ac:dyDescent="0.25">
      <c r="A6539" t="s">
        <v>5368</v>
      </c>
      <c r="B6539" t="s">
        <v>68</v>
      </c>
      <c r="C6539" s="2">
        <f>HYPERLINK("https://cao.dolgi.msk.ru/account/1080065588/", 1080065588)</f>
        <v>1080065588</v>
      </c>
      <c r="D6539" t="s">
        <v>5386</v>
      </c>
      <c r="E6539">
        <v>-226.08</v>
      </c>
      <c r="F6539">
        <v>-0.04</v>
      </c>
      <c r="G6539" t="s">
        <v>12</v>
      </c>
      <c r="I6539" t="s">
        <v>230</v>
      </c>
    </row>
    <row r="6540" spans="1:9" hidden="1" x14ac:dyDescent="0.25">
      <c r="A6540" t="s">
        <v>5368</v>
      </c>
      <c r="B6540" t="s">
        <v>70</v>
      </c>
      <c r="C6540" s="2">
        <f>HYPERLINK("https://cao.dolgi.msk.ru/account/1080065596/", 1080065596)</f>
        <v>1080065596</v>
      </c>
      <c r="D6540" t="s">
        <v>5387</v>
      </c>
      <c r="E6540">
        <v>123.33</v>
      </c>
      <c r="F6540">
        <v>0.03</v>
      </c>
      <c r="G6540" t="s">
        <v>12</v>
      </c>
      <c r="I6540" t="s">
        <v>230</v>
      </c>
    </row>
    <row r="6541" spans="1:9" hidden="1" x14ac:dyDescent="0.25">
      <c r="A6541" t="s">
        <v>5368</v>
      </c>
      <c r="B6541" t="s">
        <v>72</v>
      </c>
      <c r="C6541" s="2">
        <f>HYPERLINK("https://cao.dolgi.msk.ru/account/1080065609/", 1080065609)</f>
        <v>1080065609</v>
      </c>
      <c r="D6541" t="s">
        <v>5388</v>
      </c>
      <c r="E6541">
        <v>-2485.8200000000002</v>
      </c>
      <c r="F6541">
        <v>-1.1100000000000001</v>
      </c>
      <c r="G6541" t="s">
        <v>12</v>
      </c>
      <c r="I6541" t="s">
        <v>230</v>
      </c>
    </row>
    <row r="6542" spans="1:9" hidden="1" x14ac:dyDescent="0.25">
      <c r="A6542" t="s">
        <v>5368</v>
      </c>
      <c r="B6542" t="s">
        <v>74</v>
      </c>
      <c r="C6542" s="2">
        <f>HYPERLINK("https://cao.dolgi.msk.ru/account/1080065617/", 1080065617)</f>
        <v>1080065617</v>
      </c>
      <c r="D6542" t="s">
        <v>15</v>
      </c>
      <c r="E6542">
        <v>-196.19</v>
      </c>
      <c r="F6542">
        <v>-0.04</v>
      </c>
      <c r="G6542" t="s">
        <v>12</v>
      </c>
      <c r="I6542" t="s">
        <v>230</v>
      </c>
    </row>
    <row r="6543" spans="1:9" hidden="1" x14ac:dyDescent="0.25">
      <c r="A6543" t="s">
        <v>5368</v>
      </c>
      <c r="B6543" t="s">
        <v>74</v>
      </c>
      <c r="C6543" s="2">
        <f>HYPERLINK("https://cao.dolgi.msk.ru/account/1080065625/", 1080065625)</f>
        <v>1080065625</v>
      </c>
      <c r="D6543" t="s">
        <v>5389</v>
      </c>
      <c r="E6543">
        <v>0</v>
      </c>
      <c r="G6543" t="s">
        <v>14</v>
      </c>
      <c r="I6543" t="s">
        <v>230</v>
      </c>
    </row>
    <row r="6544" spans="1:9" hidden="1" x14ac:dyDescent="0.25">
      <c r="A6544" t="s">
        <v>5368</v>
      </c>
      <c r="B6544" t="s">
        <v>76</v>
      </c>
      <c r="C6544" s="2">
        <f>HYPERLINK("https://cao.dolgi.msk.ru/account/1080065633/", 1080065633)</f>
        <v>1080065633</v>
      </c>
      <c r="D6544" t="s">
        <v>5390</v>
      </c>
      <c r="E6544">
        <v>-5032.79</v>
      </c>
      <c r="F6544">
        <v>-1.1499999999999999</v>
      </c>
      <c r="G6544" t="s">
        <v>12</v>
      </c>
      <c r="I6544" t="s">
        <v>230</v>
      </c>
    </row>
    <row r="6545" spans="1:9" hidden="1" x14ac:dyDescent="0.25">
      <c r="A6545" t="s">
        <v>5368</v>
      </c>
      <c r="B6545" t="s">
        <v>78</v>
      </c>
      <c r="C6545" s="2">
        <f>HYPERLINK("https://cao.dolgi.msk.ru/account/1080065641/", 1080065641)</f>
        <v>1080065641</v>
      </c>
      <c r="D6545" t="s">
        <v>5391</v>
      </c>
      <c r="E6545">
        <v>-492.01</v>
      </c>
      <c r="F6545">
        <v>-0.11</v>
      </c>
      <c r="G6545" t="s">
        <v>12</v>
      </c>
      <c r="I6545" t="s">
        <v>230</v>
      </c>
    </row>
    <row r="6546" spans="1:9" hidden="1" x14ac:dyDescent="0.25">
      <c r="A6546" t="s">
        <v>5368</v>
      </c>
      <c r="B6546" t="s">
        <v>80</v>
      </c>
      <c r="C6546" s="2">
        <f>HYPERLINK("https://cao.dolgi.msk.ru/account/1080065668/", 1080065668)</f>
        <v>1080065668</v>
      </c>
      <c r="D6546" t="s">
        <v>5392</v>
      </c>
      <c r="E6546">
        <v>39.11</v>
      </c>
      <c r="F6546">
        <v>0.01</v>
      </c>
      <c r="G6546" t="s">
        <v>12</v>
      </c>
      <c r="I6546" t="s">
        <v>230</v>
      </c>
    </row>
    <row r="6547" spans="1:9" hidden="1" x14ac:dyDescent="0.25">
      <c r="A6547" t="s">
        <v>5368</v>
      </c>
      <c r="B6547" t="s">
        <v>82</v>
      </c>
      <c r="C6547" s="2">
        <f>HYPERLINK("https://cao.dolgi.msk.ru/account/1080065676/", 1080065676)</f>
        <v>1080065676</v>
      </c>
      <c r="D6547" t="s">
        <v>5393</v>
      </c>
      <c r="E6547">
        <v>-3961.86</v>
      </c>
      <c r="F6547">
        <v>-0.9</v>
      </c>
      <c r="G6547" t="s">
        <v>12</v>
      </c>
      <c r="I6547" t="s">
        <v>230</v>
      </c>
    </row>
    <row r="6548" spans="1:9" x14ac:dyDescent="0.25">
      <c r="A6548" t="s">
        <v>5368</v>
      </c>
      <c r="B6548" t="s">
        <v>84</v>
      </c>
      <c r="C6548" s="2">
        <f>HYPERLINK("https://cao.dolgi.msk.ru/account/1080065684/", 1080065684)</f>
        <v>1080065684</v>
      </c>
      <c r="D6548" t="s">
        <v>5394</v>
      </c>
      <c r="E6548">
        <v>6272.98</v>
      </c>
      <c r="F6548">
        <v>1.01</v>
      </c>
      <c r="G6548" t="s">
        <v>12</v>
      </c>
      <c r="I6548" t="s">
        <v>230</v>
      </c>
    </row>
    <row r="6549" spans="1:9" hidden="1" x14ac:dyDescent="0.25">
      <c r="A6549" t="s">
        <v>5395</v>
      </c>
      <c r="B6549" t="s">
        <v>10</v>
      </c>
      <c r="C6549" s="2">
        <f>HYPERLINK("https://cao.dolgi.msk.ru/account/1080062352/", 1080062352)</f>
        <v>1080062352</v>
      </c>
      <c r="D6549" t="s">
        <v>15</v>
      </c>
      <c r="G6549" t="s">
        <v>14</v>
      </c>
      <c r="I6549" t="s">
        <v>230</v>
      </c>
    </row>
    <row r="6550" spans="1:9" hidden="1" x14ac:dyDescent="0.25">
      <c r="A6550" t="s">
        <v>5395</v>
      </c>
      <c r="B6550" t="s">
        <v>10</v>
      </c>
      <c r="C6550" s="2">
        <f>HYPERLINK("https://cao.dolgi.msk.ru/account/1080062379/", 1080062379)</f>
        <v>1080062379</v>
      </c>
      <c r="D6550" t="s">
        <v>5396</v>
      </c>
      <c r="G6550" t="s">
        <v>14</v>
      </c>
      <c r="I6550" t="s">
        <v>230</v>
      </c>
    </row>
    <row r="6551" spans="1:9" hidden="1" x14ac:dyDescent="0.25">
      <c r="A6551" t="s">
        <v>5395</v>
      </c>
      <c r="B6551" t="s">
        <v>10</v>
      </c>
      <c r="C6551" s="2">
        <f>HYPERLINK("https://cao.dolgi.msk.ru/account/1080062387/", 1080062387)</f>
        <v>1080062387</v>
      </c>
      <c r="D6551" t="s">
        <v>15</v>
      </c>
      <c r="G6551" t="s">
        <v>14</v>
      </c>
      <c r="I6551" t="s">
        <v>230</v>
      </c>
    </row>
    <row r="6552" spans="1:9" hidden="1" x14ac:dyDescent="0.25">
      <c r="A6552" t="s">
        <v>5395</v>
      </c>
      <c r="B6552" t="s">
        <v>10</v>
      </c>
      <c r="C6552" s="2">
        <f>HYPERLINK("https://cao.dolgi.msk.ru/account/1080062395/", 1080062395)</f>
        <v>1080062395</v>
      </c>
      <c r="D6552" t="s">
        <v>15</v>
      </c>
      <c r="G6552" t="s">
        <v>14</v>
      </c>
      <c r="I6552" t="s">
        <v>230</v>
      </c>
    </row>
    <row r="6553" spans="1:9" hidden="1" x14ac:dyDescent="0.25">
      <c r="A6553" t="s">
        <v>5395</v>
      </c>
      <c r="B6553" t="s">
        <v>16</v>
      </c>
      <c r="C6553" s="2">
        <f>HYPERLINK("https://cao.dolgi.msk.ru/account/1080062408/", 1080062408)</f>
        <v>1080062408</v>
      </c>
      <c r="D6553" t="s">
        <v>5397</v>
      </c>
      <c r="E6553">
        <v>0</v>
      </c>
      <c r="G6553" t="s">
        <v>14</v>
      </c>
      <c r="I6553" t="s">
        <v>230</v>
      </c>
    </row>
    <row r="6554" spans="1:9" x14ac:dyDescent="0.25">
      <c r="A6554" t="s">
        <v>5395</v>
      </c>
      <c r="B6554" t="s">
        <v>18</v>
      </c>
      <c r="C6554" s="2">
        <f>HYPERLINK("https://cao.dolgi.msk.ru/account/1080062416/", 1080062416)</f>
        <v>1080062416</v>
      </c>
      <c r="D6554" t="s">
        <v>5398</v>
      </c>
      <c r="E6554">
        <v>28620.02</v>
      </c>
      <c r="F6554">
        <v>1.88</v>
      </c>
      <c r="G6554" t="s">
        <v>12</v>
      </c>
      <c r="I6554" t="s">
        <v>230</v>
      </c>
    </row>
    <row r="6555" spans="1:9" x14ac:dyDescent="0.25">
      <c r="A6555" t="s">
        <v>5395</v>
      </c>
      <c r="B6555" t="s">
        <v>20</v>
      </c>
      <c r="C6555" s="2">
        <f>HYPERLINK("https://cao.dolgi.msk.ru/account/1080062424/", 1080062424)</f>
        <v>1080062424</v>
      </c>
      <c r="D6555" t="s">
        <v>5399</v>
      </c>
      <c r="E6555">
        <v>638384.82999999996</v>
      </c>
      <c r="F6555">
        <v>42.01</v>
      </c>
      <c r="G6555" t="s">
        <v>12</v>
      </c>
      <c r="I6555" t="s">
        <v>230</v>
      </c>
    </row>
    <row r="6556" spans="1:9" hidden="1" x14ac:dyDescent="0.25">
      <c r="A6556" t="s">
        <v>5395</v>
      </c>
      <c r="B6556" t="s">
        <v>21</v>
      </c>
      <c r="C6556" s="2">
        <f>HYPERLINK("https://cao.dolgi.msk.ru/account/1080062432/", 1080062432)</f>
        <v>1080062432</v>
      </c>
      <c r="D6556" t="s">
        <v>5400</v>
      </c>
      <c r="E6556">
        <v>-842.21</v>
      </c>
      <c r="F6556">
        <v>-7.0000000000000007E-2</v>
      </c>
      <c r="G6556" t="s">
        <v>12</v>
      </c>
      <c r="I6556" t="s">
        <v>230</v>
      </c>
    </row>
    <row r="6557" spans="1:9" hidden="1" x14ac:dyDescent="0.25">
      <c r="A6557" t="s">
        <v>5395</v>
      </c>
      <c r="B6557" t="s">
        <v>22</v>
      </c>
      <c r="C6557" s="2">
        <f>HYPERLINK("https://cao.dolgi.msk.ru/account/1080062459/", 1080062459)</f>
        <v>1080062459</v>
      </c>
      <c r="D6557" t="s">
        <v>5401</v>
      </c>
      <c r="E6557">
        <v>-34381.89</v>
      </c>
      <c r="F6557">
        <v>-1.77</v>
      </c>
      <c r="G6557" t="s">
        <v>12</v>
      </c>
      <c r="I6557" t="s">
        <v>230</v>
      </c>
    </row>
    <row r="6558" spans="1:9" hidden="1" x14ac:dyDescent="0.25">
      <c r="A6558" t="s">
        <v>5395</v>
      </c>
      <c r="B6558" t="s">
        <v>23</v>
      </c>
      <c r="C6558" s="2">
        <f>HYPERLINK("https://cao.dolgi.msk.ru/account/1080062475/", 1080062475)</f>
        <v>1080062475</v>
      </c>
      <c r="D6558" t="s">
        <v>5402</v>
      </c>
      <c r="E6558">
        <v>-71.98</v>
      </c>
      <c r="F6558">
        <v>0</v>
      </c>
      <c r="G6558" t="s">
        <v>12</v>
      </c>
      <c r="I6558" t="s">
        <v>230</v>
      </c>
    </row>
    <row r="6559" spans="1:9" hidden="1" x14ac:dyDescent="0.25">
      <c r="A6559" t="s">
        <v>5395</v>
      </c>
      <c r="B6559" t="s">
        <v>24</v>
      </c>
      <c r="C6559" s="2">
        <f>HYPERLINK("https://cao.dolgi.msk.ru/account/1080062483/", 1080062483)</f>
        <v>1080062483</v>
      </c>
      <c r="D6559" t="s">
        <v>5403</v>
      </c>
      <c r="E6559">
        <v>-5356.28</v>
      </c>
      <c r="F6559">
        <v>-0.53</v>
      </c>
      <c r="G6559" t="s">
        <v>12</v>
      </c>
      <c r="I6559" t="s">
        <v>230</v>
      </c>
    </row>
    <row r="6560" spans="1:9" hidden="1" x14ac:dyDescent="0.25">
      <c r="A6560" t="s">
        <v>5395</v>
      </c>
      <c r="B6560" t="s">
        <v>27</v>
      </c>
      <c r="C6560" s="2">
        <f>HYPERLINK("https://cao.dolgi.msk.ru/account/1080062467/", 1080062467)</f>
        <v>1080062467</v>
      </c>
      <c r="D6560" t="s">
        <v>5404</v>
      </c>
      <c r="E6560">
        <v>-14395.46</v>
      </c>
      <c r="F6560">
        <v>-0.99</v>
      </c>
      <c r="G6560" t="s">
        <v>12</v>
      </c>
      <c r="I6560" t="s">
        <v>230</v>
      </c>
    </row>
    <row r="6561" spans="1:9" hidden="1" x14ac:dyDescent="0.25">
      <c r="A6561" t="s">
        <v>5395</v>
      </c>
      <c r="B6561" t="s">
        <v>27</v>
      </c>
      <c r="C6561" s="2">
        <f>HYPERLINK("https://cao.dolgi.msk.ru/account/1080062491/", 1080062491)</f>
        <v>1080062491</v>
      </c>
      <c r="D6561" t="s">
        <v>5405</v>
      </c>
      <c r="E6561">
        <v>38.82</v>
      </c>
      <c r="G6561" t="s">
        <v>14</v>
      </c>
      <c r="I6561" t="s">
        <v>230</v>
      </c>
    </row>
    <row r="6562" spans="1:9" hidden="1" x14ac:dyDescent="0.25">
      <c r="A6562" t="s">
        <v>5395</v>
      </c>
      <c r="B6562" t="s">
        <v>27</v>
      </c>
      <c r="C6562" s="2">
        <f>HYPERLINK("https://cao.dolgi.msk.ru/account/1080062504/", 1080062504)</f>
        <v>1080062504</v>
      </c>
      <c r="D6562" t="s">
        <v>5405</v>
      </c>
      <c r="E6562">
        <v>-7.14</v>
      </c>
      <c r="G6562" t="s">
        <v>14</v>
      </c>
      <c r="I6562" t="s">
        <v>230</v>
      </c>
    </row>
    <row r="6563" spans="1:9" hidden="1" x14ac:dyDescent="0.25">
      <c r="A6563" t="s">
        <v>5395</v>
      </c>
      <c r="B6563" t="s">
        <v>27</v>
      </c>
      <c r="C6563" s="2">
        <f>HYPERLINK("https://cao.dolgi.msk.ru/account/1080062512/", 1080062512)</f>
        <v>1080062512</v>
      </c>
      <c r="D6563" t="s">
        <v>5406</v>
      </c>
      <c r="E6563">
        <v>-3.8</v>
      </c>
      <c r="G6563" t="s">
        <v>14</v>
      </c>
      <c r="I6563" t="s">
        <v>230</v>
      </c>
    </row>
    <row r="6564" spans="1:9" hidden="1" x14ac:dyDescent="0.25">
      <c r="A6564" t="s">
        <v>5395</v>
      </c>
      <c r="B6564" t="s">
        <v>27</v>
      </c>
      <c r="C6564" s="2">
        <f>HYPERLINK("https://cao.dolgi.msk.ru/account/1080062539/", 1080062539)</f>
        <v>1080062539</v>
      </c>
      <c r="D6564" t="s">
        <v>5407</v>
      </c>
      <c r="E6564">
        <v>35</v>
      </c>
      <c r="G6564" t="s">
        <v>14</v>
      </c>
      <c r="I6564" t="s">
        <v>230</v>
      </c>
    </row>
    <row r="6565" spans="1:9" hidden="1" x14ac:dyDescent="0.25">
      <c r="A6565" t="s">
        <v>5395</v>
      </c>
      <c r="B6565" t="s">
        <v>27</v>
      </c>
      <c r="C6565" s="2">
        <f>HYPERLINK("https://cao.dolgi.msk.ru/account/1080062547/", 1080062547)</f>
        <v>1080062547</v>
      </c>
      <c r="D6565" t="s">
        <v>62</v>
      </c>
      <c r="E6565">
        <v>314.62</v>
      </c>
      <c r="G6565" t="s">
        <v>14</v>
      </c>
      <c r="I6565" t="s">
        <v>230</v>
      </c>
    </row>
    <row r="6566" spans="1:9" hidden="1" x14ac:dyDescent="0.25">
      <c r="A6566" t="s">
        <v>5395</v>
      </c>
      <c r="B6566" t="s">
        <v>27</v>
      </c>
      <c r="C6566" s="2">
        <f>HYPERLINK("https://cao.dolgi.msk.ru/account/1089131473/", 1089131473)</f>
        <v>1089131473</v>
      </c>
      <c r="D6566" t="s">
        <v>15</v>
      </c>
      <c r="E6566">
        <v>0</v>
      </c>
      <c r="G6566" t="s">
        <v>14</v>
      </c>
      <c r="H6566" t="s">
        <v>7</v>
      </c>
      <c r="I6566" t="s">
        <v>230</v>
      </c>
    </row>
    <row r="6567" spans="1:9" hidden="1" x14ac:dyDescent="0.25">
      <c r="A6567" t="s">
        <v>5395</v>
      </c>
      <c r="B6567" t="s">
        <v>27</v>
      </c>
      <c r="C6567" s="2">
        <f>HYPERLINK("https://cao.dolgi.msk.ru/account/1089131481/", 1089131481)</f>
        <v>1089131481</v>
      </c>
      <c r="D6567" t="s">
        <v>15</v>
      </c>
      <c r="E6567">
        <v>176.67</v>
      </c>
      <c r="G6567" t="s">
        <v>14</v>
      </c>
      <c r="I6567" t="s">
        <v>230</v>
      </c>
    </row>
    <row r="6568" spans="1:9" hidden="1" x14ac:dyDescent="0.25">
      <c r="A6568" t="s">
        <v>5395</v>
      </c>
      <c r="B6568" t="s">
        <v>29</v>
      </c>
      <c r="C6568" s="2">
        <f>HYPERLINK("https://cao.dolgi.msk.ru/account/1080062555/", 1080062555)</f>
        <v>1080062555</v>
      </c>
      <c r="D6568" t="s">
        <v>5408</v>
      </c>
      <c r="E6568">
        <v>-18439.52</v>
      </c>
      <c r="F6568">
        <v>-1.1299999999999999</v>
      </c>
      <c r="G6568" t="s">
        <v>12</v>
      </c>
      <c r="I6568" t="s">
        <v>230</v>
      </c>
    </row>
    <row r="6569" spans="1:9" x14ac:dyDescent="0.25">
      <c r="A6569" t="s">
        <v>5395</v>
      </c>
      <c r="B6569" t="s">
        <v>31</v>
      </c>
      <c r="C6569" s="2">
        <f>HYPERLINK("https://cao.dolgi.msk.ru/account/1080062678/", 1080062678)</f>
        <v>1080062678</v>
      </c>
      <c r="D6569" t="s">
        <v>5409</v>
      </c>
      <c r="E6569">
        <v>33255.06</v>
      </c>
      <c r="F6569">
        <v>2.29</v>
      </c>
      <c r="G6569" t="s">
        <v>12</v>
      </c>
      <c r="I6569" t="s">
        <v>230</v>
      </c>
    </row>
    <row r="6570" spans="1:9" hidden="1" x14ac:dyDescent="0.25">
      <c r="A6570" t="s">
        <v>5395</v>
      </c>
      <c r="B6570" t="s">
        <v>34</v>
      </c>
      <c r="C6570" s="2">
        <f>HYPERLINK("https://cao.dolgi.msk.ru/account/1080062563/", 1080062563)</f>
        <v>1080062563</v>
      </c>
      <c r="D6570" t="s">
        <v>15</v>
      </c>
      <c r="G6570" t="s">
        <v>14</v>
      </c>
      <c r="I6570" t="s">
        <v>230</v>
      </c>
    </row>
    <row r="6571" spans="1:9" hidden="1" x14ac:dyDescent="0.25">
      <c r="A6571" t="s">
        <v>5395</v>
      </c>
      <c r="B6571" t="s">
        <v>40</v>
      </c>
      <c r="C6571" s="2">
        <f>HYPERLINK("https://cao.dolgi.msk.ru/account/1080062571/", 1080062571)</f>
        <v>1080062571</v>
      </c>
      <c r="D6571" t="s">
        <v>5410</v>
      </c>
      <c r="E6571">
        <v>-8291.5400000000009</v>
      </c>
      <c r="F6571">
        <v>-1.68</v>
      </c>
      <c r="G6571" t="s">
        <v>12</v>
      </c>
      <c r="I6571" t="s">
        <v>230</v>
      </c>
    </row>
    <row r="6572" spans="1:9" hidden="1" x14ac:dyDescent="0.25">
      <c r="A6572" t="s">
        <v>5395</v>
      </c>
      <c r="B6572" t="s">
        <v>41</v>
      </c>
      <c r="C6572" s="2">
        <f>HYPERLINK("https://cao.dolgi.msk.ru/account/1080062627/", 1080062627)</f>
        <v>1080062627</v>
      </c>
      <c r="D6572" t="s">
        <v>5411</v>
      </c>
      <c r="E6572">
        <v>0</v>
      </c>
      <c r="F6572">
        <v>0</v>
      </c>
      <c r="G6572" t="s">
        <v>12</v>
      </c>
      <c r="I6572" t="s">
        <v>230</v>
      </c>
    </row>
    <row r="6573" spans="1:9" hidden="1" x14ac:dyDescent="0.25">
      <c r="A6573" t="s">
        <v>5395</v>
      </c>
      <c r="B6573" t="s">
        <v>42</v>
      </c>
      <c r="C6573" s="2">
        <f>HYPERLINK("https://cao.dolgi.msk.ru/account/1080062635/", 1080062635)</f>
        <v>1080062635</v>
      </c>
      <c r="D6573" t="s">
        <v>15</v>
      </c>
      <c r="E6573">
        <v>-6339.69</v>
      </c>
      <c r="F6573">
        <v>-1.1000000000000001</v>
      </c>
      <c r="G6573" t="s">
        <v>12</v>
      </c>
      <c r="I6573" t="s">
        <v>230</v>
      </c>
    </row>
    <row r="6574" spans="1:9" hidden="1" x14ac:dyDescent="0.25">
      <c r="A6574" t="s">
        <v>5395</v>
      </c>
      <c r="B6574" t="s">
        <v>44</v>
      </c>
      <c r="C6574" s="2">
        <f>HYPERLINK("https://cao.dolgi.msk.ru/account/1080062651/", 1080062651)</f>
        <v>1080062651</v>
      </c>
      <c r="D6574" t="s">
        <v>5412</v>
      </c>
      <c r="E6574">
        <v>-2090.04</v>
      </c>
      <c r="F6574">
        <v>-0.23</v>
      </c>
      <c r="G6574" t="s">
        <v>12</v>
      </c>
      <c r="I6574" t="s">
        <v>230</v>
      </c>
    </row>
    <row r="6575" spans="1:9" hidden="1" x14ac:dyDescent="0.25">
      <c r="A6575" t="s">
        <v>5395</v>
      </c>
      <c r="B6575" t="s">
        <v>66</v>
      </c>
      <c r="C6575" s="2">
        <f>HYPERLINK("https://cao.dolgi.msk.ru/account/1080062686/", 1080062686)</f>
        <v>1080062686</v>
      </c>
      <c r="D6575" t="s">
        <v>5413</v>
      </c>
      <c r="E6575">
        <v>-10939.86</v>
      </c>
      <c r="F6575">
        <v>-1.06</v>
      </c>
      <c r="G6575" t="s">
        <v>12</v>
      </c>
      <c r="I6575" t="s">
        <v>230</v>
      </c>
    </row>
    <row r="6576" spans="1:9" hidden="1" x14ac:dyDescent="0.25">
      <c r="A6576" t="s">
        <v>5395</v>
      </c>
      <c r="B6576" t="s">
        <v>68</v>
      </c>
      <c r="C6576" s="2">
        <f>HYPERLINK("https://cao.dolgi.msk.ru/account/1080062694/", 1080062694)</f>
        <v>1080062694</v>
      </c>
      <c r="D6576" t="s">
        <v>5414</v>
      </c>
      <c r="E6576">
        <v>-4285.43</v>
      </c>
      <c r="F6576">
        <v>-1.1200000000000001</v>
      </c>
      <c r="G6576" t="s">
        <v>12</v>
      </c>
      <c r="I6576" t="s">
        <v>230</v>
      </c>
    </row>
    <row r="6577" spans="1:9" hidden="1" x14ac:dyDescent="0.25">
      <c r="A6577" t="s">
        <v>5395</v>
      </c>
      <c r="B6577" t="s">
        <v>70</v>
      </c>
      <c r="C6577" s="2">
        <f>HYPERLINK("https://cao.dolgi.msk.ru/account/1080062707/", 1080062707)</f>
        <v>1080062707</v>
      </c>
      <c r="D6577" t="s">
        <v>5415</v>
      </c>
      <c r="E6577">
        <v>0</v>
      </c>
      <c r="F6577">
        <v>0</v>
      </c>
      <c r="G6577" t="s">
        <v>12</v>
      </c>
      <c r="I6577" t="s">
        <v>230</v>
      </c>
    </row>
    <row r="6578" spans="1:9" hidden="1" x14ac:dyDescent="0.25">
      <c r="A6578" t="s">
        <v>5395</v>
      </c>
      <c r="B6578" t="s">
        <v>72</v>
      </c>
      <c r="C6578" s="2">
        <f>HYPERLINK("https://cao.dolgi.msk.ru/account/1080062715/", 1080062715)</f>
        <v>1080062715</v>
      </c>
      <c r="D6578" t="s">
        <v>5416</v>
      </c>
      <c r="E6578">
        <v>-7211.12</v>
      </c>
      <c r="F6578">
        <v>-1.07</v>
      </c>
      <c r="G6578" t="s">
        <v>12</v>
      </c>
      <c r="I6578" t="s">
        <v>230</v>
      </c>
    </row>
    <row r="6579" spans="1:9" hidden="1" x14ac:dyDescent="0.25">
      <c r="A6579" t="s">
        <v>5395</v>
      </c>
      <c r="B6579" t="s">
        <v>74</v>
      </c>
      <c r="C6579" s="2">
        <f>HYPERLINK("https://cao.dolgi.msk.ru/account/1080062723/", 1080062723)</f>
        <v>1080062723</v>
      </c>
      <c r="D6579" t="s">
        <v>5417</v>
      </c>
      <c r="E6579">
        <v>-4091.85</v>
      </c>
      <c r="F6579">
        <v>-1.17</v>
      </c>
      <c r="G6579" t="s">
        <v>12</v>
      </c>
      <c r="I6579" t="s">
        <v>230</v>
      </c>
    </row>
    <row r="6580" spans="1:9" hidden="1" x14ac:dyDescent="0.25">
      <c r="A6580" t="s">
        <v>5395</v>
      </c>
      <c r="B6580" t="s">
        <v>76</v>
      </c>
      <c r="C6580" s="2">
        <f>HYPERLINK("https://cao.dolgi.msk.ru/account/1080062731/", 1080062731)</f>
        <v>1080062731</v>
      </c>
      <c r="D6580" t="s">
        <v>5418</v>
      </c>
      <c r="E6580">
        <v>-6327.68</v>
      </c>
      <c r="F6580">
        <v>-1.04</v>
      </c>
      <c r="G6580" t="s">
        <v>12</v>
      </c>
      <c r="I6580" t="s">
        <v>230</v>
      </c>
    </row>
    <row r="6581" spans="1:9" hidden="1" x14ac:dyDescent="0.25">
      <c r="A6581" t="s">
        <v>5419</v>
      </c>
      <c r="B6581" t="s">
        <v>16</v>
      </c>
      <c r="C6581" s="2">
        <f>HYPERLINK("https://cao.dolgi.msk.ru/account/1080092121/", 1080092121)</f>
        <v>1080092121</v>
      </c>
      <c r="D6581" t="s">
        <v>15</v>
      </c>
      <c r="E6581">
        <v>0</v>
      </c>
      <c r="F6581">
        <v>0</v>
      </c>
      <c r="G6581" t="s">
        <v>12</v>
      </c>
      <c r="I6581" t="s">
        <v>230</v>
      </c>
    </row>
    <row r="6582" spans="1:9" hidden="1" x14ac:dyDescent="0.25">
      <c r="A6582" t="s">
        <v>5419</v>
      </c>
      <c r="B6582" t="s">
        <v>18</v>
      </c>
      <c r="C6582" s="2">
        <f>HYPERLINK("https://cao.dolgi.msk.ru/account/1080092148/", 1080092148)</f>
        <v>1080092148</v>
      </c>
      <c r="D6582" t="s">
        <v>62</v>
      </c>
      <c r="E6582">
        <v>-845.85</v>
      </c>
      <c r="F6582">
        <v>-7.0000000000000007E-2</v>
      </c>
      <c r="G6582" t="s">
        <v>12</v>
      </c>
      <c r="I6582" t="s">
        <v>230</v>
      </c>
    </row>
    <row r="6583" spans="1:9" hidden="1" x14ac:dyDescent="0.25">
      <c r="A6583" t="s">
        <v>5419</v>
      </c>
      <c r="B6583" t="s">
        <v>20</v>
      </c>
      <c r="C6583" s="2">
        <f>HYPERLINK("https://cao.dolgi.msk.ru/account/1080092156/", 1080092156)</f>
        <v>1080092156</v>
      </c>
      <c r="D6583" t="s">
        <v>5420</v>
      </c>
      <c r="E6583">
        <v>-1482.29</v>
      </c>
      <c r="F6583">
        <v>-0.11</v>
      </c>
      <c r="G6583" t="s">
        <v>12</v>
      </c>
      <c r="I6583" t="s">
        <v>230</v>
      </c>
    </row>
    <row r="6584" spans="1:9" hidden="1" x14ac:dyDescent="0.25">
      <c r="A6584" t="s">
        <v>5419</v>
      </c>
      <c r="B6584" t="s">
        <v>21</v>
      </c>
      <c r="C6584" s="2">
        <f>HYPERLINK("https://cao.dolgi.msk.ru/account/1080092164/", 1080092164)</f>
        <v>1080092164</v>
      </c>
      <c r="D6584" t="s">
        <v>5421</v>
      </c>
      <c r="E6584">
        <v>-12408.09</v>
      </c>
      <c r="F6584">
        <v>-1.32</v>
      </c>
      <c r="G6584" t="s">
        <v>12</v>
      </c>
      <c r="I6584" t="s">
        <v>230</v>
      </c>
    </row>
    <row r="6585" spans="1:9" hidden="1" x14ac:dyDescent="0.25">
      <c r="A6585" t="s">
        <v>5419</v>
      </c>
      <c r="B6585" t="s">
        <v>22</v>
      </c>
      <c r="C6585" s="2">
        <f>HYPERLINK("https://cao.dolgi.msk.ru/account/1080092172/", 1080092172)</f>
        <v>1080092172</v>
      </c>
      <c r="D6585" t="s">
        <v>5422</v>
      </c>
      <c r="E6585">
        <v>-9334.08</v>
      </c>
      <c r="F6585">
        <v>-1.1000000000000001</v>
      </c>
      <c r="G6585" t="s">
        <v>12</v>
      </c>
      <c r="I6585" t="s">
        <v>230</v>
      </c>
    </row>
    <row r="6586" spans="1:9" hidden="1" x14ac:dyDescent="0.25">
      <c r="A6586" t="s">
        <v>5419</v>
      </c>
      <c r="B6586" t="s">
        <v>23</v>
      </c>
      <c r="C6586" s="2">
        <f>HYPERLINK("https://cao.dolgi.msk.ru/account/1083271926/", 1083271926)</f>
        <v>1083271926</v>
      </c>
      <c r="D6586" t="s">
        <v>15</v>
      </c>
      <c r="E6586">
        <v>303.02999999999997</v>
      </c>
      <c r="F6586">
        <v>0.02</v>
      </c>
      <c r="G6586" t="s">
        <v>12</v>
      </c>
      <c r="I6586" t="s">
        <v>230</v>
      </c>
    </row>
    <row r="6587" spans="1:9" hidden="1" x14ac:dyDescent="0.25">
      <c r="A6587" t="s">
        <v>5419</v>
      </c>
      <c r="B6587" t="s">
        <v>24</v>
      </c>
      <c r="C6587" s="2">
        <f>HYPERLINK("https://cao.dolgi.msk.ru/account/1080092201/", 1080092201)</f>
        <v>1080092201</v>
      </c>
      <c r="D6587" t="s">
        <v>5423</v>
      </c>
      <c r="E6587">
        <v>-12492.59</v>
      </c>
      <c r="F6587">
        <v>-1.1299999999999999</v>
      </c>
      <c r="G6587" t="s">
        <v>12</v>
      </c>
      <c r="I6587" t="s">
        <v>230</v>
      </c>
    </row>
    <row r="6588" spans="1:9" hidden="1" x14ac:dyDescent="0.25">
      <c r="A6588" t="s">
        <v>5419</v>
      </c>
      <c r="B6588" t="s">
        <v>27</v>
      </c>
      <c r="C6588" s="2">
        <f>HYPERLINK("https://cao.dolgi.msk.ru/account/1080092228/", 1080092228)</f>
        <v>1080092228</v>
      </c>
      <c r="D6588" t="s">
        <v>5424</v>
      </c>
      <c r="E6588">
        <v>20</v>
      </c>
      <c r="F6588">
        <v>0</v>
      </c>
      <c r="G6588" t="s">
        <v>12</v>
      </c>
      <c r="I6588" t="s">
        <v>230</v>
      </c>
    </row>
    <row r="6589" spans="1:9" x14ac:dyDescent="0.25">
      <c r="A6589" t="s">
        <v>5419</v>
      </c>
      <c r="B6589" t="s">
        <v>29</v>
      </c>
      <c r="C6589" s="2">
        <f>HYPERLINK("https://cao.dolgi.msk.ru/account/1080092236/", 1080092236)</f>
        <v>1080092236</v>
      </c>
      <c r="D6589" t="s">
        <v>5425</v>
      </c>
      <c r="E6589">
        <v>17857.810000000001</v>
      </c>
      <c r="F6589">
        <v>1.28</v>
      </c>
      <c r="G6589" t="s">
        <v>12</v>
      </c>
      <c r="I6589" t="s">
        <v>230</v>
      </c>
    </row>
    <row r="6590" spans="1:9" hidden="1" x14ac:dyDescent="0.25">
      <c r="A6590" t="s">
        <v>5419</v>
      </c>
      <c r="B6590" t="s">
        <v>31</v>
      </c>
      <c r="C6590" s="2">
        <f>HYPERLINK("https://cao.dolgi.msk.ru/account/1080092244/", 1080092244)</f>
        <v>1080092244</v>
      </c>
      <c r="D6590" t="s">
        <v>5426</v>
      </c>
      <c r="E6590">
        <v>-13188.07</v>
      </c>
      <c r="F6590">
        <v>-1.1299999999999999</v>
      </c>
      <c r="G6590" t="s">
        <v>12</v>
      </c>
      <c r="I6590" t="s">
        <v>230</v>
      </c>
    </row>
    <row r="6591" spans="1:9" hidden="1" x14ac:dyDescent="0.25">
      <c r="A6591" t="s">
        <v>5419</v>
      </c>
      <c r="B6591" t="s">
        <v>33</v>
      </c>
      <c r="C6591" s="2">
        <f>HYPERLINK("https://cao.dolgi.msk.ru/account/1080092252/", 1080092252)</f>
        <v>1080092252</v>
      </c>
      <c r="D6591" t="s">
        <v>5427</v>
      </c>
      <c r="E6591">
        <v>-768.87</v>
      </c>
      <c r="F6591">
        <v>-0.06</v>
      </c>
      <c r="G6591" t="s">
        <v>12</v>
      </c>
      <c r="I6591" t="s">
        <v>230</v>
      </c>
    </row>
    <row r="6592" spans="1:9" x14ac:dyDescent="0.25">
      <c r="A6592" t="s">
        <v>5419</v>
      </c>
      <c r="B6592" t="s">
        <v>263</v>
      </c>
      <c r="C6592" s="2">
        <f>HYPERLINK("https://cao.dolgi.msk.ru/account/1080092279/", 1080092279)</f>
        <v>1080092279</v>
      </c>
      <c r="D6592" t="s">
        <v>5428</v>
      </c>
      <c r="E6592">
        <v>23582.48</v>
      </c>
      <c r="F6592">
        <v>3.88</v>
      </c>
      <c r="G6592" t="s">
        <v>12</v>
      </c>
      <c r="I6592" t="s">
        <v>230</v>
      </c>
    </row>
    <row r="6593" spans="1:9" hidden="1" x14ac:dyDescent="0.25">
      <c r="A6593" t="s">
        <v>5429</v>
      </c>
      <c r="B6593" t="s">
        <v>38</v>
      </c>
      <c r="C6593" s="2">
        <f>HYPERLINK("https://cao.dolgi.msk.ru/account/1080074978/", 1080074978)</f>
        <v>1080074978</v>
      </c>
      <c r="D6593" t="s">
        <v>5430</v>
      </c>
      <c r="E6593">
        <v>-6989.16</v>
      </c>
      <c r="F6593">
        <v>-1.03</v>
      </c>
      <c r="G6593" t="s">
        <v>12</v>
      </c>
      <c r="I6593" t="s">
        <v>230</v>
      </c>
    </row>
    <row r="6594" spans="1:9" hidden="1" x14ac:dyDescent="0.25">
      <c r="A6594" t="s">
        <v>5429</v>
      </c>
      <c r="B6594" t="s">
        <v>39</v>
      </c>
      <c r="C6594" s="2">
        <f>HYPERLINK("https://cao.dolgi.msk.ru/account/1080074986/", 1080074986)</f>
        <v>1080074986</v>
      </c>
      <c r="D6594" t="s">
        <v>5431</v>
      </c>
      <c r="E6594">
        <v>-8696.42</v>
      </c>
      <c r="F6594">
        <v>-1.04</v>
      </c>
      <c r="G6594" t="s">
        <v>12</v>
      </c>
      <c r="I6594" t="s">
        <v>230</v>
      </c>
    </row>
    <row r="6595" spans="1:9" hidden="1" x14ac:dyDescent="0.25">
      <c r="A6595" t="s">
        <v>5429</v>
      </c>
      <c r="B6595" t="s">
        <v>40</v>
      </c>
      <c r="C6595" s="2">
        <f>HYPERLINK("https://cao.dolgi.msk.ru/account/1080074994/", 1080074994)</f>
        <v>1080074994</v>
      </c>
      <c r="D6595" t="s">
        <v>5432</v>
      </c>
      <c r="E6595">
        <v>-5693.47</v>
      </c>
      <c r="F6595">
        <v>-1.1499999999999999</v>
      </c>
      <c r="G6595" t="s">
        <v>12</v>
      </c>
      <c r="I6595" t="s">
        <v>230</v>
      </c>
    </row>
    <row r="6596" spans="1:9" hidden="1" x14ac:dyDescent="0.25">
      <c r="A6596" t="s">
        <v>5429</v>
      </c>
      <c r="B6596" t="s">
        <v>41</v>
      </c>
      <c r="C6596" s="2">
        <f>HYPERLINK("https://cao.dolgi.msk.ru/account/1080075006/", 1080075006)</f>
        <v>1080075006</v>
      </c>
      <c r="D6596" t="s">
        <v>5433</v>
      </c>
      <c r="E6596">
        <v>-12600.15</v>
      </c>
      <c r="F6596">
        <v>-1.01</v>
      </c>
      <c r="G6596" t="s">
        <v>12</v>
      </c>
      <c r="I6596" t="s">
        <v>230</v>
      </c>
    </row>
    <row r="6597" spans="1:9" hidden="1" x14ac:dyDescent="0.25">
      <c r="A6597" t="s">
        <v>5429</v>
      </c>
      <c r="B6597" t="s">
        <v>42</v>
      </c>
      <c r="C6597" s="2">
        <f>HYPERLINK("https://cao.dolgi.msk.ru/account/1080075014/", 1080075014)</f>
        <v>1080075014</v>
      </c>
      <c r="D6597" t="s">
        <v>5434</v>
      </c>
      <c r="E6597">
        <v>-49.56</v>
      </c>
      <c r="F6597">
        <v>0</v>
      </c>
      <c r="G6597" t="s">
        <v>12</v>
      </c>
      <c r="I6597" t="s">
        <v>230</v>
      </c>
    </row>
    <row r="6598" spans="1:9" hidden="1" x14ac:dyDescent="0.25">
      <c r="A6598" t="s">
        <v>5429</v>
      </c>
      <c r="B6598" t="s">
        <v>44</v>
      </c>
      <c r="C6598" s="2">
        <f>HYPERLINK("https://cao.dolgi.msk.ru/account/1080075022/", 1080075022)</f>
        <v>1080075022</v>
      </c>
      <c r="D6598" t="s">
        <v>5435</v>
      </c>
      <c r="E6598">
        <v>-752.15</v>
      </c>
      <c r="F6598">
        <v>-0.11</v>
      </c>
      <c r="G6598" t="s">
        <v>12</v>
      </c>
      <c r="I6598" t="s">
        <v>230</v>
      </c>
    </row>
    <row r="6599" spans="1:9" hidden="1" x14ac:dyDescent="0.25">
      <c r="A6599" t="s">
        <v>5429</v>
      </c>
      <c r="B6599" t="s">
        <v>68</v>
      </c>
      <c r="C6599" s="2">
        <f>HYPERLINK("https://cao.dolgi.msk.ru/account/1080075049/", 1080075049)</f>
        <v>1080075049</v>
      </c>
      <c r="D6599" t="s">
        <v>62</v>
      </c>
      <c r="E6599">
        <v>-3409.32</v>
      </c>
      <c r="F6599">
        <v>-1.03</v>
      </c>
      <c r="G6599" t="s">
        <v>12</v>
      </c>
      <c r="I6599" t="s">
        <v>230</v>
      </c>
    </row>
    <row r="6600" spans="1:9" x14ac:dyDescent="0.25">
      <c r="A6600" t="s">
        <v>5429</v>
      </c>
      <c r="B6600" t="s">
        <v>70</v>
      </c>
      <c r="C6600" s="2">
        <f>HYPERLINK("https://cao.dolgi.msk.ru/account/1080075057/", 1080075057)</f>
        <v>1080075057</v>
      </c>
      <c r="D6600" t="s">
        <v>5436</v>
      </c>
      <c r="E6600">
        <v>15437.54</v>
      </c>
      <c r="F6600">
        <v>2.11</v>
      </c>
      <c r="G6600" t="s">
        <v>12</v>
      </c>
      <c r="I6600" t="s">
        <v>230</v>
      </c>
    </row>
    <row r="6601" spans="1:9" hidden="1" x14ac:dyDescent="0.25">
      <c r="A6601" t="s">
        <v>5429</v>
      </c>
      <c r="B6601" t="s">
        <v>72</v>
      </c>
      <c r="C6601" s="2">
        <f>HYPERLINK("https://cao.dolgi.msk.ru/account/1080075065/", 1080075065)</f>
        <v>1080075065</v>
      </c>
      <c r="D6601" t="s">
        <v>5437</v>
      </c>
      <c r="E6601">
        <v>-4759.5200000000004</v>
      </c>
      <c r="F6601">
        <v>-1.04</v>
      </c>
      <c r="G6601" t="s">
        <v>12</v>
      </c>
      <c r="I6601" t="s">
        <v>230</v>
      </c>
    </row>
    <row r="6602" spans="1:9" hidden="1" x14ac:dyDescent="0.25">
      <c r="A6602" t="s">
        <v>5429</v>
      </c>
      <c r="B6602" t="s">
        <v>74</v>
      </c>
      <c r="C6602" s="2">
        <f>HYPERLINK("https://cao.dolgi.msk.ru/account/1080075073/", 1080075073)</f>
        <v>1080075073</v>
      </c>
      <c r="D6602" t="s">
        <v>5438</v>
      </c>
      <c r="E6602">
        <v>-4532.6400000000003</v>
      </c>
      <c r="F6602">
        <v>-1.05</v>
      </c>
      <c r="G6602" t="s">
        <v>12</v>
      </c>
      <c r="I6602" t="s">
        <v>230</v>
      </c>
    </row>
    <row r="6603" spans="1:9" hidden="1" x14ac:dyDescent="0.25">
      <c r="A6603" t="s">
        <v>5429</v>
      </c>
      <c r="B6603" t="s">
        <v>76</v>
      </c>
      <c r="C6603" s="2">
        <f>HYPERLINK("https://cao.dolgi.msk.ru/account/1080075081/", 1080075081)</f>
        <v>1080075081</v>
      </c>
      <c r="D6603" t="s">
        <v>5439</v>
      </c>
      <c r="E6603">
        <v>-2458.7800000000002</v>
      </c>
      <c r="F6603">
        <v>-0.79</v>
      </c>
      <c r="G6603" t="s">
        <v>12</v>
      </c>
      <c r="I6603" t="s">
        <v>230</v>
      </c>
    </row>
    <row r="6604" spans="1:9" hidden="1" x14ac:dyDescent="0.25">
      <c r="A6604" t="s">
        <v>5429</v>
      </c>
      <c r="B6604" t="s">
        <v>78</v>
      </c>
      <c r="C6604" s="2">
        <f>HYPERLINK("https://cao.dolgi.msk.ru/account/1080075102/", 1080075102)</f>
        <v>1080075102</v>
      </c>
      <c r="D6604" t="s">
        <v>5440</v>
      </c>
      <c r="E6604">
        <v>-5285.63</v>
      </c>
      <c r="F6604">
        <v>-0.98</v>
      </c>
      <c r="G6604" t="s">
        <v>12</v>
      </c>
      <c r="I6604" t="s">
        <v>230</v>
      </c>
    </row>
    <row r="6605" spans="1:9" hidden="1" x14ac:dyDescent="0.25">
      <c r="A6605" t="s">
        <v>5429</v>
      </c>
      <c r="B6605" t="s">
        <v>80</v>
      </c>
      <c r="C6605" s="2">
        <f>HYPERLINK("https://cao.dolgi.msk.ru/account/1080075129/", 1080075129)</f>
        <v>1080075129</v>
      </c>
      <c r="D6605" t="s">
        <v>5441</v>
      </c>
      <c r="E6605">
        <v>-6821.16</v>
      </c>
      <c r="F6605">
        <v>-1.02</v>
      </c>
      <c r="G6605" t="s">
        <v>12</v>
      </c>
      <c r="I6605" t="s">
        <v>230</v>
      </c>
    </row>
    <row r="6606" spans="1:9" hidden="1" x14ac:dyDescent="0.25">
      <c r="A6606" t="s">
        <v>5429</v>
      </c>
      <c r="B6606" t="s">
        <v>82</v>
      </c>
      <c r="C6606" s="2">
        <f>HYPERLINK("https://cao.dolgi.msk.ru/account/1080075137/", 1080075137)</f>
        <v>1080075137</v>
      </c>
      <c r="D6606" t="s">
        <v>5442</v>
      </c>
      <c r="E6606">
        <v>-1883.54</v>
      </c>
      <c r="F6606">
        <v>-0.28999999999999998</v>
      </c>
      <c r="G6606" t="s">
        <v>12</v>
      </c>
      <c r="I6606" t="s">
        <v>230</v>
      </c>
    </row>
    <row r="6607" spans="1:9" hidden="1" x14ac:dyDescent="0.25">
      <c r="A6607" t="s">
        <v>5443</v>
      </c>
      <c r="B6607" t="s">
        <v>10</v>
      </c>
      <c r="C6607" s="2">
        <f>HYPERLINK("https://cao.dolgi.msk.ru/account/1080066433/", 1080066433)</f>
        <v>1080066433</v>
      </c>
      <c r="D6607" t="s">
        <v>5444</v>
      </c>
      <c r="E6607">
        <v>-6444.88</v>
      </c>
      <c r="F6607">
        <v>-1.22</v>
      </c>
      <c r="G6607" t="s">
        <v>12</v>
      </c>
      <c r="I6607" t="s">
        <v>230</v>
      </c>
    </row>
    <row r="6608" spans="1:9" hidden="1" x14ac:dyDescent="0.25">
      <c r="A6608" t="s">
        <v>5443</v>
      </c>
      <c r="B6608" t="s">
        <v>231</v>
      </c>
      <c r="C6608" s="2">
        <f>HYPERLINK("https://cao.dolgi.msk.ru/account/1080066118/", 1080066118)</f>
        <v>1080066118</v>
      </c>
      <c r="D6608" t="s">
        <v>5445</v>
      </c>
      <c r="E6608">
        <v>-6293.54</v>
      </c>
      <c r="F6608">
        <v>-1.84</v>
      </c>
      <c r="G6608" t="s">
        <v>12</v>
      </c>
      <c r="I6608" t="s">
        <v>230</v>
      </c>
    </row>
    <row r="6609" spans="1:9" hidden="1" x14ac:dyDescent="0.25">
      <c r="A6609" t="s">
        <v>5443</v>
      </c>
      <c r="B6609" t="s">
        <v>231</v>
      </c>
      <c r="C6609" s="2">
        <f>HYPERLINK("https://cao.dolgi.msk.ru/account/1083395398/", 1083395398)</f>
        <v>1083395398</v>
      </c>
      <c r="D6609" t="s">
        <v>189</v>
      </c>
      <c r="E6609">
        <v>-3742.62</v>
      </c>
      <c r="F6609">
        <v>-1.18</v>
      </c>
      <c r="G6609" t="s">
        <v>12</v>
      </c>
      <c r="I6609" t="s">
        <v>230</v>
      </c>
    </row>
    <row r="6610" spans="1:9" hidden="1" x14ac:dyDescent="0.25">
      <c r="A6610" t="s">
        <v>5443</v>
      </c>
      <c r="B6610" t="s">
        <v>16</v>
      </c>
      <c r="C6610" s="2">
        <f>HYPERLINK("https://cao.dolgi.msk.ru/account/1080066126/", 1080066126)</f>
        <v>1080066126</v>
      </c>
      <c r="D6610" t="s">
        <v>5446</v>
      </c>
      <c r="E6610">
        <v>0</v>
      </c>
      <c r="F6610">
        <v>0</v>
      </c>
      <c r="G6610" t="s">
        <v>12</v>
      </c>
      <c r="I6610" t="s">
        <v>230</v>
      </c>
    </row>
    <row r="6611" spans="1:9" hidden="1" x14ac:dyDescent="0.25">
      <c r="A6611" t="s">
        <v>5443</v>
      </c>
      <c r="B6611" t="s">
        <v>234</v>
      </c>
      <c r="C6611" s="2">
        <f>HYPERLINK("https://cao.dolgi.msk.ru/account/1080066134/", 1080066134)</f>
        <v>1080066134</v>
      </c>
      <c r="D6611" t="s">
        <v>15</v>
      </c>
      <c r="E6611">
        <v>7566.38</v>
      </c>
      <c r="F6611">
        <v>0.97</v>
      </c>
      <c r="G6611" t="s">
        <v>12</v>
      </c>
      <c r="I6611" t="s">
        <v>230</v>
      </c>
    </row>
    <row r="6612" spans="1:9" hidden="1" x14ac:dyDescent="0.25">
      <c r="A6612" t="s">
        <v>5443</v>
      </c>
      <c r="B6612" t="s">
        <v>234</v>
      </c>
      <c r="C6612" s="2">
        <f>HYPERLINK("https://cao.dolgi.msk.ru/account/1080066142/", 1080066142)</f>
        <v>1080066142</v>
      </c>
      <c r="D6612" t="s">
        <v>5447</v>
      </c>
      <c r="E6612">
        <v>81.75</v>
      </c>
      <c r="G6612" t="s">
        <v>14</v>
      </c>
      <c r="I6612" t="s">
        <v>230</v>
      </c>
    </row>
    <row r="6613" spans="1:9" hidden="1" x14ac:dyDescent="0.25">
      <c r="A6613" t="s">
        <v>5443</v>
      </c>
      <c r="B6613" t="s">
        <v>18</v>
      </c>
      <c r="C6613" s="2">
        <f>HYPERLINK("https://cao.dolgi.msk.ru/account/1080066169/", 1080066169)</f>
        <v>1080066169</v>
      </c>
      <c r="D6613" t="s">
        <v>5448</v>
      </c>
      <c r="E6613">
        <v>-10324.36</v>
      </c>
      <c r="F6613">
        <v>-1.01</v>
      </c>
      <c r="G6613" t="s">
        <v>12</v>
      </c>
      <c r="I6613" t="s">
        <v>230</v>
      </c>
    </row>
    <row r="6614" spans="1:9" hidden="1" x14ac:dyDescent="0.25">
      <c r="A6614" t="s">
        <v>5443</v>
      </c>
      <c r="B6614" t="s">
        <v>237</v>
      </c>
      <c r="C6614" s="2">
        <f>HYPERLINK("https://cao.dolgi.msk.ru/account/1080066177/", 1080066177)</f>
        <v>1080066177</v>
      </c>
      <c r="D6614" t="s">
        <v>5449</v>
      </c>
      <c r="E6614">
        <v>-48.37</v>
      </c>
      <c r="F6614">
        <v>-0.01</v>
      </c>
      <c r="G6614" t="s">
        <v>12</v>
      </c>
      <c r="I6614" t="s">
        <v>230</v>
      </c>
    </row>
    <row r="6615" spans="1:9" hidden="1" x14ac:dyDescent="0.25">
      <c r="A6615" t="s">
        <v>5443</v>
      </c>
      <c r="B6615" t="s">
        <v>20</v>
      </c>
      <c r="C6615" s="2">
        <f>HYPERLINK("https://cao.dolgi.msk.ru/account/1080066185/", 1080066185)</f>
        <v>1080066185</v>
      </c>
      <c r="D6615" t="s">
        <v>5450</v>
      </c>
      <c r="E6615">
        <v>-5144.5600000000004</v>
      </c>
      <c r="F6615">
        <v>-1.01</v>
      </c>
      <c r="G6615" t="s">
        <v>12</v>
      </c>
      <c r="I6615" t="s">
        <v>230</v>
      </c>
    </row>
    <row r="6616" spans="1:9" hidden="1" x14ac:dyDescent="0.25">
      <c r="A6616" t="s">
        <v>5443</v>
      </c>
      <c r="B6616" t="s">
        <v>240</v>
      </c>
      <c r="C6616" s="2">
        <f>HYPERLINK("https://cao.dolgi.msk.ru/account/1080066193/", 1080066193)</f>
        <v>1080066193</v>
      </c>
      <c r="D6616" t="s">
        <v>5451</v>
      </c>
      <c r="E6616">
        <v>-289.60000000000002</v>
      </c>
      <c r="F6616">
        <v>-0.04</v>
      </c>
      <c r="G6616" t="s">
        <v>12</v>
      </c>
      <c r="I6616" t="s">
        <v>230</v>
      </c>
    </row>
    <row r="6617" spans="1:9" hidden="1" x14ac:dyDescent="0.25">
      <c r="A6617" t="s">
        <v>5443</v>
      </c>
      <c r="B6617" t="s">
        <v>21</v>
      </c>
      <c r="C6617" s="2">
        <f>HYPERLINK("https://cao.dolgi.msk.ru/account/1080066206/", 1080066206)</f>
        <v>1080066206</v>
      </c>
      <c r="D6617" t="s">
        <v>5452</v>
      </c>
      <c r="E6617">
        <v>0</v>
      </c>
      <c r="F6617">
        <v>0</v>
      </c>
      <c r="G6617" t="s">
        <v>12</v>
      </c>
      <c r="I6617" t="s">
        <v>230</v>
      </c>
    </row>
    <row r="6618" spans="1:9" hidden="1" x14ac:dyDescent="0.25">
      <c r="A6618" t="s">
        <v>5443</v>
      </c>
      <c r="B6618" t="s">
        <v>242</v>
      </c>
      <c r="C6618" s="2">
        <f>HYPERLINK("https://cao.dolgi.msk.ru/account/1080066222/", 1080066222)</f>
        <v>1080066222</v>
      </c>
      <c r="D6618" t="s">
        <v>5453</v>
      </c>
      <c r="E6618">
        <v>-11597.64</v>
      </c>
      <c r="F6618">
        <v>-1.1000000000000001</v>
      </c>
      <c r="G6618" t="s">
        <v>12</v>
      </c>
      <c r="I6618" t="s">
        <v>230</v>
      </c>
    </row>
    <row r="6619" spans="1:9" hidden="1" x14ac:dyDescent="0.25">
      <c r="A6619" t="s">
        <v>5443</v>
      </c>
      <c r="B6619" t="s">
        <v>22</v>
      </c>
      <c r="C6619" s="2">
        <f>HYPERLINK("https://cao.dolgi.msk.ru/account/1080066257/", 1080066257)</f>
        <v>1080066257</v>
      </c>
      <c r="D6619" t="s">
        <v>5454</v>
      </c>
      <c r="E6619">
        <v>-5439.19</v>
      </c>
      <c r="F6619">
        <v>-1.31</v>
      </c>
      <c r="G6619" t="s">
        <v>12</v>
      </c>
      <c r="I6619" t="s">
        <v>230</v>
      </c>
    </row>
    <row r="6620" spans="1:9" hidden="1" x14ac:dyDescent="0.25">
      <c r="A6620" t="s">
        <v>5443</v>
      </c>
      <c r="B6620" t="s">
        <v>245</v>
      </c>
      <c r="C6620" s="2">
        <f>HYPERLINK("https://cao.dolgi.msk.ru/account/1080066265/", 1080066265)</f>
        <v>1080066265</v>
      </c>
      <c r="D6620" t="s">
        <v>5455</v>
      </c>
      <c r="E6620">
        <v>-12603.13</v>
      </c>
      <c r="F6620">
        <v>-1.1399999999999999</v>
      </c>
      <c r="G6620" t="s">
        <v>12</v>
      </c>
      <c r="I6620" t="s">
        <v>230</v>
      </c>
    </row>
    <row r="6621" spans="1:9" hidden="1" x14ac:dyDescent="0.25">
      <c r="A6621" t="s">
        <v>5443</v>
      </c>
      <c r="B6621" t="s">
        <v>23</v>
      </c>
      <c r="C6621" s="2">
        <f>HYPERLINK("https://cao.dolgi.msk.ru/account/1080066273/", 1080066273)</f>
        <v>1080066273</v>
      </c>
      <c r="D6621" t="s">
        <v>5456</v>
      </c>
      <c r="E6621">
        <v>0</v>
      </c>
      <c r="G6621" t="s">
        <v>14</v>
      </c>
      <c r="I6621" t="s">
        <v>230</v>
      </c>
    </row>
    <row r="6622" spans="1:9" hidden="1" x14ac:dyDescent="0.25">
      <c r="A6622" t="s">
        <v>5443</v>
      </c>
      <c r="B6622" t="s">
        <v>23</v>
      </c>
      <c r="C6622" s="2">
        <f>HYPERLINK("https://cao.dolgi.msk.ru/account/1080066281/", 1080066281)</f>
        <v>1080066281</v>
      </c>
      <c r="D6622" t="s">
        <v>5456</v>
      </c>
      <c r="E6622">
        <v>310.39999999999998</v>
      </c>
      <c r="F6622">
        <v>0.04</v>
      </c>
      <c r="G6622" t="s">
        <v>12</v>
      </c>
      <c r="I6622" t="s">
        <v>230</v>
      </c>
    </row>
    <row r="6623" spans="1:9" hidden="1" x14ac:dyDescent="0.25">
      <c r="A6623" t="s">
        <v>5443</v>
      </c>
      <c r="B6623" t="s">
        <v>24</v>
      </c>
      <c r="C6623" s="2">
        <f>HYPERLINK("https://cao.dolgi.msk.ru/account/1080066302/", 1080066302)</f>
        <v>1080066302</v>
      </c>
      <c r="D6623" t="s">
        <v>5457</v>
      </c>
      <c r="E6623">
        <v>-9033.81</v>
      </c>
      <c r="F6623">
        <v>-1.1499999999999999</v>
      </c>
      <c r="G6623" t="s">
        <v>12</v>
      </c>
      <c r="I6623" t="s">
        <v>230</v>
      </c>
    </row>
    <row r="6624" spans="1:9" hidden="1" x14ac:dyDescent="0.25">
      <c r="A6624" t="s">
        <v>5443</v>
      </c>
      <c r="B6624" t="s">
        <v>27</v>
      </c>
      <c r="C6624" s="2">
        <f>HYPERLINK("https://cao.dolgi.msk.ru/account/1080066329/", 1080066329)</f>
        <v>1080066329</v>
      </c>
      <c r="D6624" t="s">
        <v>5458</v>
      </c>
      <c r="E6624">
        <v>-7558.2</v>
      </c>
      <c r="F6624">
        <v>-1.1499999999999999</v>
      </c>
      <c r="G6624" t="s">
        <v>12</v>
      </c>
      <c r="I6624" t="s">
        <v>230</v>
      </c>
    </row>
    <row r="6625" spans="1:9" hidden="1" x14ac:dyDescent="0.25">
      <c r="A6625" t="s">
        <v>5443</v>
      </c>
      <c r="B6625" t="s">
        <v>29</v>
      </c>
      <c r="C6625" s="2">
        <f>HYPERLINK("https://cao.dolgi.msk.ru/account/1080066337/", 1080066337)</f>
        <v>1080066337</v>
      </c>
      <c r="D6625" t="s">
        <v>5459</v>
      </c>
      <c r="E6625">
        <v>-6144.58</v>
      </c>
      <c r="F6625">
        <v>-1.19</v>
      </c>
      <c r="G6625" t="s">
        <v>12</v>
      </c>
      <c r="I6625" t="s">
        <v>230</v>
      </c>
    </row>
    <row r="6626" spans="1:9" hidden="1" x14ac:dyDescent="0.25">
      <c r="A6626" t="s">
        <v>5443</v>
      </c>
      <c r="B6626" t="s">
        <v>31</v>
      </c>
      <c r="C6626" s="2">
        <f>HYPERLINK("https://cao.dolgi.msk.ru/account/1080066345/", 1080066345)</f>
        <v>1080066345</v>
      </c>
      <c r="D6626" t="s">
        <v>5460</v>
      </c>
      <c r="E6626">
        <v>-9498.7800000000007</v>
      </c>
      <c r="F6626">
        <v>-1.1200000000000001</v>
      </c>
      <c r="G6626" t="s">
        <v>12</v>
      </c>
      <c r="I6626" t="s">
        <v>230</v>
      </c>
    </row>
    <row r="6627" spans="1:9" hidden="1" x14ac:dyDescent="0.25">
      <c r="A6627" t="s">
        <v>5443</v>
      </c>
      <c r="B6627" t="s">
        <v>33</v>
      </c>
      <c r="C6627" s="2">
        <f>HYPERLINK("https://cao.dolgi.msk.ru/account/1080066353/", 1080066353)</f>
        <v>1080066353</v>
      </c>
      <c r="D6627" t="s">
        <v>5461</v>
      </c>
      <c r="E6627">
        <v>4202.79</v>
      </c>
      <c r="F6627">
        <v>0.63</v>
      </c>
      <c r="G6627" t="s">
        <v>12</v>
      </c>
      <c r="I6627" t="s">
        <v>230</v>
      </c>
    </row>
    <row r="6628" spans="1:9" hidden="1" x14ac:dyDescent="0.25">
      <c r="A6628" t="s">
        <v>5443</v>
      </c>
      <c r="B6628" t="s">
        <v>34</v>
      </c>
      <c r="C6628" s="2">
        <f>HYPERLINK("https://cao.dolgi.msk.ru/account/1080066361/", 1080066361)</f>
        <v>1080066361</v>
      </c>
      <c r="D6628" t="s">
        <v>5462</v>
      </c>
      <c r="E6628">
        <v>-8336.6299999999992</v>
      </c>
      <c r="F6628">
        <v>-1.1100000000000001</v>
      </c>
      <c r="G6628" t="s">
        <v>12</v>
      </c>
      <c r="I6628" t="s">
        <v>230</v>
      </c>
    </row>
    <row r="6629" spans="1:9" x14ac:dyDescent="0.25">
      <c r="A6629" t="s">
        <v>5443</v>
      </c>
      <c r="B6629" t="s">
        <v>34</v>
      </c>
      <c r="C6629" s="2">
        <f>HYPERLINK("https://cao.dolgi.msk.ru/account/1083274326/", 1083274326)</f>
        <v>1083274326</v>
      </c>
      <c r="D6629" t="s">
        <v>5463</v>
      </c>
      <c r="E6629">
        <v>10639.89</v>
      </c>
      <c r="F6629">
        <v>4.45</v>
      </c>
      <c r="G6629" t="s">
        <v>12</v>
      </c>
      <c r="I6629" t="s">
        <v>230</v>
      </c>
    </row>
    <row r="6630" spans="1:9" hidden="1" x14ac:dyDescent="0.25">
      <c r="A6630" t="s">
        <v>5443</v>
      </c>
      <c r="B6630" t="s">
        <v>36</v>
      </c>
      <c r="C6630" s="2">
        <f>HYPERLINK("https://cao.dolgi.msk.ru/account/1080066388/", 1080066388)</f>
        <v>1080066388</v>
      </c>
      <c r="D6630" t="s">
        <v>5464</v>
      </c>
      <c r="E6630">
        <v>-2551.6799999999998</v>
      </c>
      <c r="F6630">
        <v>-0.28999999999999998</v>
      </c>
      <c r="G6630" t="s">
        <v>12</v>
      </c>
      <c r="I6630" t="s">
        <v>230</v>
      </c>
    </row>
    <row r="6631" spans="1:9" hidden="1" x14ac:dyDescent="0.25">
      <c r="A6631" t="s">
        <v>5443</v>
      </c>
      <c r="B6631" t="s">
        <v>38</v>
      </c>
      <c r="C6631" s="2">
        <f>HYPERLINK("https://cao.dolgi.msk.ru/account/1080066396/", 1080066396)</f>
        <v>1080066396</v>
      </c>
      <c r="D6631" t="s">
        <v>5465</v>
      </c>
      <c r="E6631">
        <v>-12139.08</v>
      </c>
      <c r="F6631">
        <v>-1.08</v>
      </c>
      <c r="G6631" t="s">
        <v>12</v>
      </c>
      <c r="I6631" t="s">
        <v>230</v>
      </c>
    </row>
    <row r="6632" spans="1:9" hidden="1" x14ac:dyDescent="0.25">
      <c r="A6632" t="s">
        <v>5443</v>
      </c>
      <c r="B6632" t="s">
        <v>39</v>
      </c>
      <c r="C6632" s="2">
        <f>HYPERLINK("https://cao.dolgi.msk.ru/account/1080066409/", 1080066409)</f>
        <v>1080066409</v>
      </c>
      <c r="D6632" t="s">
        <v>5466</v>
      </c>
      <c r="E6632">
        <v>-10411.52</v>
      </c>
      <c r="F6632">
        <v>-1.1299999999999999</v>
      </c>
      <c r="G6632" t="s">
        <v>12</v>
      </c>
      <c r="I6632" t="s">
        <v>230</v>
      </c>
    </row>
    <row r="6633" spans="1:9" hidden="1" x14ac:dyDescent="0.25">
      <c r="A6633" t="s">
        <v>5443</v>
      </c>
      <c r="B6633" t="s">
        <v>40</v>
      </c>
      <c r="C6633" s="2">
        <f>HYPERLINK("https://cao.dolgi.msk.ru/account/1080066417/", 1080066417)</f>
        <v>1080066417</v>
      </c>
      <c r="D6633" t="s">
        <v>5467</v>
      </c>
      <c r="E6633">
        <v>0</v>
      </c>
      <c r="F6633">
        <v>0</v>
      </c>
      <c r="G6633" t="s">
        <v>12</v>
      </c>
      <c r="I6633" t="s">
        <v>230</v>
      </c>
    </row>
    <row r="6634" spans="1:9" hidden="1" x14ac:dyDescent="0.25">
      <c r="A6634" t="s">
        <v>5443</v>
      </c>
      <c r="B6634" t="s">
        <v>41</v>
      </c>
      <c r="C6634" s="2">
        <f>HYPERLINK("https://cao.dolgi.msk.ru/account/1080066425/", 1080066425)</f>
        <v>1080066425</v>
      </c>
      <c r="D6634" t="s">
        <v>5468</v>
      </c>
      <c r="E6634">
        <v>-8559.7900000000009</v>
      </c>
      <c r="F6634">
        <v>-1.1499999999999999</v>
      </c>
      <c r="G6634" t="s">
        <v>12</v>
      </c>
      <c r="I6634" t="s">
        <v>230</v>
      </c>
    </row>
    <row r="6635" spans="1:9" x14ac:dyDescent="0.25">
      <c r="A6635" t="s">
        <v>5469</v>
      </c>
      <c r="B6635" t="s">
        <v>10</v>
      </c>
      <c r="C6635" s="2">
        <f>HYPERLINK("https://cao.dolgi.msk.ru/account/1080296992/", 1080296992)</f>
        <v>1080296992</v>
      </c>
      <c r="D6635" t="s">
        <v>5470</v>
      </c>
      <c r="E6635">
        <v>11569.13</v>
      </c>
      <c r="F6635">
        <v>3.71</v>
      </c>
      <c r="G6635" t="s">
        <v>12</v>
      </c>
      <c r="I6635" t="s">
        <v>1050</v>
      </c>
    </row>
    <row r="6636" spans="1:9" hidden="1" x14ac:dyDescent="0.25">
      <c r="A6636" t="s">
        <v>5469</v>
      </c>
      <c r="B6636" t="s">
        <v>18</v>
      </c>
      <c r="C6636" s="2">
        <f>HYPERLINK("https://cao.dolgi.msk.ru/account/1080297004/", 1080297004)</f>
        <v>1080297004</v>
      </c>
      <c r="D6636" t="s">
        <v>5471</v>
      </c>
      <c r="E6636">
        <v>-10.58</v>
      </c>
      <c r="F6636">
        <v>-0.01</v>
      </c>
      <c r="G6636" t="s">
        <v>12</v>
      </c>
      <c r="I6636" t="s">
        <v>1050</v>
      </c>
    </row>
    <row r="6637" spans="1:9" hidden="1" x14ac:dyDescent="0.25">
      <c r="A6637" t="s">
        <v>5469</v>
      </c>
      <c r="B6637" t="s">
        <v>18</v>
      </c>
      <c r="C6637" s="2">
        <f>HYPERLINK("https://cao.dolgi.msk.ru/account/1089124214/", 1089124214)</f>
        <v>1089124214</v>
      </c>
      <c r="D6637" t="s">
        <v>5471</v>
      </c>
      <c r="E6637">
        <v>0</v>
      </c>
      <c r="F6637">
        <v>0</v>
      </c>
      <c r="G6637" t="s">
        <v>12</v>
      </c>
      <c r="I6637" t="s">
        <v>1050</v>
      </c>
    </row>
    <row r="6638" spans="1:9" hidden="1" x14ac:dyDescent="0.25">
      <c r="A6638" t="s">
        <v>5469</v>
      </c>
      <c r="B6638" t="s">
        <v>20</v>
      </c>
      <c r="C6638" s="2">
        <f>HYPERLINK("https://cao.dolgi.msk.ru/account/1080297012/", 1080297012)</f>
        <v>1080297012</v>
      </c>
      <c r="D6638" t="s">
        <v>5472</v>
      </c>
      <c r="E6638">
        <v>5414.81</v>
      </c>
      <c r="F6638">
        <v>0.99</v>
      </c>
      <c r="G6638" t="s">
        <v>12</v>
      </c>
      <c r="I6638" t="s">
        <v>1050</v>
      </c>
    </row>
    <row r="6639" spans="1:9" hidden="1" x14ac:dyDescent="0.25">
      <c r="A6639" t="s">
        <v>5469</v>
      </c>
      <c r="B6639" t="s">
        <v>21</v>
      </c>
      <c r="C6639" s="2">
        <f>HYPERLINK("https://cao.dolgi.msk.ru/account/1080297039/", 1080297039)</f>
        <v>1080297039</v>
      </c>
      <c r="D6639" t="s">
        <v>5473</v>
      </c>
      <c r="E6639">
        <v>-803.11</v>
      </c>
      <c r="F6639">
        <v>-0.12</v>
      </c>
      <c r="G6639" t="s">
        <v>12</v>
      </c>
      <c r="I6639" t="s">
        <v>1050</v>
      </c>
    </row>
    <row r="6640" spans="1:9" x14ac:dyDescent="0.25">
      <c r="A6640" t="s">
        <v>5469</v>
      </c>
      <c r="B6640" t="s">
        <v>22</v>
      </c>
      <c r="C6640" s="2">
        <f>HYPERLINK("https://cao.dolgi.msk.ru/account/1080297055/", 1080297055)</f>
        <v>1080297055</v>
      </c>
      <c r="D6640" t="s">
        <v>5474</v>
      </c>
      <c r="E6640">
        <v>19854.38</v>
      </c>
      <c r="F6640">
        <v>2.12</v>
      </c>
      <c r="G6640" t="s">
        <v>12</v>
      </c>
      <c r="I6640" t="s">
        <v>1050</v>
      </c>
    </row>
    <row r="6641" spans="1:9" hidden="1" x14ac:dyDescent="0.25">
      <c r="A6641" t="s">
        <v>5469</v>
      </c>
      <c r="B6641" t="s">
        <v>23</v>
      </c>
      <c r="C6641" s="2">
        <f>HYPERLINK("https://cao.dolgi.msk.ru/account/1080297063/", 1080297063)</f>
        <v>1080297063</v>
      </c>
      <c r="D6641" t="s">
        <v>1082</v>
      </c>
      <c r="E6641">
        <v>-2922.7</v>
      </c>
      <c r="F6641">
        <v>-1.1100000000000001</v>
      </c>
      <c r="G6641" t="s">
        <v>12</v>
      </c>
      <c r="H6641" t="s">
        <v>7</v>
      </c>
      <c r="I6641" t="s">
        <v>1050</v>
      </c>
    </row>
    <row r="6642" spans="1:9" hidden="1" x14ac:dyDescent="0.25">
      <c r="A6642" t="s">
        <v>5469</v>
      </c>
      <c r="B6642" t="s">
        <v>23</v>
      </c>
      <c r="C6642" s="2">
        <f>HYPERLINK("https://cao.dolgi.msk.ru/account/1080297071/", 1080297071)</f>
        <v>1080297071</v>
      </c>
      <c r="D6642" t="s">
        <v>5475</v>
      </c>
      <c r="E6642">
        <v>-2548.19</v>
      </c>
      <c r="F6642">
        <v>-1.0900000000000001</v>
      </c>
      <c r="G6642" t="s">
        <v>12</v>
      </c>
      <c r="H6642" t="s">
        <v>7</v>
      </c>
      <c r="I6642" t="s">
        <v>1050</v>
      </c>
    </row>
    <row r="6643" spans="1:9" hidden="1" x14ac:dyDescent="0.25">
      <c r="A6643" t="s">
        <v>5469</v>
      </c>
      <c r="B6643" t="s">
        <v>24</v>
      </c>
      <c r="C6643" s="2">
        <f>HYPERLINK("https://cao.dolgi.msk.ru/account/1080297098/", 1080297098)</f>
        <v>1080297098</v>
      </c>
      <c r="D6643" t="s">
        <v>5476</v>
      </c>
      <c r="E6643">
        <v>-2862.75</v>
      </c>
      <c r="F6643">
        <v>-1.1399999999999999</v>
      </c>
      <c r="G6643" t="s">
        <v>12</v>
      </c>
      <c r="I6643" t="s">
        <v>1050</v>
      </c>
    </row>
    <row r="6644" spans="1:9" hidden="1" x14ac:dyDescent="0.25">
      <c r="A6644" t="s">
        <v>5469</v>
      </c>
      <c r="B6644" t="s">
        <v>27</v>
      </c>
      <c r="C6644" s="2">
        <f>HYPERLINK("https://cao.dolgi.msk.ru/account/1080297119/", 1080297119)</f>
        <v>1080297119</v>
      </c>
      <c r="D6644" t="s">
        <v>5477</v>
      </c>
      <c r="E6644">
        <v>-9613.67</v>
      </c>
      <c r="F6644">
        <v>-1.1599999999999999</v>
      </c>
      <c r="G6644" t="s">
        <v>12</v>
      </c>
      <c r="I6644" t="s">
        <v>1050</v>
      </c>
    </row>
    <row r="6645" spans="1:9" hidden="1" x14ac:dyDescent="0.25">
      <c r="A6645" t="s">
        <v>5469</v>
      </c>
      <c r="B6645" t="s">
        <v>29</v>
      </c>
      <c r="C6645" s="2">
        <f>HYPERLINK("https://cao.dolgi.msk.ru/account/1080297127/", 1080297127)</f>
        <v>1080297127</v>
      </c>
      <c r="D6645" t="s">
        <v>5478</v>
      </c>
      <c r="E6645">
        <v>-6087.96</v>
      </c>
      <c r="F6645">
        <v>-1.04</v>
      </c>
      <c r="G6645" t="s">
        <v>12</v>
      </c>
      <c r="I6645" t="s">
        <v>1050</v>
      </c>
    </row>
    <row r="6646" spans="1:9" hidden="1" x14ac:dyDescent="0.25">
      <c r="A6646" t="s">
        <v>5469</v>
      </c>
      <c r="B6646" t="s">
        <v>31</v>
      </c>
      <c r="C6646" s="2">
        <f>HYPERLINK("https://cao.dolgi.msk.ru/account/1080297135/", 1080297135)</f>
        <v>1080297135</v>
      </c>
      <c r="D6646" t="s">
        <v>5479</v>
      </c>
      <c r="E6646">
        <v>-6483.03</v>
      </c>
      <c r="F6646">
        <v>-1.0900000000000001</v>
      </c>
      <c r="G6646" t="s">
        <v>12</v>
      </c>
      <c r="I6646" t="s">
        <v>1050</v>
      </c>
    </row>
    <row r="6647" spans="1:9" hidden="1" x14ac:dyDescent="0.25">
      <c r="A6647" t="s">
        <v>5469</v>
      </c>
      <c r="B6647" t="s">
        <v>33</v>
      </c>
      <c r="C6647" s="2">
        <f>HYPERLINK("https://cao.dolgi.msk.ru/account/1080297143/", 1080297143)</f>
        <v>1080297143</v>
      </c>
      <c r="D6647" t="s">
        <v>5480</v>
      </c>
      <c r="E6647">
        <v>-65.209999999999994</v>
      </c>
      <c r="F6647">
        <v>-0.01</v>
      </c>
      <c r="G6647" t="s">
        <v>12</v>
      </c>
      <c r="I6647" t="s">
        <v>1050</v>
      </c>
    </row>
    <row r="6648" spans="1:9" hidden="1" x14ac:dyDescent="0.25">
      <c r="A6648" t="s">
        <v>5469</v>
      </c>
      <c r="B6648" t="s">
        <v>34</v>
      </c>
      <c r="C6648" s="2">
        <f>HYPERLINK("https://cao.dolgi.msk.ru/account/1080297151/", 1080297151)</f>
        <v>1080297151</v>
      </c>
      <c r="D6648" t="s">
        <v>5481</v>
      </c>
      <c r="E6648">
        <v>-4541.51</v>
      </c>
      <c r="F6648">
        <v>-1.18</v>
      </c>
      <c r="G6648" t="s">
        <v>12</v>
      </c>
      <c r="I6648" t="s">
        <v>1050</v>
      </c>
    </row>
    <row r="6649" spans="1:9" hidden="1" x14ac:dyDescent="0.25">
      <c r="A6649" t="s">
        <v>5469</v>
      </c>
      <c r="B6649" t="s">
        <v>36</v>
      </c>
      <c r="C6649" s="2">
        <f>HYPERLINK("https://cao.dolgi.msk.ru/account/1080297178/", 1080297178)</f>
        <v>1080297178</v>
      </c>
      <c r="D6649" t="s">
        <v>5482</v>
      </c>
      <c r="E6649">
        <v>-20402.32</v>
      </c>
      <c r="F6649">
        <v>-2.64</v>
      </c>
      <c r="G6649" t="s">
        <v>12</v>
      </c>
      <c r="I6649" t="s">
        <v>1050</v>
      </c>
    </row>
    <row r="6650" spans="1:9" hidden="1" x14ac:dyDescent="0.25">
      <c r="A6650" t="s">
        <v>5469</v>
      </c>
      <c r="B6650" t="s">
        <v>38</v>
      </c>
      <c r="C6650" s="2">
        <f>HYPERLINK("https://cao.dolgi.msk.ru/account/1080297186/", 1080297186)</f>
        <v>1080297186</v>
      </c>
      <c r="D6650" t="s">
        <v>5483</v>
      </c>
      <c r="E6650">
        <v>-7800.08</v>
      </c>
      <c r="F6650">
        <v>-1.25</v>
      </c>
      <c r="G6650" t="s">
        <v>12</v>
      </c>
      <c r="I6650" t="s">
        <v>1050</v>
      </c>
    </row>
    <row r="6651" spans="1:9" hidden="1" x14ac:dyDescent="0.25">
      <c r="A6651" t="s">
        <v>5469</v>
      </c>
      <c r="B6651" t="s">
        <v>39</v>
      </c>
      <c r="C6651" s="2">
        <f>HYPERLINK("https://cao.dolgi.msk.ru/account/1080297194/", 1080297194)</f>
        <v>1080297194</v>
      </c>
      <c r="D6651" t="s">
        <v>5484</v>
      </c>
      <c r="E6651">
        <v>-5501.87</v>
      </c>
      <c r="F6651">
        <v>-1.1299999999999999</v>
      </c>
      <c r="G6651" t="s">
        <v>12</v>
      </c>
      <c r="I6651" t="s">
        <v>1050</v>
      </c>
    </row>
    <row r="6652" spans="1:9" hidden="1" x14ac:dyDescent="0.25">
      <c r="A6652" t="s">
        <v>5469</v>
      </c>
      <c r="B6652" t="s">
        <v>40</v>
      </c>
      <c r="C6652" s="2">
        <f>HYPERLINK("https://cao.dolgi.msk.ru/account/1080297207/", 1080297207)</f>
        <v>1080297207</v>
      </c>
      <c r="D6652" t="s">
        <v>5485</v>
      </c>
      <c r="E6652">
        <v>-7190.88</v>
      </c>
      <c r="F6652">
        <v>-1.1100000000000001</v>
      </c>
      <c r="G6652" t="s">
        <v>12</v>
      </c>
      <c r="I6652" t="s">
        <v>1050</v>
      </c>
    </row>
    <row r="6653" spans="1:9" hidden="1" x14ac:dyDescent="0.25">
      <c r="A6653" t="s">
        <v>5469</v>
      </c>
      <c r="B6653" t="s">
        <v>41</v>
      </c>
      <c r="C6653" s="2">
        <f>HYPERLINK("https://cao.dolgi.msk.ru/account/1080297215/", 1080297215)</f>
        <v>1080297215</v>
      </c>
      <c r="D6653" t="s">
        <v>5486</v>
      </c>
      <c r="E6653">
        <v>-8503.66</v>
      </c>
      <c r="F6653">
        <v>-1.1100000000000001</v>
      </c>
      <c r="G6653" t="s">
        <v>12</v>
      </c>
      <c r="I6653" t="s">
        <v>1050</v>
      </c>
    </row>
    <row r="6654" spans="1:9" hidden="1" x14ac:dyDescent="0.25">
      <c r="A6654" t="s">
        <v>5469</v>
      </c>
      <c r="B6654" t="s">
        <v>42</v>
      </c>
      <c r="C6654" s="2">
        <f>HYPERLINK("https://cao.dolgi.msk.ru/account/1080297223/", 1080297223)</f>
        <v>1080297223</v>
      </c>
      <c r="D6654" t="s">
        <v>5487</v>
      </c>
      <c r="E6654">
        <v>-4745.58</v>
      </c>
      <c r="F6654">
        <v>-1.1499999999999999</v>
      </c>
      <c r="G6654" t="s">
        <v>12</v>
      </c>
      <c r="I6654" t="s">
        <v>1050</v>
      </c>
    </row>
    <row r="6655" spans="1:9" hidden="1" x14ac:dyDescent="0.25">
      <c r="A6655" t="s">
        <v>5469</v>
      </c>
      <c r="B6655" t="s">
        <v>44</v>
      </c>
      <c r="C6655" s="2">
        <f>HYPERLINK("https://cao.dolgi.msk.ru/account/1080297231/", 1080297231)</f>
        <v>1080297231</v>
      </c>
      <c r="D6655" t="s">
        <v>5488</v>
      </c>
      <c r="E6655">
        <v>-243.08</v>
      </c>
      <c r="F6655">
        <v>-0.05</v>
      </c>
      <c r="G6655" t="s">
        <v>12</v>
      </c>
      <c r="I6655" t="s">
        <v>1050</v>
      </c>
    </row>
    <row r="6656" spans="1:9" hidden="1" x14ac:dyDescent="0.25">
      <c r="A6656" t="s">
        <v>5469</v>
      </c>
      <c r="B6656" t="s">
        <v>66</v>
      </c>
      <c r="C6656" s="2">
        <f>HYPERLINK("https://cao.dolgi.msk.ru/account/1080297258/", 1080297258)</f>
        <v>1080297258</v>
      </c>
      <c r="D6656" t="s">
        <v>5489</v>
      </c>
      <c r="E6656">
        <v>-9494.85</v>
      </c>
      <c r="F6656">
        <v>-1.05</v>
      </c>
      <c r="G6656" t="s">
        <v>12</v>
      </c>
      <c r="I6656" t="s">
        <v>1050</v>
      </c>
    </row>
    <row r="6657" spans="1:9" hidden="1" x14ac:dyDescent="0.25">
      <c r="A6657" t="s">
        <v>5469</v>
      </c>
      <c r="B6657" t="s">
        <v>68</v>
      </c>
      <c r="C6657" s="2">
        <f>HYPERLINK("https://cao.dolgi.msk.ru/account/1080297266/", 1080297266)</f>
        <v>1080297266</v>
      </c>
      <c r="D6657" t="s">
        <v>5490</v>
      </c>
      <c r="E6657">
        <v>68.8</v>
      </c>
      <c r="F6657">
        <v>0.02</v>
      </c>
      <c r="G6657" t="s">
        <v>12</v>
      </c>
      <c r="I6657" t="s">
        <v>1050</v>
      </c>
    </row>
    <row r="6658" spans="1:9" hidden="1" x14ac:dyDescent="0.25">
      <c r="A6658" t="s">
        <v>5469</v>
      </c>
      <c r="B6658" t="s">
        <v>68</v>
      </c>
      <c r="C6658" s="2">
        <f>HYPERLINK("https://cao.dolgi.msk.ru/account/1089125727/", 1089125727)</f>
        <v>1089125727</v>
      </c>
      <c r="D6658" t="s">
        <v>5490</v>
      </c>
      <c r="E6658">
        <v>1885.22</v>
      </c>
      <c r="F6658">
        <v>0.52</v>
      </c>
      <c r="G6658" t="s">
        <v>12</v>
      </c>
      <c r="I6658" t="s">
        <v>1050</v>
      </c>
    </row>
    <row r="6659" spans="1:9" hidden="1" x14ac:dyDescent="0.25">
      <c r="A6659" t="s">
        <v>5469</v>
      </c>
      <c r="B6659" t="s">
        <v>70</v>
      </c>
      <c r="C6659" s="2">
        <f>HYPERLINK("https://cao.dolgi.msk.ru/account/1080297274/", 1080297274)</f>
        <v>1080297274</v>
      </c>
      <c r="D6659" t="s">
        <v>5491</v>
      </c>
      <c r="E6659">
        <v>-10894.89</v>
      </c>
      <c r="F6659">
        <v>-1.06</v>
      </c>
      <c r="G6659" t="s">
        <v>12</v>
      </c>
      <c r="I6659" t="s">
        <v>1050</v>
      </c>
    </row>
    <row r="6660" spans="1:9" hidden="1" x14ac:dyDescent="0.25">
      <c r="A6660" t="s">
        <v>5469</v>
      </c>
      <c r="B6660" t="s">
        <v>72</v>
      </c>
      <c r="C6660" s="2">
        <f>HYPERLINK("https://cao.dolgi.msk.ru/account/1080297282/", 1080297282)</f>
        <v>1080297282</v>
      </c>
      <c r="D6660" t="s">
        <v>5492</v>
      </c>
      <c r="E6660">
        <v>-19.399999999999999</v>
      </c>
      <c r="F6660">
        <v>0</v>
      </c>
      <c r="G6660" t="s">
        <v>12</v>
      </c>
      <c r="I6660" t="s">
        <v>1050</v>
      </c>
    </row>
    <row r="6661" spans="1:9" hidden="1" x14ac:dyDescent="0.25">
      <c r="A6661" t="s">
        <v>5469</v>
      </c>
      <c r="B6661" t="s">
        <v>74</v>
      </c>
      <c r="C6661" s="2">
        <f>HYPERLINK("https://cao.dolgi.msk.ru/account/1080297303/", 1080297303)</f>
        <v>1080297303</v>
      </c>
      <c r="D6661" t="s">
        <v>5493</v>
      </c>
      <c r="E6661">
        <v>-6598.16</v>
      </c>
      <c r="F6661">
        <v>-1.24</v>
      </c>
      <c r="G6661" t="s">
        <v>12</v>
      </c>
      <c r="I6661" t="s">
        <v>1050</v>
      </c>
    </row>
    <row r="6662" spans="1:9" x14ac:dyDescent="0.25">
      <c r="A6662" t="s">
        <v>5469</v>
      </c>
      <c r="B6662" t="s">
        <v>76</v>
      </c>
      <c r="C6662" s="2">
        <f>HYPERLINK("https://cao.dolgi.msk.ru/account/1080297311/", 1080297311)</f>
        <v>1080297311</v>
      </c>
      <c r="D6662" t="s">
        <v>15</v>
      </c>
      <c r="E6662">
        <v>143568.74</v>
      </c>
      <c r="F6662">
        <v>35.270000000000003</v>
      </c>
      <c r="G6662" t="s">
        <v>12</v>
      </c>
      <c r="H6662" t="s">
        <v>7</v>
      </c>
      <c r="I6662" t="s">
        <v>1050</v>
      </c>
    </row>
    <row r="6663" spans="1:9" hidden="1" x14ac:dyDescent="0.25">
      <c r="A6663" t="s">
        <v>5469</v>
      </c>
      <c r="B6663" t="s">
        <v>76</v>
      </c>
      <c r="C6663" s="2">
        <f>HYPERLINK("https://cao.dolgi.msk.ru/account/1080297338/", 1080297338)</f>
        <v>1080297338</v>
      </c>
      <c r="D6663" t="s">
        <v>15</v>
      </c>
      <c r="E6663">
        <v>-1794.1</v>
      </c>
      <c r="F6663">
        <v>-0.67</v>
      </c>
      <c r="G6663" t="s">
        <v>12</v>
      </c>
      <c r="H6663" t="s">
        <v>7</v>
      </c>
      <c r="I6663" t="s">
        <v>1050</v>
      </c>
    </row>
    <row r="6664" spans="1:9" hidden="1" x14ac:dyDescent="0.25">
      <c r="A6664" t="s">
        <v>5469</v>
      </c>
      <c r="B6664" t="s">
        <v>78</v>
      </c>
      <c r="C6664" s="2">
        <f>HYPERLINK("https://cao.dolgi.msk.ru/account/1080297346/", 1080297346)</f>
        <v>1080297346</v>
      </c>
      <c r="D6664" t="s">
        <v>5494</v>
      </c>
      <c r="E6664">
        <v>-5202.72</v>
      </c>
      <c r="F6664">
        <v>-1.0900000000000001</v>
      </c>
      <c r="G6664" t="s">
        <v>12</v>
      </c>
      <c r="I6664" t="s">
        <v>1050</v>
      </c>
    </row>
    <row r="6665" spans="1:9" hidden="1" x14ac:dyDescent="0.25">
      <c r="A6665" t="s">
        <v>5469</v>
      </c>
      <c r="B6665" t="s">
        <v>80</v>
      </c>
      <c r="C6665" s="2">
        <f>HYPERLINK("https://cao.dolgi.msk.ru/account/1080297354/", 1080297354)</f>
        <v>1080297354</v>
      </c>
      <c r="D6665" t="s">
        <v>5495</v>
      </c>
      <c r="E6665">
        <v>-4228.3900000000003</v>
      </c>
      <c r="F6665">
        <v>-1.1399999999999999</v>
      </c>
      <c r="G6665" t="s">
        <v>12</v>
      </c>
      <c r="I6665" t="s">
        <v>1050</v>
      </c>
    </row>
    <row r="6666" spans="1:9" hidden="1" x14ac:dyDescent="0.25">
      <c r="A6666" t="s">
        <v>5469</v>
      </c>
      <c r="B6666" t="s">
        <v>82</v>
      </c>
      <c r="C6666" s="2">
        <f>HYPERLINK("https://cao.dolgi.msk.ru/account/1080297362/", 1080297362)</f>
        <v>1080297362</v>
      </c>
      <c r="D6666" t="s">
        <v>5496</v>
      </c>
      <c r="E6666">
        <v>-6520.22</v>
      </c>
      <c r="F6666">
        <v>-2.17</v>
      </c>
      <c r="G6666" t="s">
        <v>12</v>
      </c>
      <c r="I6666" t="s">
        <v>1050</v>
      </c>
    </row>
    <row r="6667" spans="1:9" hidden="1" x14ac:dyDescent="0.25">
      <c r="A6667" t="s">
        <v>5469</v>
      </c>
      <c r="B6667" t="s">
        <v>84</v>
      </c>
      <c r="C6667" s="2">
        <f>HYPERLINK("https://cao.dolgi.msk.ru/account/1080297389/", 1080297389)</f>
        <v>1080297389</v>
      </c>
      <c r="D6667" t="s">
        <v>5497</v>
      </c>
      <c r="E6667">
        <v>-7876.27</v>
      </c>
      <c r="F6667">
        <v>-1.07</v>
      </c>
      <c r="G6667" t="s">
        <v>12</v>
      </c>
      <c r="I6667" t="s">
        <v>1050</v>
      </c>
    </row>
    <row r="6668" spans="1:9" hidden="1" x14ac:dyDescent="0.25">
      <c r="A6668" t="s">
        <v>5469</v>
      </c>
      <c r="B6668" t="s">
        <v>86</v>
      </c>
      <c r="C6668" s="2">
        <f>HYPERLINK("https://cao.dolgi.msk.ru/account/1080297397/", 1080297397)</f>
        <v>1080297397</v>
      </c>
      <c r="D6668" t="s">
        <v>5498</v>
      </c>
      <c r="E6668">
        <v>-7082.24</v>
      </c>
      <c r="F6668">
        <v>-1.1000000000000001</v>
      </c>
      <c r="G6668" t="s">
        <v>12</v>
      </c>
      <c r="I6668" t="s">
        <v>1050</v>
      </c>
    </row>
    <row r="6669" spans="1:9" hidden="1" x14ac:dyDescent="0.25">
      <c r="A6669" t="s">
        <v>5469</v>
      </c>
      <c r="B6669" t="s">
        <v>88</v>
      </c>
      <c r="C6669" s="2">
        <f>HYPERLINK("https://cao.dolgi.msk.ru/account/1080297418/", 1080297418)</f>
        <v>1080297418</v>
      </c>
      <c r="D6669" t="s">
        <v>5499</v>
      </c>
      <c r="E6669">
        <v>-6924.84</v>
      </c>
      <c r="F6669">
        <v>-1.1399999999999999</v>
      </c>
      <c r="G6669" t="s">
        <v>12</v>
      </c>
      <c r="I6669" t="s">
        <v>1050</v>
      </c>
    </row>
    <row r="6670" spans="1:9" hidden="1" x14ac:dyDescent="0.25">
      <c r="A6670" t="s">
        <v>5469</v>
      </c>
      <c r="B6670" t="s">
        <v>90</v>
      </c>
      <c r="C6670" s="2">
        <f>HYPERLINK("https://cao.dolgi.msk.ru/account/1080297426/", 1080297426)</f>
        <v>1080297426</v>
      </c>
      <c r="D6670" t="s">
        <v>5500</v>
      </c>
      <c r="E6670">
        <v>-6527.35</v>
      </c>
      <c r="F6670">
        <v>-1</v>
      </c>
      <c r="G6670" t="s">
        <v>12</v>
      </c>
      <c r="I6670" t="s">
        <v>1050</v>
      </c>
    </row>
    <row r="6671" spans="1:9" hidden="1" x14ac:dyDescent="0.25">
      <c r="A6671" t="s">
        <v>5469</v>
      </c>
      <c r="B6671" t="s">
        <v>92</v>
      </c>
      <c r="C6671" s="2">
        <f>HYPERLINK("https://cao.dolgi.msk.ru/account/1080297434/", 1080297434)</f>
        <v>1080297434</v>
      </c>
      <c r="D6671" t="s">
        <v>5501</v>
      </c>
      <c r="E6671">
        <v>-45.59</v>
      </c>
      <c r="F6671">
        <v>-0.01</v>
      </c>
      <c r="G6671" t="s">
        <v>12</v>
      </c>
      <c r="I6671" t="s">
        <v>1050</v>
      </c>
    </row>
    <row r="6672" spans="1:9" hidden="1" x14ac:dyDescent="0.25">
      <c r="A6672" t="s">
        <v>5469</v>
      </c>
      <c r="B6672" t="s">
        <v>94</v>
      </c>
      <c r="C6672" s="2">
        <f>HYPERLINK("https://cao.dolgi.msk.ru/account/1080297442/", 1080297442)</f>
        <v>1080297442</v>
      </c>
      <c r="D6672" t="s">
        <v>5502</v>
      </c>
      <c r="E6672">
        <v>-5459.25</v>
      </c>
      <c r="F6672">
        <v>-1.0900000000000001</v>
      </c>
      <c r="G6672" t="s">
        <v>12</v>
      </c>
      <c r="I6672" t="s">
        <v>1050</v>
      </c>
    </row>
    <row r="6673" spans="1:9" hidden="1" x14ac:dyDescent="0.25">
      <c r="A6673" t="s">
        <v>5469</v>
      </c>
      <c r="B6673" t="s">
        <v>96</v>
      </c>
      <c r="C6673" s="2">
        <f>HYPERLINK("https://cao.dolgi.msk.ru/account/1080297469/", 1080297469)</f>
        <v>1080297469</v>
      </c>
      <c r="D6673" t="s">
        <v>5503</v>
      </c>
      <c r="E6673">
        <v>-26698.82</v>
      </c>
      <c r="F6673">
        <v>-3.12</v>
      </c>
      <c r="G6673" t="s">
        <v>12</v>
      </c>
      <c r="I6673" t="s">
        <v>1050</v>
      </c>
    </row>
    <row r="6674" spans="1:9" hidden="1" x14ac:dyDescent="0.25">
      <c r="A6674" t="s">
        <v>5469</v>
      </c>
      <c r="B6674" t="s">
        <v>98</v>
      </c>
      <c r="C6674" s="2">
        <f>HYPERLINK("https://cao.dolgi.msk.ru/account/1080297477/", 1080297477)</f>
        <v>1080297477</v>
      </c>
      <c r="D6674" t="s">
        <v>5504</v>
      </c>
      <c r="E6674">
        <v>-7085.8</v>
      </c>
      <c r="F6674">
        <v>-1.04</v>
      </c>
      <c r="G6674" t="s">
        <v>12</v>
      </c>
      <c r="I6674" t="s">
        <v>1050</v>
      </c>
    </row>
    <row r="6675" spans="1:9" hidden="1" x14ac:dyDescent="0.25">
      <c r="A6675" t="s">
        <v>5469</v>
      </c>
      <c r="B6675" t="s">
        <v>100</v>
      </c>
      <c r="C6675" s="2">
        <f>HYPERLINK("https://cao.dolgi.msk.ru/account/1080297485/", 1080297485)</f>
        <v>1080297485</v>
      </c>
      <c r="D6675" t="s">
        <v>5505</v>
      </c>
      <c r="E6675">
        <v>-4859.8999999999996</v>
      </c>
      <c r="F6675">
        <v>-1.17</v>
      </c>
      <c r="G6675" t="s">
        <v>12</v>
      </c>
      <c r="I6675" t="s">
        <v>1050</v>
      </c>
    </row>
    <row r="6676" spans="1:9" hidden="1" x14ac:dyDescent="0.25">
      <c r="A6676" t="s">
        <v>5469</v>
      </c>
      <c r="B6676" t="s">
        <v>102</v>
      </c>
      <c r="C6676" s="2">
        <f>HYPERLINK("https://cao.dolgi.msk.ru/account/1080297493/", 1080297493)</f>
        <v>1080297493</v>
      </c>
      <c r="D6676" t="s">
        <v>5506</v>
      </c>
      <c r="E6676">
        <v>-5038.88</v>
      </c>
      <c r="F6676">
        <v>-1.1599999999999999</v>
      </c>
      <c r="G6676" t="s">
        <v>12</v>
      </c>
      <c r="I6676" t="s">
        <v>1050</v>
      </c>
    </row>
    <row r="6677" spans="1:9" hidden="1" x14ac:dyDescent="0.25">
      <c r="A6677" t="s">
        <v>5469</v>
      </c>
      <c r="B6677" t="s">
        <v>104</v>
      </c>
      <c r="C6677" s="2">
        <f>HYPERLINK("https://cao.dolgi.msk.ru/account/1080297506/", 1080297506)</f>
        <v>1080297506</v>
      </c>
      <c r="D6677" t="s">
        <v>5507</v>
      </c>
      <c r="E6677">
        <v>-4891.01</v>
      </c>
      <c r="F6677">
        <v>-1.1599999999999999</v>
      </c>
      <c r="G6677" t="s">
        <v>12</v>
      </c>
      <c r="I6677" t="s">
        <v>1050</v>
      </c>
    </row>
    <row r="6678" spans="1:9" hidden="1" x14ac:dyDescent="0.25">
      <c r="A6678" t="s">
        <v>5469</v>
      </c>
      <c r="B6678" t="s">
        <v>106</v>
      </c>
      <c r="C6678" s="2">
        <f>HYPERLINK("https://cao.dolgi.msk.ru/account/1080297514/", 1080297514)</f>
        <v>1080297514</v>
      </c>
      <c r="D6678" t="s">
        <v>5508</v>
      </c>
      <c r="E6678">
        <v>-3747.6</v>
      </c>
      <c r="F6678">
        <v>-1.3</v>
      </c>
      <c r="G6678" t="s">
        <v>12</v>
      </c>
      <c r="I6678" t="s">
        <v>1050</v>
      </c>
    </row>
    <row r="6679" spans="1:9" hidden="1" x14ac:dyDescent="0.25">
      <c r="A6679" t="s">
        <v>5469</v>
      </c>
      <c r="B6679" t="s">
        <v>108</v>
      </c>
      <c r="C6679" s="2">
        <f>HYPERLINK("https://cao.dolgi.msk.ru/account/1080297522/", 1080297522)</f>
        <v>1080297522</v>
      </c>
      <c r="D6679" t="s">
        <v>5509</v>
      </c>
      <c r="E6679">
        <v>1670.92</v>
      </c>
      <c r="F6679">
        <v>0.28000000000000003</v>
      </c>
      <c r="G6679" t="s">
        <v>12</v>
      </c>
      <c r="I6679" t="s">
        <v>1050</v>
      </c>
    </row>
    <row r="6680" spans="1:9" hidden="1" x14ac:dyDescent="0.25">
      <c r="A6680" t="s">
        <v>5469</v>
      </c>
      <c r="B6680" t="s">
        <v>110</v>
      </c>
      <c r="C6680" s="2">
        <f>HYPERLINK("https://cao.dolgi.msk.ru/account/1080297549/", 1080297549)</f>
        <v>1080297549</v>
      </c>
      <c r="D6680" t="s">
        <v>5510</v>
      </c>
      <c r="E6680">
        <v>-7138.71</v>
      </c>
      <c r="F6680">
        <v>-1.1000000000000001</v>
      </c>
      <c r="G6680" t="s">
        <v>12</v>
      </c>
      <c r="I6680" t="s">
        <v>1050</v>
      </c>
    </row>
    <row r="6681" spans="1:9" hidden="1" x14ac:dyDescent="0.25">
      <c r="A6681" t="s">
        <v>5469</v>
      </c>
      <c r="B6681" t="s">
        <v>112</v>
      </c>
      <c r="C6681" s="2">
        <f>HYPERLINK("https://cao.dolgi.msk.ru/account/1080297557/", 1080297557)</f>
        <v>1080297557</v>
      </c>
      <c r="D6681" t="s">
        <v>5511</v>
      </c>
      <c r="E6681">
        <v>-7682.16</v>
      </c>
      <c r="F6681">
        <v>-1.1599999999999999</v>
      </c>
      <c r="G6681" t="s">
        <v>12</v>
      </c>
      <c r="I6681" t="s">
        <v>1050</v>
      </c>
    </row>
    <row r="6682" spans="1:9" hidden="1" x14ac:dyDescent="0.25">
      <c r="A6682" t="s">
        <v>5469</v>
      </c>
      <c r="B6682" t="s">
        <v>114</v>
      </c>
      <c r="C6682" s="2">
        <f>HYPERLINK("https://cao.dolgi.msk.ru/account/1080297565/", 1080297565)</f>
        <v>1080297565</v>
      </c>
      <c r="D6682" t="s">
        <v>5512</v>
      </c>
      <c r="E6682">
        <v>-5776.01</v>
      </c>
      <c r="F6682">
        <v>-1.24</v>
      </c>
      <c r="G6682" t="s">
        <v>12</v>
      </c>
      <c r="I6682" t="s">
        <v>1050</v>
      </c>
    </row>
    <row r="6683" spans="1:9" hidden="1" x14ac:dyDescent="0.25">
      <c r="A6683" t="s">
        <v>5469</v>
      </c>
      <c r="B6683" t="s">
        <v>116</v>
      </c>
      <c r="C6683" s="2">
        <f>HYPERLINK("https://cao.dolgi.msk.ru/account/1080297573/", 1080297573)</f>
        <v>1080297573</v>
      </c>
      <c r="D6683" t="s">
        <v>5513</v>
      </c>
      <c r="E6683">
        <v>-4902.53</v>
      </c>
      <c r="F6683">
        <v>-0.73</v>
      </c>
      <c r="G6683" t="s">
        <v>12</v>
      </c>
      <c r="I6683" t="s">
        <v>1050</v>
      </c>
    </row>
    <row r="6684" spans="1:9" hidden="1" x14ac:dyDescent="0.25">
      <c r="A6684" t="s">
        <v>5469</v>
      </c>
      <c r="B6684" t="s">
        <v>118</v>
      </c>
      <c r="C6684" s="2">
        <f>HYPERLINK("https://cao.dolgi.msk.ru/account/1080297581/", 1080297581)</f>
        <v>1080297581</v>
      </c>
      <c r="D6684" t="s">
        <v>5514</v>
      </c>
      <c r="E6684">
        <v>-6872.96</v>
      </c>
      <c r="F6684">
        <v>-1.1000000000000001</v>
      </c>
      <c r="G6684" t="s">
        <v>12</v>
      </c>
      <c r="I6684" t="s">
        <v>1050</v>
      </c>
    </row>
    <row r="6685" spans="1:9" hidden="1" x14ac:dyDescent="0.25">
      <c r="A6685" t="s">
        <v>5469</v>
      </c>
      <c r="B6685" t="s">
        <v>120</v>
      </c>
      <c r="C6685" s="2">
        <f>HYPERLINK("https://cao.dolgi.msk.ru/account/1080297602/", 1080297602)</f>
        <v>1080297602</v>
      </c>
      <c r="D6685" t="s">
        <v>5515</v>
      </c>
      <c r="E6685">
        <v>-5580.55</v>
      </c>
      <c r="F6685">
        <v>-1.1200000000000001</v>
      </c>
      <c r="G6685" t="s">
        <v>12</v>
      </c>
      <c r="I6685" t="s">
        <v>1050</v>
      </c>
    </row>
    <row r="6686" spans="1:9" hidden="1" x14ac:dyDescent="0.25">
      <c r="A6686" t="s">
        <v>5469</v>
      </c>
      <c r="B6686" t="s">
        <v>122</v>
      </c>
      <c r="C6686" s="2">
        <f>HYPERLINK("https://cao.dolgi.msk.ru/account/1080297629/", 1080297629)</f>
        <v>1080297629</v>
      </c>
      <c r="D6686" t="s">
        <v>5516</v>
      </c>
      <c r="E6686">
        <v>-21100.07</v>
      </c>
      <c r="F6686">
        <v>-3.44</v>
      </c>
      <c r="G6686" t="s">
        <v>12</v>
      </c>
      <c r="I6686" t="s">
        <v>1050</v>
      </c>
    </row>
    <row r="6687" spans="1:9" hidden="1" x14ac:dyDescent="0.25">
      <c r="A6687" t="s">
        <v>5469</v>
      </c>
      <c r="B6687" t="s">
        <v>124</v>
      </c>
      <c r="C6687" s="2">
        <f>HYPERLINK("https://cao.dolgi.msk.ru/account/1080297637/", 1080297637)</f>
        <v>1080297637</v>
      </c>
      <c r="D6687" t="s">
        <v>15</v>
      </c>
      <c r="E6687">
        <v>-5181.87</v>
      </c>
      <c r="F6687">
        <v>-1.1399999999999999</v>
      </c>
      <c r="G6687" t="s">
        <v>12</v>
      </c>
      <c r="I6687" t="s">
        <v>1050</v>
      </c>
    </row>
    <row r="6688" spans="1:9" hidden="1" x14ac:dyDescent="0.25">
      <c r="A6688" t="s">
        <v>5469</v>
      </c>
      <c r="B6688" t="s">
        <v>126</v>
      </c>
      <c r="C6688" s="2">
        <f>HYPERLINK("https://cao.dolgi.msk.ru/account/1080297645/", 1080297645)</f>
        <v>1080297645</v>
      </c>
      <c r="D6688" t="s">
        <v>5517</v>
      </c>
      <c r="E6688">
        <v>-1487.46</v>
      </c>
      <c r="F6688">
        <v>-0.37</v>
      </c>
      <c r="G6688" t="s">
        <v>12</v>
      </c>
      <c r="I6688" t="s">
        <v>1050</v>
      </c>
    </row>
    <row r="6689" spans="1:9" hidden="1" x14ac:dyDescent="0.25">
      <c r="A6689" t="s">
        <v>5469</v>
      </c>
      <c r="B6689" t="s">
        <v>128</v>
      </c>
      <c r="C6689" s="2">
        <f>HYPERLINK("https://cao.dolgi.msk.ru/account/1080297653/", 1080297653)</f>
        <v>1080297653</v>
      </c>
      <c r="D6689" t="s">
        <v>5518</v>
      </c>
      <c r="E6689">
        <v>-3019.2</v>
      </c>
      <c r="F6689">
        <v>-1.43</v>
      </c>
      <c r="G6689" t="s">
        <v>12</v>
      </c>
      <c r="I6689" t="s">
        <v>1050</v>
      </c>
    </row>
    <row r="6690" spans="1:9" hidden="1" x14ac:dyDescent="0.25">
      <c r="A6690" t="s">
        <v>5469</v>
      </c>
      <c r="B6690" t="s">
        <v>130</v>
      </c>
      <c r="C6690" s="2">
        <f>HYPERLINK("https://cao.dolgi.msk.ru/account/1080297661/", 1080297661)</f>
        <v>1080297661</v>
      </c>
      <c r="D6690" t="s">
        <v>5519</v>
      </c>
      <c r="E6690">
        <v>-2876.54</v>
      </c>
      <c r="F6690">
        <v>-1.1100000000000001</v>
      </c>
      <c r="G6690" t="s">
        <v>12</v>
      </c>
      <c r="I6690" t="s">
        <v>1050</v>
      </c>
    </row>
    <row r="6691" spans="1:9" hidden="1" x14ac:dyDescent="0.25">
      <c r="A6691" t="s">
        <v>5469</v>
      </c>
      <c r="B6691" t="s">
        <v>132</v>
      </c>
      <c r="C6691" s="2">
        <f>HYPERLINK("https://cao.dolgi.msk.ru/account/1080297688/", 1080297688)</f>
        <v>1080297688</v>
      </c>
      <c r="D6691" t="s">
        <v>5520</v>
      </c>
      <c r="E6691">
        <v>24.22</v>
      </c>
      <c r="G6691" t="s">
        <v>14</v>
      </c>
      <c r="I6691" t="s">
        <v>1050</v>
      </c>
    </row>
    <row r="6692" spans="1:9" hidden="1" x14ac:dyDescent="0.25">
      <c r="A6692" t="s">
        <v>5469</v>
      </c>
      <c r="B6692" t="s">
        <v>132</v>
      </c>
      <c r="C6692" s="2">
        <f>HYPERLINK("https://cao.dolgi.msk.ru/account/1080297696/", 1080297696)</f>
        <v>1080297696</v>
      </c>
      <c r="D6692" t="s">
        <v>5520</v>
      </c>
      <c r="E6692">
        <v>0</v>
      </c>
      <c r="F6692">
        <v>0</v>
      </c>
      <c r="G6692" t="s">
        <v>12</v>
      </c>
      <c r="I6692" t="s">
        <v>1050</v>
      </c>
    </row>
    <row r="6693" spans="1:9" hidden="1" x14ac:dyDescent="0.25">
      <c r="A6693" t="s">
        <v>5469</v>
      </c>
      <c r="B6693" t="s">
        <v>133</v>
      </c>
      <c r="C6693" s="2">
        <f>HYPERLINK("https://cao.dolgi.msk.ru/account/1080297709/", 1080297709)</f>
        <v>1080297709</v>
      </c>
      <c r="D6693" t="s">
        <v>5521</v>
      </c>
      <c r="E6693">
        <v>-5959.81</v>
      </c>
      <c r="F6693">
        <v>-1.24</v>
      </c>
      <c r="G6693" t="s">
        <v>12</v>
      </c>
      <c r="I6693" t="s">
        <v>1050</v>
      </c>
    </row>
    <row r="6694" spans="1:9" hidden="1" x14ac:dyDescent="0.25">
      <c r="A6694" t="s">
        <v>5469</v>
      </c>
      <c r="B6694" t="s">
        <v>135</v>
      </c>
      <c r="C6694" s="2">
        <f>HYPERLINK("https://cao.dolgi.msk.ru/account/1080297717/", 1080297717)</f>
        <v>1080297717</v>
      </c>
      <c r="D6694" t="s">
        <v>5522</v>
      </c>
      <c r="E6694">
        <v>-6339.06</v>
      </c>
      <c r="F6694">
        <v>-1.07</v>
      </c>
      <c r="G6694" t="s">
        <v>12</v>
      </c>
      <c r="I6694" t="s">
        <v>1050</v>
      </c>
    </row>
    <row r="6695" spans="1:9" hidden="1" x14ac:dyDescent="0.25">
      <c r="A6695" t="s">
        <v>5469</v>
      </c>
      <c r="B6695" t="s">
        <v>137</v>
      </c>
      <c r="C6695" s="2">
        <f>HYPERLINK("https://cao.dolgi.msk.ru/account/1080297047/", 1080297047)</f>
        <v>1080297047</v>
      </c>
      <c r="D6695" t="s">
        <v>5523</v>
      </c>
      <c r="E6695">
        <v>-6916.55</v>
      </c>
      <c r="F6695">
        <v>-1.1200000000000001</v>
      </c>
      <c r="G6695" t="s">
        <v>12</v>
      </c>
      <c r="I6695" t="s">
        <v>1050</v>
      </c>
    </row>
    <row r="6696" spans="1:9" hidden="1" x14ac:dyDescent="0.25">
      <c r="A6696" t="s">
        <v>5469</v>
      </c>
      <c r="B6696" t="s">
        <v>139</v>
      </c>
      <c r="C6696" s="2">
        <f>HYPERLINK("https://cao.dolgi.msk.ru/account/1080297725/", 1080297725)</f>
        <v>1080297725</v>
      </c>
      <c r="D6696" t="s">
        <v>5524</v>
      </c>
      <c r="E6696">
        <v>4.7699999999999996</v>
      </c>
      <c r="F6696">
        <v>0</v>
      </c>
      <c r="G6696" t="s">
        <v>12</v>
      </c>
      <c r="I6696" t="s">
        <v>1050</v>
      </c>
    </row>
    <row r="6697" spans="1:9" hidden="1" x14ac:dyDescent="0.25">
      <c r="A6697" t="s">
        <v>5469</v>
      </c>
      <c r="B6697" t="s">
        <v>141</v>
      </c>
      <c r="C6697" s="2">
        <f>HYPERLINK("https://cao.dolgi.msk.ru/account/1080297733/", 1080297733)</f>
        <v>1080297733</v>
      </c>
      <c r="D6697" t="s">
        <v>5525</v>
      </c>
      <c r="E6697">
        <v>0</v>
      </c>
      <c r="F6697">
        <v>0</v>
      </c>
      <c r="G6697" t="s">
        <v>12</v>
      </c>
      <c r="I6697" t="s">
        <v>1050</v>
      </c>
    </row>
    <row r="6698" spans="1:9" hidden="1" x14ac:dyDescent="0.25">
      <c r="A6698" t="s">
        <v>5469</v>
      </c>
      <c r="B6698" t="s">
        <v>143</v>
      </c>
      <c r="C6698" s="2">
        <f>HYPERLINK("https://cao.dolgi.msk.ru/account/1080297741/", 1080297741)</f>
        <v>1080297741</v>
      </c>
      <c r="D6698" t="s">
        <v>5526</v>
      </c>
      <c r="E6698">
        <v>-5991.62</v>
      </c>
      <c r="F6698">
        <v>-1.0900000000000001</v>
      </c>
      <c r="G6698" t="s">
        <v>12</v>
      </c>
      <c r="I6698" t="s">
        <v>1050</v>
      </c>
    </row>
    <row r="6699" spans="1:9" hidden="1" x14ac:dyDescent="0.25">
      <c r="A6699" t="s">
        <v>5469</v>
      </c>
      <c r="B6699" t="s">
        <v>145</v>
      </c>
      <c r="C6699" s="2">
        <f>HYPERLINK("https://cao.dolgi.msk.ru/account/1080297768/", 1080297768)</f>
        <v>1080297768</v>
      </c>
      <c r="D6699" t="s">
        <v>5527</v>
      </c>
      <c r="E6699">
        <v>-4242.16</v>
      </c>
      <c r="F6699">
        <v>-0.91</v>
      </c>
      <c r="G6699" t="s">
        <v>12</v>
      </c>
      <c r="I6699" t="s">
        <v>1050</v>
      </c>
    </row>
    <row r="6700" spans="1:9" x14ac:dyDescent="0.25">
      <c r="A6700" t="s">
        <v>5469</v>
      </c>
      <c r="B6700" t="s">
        <v>147</v>
      </c>
      <c r="C6700" s="2">
        <f>HYPERLINK("https://cao.dolgi.msk.ru/account/1080297776/", 1080297776)</f>
        <v>1080297776</v>
      </c>
      <c r="D6700" t="s">
        <v>5528</v>
      </c>
      <c r="E6700">
        <v>5310.53</v>
      </c>
      <c r="F6700">
        <v>1.47</v>
      </c>
      <c r="G6700" t="s">
        <v>12</v>
      </c>
      <c r="I6700" t="s">
        <v>1050</v>
      </c>
    </row>
    <row r="6701" spans="1:9" hidden="1" x14ac:dyDescent="0.25">
      <c r="A6701" t="s">
        <v>5469</v>
      </c>
      <c r="B6701" t="s">
        <v>149</v>
      </c>
      <c r="C6701" s="2">
        <f>HYPERLINK("https://cao.dolgi.msk.ru/account/1080297784/", 1080297784)</f>
        <v>1080297784</v>
      </c>
      <c r="D6701" t="s">
        <v>5529</v>
      </c>
      <c r="E6701">
        <v>-59.6</v>
      </c>
      <c r="F6701">
        <v>-0.01</v>
      </c>
      <c r="G6701" t="s">
        <v>12</v>
      </c>
      <c r="I6701" t="s">
        <v>1050</v>
      </c>
    </row>
    <row r="6702" spans="1:9" hidden="1" x14ac:dyDescent="0.25">
      <c r="A6702" t="s">
        <v>5469</v>
      </c>
      <c r="B6702" t="s">
        <v>153</v>
      </c>
      <c r="C6702" s="2">
        <f>HYPERLINK("https://cao.dolgi.msk.ru/account/1080297805/", 1080297805)</f>
        <v>1080297805</v>
      </c>
      <c r="D6702" t="s">
        <v>5530</v>
      </c>
      <c r="E6702">
        <v>-3994.48</v>
      </c>
      <c r="F6702">
        <v>-1.0900000000000001</v>
      </c>
      <c r="G6702" t="s">
        <v>12</v>
      </c>
      <c r="I6702" t="s">
        <v>1050</v>
      </c>
    </row>
    <row r="6703" spans="1:9" x14ac:dyDescent="0.25">
      <c r="A6703" t="s">
        <v>5469</v>
      </c>
      <c r="B6703" t="s">
        <v>153</v>
      </c>
      <c r="C6703" s="2">
        <f>HYPERLINK("https://cao.dolgi.msk.ru/account/1083387494/", 1083387494)</f>
        <v>1083387494</v>
      </c>
      <c r="D6703" t="s">
        <v>15</v>
      </c>
      <c r="E6703">
        <v>7360</v>
      </c>
      <c r="F6703">
        <v>2.0099999999999998</v>
      </c>
      <c r="G6703" t="s">
        <v>12</v>
      </c>
      <c r="I6703" t="s">
        <v>1050</v>
      </c>
    </row>
    <row r="6704" spans="1:9" hidden="1" x14ac:dyDescent="0.25">
      <c r="A6704" t="s">
        <v>5469</v>
      </c>
      <c r="B6704" t="s">
        <v>155</v>
      </c>
      <c r="C6704" s="2">
        <f>HYPERLINK("https://cao.dolgi.msk.ru/account/1080297813/", 1080297813)</f>
        <v>1080297813</v>
      </c>
      <c r="D6704" t="s">
        <v>5531</v>
      </c>
      <c r="E6704">
        <v>9451.8799999999992</v>
      </c>
      <c r="F6704">
        <v>0.97</v>
      </c>
      <c r="G6704" t="s">
        <v>12</v>
      </c>
      <c r="I6704" t="s">
        <v>1050</v>
      </c>
    </row>
    <row r="6705" spans="1:9" hidden="1" x14ac:dyDescent="0.25">
      <c r="A6705" t="s">
        <v>5469</v>
      </c>
      <c r="B6705" t="s">
        <v>157</v>
      </c>
      <c r="C6705" s="2">
        <f>HYPERLINK("https://cao.dolgi.msk.ru/account/1080297821/", 1080297821)</f>
        <v>1080297821</v>
      </c>
      <c r="D6705" t="s">
        <v>5532</v>
      </c>
      <c r="E6705">
        <v>-13649.83</v>
      </c>
      <c r="F6705">
        <v>-2.35</v>
      </c>
      <c r="G6705" t="s">
        <v>12</v>
      </c>
      <c r="I6705" t="s">
        <v>1050</v>
      </c>
    </row>
    <row r="6706" spans="1:9" hidden="1" x14ac:dyDescent="0.25">
      <c r="A6706" t="s">
        <v>5469</v>
      </c>
      <c r="B6706" t="s">
        <v>159</v>
      </c>
      <c r="C6706" s="2">
        <f>HYPERLINK("https://cao.dolgi.msk.ru/account/1080297848/", 1080297848)</f>
        <v>1080297848</v>
      </c>
      <c r="D6706" t="s">
        <v>5533</v>
      </c>
      <c r="E6706">
        <v>-6061.87</v>
      </c>
      <c r="F6706">
        <v>-1.1299999999999999</v>
      </c>
      <c r="G6706" t="s">
        <v>12</v>
      </c>
      <c r="I6706" t="s">
        <v>1050</v>
      </c>
    </row>
    <row r="6707" spans="1:9" hidden="1" x14ac:dyDescent="0.25">
      <c r="A6707" t="s">
        <v>5469</v>
      </c>
      <c r="B6707" t="s">
        <v>161</v>
      </c>
      <c r="C6707" s="2">
        <f>HYPERLINK("https://cao.dolgi.msk.ru/account/1080297856/", 1080297856)</f>
        <v>1080297856</v>
      </c>
      <c r="D6707" t="s">
        <v>5534</v>
      </c>
      <c r="E6707">
        <v>-3745.86</v>
      </c>
      <c r="F6707">
        <v>-1.22</v>
      </c>
      <c r="G6707" t="s">
        <v>12</v>
      </c>
      <c r="I6707" t="s">
        <v>1050</v>
      </c>
    </row>
    <row r="6708" spans="1:9" hidden="1" x14ac:dyDescent="0.25">
      <c r="A6708" t="s">
        <v>5469</v>
      </c>
      <c r="B6708" t="s">
        <v>163</v>
      </c>
      <c r="C6708" s="2">
        <f>HYPERLINK("https://cao.dolgi.msk.ru/account/1080297864/", 1080297864)</f>
        <v>1080297864</v>
      </c>
      <c r="D6708" t="s">
        <v>5535</v>
      </c>
      <c r="E6708">
        <v>4289.03</v>
      </c>
      <c r="F6708">
        <v>0.73</v>
      </c>
      <c r="G6708" t="s">
        <v>12</v>
      </c>
      <c r="I6708" t="s">
        <v>1050</v>
      </c>
    </row>
    <row r="6709" spans="1:9" hidden="1" x14ac:dyDescent="0.25">
      <c r="A6709" t="s">
        <v>5469</v>
      </c>
      <c r="B6709" t="s">
        <v>571</v>
      </c>
      <c r="C6709" s="2">
        <f>HYPERLINK("https://cao.dolgi.msk.ru/account/1080297872/", 1080297872)</f>
        <v>1080297872</v>
      </c>
      <c r="D6709" t="s">
        <v>5536</v>
      </c>
      <c r="E6709">
        <v>-8655.83</v>
      </c>
      <c r="F6709">
        <v>-1.08</v>
      </c>
      <c r="G6709" t="s">
        <v>12</v>
      </c>
      <c r="I6709" t="s">
        <v>1050</v>
      </c>
    </row>
    <row r="6710" spans="1:9" hidden="1" x14ac:dyDescent="0.25">
      <c r="A6710" t="s">
        <v>5469</v>
      </c>
      <c r="B6710" t="s">
        <v>682</v>
      </c>
      <c r="C6710" s="2">
        <f>HYPERLINK("https://cao.dolgi.msk.ru/account/1080297899/", 1080297899)</f>
        <v>1080297899</v>
      </c>
      <c r="D6710" t="s">
        <v>5537</v>
      </c>
      <c r="E6710">
        <v>-2653.12</v>
      </c>
      <c r="F6710">
        <v>-1.07</v>
      </c>
      <c r="G6710" t="s">
        <v>12</v>
      </c>
      <c r="I6710" t="s">
        <v>1050</v>
      </c>
    </row>
    <row r="6711" spans="1:9" hidden="1" x14ac:dyDescent="0.25">
      <c r="A6711" t="s">
        <v>5469</v>
      </c>
      <c r="B6711" t="s">
        <v>578</v>
      </c>
      <c r="C6711" s="2">
        <f>HYPERLINK("https://cao.dolgi.msk.ru/account/1080297901/", 1080297901)</f>
        <v>1080297901</v>
      </c>
      <c r="D6711" t="s">
        <v>5538</v>
      </c>
      <c r="E6711">
        <v>-5852.49</v>
      </c>
      <c r="F6711">
        <v>-0.9</v>
      </c>
      <c r="G6711" t="s">
        <v>12</v>
      </c>
      <c r="I6711" t="s">
        <v>1050</v>
      </c>
    </row>
    <row r="6712" spans="1:9" hidden="1" x14ac:dyDescent="0.25">
      <c r="A6712" t="s">
        <v>5469</v>
      </c>
      <c r="B6712" t="s">
        <v>580</v>
      </c>
      <c r="C6712" s="2">
        <f>HYPERLINK("https://cao.dolgi.msk.ru/account/1080297928/", 1080297928)</f>
        <v>1080297928</v>
      </c>
      <c r="D6712" t="s">
        <v>5539</v>
      </c>
      <c r="E6712">
        <v>5865.78</v>
      </c>
      <c r="F6712">
        <v>1</v>
      </c>
      <c r="G6712" t="s">
        <v>12</v>
      </c>
      <c r="I6712" t="s">
        <v>1050</v>
      </c>
    </row>
    <row r="6713" spans="1:9" hidden="1" x14ac:dyDescent="0.25">
      <c r="A6713" t="s">
        <v>5469</v>
      </c>
      <c r="B6713" t="s">
        <v>686</v>
      </c>
      <c r="C6713" s="2">
        <f>HYPERLINK("https://cao.dolgi.msk.ru/account/1080297936/", 1080297936)</f>
        <v>1080297936</v>
      </c>
      <c r="D6713" t="s">
        <v>5540</v>
      </c>
      <c r="E6713">
        <v>-4890.3</v>
      </c>
      <c r="F6713">
        <v>-1.1200000000000001</v>
      </c>
      <c r="G6713" t="s">
        <v>12</v>
      </c>
      <c r="H6713" t="s">
        <v>7</v>
      </c>
      <c r="I6713" t="s">
        <v>1050</v>
      </c>
    </row>
    <row r="6714" spans="1:9" hidden="1" x14ac:dyDescent="0.25">
      <c r="A6714" t="s">
        <v>5469</v>
      </c>
      <c r="B6714" t="s">
        <v>686</v>
      </c>
      <c r="C6714" s="2">
        <f>HYPERLINK("https://cao.dolgi.msk.ru/account/1080297944/", 1080297944)</f>
        <v>1080297944</v>
      </c>
      <c r="D6714" t="s">
        <v>5540</v>
      </c>
      <c r="E6714">
        <v>-2616.5300000000002</v>
      </c>
      <c r="F6714">
        <v>-1.19</v>
      </c>
      <c r="G6714" t="s">
        <v>12</v>
      </c>
      <c r="H6714" t="s">
        <v>7</v>
      </c>
      <c r="I6714" t="s">
        <v>1050</v>
      </c>
    </row>
    <row r="6715" spans="1:9" hidden="1" x14ac:dyDescent="0.25">
      <c r="A6715" t="s">
        <v>5469</v>
      </c>
      <c r="B6715" t="s">
        <v>582</v>
      </c>
      <c r="C6715" s="2">
        <f>HYPERLINK("https://cao.dolgi.msk.ru/account/1080297952/", 1080297952)</f>
        <v>1080297952</v>
      </c>
      <c r="D6715" t="s">
        <v>5541</v>
      </c>
      <c r="E6715">
        <v>-5518.73</v>
      </c>
      <c r="F6715">
        <v>-1.1399999999999999</v>
      </c>
      <c r="G6715" t="s">
        <v>12</v>
      </c>
      <c r="I6715" t="s">
        <v>1050</v>
      </c>
    </row>
    <row r="6716" spans="1:9" hidden="1" x14ac:dyDescent="0.25">
      <c r="A6716" t="s">
        <v>5469</v>
      </c>
      <c r="B6716" t="s">
        <v>584</v>
      </c>
      <c r="C6716" s="2">
        <f>HYPERLINK("https://cao.dolgi.msk.ru/account/1080297979/", 1080297979)</f>
        <v>1080297979</v>
      </c>
      <c r="D6716" t="s">
        <v>5542</v>
      </c>
      <c r="E6716">
        <v>-4341.18</v>
      </c>
      <c r="F6716">
        <v>-0.92</v>
      </c>
      <c r="G6716" t="s">
        <v>12</v>
      </c>
      <c r="I6716" t="s">
        <v>1050</v>
      </c>
    </row>
    <row r="6717" spans="1:9" hidden="1" x14ac:dyDescent="0.25">
      <c r="A6717" t="s">
        <v>5469</v>
      </c>
      <c r="B6717" t="s">
        <v>586</v>
      </c>
      <c r="C6717" s="2">
        <f>HYPERLINK("https://cao.dolgi.msk.ru/account/1080297987/", 1080297987)</f>
        <v>1080297987</v>
      </c>
      <c r="D6717" t="s">
        <v>5543</v>
      </c>
      <c r="E6717">
        <v>-6931.91</v>
      </c>
      <c r="F6717">
        <v>-1.1599999999999999</v>
      </c>
      <c r="G6717" t="s">
        <v>12</v>
      </c>
      <c r="I6717" t="s">
        <v>1050</v>
      </c>
    </row>
    <row r="6718" spans="1:9" hidden="1" x14ac:dyDescent="0.25">
      <c r="A6718" t="s">
        <v>5469</v>
      </c>
      <c r="B6718" t="s">
        <v>588</v>
      </c>
      <c r="C6718" s="2">
        <f>HYPERLINK("https://cao.dolgi.msk.ru/account/1080297995/", 1080297995)</f>
        <v>1080297995</v>
      </c>
      <c r="D6718" t="s">
        <v>5544</v>
      </c>
      <c r="E6718">
        <v>-4378.8599999999997</v>
      </c>
      <c r="F6718">
        <v>-1.1000000000000001</v>
      </c>
      <c r="G6718" t="s">
        <v>12</v>
      </c>
      <c r="I6718" t="s">
        <v>1050</v>
      </c>
    </row>
    <row r="6719" spans="1:9" hidden="1" x14ac:dyDescent="0.25">
      <c r="A6719" t="s">
        <v>5469</v>
      </c>
      <c r="B6719" t="s">
        <v>590</v>
      </c>
      <c r="C6719" s="2">
        <f>HYPERLINK("https://cao.dolgi.msk.ru/account/1080298007/", 1080298007)</f>
        <v>1080298007</v>
      </c>
      <c r="D6719" t="s">
        <v>5545</v>
      </c>
      <c r="E6719">
        <v>-5986.33</v>
      </c>
      <c r="F6719">
        <v>-1.1100000000000001</v>
      </c>
      <c r="G6719" t="s">
        <v>12</v>
      </c>
      <c r="I6719" t="s">
        <v>1050</v>
      </c>
    </row>
    <row r="6720" spans="1:9" hidden="1" x14ac:dyDescent="0.25">
      <c r="A6720" t="s">
        <v>5469</v>
      </c>
      <c r="B6720" t="s">
        <v>693</v>
      </c>
      <c r="C6720" s="2">
        <f>HYPERLINK("https://cao.dolgi.msk.ru/account/1080298015/", 1080298015)</f>
        <v>1080298015</v>
      </c>
      <c r="D6720" t="s">
        <v>5546</v>
      </c>
      <c r="E6720">
        <v>0</v>
      </c>
      <c r="F6720">
        <v>0</v>
      </c>
      <c r="G6720" t="s">
        <v>12</v>
      </c>
      <c r="I6720" t="s">
        <v>1050</v>
      </c>
    </row>
    <row r="6721" spans="1:9" hidden="1" x14ac:dyDescent="0.25">
      <c r="A6721" t="s">
        <v>5469</v>
      </c>
      <c r="B6721" t="s">
        <v>694</v>
      </c>
      <c r="C6721" s="2">
        <f>HYPERLINK("https://cao.dolgi.msk.ru/account/1080298023/", 1080298023)</f>
        <v>1080298023</v>
      </c>
      <c r="D6721" t="s">
        <v>5547</v>
      </c>
      <c r="E6721">
        <v>-10600.32</v>
      </c>
      <c r="F6721">
        <v>-1.36</v>
      </c>
      <c r="G6721" t="s">
        <v>12</v>
      </c>
      <c r="I6721" t="s">
        <v>1050</v>
      </c>
    </row>
    <row r="6722" spans="1:9" hidden="1" x14ac:dyDescent="0.25">
      <c r="A6722" t="s">
        <v>5469</v>
      </c>
      <c r="B6722" t="s">
        <v>696</v>
      </c>
      <c r="C6722" s="2">
        <f>HYPERLINK("https://cao.dolgi.msk.ru/account/1080298058/", 1080298058)</f>
        <v>1080298058</v>
      </c>
      <c r="D6722" t="s">
        <v>5548</v>
      </c>
      <c r="E6722">
        <v>-13913.63</v>
      </c>
      <c r="F6722">
        <v>-2.52</v>
      </c>
      <c r="G6722" t="s">
        <v>12</v>
      </c>
      <c r="I6722" t="s">
        <v>1050</v>
      </c>
    </row>
    <row r="6723" spans="1:9" hidden="1" x14ac:dyDescent="0.25">
      <c r="A6723" t="s">
        <v>5469</v>
      </c>
      <c r="B6723" t="s">
        <v>698</v>
      </c>
      <c r="C6723" s="2">
        <f>HYPERLINK("https://cao.dolgi.msk.ru/account/1080298066/", 1080298066)</f>
        <v>1080298066</v>
      </c>
      <c r="D6723" t="s">
        <v>5549</v>
      </c>
      <c r="E6723">
        <v>-6202.86</v>
      </c>
      <c r="F6723">
        <v>-1.1200000000000001</v>
      </c>
      <c r="G6723" t="s">
        <v>12</v>
      </c>
      <c r="I6723" t="s">
        <v>1050</v>
      </c>
    </row>
    <row r="6724" spans="1:9" hidden="1" x14ac:dyDescent="0.25">
      <c r="A6724" t="s">
        <v>5469</v>
      </c>
      <c r="B6724" t="s">
        <v>700</v>
      </c>
      <c r="C6724" s="2">
        <f>HYPERLINK("https://cao.dolgi.msk.ru/account/1080298074/", 1080298074)</f>
        <v>1080298074</v>
      </c>
      <c r="D6724" t="s">
        <v>5550</v>
      </c>
      <c r="E6724">
        <v>-7097.67</v>
      </c>
      <c r="F6724">
        <v>-1.07</v>
      </c>
      <c r="G6724" t="s">
        <v>12</v>
      </c>
      <c r="I6724" t="s">
        <v>1050</v>
      </c>
    </row>
    <row r="6725" spans="1:9" hidden="1" x14ac:dyDescent="0.25">
      <c r="A6725" t="s">
        <v>5469</v>
      </c>
      <c r="B6725" t="s">
        <v>702</v>
      </c>
      <c r="C6725" s="2">
        <f>HYPERLINK("https://cao.dolgi.msk.ru/account/1080298082/", 1080298082)</f>
        <v>1080298082</v>
      </c>
      <c r="D6725" t="s">
        <v>5551</v>
      </c>
      <c r="E6725">
        <v>-7177.67</v>
      </c>
      <c r="F6725">
        <v>-1.08</v>
      </c>
      <c r="G6725" t="s">
        <v>12</v>
      </c>
      <c r="I6725" t="s">
        <v>1050</v>
      </c>
    </row>
    <row r="6726" spans="1:9" hidden="1" x14ac:dyDescent="0.25">
      <c r="A6726" t="s">
        <v>5469</v>
      </c>
      <c r="B6726" t="s">
        <v>703</v>
      </c>
      <c r="C6726" s="2">
        <f>HYPERLINK("https://cao.dolgi.msk.ru/account/1080298103/", 1080298103)</f>
        <v>1080298103</v>
      </c>
      <c r="D6726" t="s">
        <v>5552</v>
      </c>
      <c r="E6726">
        <v>6690.21</v>
      </c>
      <c r="F6726">
        <v>1</v>
      </c>
      <c r="G6726" t="s">
        <v>12</v>
      </c>
      <c r="I6726" t="s">
        <v>1050</v>
      </c>
    </row>
    <row r="6727" spans="1:9" hidden="1" x14ac:dyDescent="0.25">
      <c r="A6727" t="s">
        <v>5469</v>
      </c>
      <c r="B6727" t="s">
        <v>705</v>
      </c>
      <c r="C6727" s="2">
        <f>HYPERLINK("https://cao.dolgi.msk.ru/account/1080298111/", 1080298111)</f>
        <v>1080298111</v>
      </c>
      <c r="D6727" t="s">
        <v>5553</v>
      </c>
      <c r="E6727">
        <v>-4984.3999999999996</v>
      </c>
      <c r="F6727">
        <v>-1.1599999999999999</v>
      </c>
      <c r="G6727" t="s">
        <v>12</v>
      </c>
      <c r="I6727" t="s">
        <v>1050</v>
      </c>
    </row>
    <row r="6728" spans="1:9" hidden="1" x14ac:dyDescent="0.25">
      <c r="A6728" t="s">
        <v>5469</v>
      </c>
      <c r="B6728" t="s">
        <v>707</v>
      </c>
      <c r="C6728" s="2">
        <f>HYPERLINK("https://cao.dolgi.msk.ru/account/1080298138/", 1080298138)</f>
        <v>1080298138</v>
      </c>
      <c r="D6728" t="s">
        <v>5554</v>
      </c>
      <c r="E6728">
        <v>-6311.73</v>
      </c>
      <c r="F6728">
        <v>-1.1200000000000001</v>
      </c>
      <c r="G6728" t="s">
        <v>12</v>
      </c>
      <c r="I6728" t="s">
        <v>1050</v>
      </c>
    </row>
    <row r="6729" spans="1:9" hidden="1" x14ac:dyDescent="0.25">
      <c r="A6729" t="s">
        <v>5469</v>
      </c>
      <c r="B6729" t="s">
        <v>709</v>
      </c>
      <c r="C6729" s="2">
        <f>HYPERLINK("https://cao.dolgi.msk.ru/account/1080298146/", 1080298146)</f>
        <v>1080298146</v>
      </c>
      <c r="D6729" t="s">
        <v>5555</v>
      </c>
      <c r="E6729">
        <v>-4517.88</v>
      </c>
      <c r="F6729">
        <v>-1.1000000000000001</v>
      </c>
      <c r="G6729" t="s">
        <v>12</v>
      </c>
      <c r="I6729" t="s">
        <v>1050</v>
      </c>
    </row>
    <row r="6730" spans="1:9" hidden="1" x14ac:dyDescent="0.25">
      <c r="A6730" t="s">
        <v>5469</v>
      </c>
      <c r="B6730" t="s">
        <v>711</v>
      </c>
      <c r="C6730" s="2">
        <f>HYPERLINK("https://cao.dolgi.msk.ru/account/1080298154/", 1080298154)</f>
        <v>1080298154</v>
      </c>
      <c r="D6730" t="s">
        <v>5556</v>
      </c>
      <c r="E6730">
        <v>0.83</v>
      </c>
      <c r="F6730">
        <v>0</v>
      </c>
      <c r="G6730" t="s">
        <v>12</v>
      </c>
      <c r="I6730" t="s">
        <v>1050</v>
      </c>
    </row>
    <row r="6731" spans="1:9" hidden="1" x14ac:dyDescent="0.25">
      <c r="A6731" t="s">
        <v>5469</v>
      </c>
      <c r="B6731" t="s">
        <v>713</v>
      </c>
      <c r="C6731" s="2">
        <f>HYPERLINK("https://cao.dolgi.msk.ru/account/1080298162/", 1080298162)</f>
        <v>1080298162</v>
      </c>
      <c r="D6731" t="s">
        <v>5557</v>
      </c>
      <c r="E6731">
        <v>-6225.41</v>
      </c>
      <c r="F6731">
        <v>-1.1200000000000001</v>
      </c>
      <c r="G6731" t="s">
        <v>12</v>
      </c>
      <c r="I6731" t="s">
        <v>1050</v>
      </c>
    </row>
    <row r="6732" spans="1:9" hidden="1" x14ac:dyDescent="0.25">
      <c r="A6732" t="s">
        <v>5469</v>
      </c>
      <c r="B6732" t="s">
        <v>528</v>
      </c>
      <c r="C6732" s="2">
        <f>HYPERLINK("https://cao.dolgi.msk.ru/account/1080298189/", 1080298189)</f>
        <v>1080298189</v>
      </c>
      <c r="D6732" t="s">
        <v>5558</v>
      </c>
      <c r="E6732">
        <v>-8328.15</v>
      </c>
      <c r="F6732">
        <v>-1.1100000000000001</v>
      </c>
      <c r="G6732" t="s">
        <v>12</v>
      </c>
      <c r="I6732" t="s">
        <v>1050</v>
      </c>
    </row>
    <row r="6733" spans="1:9" hidden="1" x14ac:dyDescent="0.25">
      <c r="A6733" t="s">
        <v>5469</v>
      </c>
      <c r="B6733" t="s">
        <v>530</v>
      </c>
      <c r="C6733" s="2">
        <f>HYPERLINK("https://cao.dolgi.msk.ru/account/1080298197/", 1080298197)</f>
        <v>1080298197</v>
      </c>
      <c r="D6733" t="s">
        <v>5559</v>
      </c>
      <c r="E6733">
        <v>-6096.74</v>
      </c>
      <c r="F6733">
        <v>-1.04</v>
      </c>
      <c r="G6733" t="s">
        <v>12</v>
      </c>
      <c r="I6733" t="s">
        <v>1050</v>
      </c>
    </row>
    <row r="6734" spans="1:9" hidden="1" x14ac:dyDescent="0.25">
      <c r="A6734" t="s">
        <v>5469</v>
      </c>
      <c r="B6734" t="s">
        <v>530</v>
      </c>
      <c r="C6734" s="2">
        <f>HYPERLINK("https://cao.dolgi.msk.ru/account/1080298218/", 1080298218)</f>
        <v>1080298218</v>
      </c>
      <c r="D6734" t="s">
        <v>15</v>
      </c>
      <c r="E6734">
        <v>0</v>
      </c>
      <c r="F6734">
        <v>0</v>
      </c>
      <c r="G6734" t="s">
        <v>14</v>
      </c>
      <c r="I6734" t="s">
        <v>1050</v>
      </c>
    </row>
    <row r="6735" spans="1:9" hidden="1" x14ac:dyDescent="0.25">
      <c r="A6735" t="s">
        <v>5469</v>
      </c>
      <c r="B6735" t="s">
        <v>530</v>
      </c>
      <c r="C6735" s="2">
        <f>HYPERLINK("https://cao.dolgi.msk.ru/account/1080298226/", 1080298226)</f>
        <v>1080298226</v>
      </c>
      <c r="D6735" t="s">
        <v>15</v>
      </c>
      <c r="E6735">
        <v>0</v>
      </c>
      <c r="F6735">
        <v>0</v>
      </c>
      <c r="G6735" t="s">
        <v>14</v>
      </c>
      <c r="I6735" t="s">
        <v>1050</v>
      </c>
    </row>
    <row r="6736" spans="1:9" hidden="1" x14ac:dyDescent="0.25">
      <c r="A6736" t="s">
        <v>5469</v>
      </c>
      <c r="B6736" t="s">
        <v>532</v>
      </c>
      <c r="C6736" s="2">
        <f>HYPERLINK("https://cao.dolgi.msk.ru/account/1080298234/", 1080298234)</f>
        <v>1080298234</v>
      </c>
      <c r="D6736" t="s">
        <v>5560</v>
      </c>
      <c r="E6736">
        <v>-5684.83</v>
      </c>
      <c r="F6736">
        <v>-1.1499999999999999</v>
      </c>
      <c r="G6736" t="s">
        <v>12</v>
      </c>
      <c r="I6736" t="s">
        <v>1050</v>
      </c>
    </row>
    <row r="6737" spans="1:9" hidden="1" x14ac:dyDescent="0.25">
      <c r="A6737" t="s">
        <v>5469</v>
      </c>
      <c r="B6737" t="s">
        <v>534</v>
      </c>
      <c r="C6737" s="2">
        <f>HYPERLINK("https://cao.dolgi.msk.ru/account/1080298242/", 1080298242)</f>
        <v>1080298242</v>
      </c>
      <c r="D6737" t="s">
        <v>5561</v>
      </c>
      <c r="E6737">
        <v>-4357.83</v>
      </c>
      <c r="F6737">
        <v>-1.0900000000000001</v>
      </c>
      <c r="G6737" t="s">
        <v>12</v>
      </c>
      <c r="I6737" t="s">
        <v>1050</v>
      </c>
    </row>
    <row r="6738" spans="1:9" hidden="1" x14ac:dyDescent="0.25">
      <c r="A6738" t="s">
        <v>5469</v>
      </c>
      <c r="B6738" t="s">
        <v>536</v>
      </c>
      <c r="C6738" s="2">
        <f>HYPERLINK("https://cao.dolgi.msk.ru/account/1080298269/", 1080298269)</f>
        <v>1080298269</v>
      </c>
      <c r="D6738" t="s">
        <v>5562</v>
      </c>
      <c r="E6738">
        <v>-4502.6499999999996</v>
      </c>
      <c r="F6738">
        <v>-1.17</v>
      </c>
      <c r="G6738" t="s">
        <v>12</v>
      </c>
      <c r="I6738" t="s">
        <v>1050</v>
      </c>
    </row>
    <row r="6739" spans="1:9" hidden="1" x14ac:dyDescent="0.25">
      <c r="A6739" t="s">
        <v>5469</v>
      </c>
      <c r="B6739" t="s">
        <v>538</v>
      </c>
      <c r="C6739" s="2">
        <f>HYPERLINK("https://cao.dolgi.msk.ru/account/1080298277/", 1080298277)</f>
        <v>1080298277</v>
      </c>
      <c r="D6739" t="s">
        <v>5563</v>
      </c>
      <c r="E6739">
        <v>5117.12</v>
      </c>
      <c r="F6739">
        <v>0.94</v>
      </c>
      <c r="G6739" t="s">
        <v>12</v>
      </c>
      <c r="I6739" t="s">
        <v>1050</v>
      </c>
    </row>
    <row r="6740" spans="1:9" hidden="1" x14ac:dyDescent="0.25">
      <c r="A6740" t="s">
        <v>5469</v>
      </c>
      <c r="B6740" t="s">
        <v>539</v>
      </c>
      <c r="C6740" s="2">
        <f>HYPERLINK("https://cao.dolgi.msk.ru/account/1080298285/", 1080298285)</f>
        <v>1080298285</v>
      </c>
      <c r="D6740" t="s">
        <v>5564</v>
      </c>
      <c r="E6740">
        <v>-59.6</v>
      </c>
      <c r="F6740">
        <v>-0.01</v>
      </c>
      <c r="G6740" t="s">
        <v>12</v>
      </c>
      <c r="I6740" t="s">
        <v>1050</v>
      </c>
    </row>
    <row r="6741" spans="1:9" hidden="1" x14ac:dyDescent="0.25">
      <c r="A6741" t="s">
        <v>5469</v>
      </c>
      <c r="B6741" t="s">
        <v>541</v>
      </c>
      <c r="C6741" s="2">
        <f>HYPERLINK("https://cao.dolgi.msk.ru/account/1080298293/", 1080298293)</f>
        <v>1080298293</v>
      </c>
      <c r="D6741" t="s">
        <v>5565</v>
      </c>
      <c r="E6741">
        <v>-2687.88</v>
      </c>
      <c r="F6741">
        <v>-0.78</v>
      </c>
      <c r="G6741" t="s">
        <v>12</v>
      </c>
      <c r="I6741" t="s">
        <v>1050</v>
      </c>
    </row>
    <row r="6742" spans="1:9" hidden="1" x14ac:dyDescent="0.25">
      <c r="A6742" t="s">
        <v>5469</v>
      </c>
      <c r="B6742" t="s">
        <v>543</v>
      </c>
      <c r="C6742" s="2">
        <f>HYPERLINK("https://cao.dolgi.msk.ru/account/1080298306/", 1080298306)</f>
        <v>1080298306</v>
      </c>
      <c r="D6742" t="s">
        <v>5566</v>
      </c>
      <c r="E6742">
        <v>-4546.62</v>
      </c>
      <c r="F6742">
        <v>-1.03</v>
      </c>
      <c r="G6742" t="s">
        <v>12</v>
      </c>
      <c r="I6742" t="s">
        <v>1050</v>
      </c>
    </row>
    <row r="6743" spans="1:9" hidden="1" x14ac:dyDescent="0.25">
      <c r="A6743" t="s">
        <v>5469</v>
      </c>
      <c r="B6743" t="s">
        <v>545</v>
      </c>
      <c r="C6743" s="2">
        <f>HYPERLINK("https://cao.dolgi.msk.ru/account/1080298314/", 1080298314)</f>
        <v>1080298314</v>
      </c>
      <c r="D6743" t="s">
        <v>5567</v>
      </c>
      <c r="E6743">
        <v>-5373.83</v>
      </c>
      <c r="F6743">
        <v>-1.21</v>
      </c>
      <c r="G6743" t="s">
        <v>12</v>
      </c>
      <c r="I6743" t="s">
        <v>1050</v>
      </c>
    </row>
    <row r="6744" spans="1:9" hidden="1" x14ac:dyDescent="0.25">
      <c r="A6744" t="s">
        <v>5469</v>
      </c>
      <c r="B6744" t="s">
        <v>546</v>
      </c>
      <c r="C6744" s="2">
        <f>HYPERLINK("https://cao.dolgi.msk.ru/account/1080298322/", 1080298322)</f>
        <v>1080298322</v>
      </c>
      <c r="D6744" t="s">
        <v>15</v>
      </c>
      <c r="E6744">
        <v>-6729.85</v>
      </c>
      <c r="F6744">
        <v>-1.1599999999999999</v>
      </c>
      <c r="G6744" t="s">
        <v>12</v>
      </c>
      <c r="I6744" t="s">
        <v>1050</v>
      </c>
    </row>
    <row r="6745" spans="1:9" hidden="1" x14ac:dyDescent="0.25">
      <c r="A6745" t="s">
        <v>5469</v>
      </c>
      <c r="B6745" t="s">
        <v>546</v>
      </c>
      <c r="C6745" s="2">
        <f>HYPERLINK("https://cao.dolgi.msk.ru/account/1080298349/", 1080298349)</f>
        <v>1080298349</v>
      </c>
      <c r="D6745" t="s">
        <v>5568</v>
      </c>
      <c r="E6745">
        <v>1081.43</v>
      </c>
      <c r="F6745">
        <v>0.66</v>
      </c>
      <c r="G6745" t="s">
        <v>14</v>
      </c>
      <c r="I6745" t="s">
        <v>1050</v>
      </c>
    </row>
    <row r="6746" spans="1:9" hidden="1" x14ac:dyDescent="0.25">
      <c r="A6746" t="s">
        <v>5469</v>
      </c>
      <c r="B6746" t="s">
        <v>546</v>
      </c>
      <c r="C6746" s="2">
        <f>HYPERLINK("https://cao.dolgi.msk.ru/account/1080298357/", 1080298357)</f>
        <v>1080298357</v>
      </c>
      <c r="D6746" t="s">
        <v>5568</v>
      </c>
      <c r="E6746">
        <v>1177.8399999999999</v>
      </c>
      <c r="F6746">
        <v>0.72</v>
      </c>
      <c r="G6746" t="s">
        <v>14</v>
      </c>
      <c r="I6746" t="s">
        <v>1050</v>
      </c>
    </row>
    <row r="6747" spans="1:9" hidden="1" x14ac:dyDescent="0.25">
      <c r="A6747" t="s">
        <v>5469</v>
      </c>
      <c r="B6747" t="s">
        <v>548</v>
      </c>
      <c r="C6747" s="2">
        <f>HYPERLINK("https://cao.dolgi.msk.ru/account/1080298365/", 1080298365)</f>
        <v>1080298365</v>
      </c>
      <c r="D6747" t="s">
        <v>5569</v>
      </c>
      <c r="E6747">
        <v>-6626.56</v>
      </c>
      <c r="F6747">
        <v>-1.1000000000000001</v>
      </c>
      <c r="G6747" t="s">
        <v>12</v>
      </c>
      <c r="I6747" t="s">
        <v>1050</v>
      </c>
    </row>
    <row r="6748" spans="1:9" hidden="1" x14ac:dyDescent="0.25">
      <c r="A6748" t="s">
        <v>5469</v>
      </c>
      <c r="B6748" t="s">
        <v>727</v>
      </c>
      <c r="C6748" s="2">
        <f>HYPERLINK("https://cao.dolgi.msk.ru/account/1080298373/", 1080298373)</f>
        <v>1080298373</v>
      </c>
      <c r="D6748" t="s">
        <v>5570</v>
      </c>
      <c r="E6748">
        <v>-5502.68</v>
      </c>
      <c r="F6748">
        <v>-1.1299999999999999</v>
      </c>
      <c r="G6748" t="s">
        <v>12</v>
      </c>
      <c r="I6748" t="s">
        <v>1050</v>
      </c>
    </row>
    <row r="6749" spans="1:9" hidden="1" x14ac:dyDescent="0.25">
      <c r="A6749" t="s">
        <v>5469</v>
      </c>
      <c r="B6749" t="s">
        <v>551</v>
      </c>
      <c r="C6749" s="2">
        <f>HYPERLINK("https://cao.dolgi.msk.ru/account/1080298381/", 1080298381)</f>
        <v>1080298381</v>
      </c>
      <c r="D6749" t="s">
        <v>5571</v>
      </c>
      <c r="E6749">
        <v>-5395.67</v>
      </c>
      <c r="F6749">
        <v>-1.1200000000000001</v>
      </c>
      <c r="G6749" t="s">
        <v>12</v>
      </c>
      <c r="I6749" t="s">
        <v>1050</v>
      </c>
    </row>
    <row r="6750" spans="1:9" hidden="1" x14ac:dyDescent="0.25">
      <c r="A6750" t="s">
        <v>5469</v>
      </c>
      <c r="B6750" t="s">
        <v>730</v>
      </c>
      <c r="C6750" s="2">
        <f>HYPERLINK("https://cao.dolgi.msk.ru/account/1080298402/", 1080298402)</f>
        <v>1080298402</v>
      </c>
      <c r="D6750" t="s">
        <v>15</v>
      </c>
      <c r="G6750" t="s">
        <v>14</v>
      </c>
      <c r="I6750" t="s">
        <v>1050</v>
      </c>
    </row>
    <row r="6751" spans="1:9" hidden="1" x14ac:dyDescent="0.25">
      <c r="A6751" t="s">
        <v>5469</v>
      </c>
      <c r="B6751" t="s">
        <v>732</v>
      </c>
      <c r="C6751" s="2">
        <f>HYPERLINK("https://cao.dolgi.msk.ru/account/1080298429/", 1080298429)</f>
        <v>1080298429</v>
      </c>
      <c r="D6751" t="s">
        <v>5572</v>
      </c>
      <c r="E6751">
        <v>-4299.5600000000004</v>
      </c>
      <c r="F6751">
        <v>-1.21</v>
      </c>
      <c r="G6751" t="s">
        <v>12</v>
      </c>
      <c r="I6751" t="s">
        <v>1050</v>
      </c>
    </row>
    <row r="6752" spans="1:9" hidden="1" x14ac:dyDescent="0.25">
      <c r="A6752" t="s">
        <v>5469</v>
      </c>
      <c r="B6752" t="s">
        <v>553</v>
      </c>
      <c r="C6752" s="2">
        <f>HYPERLINK("https://cao.dolgi.msk.ru/account/1080298437/", 1080298437)</f>
        <v>1080298437</v>
      </c>
      <c r="D6752" t="s">
        <v>5573</v>
      </c>
      <c r="E6752">
        <v>-51.23</v>
      </c>
      <c r="F6752">
        <v>-0.01</v>
      </c>
      <c r="G6752" t="s">
        <v>12</v>
      </c>
      <c r="I6752" t="s">
        <v>1050</v>
      </c>
    </row>
    <row r="6753" spans="1:9" hidden="1" x14ac:dyDescent="0.25">
      <c r="A6753" t="s">
        <v>5469</v>
      </c>
      <c r="B6753" t="s">
        <v>555</v>
      </c>
      <c r="C6753" s="2">
        <f>HYPERLINK("https://cao.dolgi.msk.ru/account/1080298621/", 1080298621)</f>
        <v>1080298621</v>
      </c>
      <c r="D6753" t="s">
        <v>5574</v>
      </c>
      <c r="E6753">
        <v>-3348.06</v>
      </c>
      <c r="F6753">
        <v>-0.72</v>
      </c>
      <c r="G6753" t="s">
        <v>12</v>
      </c>
      <c r="I6753" t="s">
        <v>1050</v>
      </c>
    </row>
    <row r="6754" spans="1:9" hidden="1" x14ac:dyDescent="0.25">
      <c r="A6754" t="s">
        <v>5469</v>
      </c>
      <c r="B6754" t="s">
        <v>736</v>
      </c>
      <c r="C6754" s="2">
        <f>HYPERLINK("https://cao.dolgi.msk.ru/account/1080298453/", 1080298453)</f>
        <v>1080298453</v>
      </c>
      <c r="D6754" t="s">
        <v>5575</v>
      </c>
      <c r="E6754">
        <v>1570.82</v>
      </c>
      <c r="F6754">
        <v>0.28000000000000003</v>
      </c>
      <c r="G6754" t="s">
        <v>12</v>
      </c>
      <c r="I6754" t="s">
        <v>1050</v>
      </c>
    </row>
    <row r="6755" spans="1:9" hidden="1" x14ac:dyDescent="0.25">
      <c r="A6755" t="s">
        <v>5469</v>
      </c>
      <c r="B6755" t="s">
        <v>738</v>
      </c>
      <c r="C6755" s="2">
        <f>HYPERLINK("https://cao.dolgi.msk.ru/account/1080298461/", 1080298461)</f>
        <v>1080298461</v>
      </c>
      <c r="D6755" t="s">
        <v>5576</v>
      </c>
      <c r="E6755">
        <v>-5439.36</v>
      </c>
      <c r="F6755">
        <v>-1.1200000000000001</v>
      </c>
      <c r="G6755" t="s">
        <v>12</v>
      </c>
      <c r="I6755" t="s">
        <v>1050</v>
      </c>
    </row>
    <row r="6756" spans="1:9" hidden="1" x14ac:dyDescent="0.25">
      <c r="A6756" t="s">
        <v>5469</v>
      </c>
      <c r="B6756" t="s">
        <v>740</v>
      </c>
      <c r="C6756" s="2">
        <f>HYPERLINK("https://cao.dolgi.msk.ru/account/1080298488/", 1080298488)</f>
        <v>1080298488</v>
      </c>
      <c r="D6756" t="s">
        <v>5577</v>
      </c>
      <c r="E6756">
        <v>-6997.02</v>
      </c>
      <c r="F6756">
        <v>-1.22</v>
      </c>
      <c r="G6756" t="s">
        <v>12</v>
      </c>
      <c r="I6756" t="s">
        <v>1050</v>
      </c>
    </row>
    <row r="6757" spans="1:9" hidden="1" x14ac:dyDescent="0.25">
      <c r="A6757" t="s">
        <v>5469</v>
      </c>
      <c r="B6757" t="s">
        <v>742</v>
      </c>
      <c r="C6757" s="2">
        <f>HYPERLINK("https://cao.dolgi.msk.ru/account/1080298496/", 1080298496)</f>
        <v>1080298496</v>
      </c>
      <c r="D6757" t="s">
        <v>5578</v>
      </c>
      <c r="E6757">
        <v>-2977.5</v>
      </c>
      <c r="F6757">
        <v>-1.0900000000000001</v>
      </c>
      <c r="G6757" t="s">
        <v>12</v>
      </c>
      <c r="I6757" t="s">
        <v>1050</v>
      </c>
    </row>
    <row r="6758" spans="1:9" hidden="1" x14ac:dyDescent="0.25">
      <c r="A6758" t="s">
        <v>5469</v>
      </c>
      <c r="B6758" t="s">
        <v>557</v>
      </c>
      <c r="C6758" s="2">
        <f>HYPERLINK("https://cao.dolgi.msk.ru/account/1080298509/", 1080298509)</f>
        <v>1080298509</v>
      </c>
      <c r="D6758" t="s">
        <v>5579</v>
      </c>
      <c r="E6758">
        <v>-14158.33</v>
      </c>
      <c r="F6758">
        <v>-3.02</v>
      </c>
      <c r="G6758" t="s">
        <v>12</v>
      </c>
      <c r="I6758" t="s">
        <v>1050</v>
      </c>
    </row>
    <row r="6759" spans="1:9" hidden="1" x14ac:dyDescent="0.25">
      <c r="A6759" t="s">
        <v>5469</v>
      </c>
      <c r="B6759" t="s">
        <v>558</v>
      </c>
      <c r="C6759" s="2">
        <f>HYPERLINK("https://cao.dolgi.msk.ru/account/1080298517/", 1080298517)</f>
        <v>1080298517</v>
      </c>
      <c r="D6759" t="s">
        <v>5580</v>
      </c>
      <c r="E6759">
        <v>-5369.05</v>
      </c>
      <c r="F6759">
        <v>-1.07</v>
      </c>
      <c r="G6759" t="s">
        <v>12</v>
      </c>
      <c r="I6759" t="s">
        <v>1050</v>
      </c>
    </row>
    <row r="6760" spans="1:9" hidden="1" x14ac:dyDescent="0.25">
      <c r="A6760" t="s">
        <v>5469</v>
      </c>
      <c r="B6760" t="s">
        <v>746</v>
      </c>
      <c r="C6760" s="2">
        <f>HYPERLINK("https://cao.dolgi.msk.ru/account/1080298525/", 1080298525)</f>
        <v>1080298525</v>
      </c>
      <c r="D6760" t="s">
        <v>5581</v>
      </c>
      <c r="E6760">
        <v>-982.88</v>
      </c>
      <c r="F6760">
        <v>-0.15</v>
      </c>
      <c r="G6760" t="s">
        <v>12</v>
      </c>
      <c r="I6760" t="s">
        <v>1050</v>
      </c>
    </row>
    <row r="6761" spans="1:9" hidden="1" x14ac:dyDescent="0.25">
      <c r="A6761" t="s">
        <v>5469</v>
      </c>
      <c r="B6761" t="s">
        <v>748</v>
      </c>
      <c r="C6761" s="2">
        <f>HYPERLINK("https://cao.dolgi.msk.ru/account/1080298533/", 1080298533)</f>
        <v>1080298533</v>
      </c>
      <c r="D6761" t="s">
        <v>5582</v>
      </c>
      <c r="E6761">
        <v>-6221.65</v>
      </c>
      <c r="F6761">
        <v>-1.1299999999999999</v>
      </c>
      <c r="G6761" t="s">
        <v>12</v>
      </c>
      <c r="I6761" t="s">
        <v>1050</v>
      </c>
    </row>
    <row r="6762" spans="1:9" hidden="1" x14ac:dyDescent="0.25">
      <c r="A6762" t="s">
        <v>5469</v>
      </c>
      <c r="B6762" t="s">
        <v>750</v>
      </c>
      <c r="C6762" s="2">
        <f>HYPERLINK("https://cao.dolgi.msk.ru/account/1080298541/", 1080298541)</f>
        <v>1080298541</v>
      </c>
      <c r="D6762" t="s">
        <v>5583</v>
      </c>
      <c r="E6762">
        <v>-6517.07</v>
      </c>
      <c r="F6762">
        <v>-1.02</v>
      </c>
      <c r="G6762" t="s">
        <v>12</v>
      </c>
      <c r="I6762" t="s">
        <v>1050</v>
      </c>
    </row>
    <row r="6763" spans="1:9" hidden="1" x14ac:dyDescent="0.25">
      <c r="A6763" t="s">
        <v>5469</v>
      </c>
      <c r="B6763" t="s">
        <v>752</v>
      </c>
      <c r="C6763" s="2">
        <f>HYPERLINK("https://cao.dolgi.msk.ru/account/1080298568/", 1080298568)</f>
        <v>1080298568</v>
      </c>
      <c r="D6763" t="s">
        <v>5584</v>
      </c>
      <c r="E6763">
        <v>-3335.56</v>
      </c>
      <c r="F6763">
        <v>-1.1200000000000001</v>
      </c>
      <c r="G6763" t="s">
        <v>12</v>
      </c>
      <c r="I6763" t="s">
        <v>1050</v>
      </c>
    </row>
    <row r="6764" spans="1:9" hidden="1" x14ac:dyDescent="0.25">
      <c r="A6764" t="s">
        <v>5469</v>
      </c>
      <c r="B6764" t="s">
        <v>754</v>
      </c>
      <c r="C6764" s="2">
        <f>HYPERLINK("https://cao.dolgi.msk.ru/account/1080298576/", 1080298576)</f>
        <v>1080298576</v>
      </c>
      <c r="D6764" t="s">
        <v>5585</v>
      </c>
      <c r="E6764">
        <v>-1960</v>
      </c>
      <c r="F6764">
        <v>-1.1399999999999999</v>
      </c>
      <c r="G6764" t="s">
        <v>12</v>
      </c>
      <c r="I6764" t="s">
        <v>1050</v>
      </c>
    </row>
    <row r="6765" spans="1:9" hidden="1" x14ac:dyDescent="0.25">
      <c r="A6765" t="s">
        <v>5469</v>
      </c>
      <c r="B6765" t="s">
        <v>756</v>
      </c>
      <c r="C6765" s="2">
        <f>HYPERLINK("https://cao.dolgi.msk.ru/account/1080298584/", 1080298584)</f>
        <v>1080298584</v>
      </c>
      <c r="D6765" t="s">
        <v>5586</v>
      </c>
      <c r="E6765">
        <v>0</v>
      </c>
      <c r="F6765">
        <v>0</v>
      </c>
      <c r="G6765" t="s">
        <v>12</v>
      </c>
      <c r="I6765" t="s">
        <v>1050</v>
      </c>
    </row>
    <row r="6766" spans="1:9" hidden="1" x14ac:dyDescent="0.25">
      <c r="A6766" t="s">
        <v>5469</v>
      </c>
      <c r="B6766" t="s">
        <v>758</v>
      </c>
      <c r="C6766" s="2">
        <f>HYPERLINK("https://cao.dolgi.msk.ru/account/1080298592/", 1080298592)</f>
        <v>1080298592</v>
      </c>
      <c r="D6766" t="s">
        <v>5587</v>
      </c>
      <c r="E6766">
        <v>-119.19</v>
      </c>
      <c r="F6766">
        <v>-0.01</v>
      </c>
      <c r="G6766" t="s">
        <v>12</v>
      </c>
      <c r="I6766" t="s">
        <v>1050</v>
      </c>
    </row>
    <row r="6767" spans="1:9" hidden="1" x14ac:dyDescent="0.25">
      <c r="A6767" t="s">
        <v>5469</v>
      </c>
      <c r="B6767" t="s">
        <v>760</v>
      </c>
      <c r="C6767" s="2">
        <f>HYPERLINK("https://cao.dolgi.msk.ru/account/1080298605/", 1080298605)</f>
        <v>1080298605</v>
      </c>
      <c r="D6767" t="s">
        <v>5588</v>
      </c>
      <c r="E6767">
        <v>-6604.83</v>
      </c>
      <c r="F6767">
        <v>-1.42</v>
      </c>
      <c r="G6767" t="s">
        <v>12</v>
      </c>
      <c r="I6767" t="s">
        <v>1050</v>
      </c>
    </row>
    <row r="6768" spans="1:9" hidden="1" x14ac:dyDescent="0.25">
      <c r="A6768" t="s">
        <v>5469</v>
      </c>
      <c r="B6768" t="s">
        <v>762</v>
      </c>
      <c r="C6768" s="2">
        <f>HYPERLINK("https://cao.dolgi.msk.ru/account/1080298613/", 1080298613)</f>
        <v>1080298613</v>
      </c>
      <c r="D6768" t="s">
        <v>5589</v>
      </c>
      <c r="E6768">
        <v>-4428.95</v>
      </c>
      <c r="F6768">
        <v>-1.22</v>
      </c>
      <c r="G6768" t="s">
        <v>12</v>
      </c>
      <c r="I6768" t="s">
        <v>1050</v>
      </c>
    </row>
    <row r="6769" spans="1:9" hidden="1" x14ac:dyDescent="0.25">
      <c r="A6769" t="s">
        <v>5469</v>
      </c>
      <c r="B6769" t="s">
        <v>764</v>
      </c>
      <c r="C6769" s="2">
        <f>HYPERLINK("https://cao.dolgi.msk.ru/account/1080298648/", 1080298648)</f>
        <v>1080298648</v>
      </c>
      <c r="D6769" t="s">
        <v>5590</v>
      </c>
      <c r="E6769">
        <v>-5329.25</v>
      </c>
      <c r="F6769">
        <v>-1.21</v>
      </c>
      <c r="G6769" t="s">
        <v>12</v>
      </c>
      <c r="I6769" t="s">
        <v>1050</v>
      </c>
    </row>
    <row r="6770" spans="1:9" hidden="1" x14ac:dyDescent="0.25">
      <c r="A6770" t="s">
        <v>5469</v>
      </c>
      <c r="B6770" t="s">
        <v>766</v>
      </c>
      <c r="C6770" s="2">
        <f>HYPERLINK("https://cao.dolgi.msk.ru/account/1080298656/", 1080298656)</f>
        <v>1080298656</v>
      </c>
      <c r="D6770" t="s">
        <v>5591</v>
      </c>
      <c r="E6770">
        <v>-4381.16</v>
      </c>
      <c r="F6770">
        <v>-1.1000000000000001</v>
      </c>
      <c r="G6770" t="s">
        <v>12</v>
      </c>
      <c r="I6770" t="s">
        <v>1050</v>
      </c>
    </row>
    <row r="6771" spans="1:9" hidden="1" x14ac:dyDescent="0.25">
      <c r="A6771" t="s">
        <v>5469</v>
      </c>
      <c r="B6771" t="s">
        <v>768</v>
      </c>
      <c r="C6771" s="2">
        <f>HYPERLINK("https://cao.dolgi.msk.ru/account/1080298664/", 1080298664)</f>
        <v>1080298664</v>
      </c>
      <c r="D6771" t="s">
        <v>5592</v>
      </c>
      <c r="E6771">
        <v>-2.83</v>
      </c>
      <c r="F6771">
        <v>0</v>
      </c>
      <c r="G6771" t="s">
        <v>12</v>
      </c>
      <c r="I6771" t="s">
        <v>1050</v>
      </c>
    </row>
    <row r="6772" spans="1:9" hidden="1" x14ac:dyDescent="0.25">
      <c r="A6772" t="s">
        <v>5469</v>
      </c>
      <c r="B6772" t="s">
        <v>770</v>
      </c>
      <c r="C6772" s="2">
        <f>HYPERLINK("https://cao.dolgi.msk.ru/account/1080298672/", 1080298672)</f>
        <v>1080298672</v>
      </c>
      <c r="D6772" t="s">
        <v>5593</v>
      </c>
      <c r="E6772">
        <v>-230</v>
      </c>
      <c r="F6772">
        <v>-0.04</v>
      </c>
      <c r="G6772" t="s">
        <v>12</v>
      </c>
      <c r="I6772" t="s">
        <v>1050</v>
      </c>
    </row>
    <row r="6773" spans="1:9" hidden="1" x14ac:dyDescent="0.25">
      <c r="A6773" t="s">
        <v>5469</v>
      </c>
      <c r="B6773" t="s">
        <v>772</v>
      </c>
      <c r="C6773" s="2">
        <f>HYPERLINK("https://cao.dolgi.msk.ru/account/1080298699/", 1080298699)</f>
        <v>1080298699</v>
      </c>
      <c r="D6773" t="s">
        <v>5594</v>
      </c>
      <c r="E6773">
        <v>-4174.7700000000004</v>
      </c>
      <c r="F6773">
        <v>-1.18</v>
      </c>
      <c r="G6773" t="s">
        <v>12</v>
      </c>
      <c r="I6773" t="s">
        <v>1050</v>
      </c>
    </row>
    <row r="6774" spans="1:9" hidden="1" x14ac:dyDescent="0.25">
      <c r="A6774" t="s">
        <v>5469</v>
      </c>
      <c r="B6774" t="s">
        <v>774</v>
      </c>
      <c r="C6774" s="2">
        <f>HYPERLINK("https://cao.dolgi.msk.ru/account/1080298701/", 1080298701)</f>
        <v>1080298701</v>
      </c>
      <c r="D6774" t="s">
        <v>5595</v>
      </c>
      <c r="E6774">
        <v>-7094.69</v>
      </c>
      <c r="F6774">
        <v>-1.1399999999999999</v>
      </c>
      <c r="G6774" t="s">
        <v>12</v>
      </c>
      <c r="I6774" t="s">
        <v>1050</v>
      </c>
    </row>
    <row r="6775" spans="1:9" hidden="1" x14ac:dyDescent="0.25">
      <c r="A6775" t="s">
        <v>5469</v>
      </c>
      <c r="B6775" t="s">
        <v>776</v>
      </c>
      <c r="C6775" s="2">
        <f>HYPERLINK("https://cao.dolgi.msk.ru/account/1080298728/", 1080298728)</f>
        <v>1080298728</v>
      </c>
      <c r="D6775" t="s">
        <v>5596</v>
      </c>
      <c r="E6775">
        <v>-3738.28</v>
      </c>
      <c r="F6775">
        <v>-1.18</v>
      </c>
      <c r="G6775" t="s">
        <v>12</v>
      </c>
      <c r="I6775" t="s">
        <v>1050</v>
      </c>
    </row>
    <row r="6776" spans="1:9" x14ac:dyDescent="0.25">
      <c r="A6776" t="s">
        <v>5469</v>
      </c>
      <c r="B6776" t="s">
        <v>778</v>
      </c>
      <c r="C6776" s="2">
        <f>HYPERLINK("https://cao.dolgi.msk.ru/account/1080298736/", 1080298736)</f>
        <v>1080298736</v>
      </c>
      <c r="D6776" t="s">
        <v>5597</v>
      </c>
      <c r="E6776">
        <v>149000.01999999999</v>
      </c>
      <c r="F6776">
        <v>14.87</v>
      </c>
      <c r="G6776" t="s">
        <v>12</v>
      </c>
      <c r="I6776" t="s">
        <v>1050</v>
      </c>
    </row>
    <row r="6777" spans="1:9" hidden="1" x14ac:dyDescent="0.25">
      <c r="A6777" t="s">
        <v>5469</v>
      </c>
      <c r="B6777" t="s">
        <v>780</v>
      </c>
      <c r="C6777" s="2">
        <f>HYPERLINK("https://cao.dolgi.msk.ru/account/1080298744/", 1080298744)</f>
        <v>1080298744</v>
      </c>
      <c r="D6777" t="s">
        <v>5598</v>
      </c>
      <c r="E6777">
        <v>-3310.1</v>
      </c>
      <c r="F6777">
        <v>-1.1499999999999999</v>
      </c>
      <c r="G6777" t="s">
        <v>12</v>
      </c>
      <c r="I6777" t="s">
        <v>1050</v>
      </c>
    </row>
    <row r="6778" spans="1:9" hidden="1" x14ac:dyDescent="0.25">
      <c r="A6778" t="s">
        <v>5469</v>
      </c>
      <c r="B6778" t="s">
        <v>781</v>
      </c>
      <c r="C6778" s="2">
        <f>HYPERLINK("https://cao.dolgi.msk.ru/account/1080298752/", 1080298752)</f>
        <v>1080298752</v>
      </c>
      <c r="D6778" t="s">
        <v>5599</v>
      </c>
      <c r="E6778">
        <v>-4054.92</v>
      </c>
      <c r="F6778">
        <v>-1.1000000000000001</v>
      </c>
      <c r="G6778" t="s">
        <v>12</v>
      </c>
      <c r="I6778" t="s">
        <v>1050</v>
      </c>
    </row>
    <row r="6779" spans="1:9" hidden="1" x14ac:dyDescent="0.25">
      <c r="A6779" t="s">
        <v>5469</v>
      </c>
      <c r="B6779" t="s">
        <v>782</v>
      </c>
      <c r="C6779" s="2">
        <f>HYPERLINK("https://cao.dolgi.msk.ru/account/1080298779/", 1080298779)</f>
        <v>1080298779</v>
      </c>
      <c r="D6779" t="s">
        <v>5600</v>
      </c>
      <c r="E6779">
        <v>-4627.93</v>
      </c>
      <c r="F6779">
        <v>-1.04</v>
      </c>
      <c r="G6779" t="s">
        <v>12</v>
      </c>
      <c r="I6779" t="s">
        <v>1050</v>
      </c>
    </row>
    <row r="6780" spans="1:9" hidden="1" x14ac:dyDescent="0.25">
      <c r="A6780" t="s">
        <v>5469</v>
      </c>
      <c r="B6780" t="s">
        <v>784</v>
      </c>
      <c r="C6780" s="2">
        <f>HYPERLINK("https://cao.dolgi.msk.ru/account/1080298787/", 1080298787)</f>
        <v>1080298787</v>
      </c>
      <c r="D6780" t="s">
        <v>5601</v>
      </c>
      <c r="E6780">
        <v>-4364.5</v>
      </c>
      <c r="F6780">
        <v>-1.1299999999999999</v>
      </c>
      <c r="G6780" t="s">
        <v>12</v>
      </c>
      <c r="H6780" t="s">
        <v>7</v>
      </c>
      <c r="I6780" t="s">
        <v>1050</v>
      </c>
    </row>
    <row r="6781" spans="1:9" x14ac:dyDescent="0.25">
      <c r="A6781" t="s">
        <v>5469</v>
      </c>
      <c r="B6781" t="s">
        <v>784</v>
      </c>
      <c r="C6781" s="2">
        <f>HYPERLINK("https://cao.dolgi.msk.ru/account/1080298795/", 1080298795)</f>
        <v>1080298795</v>
      </c>
      <c r="D6781" t="s">
        <v>5602</v>
      </c>
      <c r="E6781">
        <v>38399.26</v>
      </c>
      <c r="F6781">
        <v>18.72</v>
      </c>
      <c r="G6781" t="s">
        <v>12</v>
      </c>
      <c r="H6781" t="s">
        <v>7</v>
      </c>
      <c r="I6781" t="s">
        <v>1050</v>
      </c>
    </row>
    <row r="6782" spans="1:9" hidden="1" x14ac:dyDescent="0.25">
      <c r="A6782" t="s">
        <v>5469</v>
      </c>
      <c r="B6782" t="s">
        <v>786</v>
      </c>
      <c r="C6782" s="2">
        <f>HYPERLINK("https://cao.dolgi.msk.ru/account/1080298808/", 1080298808)</f>
        <v>1080298808</v>
      </c>
      <c r="D6782" t="s">
        <v>5603</v>
      </c>
      <c r="E6782">
        <v>-3382.58</v>
      </c>
      <c r="F6782">
        <v>-1.1599999999999999</v>
      </c>
      <c r="G6782" t="s">
        <v>12</v>
      </c>
      <c r="H6782" t="s">
        <v>7</v>
      </c>
      <c r="I6782" t="s">
        <v>1050</v>
      </c>
    </row>
    <row r="6783" spans="1:9" hidden="1" x14ac:dyDescent="0.25">
      <c r="A6783" t="s">
        <v>5469</v>
      </c>
      <c r="B6783" t="s">
        <v>786</v>
      </c>
      <c r="C6783" s="2">
        <f>HYPERLINK("https://cao.dolgi.msk.ru/account/1080298816/", 1080298816)</f>
        <v>1080298816</v>
      </c>
      <c r="D6783" t="s">
        <v>5603</v>
      </c>
      <c r="E6783">
        <v>-2483.8000000000002</v>
      </c>
      <c r="F6783">
        <v>-1.0900000000000001</v>
      </c>
      <c r="G6783" t="s">
        <v>12</v>
      </c>
      <c r="H6783" t="s">
        <v>7</v>
      </c>
      <c r="I6783" t="s">
        <v>1050</v>
      </c>
    </row>
    <row r="6784" spans="1:9" hidden="1" x14ac:dyDescent="0.25">
      <c r="A6784" t="s">
        <v>5469</v>
      </c>
      <c r="B6784" t="s">
        <v>788</v>
      </c>
      <c r="C6784" s="2">
        <f>HYPERLINK("https://cao.dolgi.msk.ru/account/1080298824/", 1080298824)</f>
        <v>1080298824</v>
      </c>
      <c r="D6784" t="s">
        <v>15</v>
      </c>
      <c r="G6784" t="s">
        <v>14</v>
      </c>
      <c r="I6784" t="s">
        <v>1050</v>
      </c>
    </row>
    <row r="6785" spans="1:9" hidden="1" x14ac:dyDescent="0.25">
      <c r="A6785" t="s">
        <v>5469</v>
      </c>
      <c r="B6785" t="s">
        <v>789</v>
      </c>
      <c r="C6785" s="2">
        <f>HYPERLINK("https://cao.dolgi.msk.ru/account/1080298832/", 1080298832)</f>
        <v>1080298832</v>
      </c>
      <c r="D6785" t="s">
        <v>5604</v>
      </c>
      <c r="E6785">
        <v>-192.17</v>
      </c>
      <c r="F6785">
        <v>-0.02</v>
      </c>
      <c r="G6785" t="s">
        <v>12</v>
      </c>
      <c r="I6785" t="s">
        <v>1050</v>
      </c>
    </row>
    <row r="6786" spans="1:9" hidden="1" x14ac:dyDescent="0.25">
      <c r="A6786" t="s">
        <v>5469</v>
      </c>
      <c r="B6786" t="s">
        <v>790</v>
      </c>
      <c r="C6786" s="2">
        <f>HYPERLINK("https://cao.dolgi.msk.ru/account/1080298859/", 1080298859)</f>
        <v>1080298859</v>
      </c>
      <c r="D6786" t="s">
        <v>5605</v>
      </c>
      <c r="E6786">
        <v>-9322.81</v>
      </c>
      <c r="F6786">
        <v>-1.1499999999999999</v>
      </c>
      <c r="G6786" t="s">
        <v>12</v>
      </c>
      <c r="I6786" t="s">
        <v>1050</v>
      </c>
    </row>
    <row r="6787" spans="1:9" hidden="1" x14ac:dyDescent="0.25">
      <c r="A6787" t="s">
        <v>5469</v>
      </c>
      <c r="B6787" t="s">
        <v>792</v>
      </c>
      <c r="C6787" s="2">
        <f>HYPERLINK("https://cao.dolgi.msk.ru/account/1080298867/", 1080298867)</f>
        <v>1080298867</v>
      </c>
      <c r="D6787" t="s">
        <v>5606</v>
      </c>
      <c r="E6787">
        <v>-4817.3999999999996</v>
      </c>
      <c r="F6787">
        <v>-1.1100000000000001</v>
      </c>
      <c r="G6787" t="s">
        <v>12</v>
      </c>
      <c r="I6787" t="s">
        <v>1050</v>
      </c>
    </row>
    <row r="6788" spans="1:9" hidden="1" x14ac:dyDescent="0.25">
      <c r="A6788" t="s">
        <v>5469</v>
      </c>
      <c r="B6788" t="s">
        <v>794</v>
      </c>
      <c r="C6788" s="2">
        <f>HYPERLINK("https://cao.dolgi.msk.ru/account/1080298875/", 1080298875)</f>
        <v>1080298875</v>
      </c>
      <c r="D6788" t="s">
        <v>5607</v>
      </c>
      <c r="E6788">
        <v>167.34</v>
      </c>
      <c r="F6788">
        <v>0.05</v>
      </c>
      <c r="G6788" t="s">
        <v>12</v>
      </c>
      <c r="I6788" t="s">
        <v>1050</v>
      </c>
    </row>
    <row r="6789" spans="1:9" hidden="1" x14ac:dyDescent="0.25">
      <c r="A6789" t="s">
        <v>5469</v>
      </c>
      <c r="B6789" t="s">
        <v>796</v>
      </c>
      <c r="C6789" s="2">
        <f>HYPERLINK("https://cao.dolgi.msk.ru/account/1080298883/", 1080298883)</f>
        <v>1080298883</v>
      </c>
      <c r="D6789" t="s">
        <v>5608</v>
      </c>
      <c r="E6789">
        <v>-1027.83</v>
      </c>
      <c r="F6789">
        <v>-0.2</v>
      </c>
      <c r="G6789" t="s">
        <v>12</v>
      </c>
      <c r="I6789" t="s">
        <v>1050</v>
      </c>
    </row>
    <row r="6790" spans="1:9" hidden="1" x14ac:dyDescent="0.25">
      <c r="A6790" t="s">
        <v>5469</v>
      </c>
      <c r="B6790" t="s">
        <v>798</v>
      </c>
      <c r="C6790" s="2">
        <f>HYPERLINK("https://cao.dolgi.msk.ru/account/1080298891/", 1080298891)</f>
        <v>1080298891</v>
      </c>
      <c r="D6790" t="s">
        <v>5609</v>
      </c>
      <c r="E6790">
        <v>-8936.1200000000008</v>
      </c>
      <c r="F6790">
        <v>-1.1200000000000001</v>
      </c>
      <c r="G6790" t="s">
        <v>12</v>
      </c>
      <c r="I6790" t="s">
        <v>1050</v>
      </c>
    </row>
    <row r="6791" spans="1:9" hidden="1" x14ac:dyDescent="0.25">
      <c r="A6791" t="s">
        <v>5469</v>
      </c>
      <c r="B6791" t="s">
        <v>800</v>
      </c>
      <c r="C6791" s="2">
        <f>HYPERLINK("https://cao.dolgi.msk.ru/account/1080298904/", 1080298904)</f>
        <v>1080298904</v>
      </c>
      <c r="D6791" t="s">
        <v>5610</v>
      </c>
      <c r="E6791">
        <v>-10111.56</v>
      </c>
      <c r="F6791">
        <v>-1.08</v>
      </c>
      <c r="G6791" t="s">
        <v>12</v>
      </c>
      <c r="I6791" t="s">
        <v>1050</v>
      </c>
    </row>
    <row r="6792" spans="1:9" hidden="1" x14ac:dyDescent="0.25">
      <c r="A6792" t="s">
        <v>5469</v>
      </c>
      <c r="B6792" t="s">
        <v>802</v>
      </c>
      <c r="C6792" s="2">
        <f>HYPERLINK("https://cao.dolgi.msk.ru/account/1080298912/", 1080298912)</f>
        <v>1080298912</v>
      </c>
      <c r="D6792" t="s">
        <v>5611</v>
      </c>
      <c r="E6792">
        <v>-8324.4599999999991</v>
      </c>
      <c r="F6792">
        <v>-1.1399999999999999</v>
      </c>
      <c r="G6792" t="s">
        <v>12</v>
      </c>
      <c r="I6792" t="s">
        <v>1050</v>
      </c>
    </row>
    <row r="6793" spans="1:9" hidden="1" x14ac:dyDescent="0.25">
      <c r="A6793" t="s">
        <v>5469</v>
      </c>
      <c r="B6793" t="s">
        <v>804</v>
      </c>
      <c r="C6793" s="2">
        <f>HYPERLINK("https://cao.dolgi.msk.ru/account/1080298939/", 1080298939)</f>
        <v>1080298939</v>
      </c>
      <c r="D6793" t="s">
        <v>5612</v>
      </c>
      <c r="E6793">
        <v>-6316.87</v>
      </c>
      <c r="F6793">
        <v>-1</v>
      </c>
      <c r="G6793" t="s">
        <v>12</v>
      </c>
      <c r="I6793" t="s">
        <v>1050</v>
      </c>
    </row>
    <row r="6794" spans="1:9" hidden="1" x14ac:dyDescent="0.25">
      <c r="A6794" t="s">
        <v>5469</v>
      </c>
      <c r="B6794" t="s">
        <v>806</v>
      </c>
      <c r="C6794" s="2">
        <f>HYPERLINK("https://cao.dolgi.msk.ru/account/1080298947/", 1080298947)</f>
        <v>1080298947</v>
      </c>
      <c r="D6794" t="s">
        <v>5613</v>
      </c>
      <c r="E6794">
        <v>-41.62</v>
      </c>
      <c r="F6794">
        <v>-0.01</v>
      </c>
      <c r="G6794" t="s">
        <v>12</v>
      </c>
      <c r="I6794" t="s">
        <v>1050</v>
      </c>
    </row>
    <row r="6795" spans="1:9" hidden="1" x14ac:dyDescent="0.25">
      <c r="A6795" t="s">
        <v>5469</v>
      </c>
      <c r="B6795" t="s">
        <v>808</v>
      </c>
      <c r="C6795" s="2">
        <f>HYPERLINK("https://cao.dolgi.msk.ru/account/1080298955/", 1080298955)</f>
        <v>1080298955</v>
      </c>
      <c r="D6795" t="s">
        <v>5614</v>
      </c>
      <c r="E6795">
        <v>-3119.23</v>
      </c>
      <c r="F6795">
        <v>-1.1499999999999999</v>
      </c>
      <c r="G6795" t="s">
        <v>12</v>
      </c>
      <c r="I6795" t="s">
        <v>1050</v>
      </c>
    </row>
    <row r="6796" spans="1:9" hidden="1" x14ac:dyDescent="0.25">
      <c r="A6796" t="s">
        <v>5469</v>
      </c>
      <c r="B6796" t="s">
        <v>810</v>
      </c>
      <c r="C6796" s="2">
        <f>HYPERLINK("https://cao.dolgi.msk.ru/account/1080298963/", 1080298963)</f>
        <v>1080298963</v>
      </c>
      <c r="D6796" t="s">
        <v>5615</v>
      </c>
      <c r="E6796">
        <v>-5404.84</v>
      </c>
      <c r="F6796">
        <v>-1.1200000000000001</v>
      </c>
      <c r="G6796" t="s">
        <v>12</v>
      </c>
      <c r="I6796" t="s">
        <v>1050</v>
      </c>
    </row>
    <row r="6797" spans="1:9" hidden="1" x14ac:dyDescent="0.25">
      <c r="A6797" t="s">
        <v>5469</v>
      </c>
      <c r="B6797" t="s">
        <v>812</v>
      </c>
      <c r="C6797" s="2">
        <f>HYPERLINK("https://cao.dolgi.msk.ru/account/1080298971/", 1080298971)</f>
        <v>1080298971</v>
      </c>
      <c r="D6797" t="s">
        <v>5616</v>
      </c>
      <c r="E6797">
        <v>-3711.38</v>
      </c>
      <c r="F6797">
        <v>-1.18</v>
      </c>
      <c r="G6797" t="s">
        <v>12</v>
      </c>
      <c r="I6797" t="s">
        <v>1050</v>
      </c>
    </row>
    <row r="6798" spans="1:9" hidden="1" x14ac:dyDescent="0.25">
      <c r="A6798" t="s">
        <v>5469</v>
      </c>
      <c r="B6798" t="s">
        <v>814</v>
      </c>
      <c r="C6798" s="2">
        <f>HYPERLINK("https://cao.dolgi.msk.ru/account/1080298998/", 1080298998)</f>
        <v>1080298998</v>
      </c>
      <c r="D6798" t="s">
        <v>5617</v>
      </c>
      <c r="E6798">
        <v>-9578.77</v>
      </c>
      <c r="F6798">
        <v>-1.1299999999999999</v>
      </c>
      <c r="G6798" t="s">
        <v>12</v>
      </c>
      <c r="I6798" t="s">
        <v>1050</v>
      </c>
    </row>
    <row r="6799" spans="1:9" hidden="1" x14ac:dyDescent="0.25">
      <c r="A6799" t="s">
        <v>5469</v>
      </c>
      <c r="B6799" t="s">
        <v>816</v>
      </c>
      <c r="C6799" s="2">
        <f>HYPERLINK("https://cao.dolgi.msk.ru/account/1080299018/", 1080299018)</f>
        <v>1080299018</v>
      </c>
      <c r="D6799" t="s">
        <v>5618</v>
      </c>
      <c r="E6799">
        <v>-2946.86</v>
      </c>
      <c r="F6799">
        <v>-0.54</v>
      </c>
      <c r="G6799" t="s">
        <v>12</v>
      </c>
      <c r="I6799" t="s">
        <v>1050</v>
      </c>
    </row>
    <row r="6800" spans="1:9" hidden="1" x14ac:dyDescent="0.25">
      <c r="A6800" t="s">
        <v>5469</v>
      </c>
      <c r="B6800" t="s">
        <v>818</v>
      </c>
      <c r="C6800" s="2">
        <f>HYPERLINK("https://cao.dolgi.msk.ru/account/1080299026/", 1080299026)</f>
        <v>1080299026</v>
      </c>
      <c r="D6800" t="s">
        <v>5619</v>
      </c>
      <c r="E6800">
        <v>0</v>
      </c>
      <c r="F6800">
        <v>0</v>
      </c>
      <c r="G6800" t="s">
        <v>12</v>
      </c>
      <c r="I6800" t="s">
        <v>1050</v>
      </c>
    </row>
    <row r="6801" spans="1:9" hidden="1" x14ac:dyDescent="0.25">
      <c r="A6801" t="s">
        <v>5469</v>
      </c>
      <c r="B6801" t="s">
        <v>820</v>
      </c>
      <c r="C6801" s="2">
        <f>HYPERLINK("https://cao.dolgi.msk.ru/account/1080299042/", 1080299042)</f>
        <v>1080299042</v>
      </c>
      <c r="D6801" t="s">
        <v>5620</v>
      </c>
      <c r="E6801">
        <v>-5686.91</v>
      </c>
      <c r="F6801">
        <v>-1.1100000000000001</v>
      </c>
      <c r="G6801" t="s">
        <v>12</v>
      </c>
      <c r="I6801" t="s">
        <v>1050</v>
      </c>
    </row>
    <row r="6802" spans="1:9" hidden="1" x14ac:dyDescent="0.25">
      <c r="A6802" t="s">
        <v>5469</v>
      </c>
      <c r="B6802" t="s">
        <v>822</v>
      </c>
      <c r="C6802" s="2">
        <f>HYPERLINK("https://cao.dolgi.msk.ru/account/1080299034/", 1080299034)</f>
        <v>1080299034</v>
      </c>
      <c r="D6802" t="s">
        <v>5621</v>
      </c>
      <c r="E6802">
        <v>0</v>
      </c>
      <c r="F6802">
        <v>0</v>
      </c>
      <c r="G6802" t="s">
        <v>12</v>
      </c>
      <c r="I6802" t="s">
        <v>1050</v>
      </c>
    </row>
    <row r="6803" spans="1:9" hidden="1" x14ac:dyDescent="0.25">
      <c r="A6803" t="s">
        <v>5469</v>
      </c>
      <c r="B6803" t="s">
        <v>822</v>
      </c>
      <c r="C6803" s="2">
        <f>HYPERLINK("https://cao.dolgi.msk.ru/account/1083395996/", 1083395996)</f>
        <v>1083395996</v>
      </c>
      <c r="D6803" t="s">
        <v>189</v>
      </c>
      <c r="E6803">
        <v>-3231.08</v>
      </c>
      <c r="F6803">
        <v>-1.18</v>
      </c>
      <c r="G6803" t="s">
        <v>12</v>
      </c>
      <c r="I6803" t="s">
        <v>1050</v>
      </c>
    </row>
    <row r="6804" spans="1:9" hidden="1" x14ac:dyDescent="0.25">
      <c r="A6804" t="s">
        <v>5469</v>
      </c>
      <c r="B6804" t="s">
        <v>822</v>
      </c>
      <c r="C6804" s="2">
        <f>HYPERLINK("https://cao.dolgi.msk.ru/account/1083396008/", 1083396008)</f>
        <v>1083396008</v>
      </c>
      <c r="D6804" t="s">
        <v>189</v>
      </c>
      <c r="E6804">
        <v>-1615.53</v>
      </c>
      <c r="F6804">
        <v>-1.18</v>
      </c>
      <c r="G6804" t="s">
        <v>12</v>
      </c>
      <c r="I6804" t="s">
        <v>1050</v>
      </c>
    </row>
    <row r="6805" spans="1:9" hidden="1" x14ac:dyDescent="0.25">
      <c r="A6805" t="s">
        <v>5469</v>
      </c>
      <c r="B6805" t="s">
        <v>824</v>
      </c>
      <c r="C6805" s="2">
        <f>HYPERLINK("https://cao.dolgi.msk.ru/account/1080299069/", 1080299069)</f>
        <v>1080299069</v>
      </c>
      <c r="D6805" t="s">
        <v>5622</v>
      </c>
      <c r="E6805">
        <v>-5201.9799999999996</v>
      </c>
      <c r="F6805">
        <v>-1.0900000000000001</v>
      </c>
      <c r="G6805" t="s">
        <v>12</v>
      </c>
      <c r="I6805" t="s">
        <v>1050</v>
      </c>
    </row>
    <row r="6806" spans="1:9" hidden="1" x14ac:dyDescent="0.25">
      <c r="A6806" t="s">
        <v>5469</v>
      </c>
      <c r="B6806" t="s">
        <v>826</v>
      </c>
      <c r="C6806" s="2">
        <f>HYPERLINK("https://cao.dolgi.msk.ru/account/1080299077/", 1080299077)</f>
        <v>1080299077</v>
      </c>
      <c r="D6806" t="s">
        <v>5623</v>
      </c>
      <c r="E6806">
        <v>-6691.5</v>
      </c>
      <c r="F6806">
        <v>-1.08</v>
      </c>
      <c r="G6806" t="s">
        <v>12</v>
      </c>
      <c r="I6806" t="s">
        <v>1050</v>
      </c>
    </row>
    <row r="6807" spans="1:9" hidden="1" x14ac:dyDescent="0.25">
      <c r="A6807" t="s">
        <v>5469</v>
      </c>
      <c r="B6807" t="s">
        <v>828</v>
      </c>
      <c r="C6807" s="2">
        <f>HYPERLINK("https://cao.dolgi.msk.ru/account/1080299085/", 1080299085)</f>
        <v>1080299085</v>
      </c>
      <c r="D6807" t="s">
        <v>5624</v>
      </c>
      <c r="E6807">
        <v>-598.30999999999995</v>
      </c>
      <c r="F6807">
        <v>-0.1</v>
      </c>
      <c r="G6807" t="s">
        <v>12</v>
      </c>
      <c r="I6807" t="s">
        <v>1050</v>
      </c>
    </row>
    <row r="6808" spans="1:9" hidden="1" x14ac:dyDescent="0.25">
      <c r="A6808" t="s">
        <v>5469</v>
      </c>
      <c r="B6808" t="s">
        <v>830</v>
      </c>
      <c r="C6808" s="2">
        <f>HYPERLINK("https://cao.dolgi.msk.ru/account/1080299093/", 1080299093)</f>
        <v>1080299093</v>
      </c>
      <c r="D6808" t="s">
        <v>5625</v>
      </c>
      <c r="E6808">
        <v>9893.77</v>
      </c>
      <c r="F6808">
        <v>0.97</v>
      </c>
      <c r="G6808" t="s">
        <v>12</v>
      </c>
      <c r="I6808" t="s">
        <v>1050</v>
      </c>
    </row>
    <row r="6809" spans="1:9" hidden="1" x14ac:dyDescent="0.25">
      <c r="A6809" t="s">
        <v>5469</v>
      </c>
      <c r="B6809" t="s">
        <v>830</v>
      </c>
      <c r="C6809" s="2">
        <f>HYPERLINK("https://cao.dolgi.msk.ru/account/1080299106/", 1080299106)</f>
        <v>1080299106</v>
      </c>
      <c r="D6809" t="s">
        <v>5626</v>
      </c>
      <c r="E6809">
        <v>0</v>
      </c>
      <c r="G6809" t="s">
        <v>14</v>
      </c>
      <c r="I6809" t="s">
        <v>1050</v>
      </c>
    </row>
    <row r="6810" spans="1:9" hidden="1" x14ac:dyDescent="0.25">
      <c r="A6810" t="s">
        <v>5469</v>
      </c>
      <c r="B6810" t="s">
        <v>830</v>
      </c>
      <c r="C6810" s="2">
        <f>HYPERLINK("https://cao.dolgi.msk.ru/account/1080325722/", 1080325722)</f>
        <v>1080325722</v>
      </c>
      <c r="D6810" t="s">
        <v>5626</v>
      </c>
      <c r="E6810">
        <v>0</v>
      </c>
      <c r="G6810" t="s">
        <v>14</v>
      </c>
      <c r="I6810" t="s">
        <v>1050</v>
      </c>
    </row>
    <row r="6811" spans="1:9" hidden="1" x14ac:dyDescent="0.25">
      <c r="A6811" t="s">
        <v>5469</v>
      </c>
      <c r="B6811" t="s">
        <v>830</v>
      </c>
      <c r="C6811" s="2">
        <f>HYPERLINK("https://cao.dolgi.msk.ru/account/1083272013/", 1083272013)</f>
        <v>1083272013</v>
      </c>
      <c r="D6811" t="s">
        <v>5626</v>
      </c>
      <c r="E6811">
        <v>112.28</v>
      </c>
      <c r="G6811" t="s">
        <v>14</v>
      </c>
      <c r="I6811" t="s">
        <v>1050</v>
      </c>
    </row>
    <row r="6812" spans="1:9" hidden="1" x14ac:dyDescent="0.25">
      <c r="A6812" t="s">
        <v>5469</v>
      </c>
      <c r="B6812" t="s">
        <v>830</v>
      </c>
      <c r="C6812" s="2">
        <f>HYPERLINK("https://cao.dolgi.msk.ru/account/1083273315/", 1083273315)</f>
        <v>1083273315</v>
      </c>
      <c r="D6812" t="s">
        <v>5626</v>
      </c>
      <c r="E6812">
        <v>0</v>
      </c>
      <c r="G6812" t="s">
        <v>14</v>
      </c>
      <c r="I6812" t="s">
        <v>1050</v>
      </c>
    </row>
    <row r="6813" spans="1:9" hidden="1" x14ac:dyDescent="0.25">
      <c r="A6813" t="s">
        <v>5469</v>
      </c>
      <c r="B6813" t="s">
        <v>831</v>
      </c>
      <c r="C6813" s="2">
        <f>HYPERLINK("https://cao.dolgi.msk.ru/account/1080299114/", 1080299114)</f>
        <v>1080299114</v>
      </c>
      <c r="D6813" t="s">
        <v>5627</v>
      </c>
      <c r="E6813">
        <v>-3542.5</v>
      </c>
      <c r="F6813">
        <v>-1.1599999999999999</v>
      </c>
      <c r="G6813" t="s">
        <v>12</v>
      </c>
      <c r="I6813" t="s">
        <v>1050</v>
      </c>
    </row>
    <row r="6814" spans="1:9" hidden="1" x14ac:dyDescent="0.25">
      <c r="A6814" t="s">
        <v>5469</v>
      </c>
      <c r="B6814" t="s">
        <v>833</v>
      </c>
      <c r="C6814" s="2">
        <f>HYPERLINK("https://cao.dolgi.msk.ru/account/1080299122/", 1080299122)</f>
        <v>1080299122</v>
      </c>
      <c r="D6814" t="s">
        <v>5628</v>
      </c>
      <c r="E6814">
        <v>-77.599999999999994</v>
      </c>
      <c r="F6814">
        <v>-0.01</v>
      </c>
      <c r="G6814" t="s">
        <v>12</v>
      </c>
      <c r="I6814" t="s">
        <v>1050</v>
      </c>
    </row>
    <row r="6815" spans="1:9" hidden="1" x14ac:dyDescent="0.25">
      <c r="A6815" t="s">
        <v>5469</v>
      </c>
      <c r="B6815" t="s">
        <v>835</v>
      </c>
      <c r="C6815" s="2">
        <f>HYPERLINK("https://cao.dolgi.msk.ru/account/1080299149/", 1080299149)</f>
        <v>1080299149</v>
      </c>
      <c r="D6815" t="s">
        <v>5629</v>
      </c>
      <c r="E6815">
        <v>16.47</v>
      </c>
      <c r="F6815">
        <v>0</v>
      </c>
      <c r="G6815" t="s">
        <v>12</v>
      </c>
      <c r="I6815" t="s">
        <v>1050</v>
      </c>
    </row>
    <row r="6816" spans="1:9" hidden="1" x14ac:dyDescent="0.25">
      <c r="A6816" t="s">
        <v>5469</v>
      </c>
      <c r="B6816" t="s">
        <v>837</v>
      </c>
      <c r="C6816" s="2">
        <f>HYPERLINK("https://cao.dolgi.msk.ru/account/1080299157/", 1080299157)</f>
        <v>1080299157</v>
      </c>
      <c r="D6816" t="s">
        <v>5630</v>
      </c>
      <c r="E6816">
        <v>-43.82</v>
      </c>
      <c r="F6816">
        <v>-0.01</v>
      </c>
      <c r="G6816" t="s">
        <v>12</v>
      </c>
      <c r="I6816" t="s">
        <v>1050</v>
      </c>
    </row>
    <row r="6817" spans="1:9" hidden="1" x14ac:dyDescent="0.25">
      <c r="A6817" t="s">
        <v>5469</v>
      </c>
      <c r="B6817" t="s">
        <v>838</v>
      </c>
      <c r="C6817" s="2">
        <f>HYPERLINK("https://cao.dolgi.msk.ru/account/1080299165/", 1080299165)</f>
        <v>1080299165</v>
      </c>
      <c r="D6817" t="s">
        <v>5631</v>
      </c>
      <c r="E6817">
        <v>-7541.59</v>
      </c>
      <c r="F6817">
        <v>-1.48</v>
      </c>
      <c r="G6817" t="s">
        <v>12</v>
      </c>
      <c r="I6817" t="s">
        <v>1050</v>
      </c>
    </row>
    <row r="6818" spans="1:9" hidden="1" x14ac:dyDescent="0.25">
      <c r="A6818" t="s">
        <v>5469</v>
      </c>
      <c r="B6818" t="s">
        <v>840</v>
      </c>
      <c r="C6818" s="2">
        <f>HYPERLINK("https://cao.dolgi.msk.ru/account/1080299173/", 1080299173)</f>
        <v>1080299173</v>
      </c>
      <c r="D6818" t="s">
        <v>5632</v>
      </c>
      <c r="E6818">
        <v>-1876.32</v>
      </c>
      <c r="F6818">
        <v>-1.19</v>
      </c>
      <c r="G6818" t="s">
        <v>12</v>
      </c>
      <c r="I6818" t="s">
        <v>1050</v>
      </c>
    </row>
    <row r="6819" spans="1:9" hidden="1" x14ac:dyDescent="0.25">
      <c r="A6819" t="s">
        <v>5469</v>
      </c>
      <c r="B6819" t="s">
        <v>840</v>
      </c>
      <c r="C6819" s="2">
        <f>HYPERLINK("https://cao.dolgi.msk.ru/account/1089125137/", 1089125137)</f>
        <v>1089125137</v>
      </c>
      <c r="D6819" t="s">
        <v>5633</v>
      </c>
      <c r="E6819">
        <v>-1440.18</v>
      </c>
      <c r="F6819">
        <v>-1.55</v>
      </c>
      <c r="G6819" t="s">
        <v>12</v>
      </c>
      <c r="I6819" t="s">
        <v>1050</v>
      </c>
    </row>
    <row r="6820" spans="1:9" hidden="1" x14ac:dyDescent="0.25">
      <c r="A6820" t="s">
        <v>5469</v>
      </c>
      <c r="B6820" t="s">
        <v>842</v>
      </c>
      <c r="C6820" s="2">
        <f>HYPERLINK("https://cao.dolgi.msk.ru/account/1080299181/", 1080299181)</f>
        <v>1080299181</v>
      </c>
      <c r="D6820" t="s">
        <v>5634</v>
      </c>
      <c r="E6820">
        <v>-10640.51</v>
      </c>
      <c r="F6820">
        <v>-1.19</v>
      </c>
      <c r="G6820" t="s">
        <v>12</v>
      </c>
      <c r="I6820" t="s">
        <v>1050</v>
      </c>
    </row>
    <row r="6821" spans="1:9" hidden="1" x14ac:dyDescent="0.25">
      <c r="A6821" t="s">
        <v>5635</v>
      </c>
      <c r="B6821" t="s">
        <v>10</v>
      </c>
      <c r="C6821" s="2">
        <f>HYPERLINK("https://cao.dolgi.msk.ru/account/1080299202/", 1080299202)</f>
        <v>1080299202</v>
      </c>
      <c r="D6821" t="s">
        <v>5636</v>
      </c>
      <c r="E6821">
        <v>-5295.18</v>
      </c>
      <c r="F6821">
        <v>-1.08</v>
      </c>
      <c r="G6821" t="s">
        <v>12</v>
      </c>
      <c r="I6821" t="s">
        <v>1050</v>
      </c>
    </row>
    <row r="6822" spans="1:9" hidden="1" x14ac:dyDescent="0.25">
      <c r="A6822" t="s">
        <v>5635</v>
      </c>
      <c r="B6822" t="s">
        <v>16</v>
      </c>
      <c r="C6822" s="2">
        <f>HYPERLINK("https://cao.dolgi.msk.ru/account/1080299229/", 1080299229)</f>
        <v>1080299229</v>
      </c>
      <c r="D6822" t="s">
        <v>5637</v>
      </c>
      <c r="E6822">
        <v>-3902.85</v>
      </c>
      <c r="F6822">
        <v>-1.1399999999999999</v>
      </c>
      <c r="G6822" t="s">
        <v>12</v>
      </c>
      <c r="I6822" t="s">
        <v>1050</v>
      </c>
    </row>
    <row r="6823" spans="1:9" x14ac:dyDescent="0.25">
      <c r="A6823" t="s">
        <v>5635</v>
      </c>
      <c r="B6823" t="s">
        <v>18</v>
      </c>
      <c r="C6823" s="2">
        <f>HYPERLINK("https://cao.dolgi.msk.ru/account/1080299237/", 1080299237)</f>
        <v>1080299237</v>
      </c>
      <c r="D6823" t="s">
        <v>5638</v>
      </c>
      <c r="E6823">
        <v>22118.79</v>
      </c>
      <c r="F6823">
        <v>2.89</v>
      </c>
      <c r="G6823" t="s">
        <v>12</v>
      </c>
      <c r="I6823" t="s">
        <v>1050</v>
      </c>
    </row>
    <row r="6824" spans="1:9" hidden="1" x14ac:dyDescent="0.25">
      <c r="A6824" t="s">
        <v>5635</v>
      </c>
      <c r="B6824" t="s">
        <v>18</v>
      </c>
      <c r="C6824" s="2">
        <f>HYPERLINK("https://cao.dolgi.msk.ru/account/1089122243/", 1089122243)</f>
        <v>1089122243</v>
      </c>
      <c r="D6824" t="s">
        <v>15</v>
      </c>
      <c r="E6824">
        <v>0</v>
      </c>
      <c r="G6824" t="s">
        <v>14</v>
      </c>
      <c r="I6824" t="s">
        <v>1050</v>
      </c>
    </row>
    <row r="6825" spans="1:9" hidden="1" x14ac:dyDescent="0.25">
      <c r="A6825" t="s">
        <v>5635</v>
      </c>
      <c r="B6825" t="s">
        <v>18</v>
      </c>
      <c r="C6825" s="2">
        <f>HYPERLINK("https://cao.dolgi.msk.ru/account/1089131334/", 1089131334)</f>
        <v>1089131334</v>
      </c>
      <c r="D6825" t="s">
        <v>15</v>
      </c>
      <c r="G6825" t="s">
        <v>14</v>
      </c>
      <c r="I6825" t="s">
        <v>1050</v>
      </c>
    </row>
    <row r="6826" spans="1:9" hidden="1" x14ac:dyDescent="0.25">
      <c r="A6826" t="s">
        <v>5635</v>
      </c>
      <c r="B6826" t="s">
        <v>20</v>
      </c>
      <c r="C6826" s="2">
        <f>HYPERLINK("https://cao.dolgi.msk.ru/account/1080299245/", 1080299245)</f>
        <v>1080299245</v>
      </c>
      <c r="D6826" t="s">
        <v>5639</v>
      </c>
      <c r="E6826">
        <v>-4078.43</v>
      </c>
      <c r="F6826">
        <v>-1.2</v>
      </c>
      <c r="G6826" t="s">
        <v>12</v>
      </c>
      <c r="I6826" t="s">
        <v>1050</v>
      </c>
    </row>
    <row r="6827" spans="1:9" hidden="1" x14ac:dyDescent="0.25">
      <c r="A6827" t="s">
        <v>5635</v>
      </c>
      <c r="B6827" t="s">
        <v>21</v>
      </c>
      <c r="C6827" s="2">
        <f>HYPERLINK("https://cao.dolgi.msk.ru/account/1080299253/", 1080299253)</f>
        <v>1080299253</v>
      </c>
      <c r="D6827" t="s">
        <v>5640</v>
      </c>
      <c r="E6827">
        <v>-3513.02</v>
      </c>
      <c r="F6827">
        <v>-1.32</v>
      </c>
      <c r="G6827" t="s">
        <v>12</v>
      </c>
      <c r="I6827" t="s">
        <v>1050</v>
      </c>
    </row>
    <row r="6828" spans="1:9" hidden="1" x14ac:dyDescent="0.25">
      <c r="A6828" t="s">
        <v>5635</v>
      </c>
      <c r="B6828" t="s">
        <v>22</v>
      </c>
      <c r="C6828" s="2">
        <f>HYPERLINK("https://cao.dolgi.msk.ru/account/1080299261/", 1080299261)</f>
        <v>1080299261</v>
      </c>
      <c r="D6828" t="s">
        <v>5641</v>
      </c>
      <c r="E6828">
        <v>-5305.38</v>
      </c>
      <c r="F6828">
        <v>-1.1599999999999999</v>
      </c>
      <c r="G6828" t="s">
        <v>12</v>
      </c>
      <c r="I6828" t="s">
        <v>1050</v>
      </c>
    </row>
    <row r="6829" spans="1:9" hidden="1" x14ac:dyDescent="0.25">
      <c r="A6829" t="s">
        <v>5635</v>
      </c>
      <c r="B6829" t="s">
        <v>23</v>
      </c>
      <c r="C6829" s="2">
        <f>HYPERLINK("https://cao.dolgi.msk.ru/account/1080299288/", 1080299288)</f>
        <v>1080299288</v>
      </c>
      <c r="D6829" t="s">
        <v>5642</v>
      </c>
      <c r="E6829">
        <v>-5828.39</v>
      </c>
      <c r="F6829">
        <v>-1.1000000000000001</v>
      </c>
      <c r="G6829" t="s">
        <v>12</v>
      </c>
      <c r="I6829" t="s">
        <v>1050</v>
      </c>
    </row>
    <row r="6830" spans="1:9" hidden="1" x14ac:dyDescent="0.25">
      <c r="A6830" t="s">
        <v>5635</v>
      </c>
      <c r="B6830" t="s">
        <v>24</v>
      </c>
      <c r="C6830" s="2">
        <f>HYPERLINK("https://cao.dolgi.msk.ru/account/1080299296/", 1080299296)</f>
        <v>1080299296</v>
      </c>
      <c r="D6830" t="s">
        <v>5643</v>
      </c>
      <c r="E6830">
        <v>-6344.32</v>
      </c>
      <c r="F6830">
        <v>-1.18</v>
      </c>
      <c r="G6830" t="s">
        <v>12</v>
      </c>
      <c r="I6830" t="s">
        <v>1050</v>
      </c>
    </row>
    <row r="6831" spans="1:9" hidden="1" x14ac:dyDescent="0.25">
      <c r="A6831" t="s">
        <v>5635</v>
      </c>
      <c r="B6831" t="s">
        <v>27</v>
      </c>
      <c r="C6831" s="2">
        <f>HYPERLINK("https://cao.dolgi.msk.ru/account/1080299309/", 1080299309)</f>
        <v>1080299309</v>
      </c>
      <c r="D6831" t="s">
        <v>5644</v>
      </c>
      <c r="E6831">
        <v>-3849.39</v>
      </c>
      <c r="F6831">
        <v>-1.29</v>
      </c>
      <c r="G6831" t="s">
        <v>12</v>
      </c>
      <c r="I6831" t="s">
        <v>1050</v>
      </c>
    </row>
    <row r="6832" spans="1:9" hidden="1" x14ac:dyDescent="0.25">
      <c r="A6832" t="s">
        <v>5635</v>
      </c>
      <c r="B6832" t="s">
        <v>29</v>
      </c>
      <c r="C6832" s="2">
        <f>HYPERLINK("https://cao.dolgi.msk.ru/account/1080299317/", 1080299317)</f>
        <v>1080299317</v>
      </c>
      <c r="D6832" t="s">
        <v>5645</v>
      </c>
      <c r="E6832">
        <v>-77.17</v>
      </c>
      <c r="F6832">
        <v>-0.04</v>
      </c>
      <c r="G6832" t="s">
        <v>12</v>
      </c>
      <c r="I6832" t="s">
        <v>1050</v>
      </c>
    </row>
    <row r="6833" spans="1:9" hidden="1" x14ac:dyDescent="0.25">
      <c r="A6833" t="s">
        <v>5635</v>
      </c>
      <c r="B6833" t="s">
        <v>31</v>
      </c>
      <c r="C6833" s="2">
        <f>HYPERLINK("https://cao.dolgi.msk.ru/account/1080299325/", 1080299325)</f>
        <v>1080299325</v>
      </c>
      <c r="D6833" t="s">
        <v>5646</v>
      </c>
      <c r="E6833">
        <v>58.2</v>
      </c>
      <c r="F6833">
        <v>0.01</v>
      </c>
      <c r="G6833" t="s">
        <v>12</v>
      </c>
      <c r="I6833" t="s">
        <v>1050</v>
      </c>
    </row>
    <row r="6834" spans="1:9" hidden="1" x14ac:dyDescent="0.25">
      <c r="A6834" t="s">
        <v>5635</v>
      </c>
      <c r="B6834" t="s">
        <v>33</v>
      </c>
      <c r="C6834" s="2">
        <f>HYPERLINK("https://cao.dolgi.msk.ru/account/1080299333/", 1080299333)</f>
        <v>1080299333</v>
      </c>
      <c r="D6834" t="s">
        <v>5647</v>
      </c>
      <c r="E6834">
        <v>-4430.97</v>
      </c>
      <c r="F6834">
        <v>-1.1100000000000001</v>
      </c>
      <c r="G6834" t="s">
        <v>12</v>
      </c>
      <c r="I6834" t="s">
        <v>1050</v>
      </c>
    </row>
    <row r="6835" spans="1:9" hidden="1" x14ac:dyDescent="0.25">
      <c r="A6835" t="s">
        <v>5635</v>
      </c>
      <c r="B6835" t="s">
        <v>34</v>
      </c>
      <c r="C6835" s="2">
        <f>HYPERLINK("https://cao.dolgi.msk.ru/account/1080299341/", 1080299341)</f>
        <v>1080299341</v>
      </c>
      <c r="D6835" t="s">
        <v>5648</v>
      </c>
      <c r="E6835">
        <v>718.1</v>
      </c>
      <c r="F6835">
        <v>0.22</v>
      </c>
      <c r="G6835" t="s">
        <v>12</v>
      </c>
      <c r="I6835" t="s">
        <v>1050</v>
      </c>
    </row>
    <row r="6836" spans="1:9" hidden="1" x14ac:dyDescent="0.25">
      <c r="A6836" t="s">
        <v>5635</v>
      </c>
      <c r="B6836" t="s">
        <v>36</v>
      </c>
      <c r="C6836" s="2">
        <f>HYPERLINK("https://cao.dolgi.msk.ru/account/1080299368/", 1080299368)</f>
        <v>1080299368</v>
      </c>
      <c r="D6836" t="s">
        <v>5649</v>
      </c>
      <c r="E6836">
        <v>-3524.95</v>
      </c>
      <c r="F6836">
        <v>-1.1399999999999999</v>
      </c>
      <c r="G6836" t="s">
        <v>12</v>
      </c>
      <c r="I6836" t="s">
        <v>1050</v>
      </c>
    </row>
    <row r="6837" spans="1:9" hidden="1" x14ac:dyDescent="0.25">
      <c r="A6837" t="s">
        <v>5635</v>
      </c>
      <c r="B6837" t="s">
        <v>38</v>
      </c>
      <c r="C6837" s="2">
        <f>HYPERLINK("https://cao.dolgi.msk.ru/account/1080299376/", 1080299376)</f>
        <v>1080299376</v>
      </c>
      <c r="D6837" t="s">
        <v>5650</v>
      </c>
      <c r="E6837">
        <v>-10566.41</v>
      </c>
      <c r="F6837">
        <v>-1.17</v>
      </c>
      <c r="G6837" t="s">
        <v>12</v>
      </c>
      <c r="I6837" t="s">
        <v>1050</v>
      </c>
    </row>
    <row r="6838" spans="1:9" hidden="1" x14ac:dyDescent="0.25">
      <c r="A6838" t="s">
        <v>5635</v>
      </c>
      <c r="B6838" t="s">
        <v>39</v>
      </c>
      <c r="C6838" s="2">
        <f>HYPERLINK("https://cao.dolgi.msk.ru/account/1080299384/", 1080299384)</f>
        <v>1080299384</v>
      </c>
      <c r="D6838" t="s">
        <v>5651</v>
      </c>
      <c r="E6838">
        <v>-933.01</v>
      </c>
      <c r="F6838">
        <v>-0.12</v>
      </c>
      <c r="G6838" t="s">
        <v>12</v>
      </c>
      <c r="I6838" t="s">
        <v>1050</v>
      </c>
    </row>
    <row r="6839" spans="1:9" hidden="1" x14ac:dyDescent="0.25">
      <c r="A6839" t="s">
        <v>5635</v>
      </c>
      <c r="B6839" t="s">
        <v>40</v>
      </c>
      <c r="C6839" s="2">
        <f>HYPERLINK("https://cao.dolgi.msk.ru/account/1080299392/", 1080299392)</f>
        <v>1080299392</v>
      </c>
      <c r="D6839" t="s">
        <v>5652</v>
      </c>
      <c r="E6839">
        <v>-2066.11</v>
      </c>
      <c r="F6839">
        <v>-1.1299999999999999</v>
      </c>
      <c r="G6839" t="s">
        <v>12</v>
      </c>
      <c r="I6839" t="s">
        <v>1050</v>
      </c>
    </row>
    <row r="6840" spans="1:9" hidden="1" x14ac:dyDescent="0.25">
      <c r="A6840" t="s">
        <v>5635</v>
      </c>
      <c r="B6840" t="s">
        <v>41</v>
      </c>
      <c r="C6840" s="2">
        <f>HYPERLINK("https://cao.dolgi.msk.ru/account/1080299405/", 1080299405)</f>
        <v>1080299405</v>
      </c>
      <c r="D6840" t="s">
        <v>5653</v>
      </c>
      <c r="E6840">
        <v>3.62</v>
      </c>
      <c r="F6840">
        <v>0</v>
      </c>
      <c r="G6840" t="s">
        <v>12</v>
      </c>
      <c r="I6840" t="s">
        <v>1050</v>
      </c>
    </row>
    <row r="6841" spans="1:9" hidden="1" x14ac:dyDescent="0.25">
      <c r="A6841" t="s">
        <v>5635</v>
      </c>
      <c r="B6841" t="s">
        <v>42</v>
      </c>
      <c r="C6841" s="2">
        <f>HYPERLINK("https://cao.dolgi.msk.ru/account/1080299413/", 1080299413)</f>
        <v>1080299413</v>
      </c>
      <c r="D6841" t="s">
        <v>5654</v>
      </c>
      <c r="E6841">
        <v>-6003.28</v>
      </c>
      <c r="F6841">
        <v>-1.27</v>
      </c>
      <c r="G6841" t="s">
        <v>12</v>
      </c>
      <c r="I6841" t="s">
        <v>1050</v>
      </c>
    </row>
    <row r="6842" spans="1:9" hidden="1" x14ac:dyDescent="0.25">
      <c r="A6842" t="s">
        <v>5635</v>
      </c>
      <c r="B6842" t="s">
        <v>44</v>
      </c>
      <c r="C6842" s="2">
        <f>HYPERLINK("https://cao.dolgi.msk.ru/account/1080299421/", 1080299421)</f>
        <v>1080299421</v>
      </c>
      <c r="D6842" t="s">
        <v>5655</v>
      </c>
      <c r="E6842">
        <v>-7531.02</v>
      </c>
      <c r="F6842">
        <v>-1.1000000000000001</v>
      </c>
      <c r="G6842" t="s">
        <v>12</v>
      </c>
      <c r="I6842" t="s">
        <v>1050</v>
      </c>
    </row>
    <row r="6843" spans="1:9" hidden="1" x14ac:dyDescent="0.25">
      <c r="A6843" t="s">
        <v>5635</v>
      </c>
      <c r="B6843" t="s">
        <v>66</v>
      </c>
      <c r="C6843" s="2">
        <f>HYPERLINK("https://cao.dolgi.msk.ru/account/1080299448/", 1080299448)</f>
        <v>1080299448</v>
      </c>
      <c r="D6843" t="s">
        <v>5656</v>
      </c>
      <c r="E6843">
        <v>2762.44</v>
      </c>
      <c r="F6843">
        <v>0.79</v>
      </c>
      <c r="G6843" t="s">
        <v>12</v>
      </c>
      <c r="I6843" t="s">
        <v>1050</v>
      </c>
    </row>
    <row r="6844" spans="1:9" hidden="1" x14ac:dyDescent="0.25">
      <c r="A6844" t="s">
        <v>5635</v>
      </c>
      <c r="B6844" t="s">
        <v>68</v>
      </c>
      <c r="C6844" s="2">
        <f>HYPERLINK("https://cao.dolgi.msk.ru/account/1080299456/", 1080299456)</f>
        <v>1080299456</v>
      </c>
      <c r="D6844" t="s">
        <v>5657</v>
      </c>
      <c r="E6844">
        <v>0</v>
      </c>
      <c r="F6844">
        <v>0</v>
      </c>
      <c r="G6844" t="s">
        <v>12</v>
      </c>
      <c r="I6844" t="s">
        <v>1050</v>
      </c>
    </row>
    <row r="6845" spans="1:9" hidden="1" x14ac:dyDescent="0.25">
      <c r="A6845" t="s">
        <v>5635</v>
      </c>
      <c r="B6845" t="s">
        <v>70</v>
      </c>
      <c r="C6845" s="2">
        <f>HYPERLINK("https://cao.dolgi.msk.ru/account/1080299464/", 1080299464)</f>
        <v>1080299464</v>
      </c>
      <c r="D6845" t="s">
        <v>5658</v>
      </c>
      <c r="E6845">
        <v>-6768.09</v>
      </c>
      <c r="F6845">
        <v>-1.19</v>
      </c>
      <c r="G6845" t="s">
        <v>12</v>
      </c>
      <c r="I6845" t="s">
        <v>1050</v>
      </c>
    </row>
    <row r="6846" spans="1:9" hidden="1" x14ac:dyDescent="0.25">
      <c r="A6846" t="s">
        <v>5635</v>
      </c>
      <c r="B6846" t="s">
        <v>72</v>
      </c>
      <c r="C6846" s="2">
        <f>HYPERLINK("https://cao.dolgi.msk.ru/account/1080299472/", 1080299472)</f>
        <v>1080299472</v>
      </c>
      <c r="D6846" t="s">
        <v>5659</v>
      </c>
      <c r="E6846">
        <v>4.1399999999999997</v>
      </c>
      <c r="F6846">
        <v>0</v>
      </c>
      <c r="G6846" t="s">
        <v>12</v>
      </c>
      <c r="I6846" t="s">
        <v>1050</v>
      </c>
    </row>
    <row r="6847" spans="1:9" hidden="1" x14ac:dyDescent="0.25">
      <c r="A6847" t="s">
        <v>5635</v>
      </c>
      <c r="B6847" t="s">
        <v>74</v>
      </c>
      <c r="C6847" s="2">
        <f>HYPERLINK("https://cao.dolgi.msk.ru/account/1080299499/", 1080299499)</f>
        <v>1080299499</v>
      </c>
      <c r="D6847" t="s">
        <v>5660</v>
      </c>
      <c r="E6847">
        <v>0.02</v>
      </c>
      <c r="F6847">
        <v>0</v>
      </c>
      <c r="G6847" t="s">
        <v>12</v>
      </c>
      <c r="I6847" t="s">
        <v>1050</v>
      </c>
    </row>
    <row r="6848" spans="1:9" hidden="1" x14ac:dyDescent="0.25">
      <c r="A6848" t="s">
        <v>5635</v>
      </c>
      <c r="B6848" t="s">
        <v>76</v>
      </c>
      <c r="C6848" s="2">
        <f>HYPERLINK("https://cao.dolgi.msk.ru/account/1080299501/", 1080299501)</f>
        <v>1080299501</v>
      </c>
      <c r="D6848" t="s">
        <v>5661</v>
      </c>
      <c r="E6848">
        <v>-1220.1600000000001</v>
      </c>
      <c r="F6848">
        <v>-0.31</v>
      </c>
      <c r="G6848" t="s">
        <v>12</v>
      </c>
      <c r="I6848" t="s">
        <v>1050</v>
      </c>
    </row>
    <row r="6849" spans="1:9" hidden="1" x14ac:dyDescent="0.25">
      <c r="A6849" t="s">
        <v>5635</v>
      </c>
      <c r="B6849" t="s">
        <v>78</v>
      </c>
      <c r="C6849" s="2">
        <f>HYPERLINK("https://cao.dolgi.msk.ru/account/1080299528/", 1080299528)</f>
        <v>1080299528</v>
      </c>
      <c r="D6849" t="s">
        <v>5662</v>
      </c>
      <c r="E6849">
        <v>-8710.42</v>
      </c>
      <c r="F6849">
        <v>-1.1100000000000001</v>
      </c>
      <c r="G6849" t="s">
        <v>12</v>
      </c>
      <c r="I6849" t="s">
        <v>1050</v>
      </c>
    </row>
    <row r="6850" spans="1:9" hidden="1" x14ac:dyDescent="0.25">
      <c r="A6850" t="s">
        <v>5635</v>
      </c>
      <c r="B6850" t="s">
        <v>80</v>
      </c>
      <c r="C6850" s="2">
        <f>HYPERLINK("https://cao.dolgi.msk.ru/account/1080299536/", 1080299536)</f>
        <v>1080299536</v>
      </c>
      <c r="D6850" t="s">
        <v>5663</v>
      </c>
      <c r="E6850">
        <v>-2817.96</v>
      </c>
      <c r="F6850">
        <v>-1.04</v>
      </c>
      <c r="G6850" t="s">
        <v>12</v>
      </c>
      <c r="I6850" t="s">
        <v>1050</v>
      </c>
    </row>
    <row r="6851" spans="1:9" hidden="1" x14ac:dyDescent="0.25">
      <c r="A6851" t="s">
        <v>5635</v>
      </c>
      <c r="B6851" t="s">
        <v>82</v>
      </c>
      <c r="C6851" s="2">
        <f>HYPERLINK("https://cao.dolgi.msk.ru/account/1080299544/", 1080299544)</f>
        <v>1080299544</v>
      </c>
      <c r="D6851" t="s">
        <v>5664</v>
      </c>
      <c r="E6851">
        <v>-4357.22</v>
      </c>
      <c r="F6851">
        <v>-1.18</v>
      </c>
      <c r="G6851" t="s">
        <v>12</v>
      </c>
      <c r="I6851" t="s">
        <v>1050</v>
      </c>
    </row>
    <row r="6852" spans="1:9" hidden="1" x14ac:dyDescent="0.25">
      <c r="A6852" t="s">
        <v>5635</v>
      </c>
      <c r="B6852" t="s">
        <v>84</v>
      </c>
      <c r="C6852" s="2">
        <f>HYPERLINK("https://cao.dolgi.msk.ru/account/1080299552/", 1080299552)</f>
        <v>1080299552</v>
      </c>
      <c r="D6852" t="s">
        <v>5665</v>
      </c>
      <c r="E6852">
        <v>-4552.47</v>
      </c>
      <c r="F6852">
        <v>-1.18</v>
      </c>
      <c r="G6852" t="s">
        <v>12</v>
      </c>
      <c r="I6852" t="s">
        <v>1050</v>
      </c>
    </row>
    <row r="6853" spans="1:9" hidden="1" x14ac:dyDescent="0.25">
      <c r="A6853" t="s">
        <v>5635</v>
      </c>
      <c r="B6853" t="s">
        <v>86</v>
      </c>
      <c r="C6853" s="2">
        <f>HYPERLINK("https://cao.dolgi.msk.ru/account/1080299579/", 1080299579)</f>
        <v>1080299579</v>
      </c>
      <c r="D6853" t="s">
        <v>5666</v>
      </c>
      <c r="E6853">
        <v>237.49</v>
      </c>
      <c r="F6853">
        <v>0.04</v>
      </c>
      <c r="G6853" t="s">
        <v>12</v>
      </c>
      <c r="I6853" t="s">
        <v>1050</v>
      </c>
    </row>
    <row r="6854" spans="1:9" hidden="1" x14ac:dyDescent="0.25">
      <c r="A6854" t="s">
        <v>5635</v>
      </c>
      <c r="B6854" t="s">
        <v>88</v>
      </c>
      <c r="C6854" s="2">
        <f>HYPERLINK("https://cao.dolgi.msk.ru/account/1080299587/", 1080299587)</f>
        <v>1080299587</v>
      </c>
      <c r="D6854" t="s">
        <v>5667</v>
      </c>
      <c r="E6854">
        <v>-6545.48</v>
      </c>
      <c r="F6854">
        <v>-1.36</v>
      </c>
      <c r="G6854" t="s">
        <v>12</v>
      </c>
      <c r="I6854" t="s">
        <v>1050</v>
      </c>
    </row>
    <row r="6855" spans="1:9" hidden="1" x14ac:dyDescent="0.25">
      <c r="A6855" t="s">
        <v>5635</v>
      </c>
      <c r="B6855" t="s">
        <v>90</v>
      </c>
      <c r="C6855" s="2">
        <f>HYPERLINK("https://cao.dolgi.msk.ru/account/1080299595/", 1080299595)</f>
        <v>1080299595</v>
      </c>
      <c r="D6855" t="s">
        <v>5668</v>
      </c>
      <c r="E6855">
        <v>-4348.6899999999996</v>
      </c>
      <c r="F6855">
        <v>-1.17</v>
      </c>
      <c r="G6855" t="s">
        <v>12</v>
      </c>
      <c r="I6855" t="s">
        <v>1050</v>
      </c>
    </row>
    <row r="6856" spans="1:9" hidden="1" x14ac:dyDescent="0.25">
      <c r="A6856" t="s">
        <v>5635</v>
      </c>
      <c r="B6856" t="s">
        <v>92</v>
      </c>
      <c r="C6856" s="2">
        <f>HYPERLINK("https://cao.dolgi.msk.ru/account/1080299608/", 1080299608)</f>
        <v>1080299608</v>
      </c>
      <c r="D6856" t="s">
        <v>5669</v>
      </c>
      <c r="E6856">
        <v>-3589.25</v>
      </c>
      <c r="F6856">
        <v>-1.36</v>
      </c>
      <c r="G6856" t="s">
        <v>12</v>
      </c>
      <c r="I6856" t="s">
        <v>1050</v>
      </c>
    </row>
    <row r="6857" spans="1:9" hidden="1" x14ac:dyDescent="0.25">
      <c r="A6857" t="s">
        <v>5635</v>
      </c>
      <c r="B6857" t="s">
        <v>94</v>
      </c>
      <c r="C6857" s="2">
        <f>HYPERLINK("https://cao.dolgi.msk.ru/account/1080299616/", 1080299616)</f>
        <v>1080299616</v>
      </c>
      <c r="D6857" t="s">
        <v>5670</v>
      </c>
      <c r="E6857">
        <v>-3995.57</v>
      </c>
      <c r="F6857">
        <v>-1.1499999999999999</v>
      </c>
      <c r="G6857" t="s">
        <v>12</v>
      </c>
      <c r="I6857" t="s">
        <v>1050</v>
      </c>
    </row>
    <row r="6858" spans="1:9" hidden="1" x14ac:dyDescent="0.25">
      <c r="A6858" t="s">
        <v>5635</v>
      </c>
      <c r="B6858" t="s">
        <v>96</v>
      </c>
      <c r="C6858" s="2">
        <f>HYPERLINK("https://cao.dolgi.msk.ru/account/1080299624/", 1080299624)</f>
        <v>1080299624</v>
      </c>
      <c r="D6858" t="s">
        <v>5671</v>
      </c>
      <c r="E6858">
        <v>0</v>
      </c>
      <c r="F6858">
        <v>0</v>
      </c>
      <c r="G6858" t="s">
        <v>12</v>
      </c>
      <c r="I6858" t="s">
        <v>1050</v>
      </c>
    </row>
    <row r="6859" spans="1:9" x14ac:dyDescent="0.25">
      <c r="A6859" t="s">
        <v>5635</v>
      </c>
      <c r="B6859" t="s">
        <v>98</v>
      </c>
      <c r="C6859" s="2">
        <f>HYPERLINK("https://cao.dolgi.msk.ru/account/1080299632/", 1080299632)</f>
        <v>1080299632</v>
      </c>
      <c r="D6859" t="s">
        <v>5672</v>
      </c>
      <c r="E6859">
        <v>16125.38</v>
      </c>
      <c r="F6859">
        <v>2.56</v>
      </c>
      <c r="G6859" t="s">
        <v>12</v>
      </c>
      <c r="I6859" t="s">
        <v>1050</v>
      </c>
    </row>
    <row r="6860" spans="1:9" hidden="1" x14ac:dyDescent="0.25">
      <c r="A6860" t="s">
        <v>5635</v>
      </c>
      <c r="B6860" t="s">
        <v>100</v>
      </c>
      <c r="C6860" s="2">
        <f>HYPERLINK("https://cao.dolgi.msk.ru/account/1080299659/", 1080299659)</f>
        <v>1080299659</v>
      </c>
      <c r="D6860" t="s">
        <v>5673</v>
      </c>
      <c r="E6860">
        <v>-1042.21</v>
      </c>
      <c r="F6860">
        <v>-0.21</v>
      </c>
      <c r="G6860" t="s">
        <v>12</v>
      </c>
      <c r="I6860" t="s">
        <v>1050</v>
      </c>
    </row>
    <row r="6861" spans="1:9" hidden="1" x14ac:dyDescent="0.25">
      <c r="A6861" t="s">
        <v>5635</v>
      </c>
      <c r="B6861" t="s">
        <v>102</v>
      </c>
      <c r="C6861" s="2">
        <f>HYPERLINK("https://cao.dolgi.msk.ru/account/1080299667/", 1080299667)</f>
        <v>1080299667</v>
      </c>
      <c r="D6861" t="s">
        <v>5674</v>
      </c>
      <c r="E6861">
        <v>-6882.82</v>
      </c>
      <c r="F6861">
        <v>-1.1000000000000001</v>
      </c>
      <c r="G6861" t="s">
        <v>12</v>
      </c>
      <c r="I6861" t="s">
        <v>1050</v>
      </c>
    </row>
    <row r="6862" spans="1:9" x14ac:dyDescent="0.25">
      <c r="A6862" t="s">
        <v>5635</v>
      </c>
      <c r="B6862" t="s">
        <v>104</v>
      </c>
      <c r="C6862" s="2">
        <f>HYPERLINK("https://cao.dolgi.msk.ru/account/1080299675/", 1080299675)</f>
        <v>1080299675</v>
      </c>
      <c r="D6862" t="s">
        <v>5675</v>
      </c>
      <c r="E6862">
        <v>8505.27</v>
      </c>
      <c r="F6862">
        <v>2.0099999999999998</v>
      </c>
      <c r="G6862" t="s">
        <v>12</v>
      </c>
      <c r="I6862" t="s">
        <v>1050</v>
      </c>
    </row>
    <row r="6863" spans="1:9" hidden="1" x14ac:dyDescent="0.25">
      <c r="A6863" t="s">
        <v>5635</v>
      </c>
      <c r="B6863" t="s">
        <v>106</v>
      </c>
      <c r="C6863" s="2">
        <f>HYPERLINK("https://cao.dolgi.msk.ru/account/1080299683/", 1080299683)</f>
        <v>1080299683</v>
      </c>
      <c r="D6863" t="s">
        <v>15</v>
      </c>
      <c r="E6863">
        <v>-5891.7</v>
      </c>
      <c r="F6863">
        <v>-1.22</v>
      </c>
      <c r="G6863" t="s">
        <v>12</v>
      </c>
      <c r="I6863" t="s">
        <v>1050</v>
      </c>
    </row>
    <row r="6864" spans="1:9" hidden="1" x14ac:dyDescent="0.25">
      <c r="A6864" t="s">
        <v>5635</v>
      </c>
      <c r="B6864" t="s">
        <v>108</v>
      </c>
      <c r="C6864" s="2">
        <f>HYPERLINK("https://cao.dolgi.msk.ru/account/1080299691/", 1080299691)</f>
        <v>1080299691</v>
      </c>
      <c r="D6864" t="s">
        <v>5676</v>
      </c>
      <c r="E6864">
        <v>-5710.26</v>
      </c>
      <c r="F6864">
        <v>-1.1399999999999999</v>
      </c>
      <c r="G6864" t="s">
        <v>12</v>
      </c>
      <c r="I6864" t="s">
        <v>1050</v>
      </c>
    </row>
    <row r="6865" spans="1:9" hidden="1" x14ac:dyDescent="0.25">
      <c r="A6865" t="s">
        <v>5635</v>
      </c>
      <c r="B6865" t="s">
        <v>110</v>
      </c>
      <c r="C6865" s="2">
        <f>HYPERLINK("https://cao.dolgi.msk.ru/account/1080299704/", 1080299704)</f>
        <v>1080299704</v>
      </c>
      <c r="D6865" t="s">
        <v>5677</v>
      </c>
      <c r="E6865">
        <v>-3866.36</v>
      </c>
      <c r="F6865">
        <v>-0.88</v>
      </c>
      <c r="G6865" t="s">
        <v>12</v>
      </c>
      <c r="I6865" t="s">
        <v>1050</v>
      </c>
    </row>
    <row r="6866" spans="1:9" hidden="1" x14ac:dyDescent="0.25">
      <c r="A6866" t="s">
        <v>5635</v>
      </c>
      <c r="B6866" t="s">
        <v>112</v>
      </c>
      <c r="C6866" s="2">
        <f>HYPERLINK("https://cao.dolgi.msk.ru/account/1080299712/", 1080299712)</f>
        <v>1080299712</v>
      </c>
      <c r="D6866" t="s">
        <v>5678</v>
      </c>
      <c r="E6866">
        <v>-5833.76</v>
      </c>
      <c r="F6866">
        <v>-1.05</v>
      </c>
      <c r="G6866" t="s">
        <v>12</v>
      </c>
      <c r="I6866" t="s">
        <v>1050</v>
      </c>
    </row>
    <row r="6867" spans="1:9" hidden="1" x14ac:dyDescent="0.25">
      <c r="A6867" t="s">
        <v>5635</v>
      </c>
      <c r="B6867" t="s">
        <v>114</v>
      </c>
      <c r="C6867" s="2">
        <f>HYPERLINK("https://cao.dolgi.msk.ru/account/1080299739/", 1080299739)</f>
        <v>1080299739</v>
      </c>
      <c r="D6867" t="s">
        <v>5679</v>
      </c>
      <c r="E6867">
        <v>-509.46</v>
      </c>
      <c r="F6867">
        <v>-0.12</v>
      </c>
      <c r="G6867" t="s">
        <v>12</v>
      </c>
      <c r="I6867" t="s">
        <v>1050</v>
      </c>
    </row>
    <row r="6868" spans="1:9" hidden="1" x14ac:dyDescent="0.25">
      <c r="A6868" t="s">
        <v>5635</v>
      </c>
      <c r="B6868" t="s">
        <v>116</v>
      </c>
      <c r="C6868" s="2">
        <f>HYPERLINK("https://cao.dolgi.msk.ru/account/1080299747/", 1080299747)</f>
        <v>1080299747</v>
      </c>
      <c r="D6868" t="s">
        <v>5680</v>
      </c>
      <c r="E6868">
        <v>-2489.66</v>
      </c>
      <c r="F6868">
        <v>-1.04</v>
      </c>
      <c r="G6868" t="s">
        <v>12</v>
      </c>
      <c r="I6868" t="s">
        <v>1050</v>
      </c>
    </row>
    <row r="6869" spans="1:9" hidden="1" x14ac:dyDescent="0.25">
      <c r="A6869" t="s">
        <v>5635</v>
      </c>
      <c r="B6869" t="s">
        <v>118</v>
      </c>
      <c r="C6869" s="2">
        <f>HYPERLINK("https://cao.dolgi.msk.ru/account/1080299755/", 1080299755)</f>
        <v>1080299755</v>
      </c>
      <c r="D6869" t="s">
        <v>5681</v>
      </c>
      <c r="E6869">
        <v>0</v>
      </c>
      <c r="F6869">
        <v>0</v>
      </c>
      <c r="G6869" t="s">
        <v>12</v>
      </c>
      <c r="I6869" t="s">
        <v>1050</v>
      </c>
    </row>
    <row r="6870" spans="1:9" hidden="1" x14ac:dyDescent="0.25">
      <c r="A6870" t="s">
        <v>5635</v>
      </c>
      <c r="B6870" t="s">
        <v>120</v>
      </c>
      <c r="C6870" s="2">
        <f>HYPERLINK("https://cao.dolgi.msk.ru/account/1080299763/", 1080299763)</f>
        <v>1080299763</v>
      </c>
      <c r="D6870" t="s">
        <v>5682</v>
      </c>
      <c r="E6870">
        <v>0</v>
      </c>
      <c r="F6870">
        <v>0</v>
      </c>
      <c r="G6870" t="s">
        <v>12</v>
      </c>
      <c r="I6870" t="s">
        <v>1050</v>
      </c>
    </row>
    <row r="6871" spans="1:9" hidden="1" x14ac:dyDescent="0.25">
      <c r="A6871" t="s">
        <v>5635</v>
      </c>
      <c r="B6871" t="s">
        <v>122</v>
      </c>
      <c r="C6871" s="2">
        <f>HYPERLINK("https://cao.dolgi.msk.ru/account/1080299771/", 1080299771)</f>
        <v>1080299771</v>
      </c>
      <c r="D6871" t="s">
        <v>5683</v>
      </c>
      <c r="E6871">
        <v>-4744.34</v>
      </c>
      <c r="F6871">
        <v>-1.1299999999999999</v>
      </c>
      <c r="G6871" t="s">
        <v>12</v>
      </c>
      <c r="I6871" t="s">
        <v>1050</v>
      </c>
    </row>
    <row r="6872" spans="1:9" hidden="1" x14ac:dyDescent="0.25">
      <c r="A6872" t="s">
        <v>5635</v>
      </c>
      <c r="B6872" t="s">
        <v>124</v>
      </c>
      <c r="C6872" s="2">
        <f>HYPERLINK("https://cao.dolgi.msk.ru/account/1080299798/", 1080299798)</f>
        <v>1080299798</v>
      </c>
      <c r="D6872" t="s">
        <v>5684</v>
      </c>
      <c r="E6872">
        <v>-7554.19</v>
      </c>
      <c r="F6872">
        <v>-1.0900000000000001</v>
      </c>
      <c r="G6872" t="s">
        <v>12</v>
      </c>
      <c r="I6872" t="s">
        <v>1050</v>
      </c>
    </row>
    <row r="6873" spans="1:9" hidden="1" x14ac:dyDescent="0.25">
      <c r="A6873" t="s">
        <v>5635</v>
      </c>
      <c r="B6873" t="s">
        <v>126</v>
      </c>
      <c r="C6873" s="2">
        <f>HYPERLINK("https://cao.dolgi.msk.ru/account/1080299819/", 1080299819)</f>
        <v>1080299819</v>
      </c>
      <c r="D6873" t="s">
        <v>5685</v>
      </c>
      <c r="E6873">
        <v>-4880.01</v>
      </c>
      <c r="F6873">
        <v>-1.2</v>
      </c>
      <c r="G6873" t="s">
        <v>12</v>
      </c>
      <c r="I6873" t="s">
        <v>1050</v>
      </c>
    </row>
    <row r="6874" spans="1:9" hidden="1" x14ac:dyDescent="0.25">
      <c r="A6874" t="s">
        <v>5635</v>
      </c>
      <c r="B6874" t="s">
        <v>128</v>
      </c>
      <c r="C6874" s="2">
        <f>HYPERLINK("https://cao.dolgi.msk.ru/account/1080299827/", 1080299827)</f>
        <v>1080299827</v>
      </c>
      <c r="D6874" t="s">
        <v>5686</v>
      </c>
      <c r="E6874">
        <v>-10742.57</v>
      </c>
      <c r="F6874">
        <v>-2.36</v>
      </c>
      <c r="G6874" t="s">
        <v>12</v>
      </c>
      <c r="I6874" t="s">
        <v>1050</v>
      </c>
    </row>
    <row r="6875" spans="1:9" hidden="1" x14ac:dyDescent="0.25">
      <c r="A6875" t="s">
        <v>5635</v>
      </c>
      <c r="B6875" t="s">
        <v>130</v>
      </c>
      <c r="C6875" s="2">
        <f>HYPERLINK("https://cao.dolgi.msk.ru/account/1080299835/", 1080299835)</f>
        <v>1080299835</v>
      </c>
      <c r="D6875" t="s">
        <v>5687</v>
      </c>
      <c r="E6875">
        <v>3971.44</v>
      </c>
      <c r="F6875">
        <v>0.69</v>
      </c>
      <c r="G6875" t="s">
        <v>12</v>
      </c>
      <c r="I6875" t="s">
        <v>1050</v>
      </c>
    </row>
    <row r="6876" spans="1:9" hidden="1" x14ac:dyDescent="0.25">
      <c r="A6876" t="s">
        <v>5635</v>
      </c>
      <c r="B6876" t="s">
        <v>132</v>
      </c>
      <c r="C6876" s="2">
        <f>HYPERLINK("https://cao.dolgi.msk.ru/account/1080299843/", 1080299843)</f>
        <v>1080299843</v>
      </c>
      <c r="D6876" t="s">
        <v>5688</v>
      </c>
      <c r="E6876">
        <v>-2526.83</v>
      </c>
      <c r="F6876">
        <v>-1.1399999999999999</v>
      </c>
      <c r="G6876" t="s">
        <v>12</v>
      </c>
      <c r="I6876" t="s">
        <v>1050</v>
      </c>
    </row>
    <row r="6877" spans="1:9" hidden="1" x14ac:dyDescent="0.25">
      <c r="A6877" t="s">
        <v>5635</v>
      </c>
      <c r="B6877" t="s">
        <v>133</v>
      </c>
      <c r="C6877" s="2">
        <f>HYPERLINK("https://cao.dolgi.msk.ru/account/1080299851/", 1080299851)</f>
        <v>1080299851</v>
      </c>
      <c r="D6877" t="s">
        <v>5689</v>
      </c>
      <c r="E6877">
        <v>-8579.18</v>
      </c>
      <c r="F6877">
        <v>-2.17</v>
      </c>
      <c r="G6877" t="s">
        <v>12</v>
      </c>
      <c r="I6877" t="s">
        <v>1050</v>
      </c>
    </row>
    <row r="6878" spans="1:9" hidden="1" x14ac:dyDescent="0.25">
      <c r="A6878" t="s">
        <v>5635</v>
      </c>
      <c r="B6878" t="s">
        <v>135</v>
      </c>
      <c r="C6878" s="2">
        <f>HYPERLINK("https://cao.dolgi.msk.ru/account/1080299878/", 1080299878)</f>
        <v>1080299878</v>
      </c>
      <c r="D6878" t="s">
        <v>5690</v>
      </c>
      <c r="E6878">
        <v>-5378.23</v>
      </c>
      <c r="F6878">
        <v>-1.84</v>
      </c>
      <c r="G6878" t="s">
        <v>12</v>
      </c>
      <c r="I6878" t="s">
        <v>1050</v>
      </c>
    </row>
    <row r="6879" spans="1:9" hidden="1" x14ac:dyDescent="0.25">
      <c r="A6879" t="s">
        <v>5635</v>
      </c>
      <c r="B6879" t="s">
        <v>137</v>
      </c>
      <c r="C6879" s="2">
        <f>HYPERLINK("https://cao.dolgi.msk.ru/account/1080299886/", 1080299886)</f>
        <v>1080299886</v>
      </c>
      <c r="D6879" t="s">
        <v>5691</v>
      </c>
      <c r="E6879">
        <v>-3117.76</v>
      </c>
      <c r="F6879">
        <v>-0.98</v>
      </c>
      <c r="G6879" t="s">
        <v>12</v>
      </c>
      <c r="I6879" t="s">
        <v>1050</v>
      </c>
    </row>
    <row r="6880" spans="1:9" hidden="1" x14ac:dyDescent="0.25">
      <c r="A6880" t="s">
        <v>5635</v>
      </c>
      <c r="B6880" t="s">
        <v>139</v>
      </c>
      <c r="C6880" s="2">
        <f>HYPERLINK("https://cao.dolgi.msk.ru/account/1080299894/", 1080299894)</f>
        <v>1080299894</v>
      </c>
      <c r="D6880" t="s">
        <v>5692</v>
      </c>
      <c r="E6880">
        <v>-4072.53</v>
      </c>
      <c r="F6880">
        <v>-0.97</v>
      </c>
      <c r="G6880" t="s">
        <v>12</v>
      </c>
      <c r="I6880" t="s">
        <v>1050</v>
      </c>
    </row>
    <row r="6881" spans="1:9" hidden="1" x14ac:dyDescent="0.25">
      <c r="A6881" t="s">
        <v>5635</v>
      </c>
      <c r="B6881" t="s">
        <v>141</v>
      </c>
      <c r="C6881" s="2">
        <f>HYPERLINK("https://cao.dolgi.msk.ru/account/1080299907/", 1080299907)</f>
        <v>1080299907</v>
      </c>
      <c r="D6881" t="s">
        <v>5693</v>
      </c>
      <c r="E6881">
        <v>7850.59</v>
      </c>
      <c r="F6881">
        <v>1</v>
      </c>
      <c r="G6881" t="s">
        <v>12</v>
      </c>
      <c r="I6881" t="s">
        <v>1050</v>
      </c>
    </row>
    <row r="6882" spans="1:9" hidden="1" x14ac:dyDescent="0.25">
      <c r="A6882" t="s">
        <v>5635</v>
      </c>
      <c r="B6882" t="s">
        <v>143</v>
      </c>
      <c r="C6882" s="2">
        <f>HYPERLINK("https://cao.dolgi.msk.ru/account/1080299915/", 1080299915)</f>
        <v>1080299915</v>
      </c>
      <c r="D6882" t="s">
        <v>5694</v>
      </c>
      <c r="E6882">
        <v>-74.39</v>
      </c>
      <c r="F6882">
        <v>-0.03</v>
      </c>
      <c r="G6882" t="s">
        <v>12</v>
      </c>
      <c r="I6882" t="s">
        <v>1050</v>
      </c>
    </row>
    <row r="6883" spans="1:9" hidden="1" x14ac:dyDescent="0.25">
      <c r="A6883" t="s">
        <v>5635</v>
      </c>
      <c r="B6883" t="s">
        <v>145</v>
      </c>
      <c r="C6883" s="2">
        <f>HYPERLINK("https://cao.dolgi.msk.ru/account/1080299923/", 1080299923)</f>
        <v>1080299923</v>
      </c>
      <c r="D6883" t="s">
        <v>5695</v>
      </c>
      <c r="E6883">
        <v>-2541.1799999999998</v>
      </c>
      <c r="F6883">
        <v>-1.1100000000000001</v>
      </c>
      <c r="G6883" t="s">
        <v>12</v>
      </c>
      <c r="I6883" t="s">
        <v>1050</v>
      </c>
    </row>
    <row r="6884" spans="1:9" hidden="1" x14ac:dyDescent="0.25">
      <c r="A6884" t="s">
        <v>5635</v>
      </c>
      <c r="B6884" t="s">
        <v>147</v>
      </c>
      <c r="C6884" s="2">
        <f>HYPERLINK("https://cao.dolgi.msk.ru/account/1080299931/", 1080299931)</f>
        <v>1080299931</v>
      </c>
      <c r="D6884" t="s">
        <v>5696</v>
      </c>
      <c r="E6884">
        <v>-4363</v>
      </c>
      <c r="F6884">
        <v>-1.17</v>
      </c>
      <c r="G6884" t="s">
        <v>12</v>
      </c>
      <c r="I6884" t="s">
        <v>1050</v>
      </c>
    </row>
    <row r="6885" spans="1:9" hidden="1" x14ac:dyDescent="0.25">
      <c r="A6885" t="s">
        <v>5635</v>
      </c>
      <c r="B6885" t="s">
        <v>149</v>
      </c>
      <c r="C6885" s="2">
        <f>HYPERLINK("https://cao.dolgi.msk.ru/account/1080299958/", 1080299958)</f>
        <v>1080299958</v>
      </c>
      <c r="D6885" t="s">
        <v>5697</v>
      </c>
      <c r="E6885">
        <v>-6457.44</v>
      </c>
      <c r="F6885">
        <v>-1.1100000000000001</v>
      </c>
      <c r="G6885" t="s">
        <v>12</v>
      </c>
      <c r="I6885" t="s">
        <v>1050</v>
      </c>
    </row>
    <row r="6886" spans="1:9" hidden="1" x14ac:dyDescent="0.25">
      <c r="A6886" t="s">
        <v>5635</v>
      </c>
      <c r="B6886" t="s">
        <v>151</v>
      </c>
      <c r="C6886" s="2">
        <f>HYPERLINK("https://cao.dolgi.msk.ru/account/1080299966/", 1080299966)</f>
        <v>1080299966</v>
      </c>
      <c r="D6886" t="s">
        <v>5698</v>
      </c>
      <c r="E6886">
        <v>-6381.33</v>
      </c>
      <c r="F6886">
        <v>-0.84</v>
      </c>
      <c r="G6886" t="s">
        <v>12</v>
      </c>
      <c r="I6886" t="s">
        <v>1050</v>
      </c>
    </row>
    <row r="6887" spans="1:9" hidden="1" x14ac:dyDescent="0.25">
      <c r="A6887" t="s">
        <v>5635</v>
      </c>
      <c r="B6887" t="s">
        <v>153</v>
      </c>
      <c r="C6887" s="2">
        <f>HYPERLINK("https://cao.dolgi.msk.ru/account/1080299974/", 1080299974)</f>
        <v>1080299974</v>
      </c>
      <c r="D6887" t="s">
        <v>5699</v>
      </c>
      <c r="E6887">
        <v>-5187.6400000000003</v>
      </c>
      <c r="F6887">
        <v>-1.18</v>
      </c>
      <c r="G6887" t="s">
        <v>12</v>
      </c>
      <c r="I6887" t="s">
        <v>1050</v>
      </c>
    </row>
    <row r="6888" spans="1:9" hidden="1" x14ac:dyDescent="0.25">
      <c r="A6888" t="s">
        <v>5635</v>
      </c>
      <c r="B6888" t="s">
        <v>155</v>
      </c>
      <c r="C6888" s="2">
        <f>HYPERLINK("https://cao.dolgi.msk.ru/account/1080299982/", 1080299982)</f>
        <v>1080299982</v>
      </c>
      <c r="D6888" t="s">
        <v>5700</v>
      </c>
      <c r="E6888">
        <v>-8262</v>
      </c>
      <c r="F6888">
        <v>-1.22</v>
      </c>
      <c r="G6888" t="s">
        <v>12</v>
      </c>
      <c r="I6888" t="s">
        <v>1050</v>
      </c>
    </row>
    <row r="6889" spans="1:9" hidden="1" x14ac:dyDescent="0.25">
      <c r="A6889" t="s">
        <v>5635</v>
      </c>
      <c r="B6889" t="s">
        <v>157</v>
      </c>
      <c r="C6889" s="2">
        <f>HYPERLINK("https://cao.dolgi.msk.ru/account/1080300007/", 1080300007)</f>
        <v>1080300007</v>
      </c>
      <c r="D6889" t="s">
        <v>15</v>
      </c>
      <c r="E6889">
        <v>-6993.7</v>
      </c>
      <c r="F6889">
        <v>-1.21</v>
      </c>
      <c r="G6889" t="s">
        <v>12</v>
      </c>
      <c r="I6889" t="s">
        <v>1050</v>
      </c>
    </row>
    <row r="6890" spans="1:9" hidden="1" x14ac:dyDescent="0.25">
      <c r="A6890" t="s">
        <v>5635</v>
      </c>
      <c r="B6890" t="s">
        <v>159</v>
      </c>
      <c r="C6890" s="2">
        <f>HYPERLINK("https://cao.dolgi.msk.ru/account/1080300015/", 1080300015)</f>
        <v>1080300015</v>
      </c>
      <c r="D6890" t="s">
        <v>5701</v>
      </c>
      <c r="E6890">
        <v>-3132.21</v>
      </c>
      <c r="F6890">
        <v>-0.74</v>
      </c>
      <c r="G6890" t="s">
        <v>12</v>
      </c>
      <c r="I6890" t="s">
        <v>1050</v>
      </c>
    </row>
    <row r="6891" spans="1:9" hidden="1" x14ac:dyDescent="0.25">
      <c r="A6891" t="s">
        <v>5635</v>
      </c>
      <c r="B6891" t="s">
        <v>161</v>
      </c>
      <c r="C6891" s="2">
        <f>HYPERLINK("https://cao.dolgi.msk.ru/account/1080300023/", 1080300023)</f>
        <v>1080300023</v>
      </c>
      <c r="D6891" t="s">
        <v>5702</v>
      </c>
      <c r="E6891">
        <v>-6135.64</v>
      </c>
      <c r="F6891">
        <v>-1.1399999999999999</v>
      </c>
      <c r="G6891" t="s">
        <v>12</v>
      </c>
      <c r="I6891" t="s">
        <v>1050</v>
      </c>
    </row>
    <row r="6892" spans="1:9" hidden="1" x14ac:dyDescent="0.25">
      <c r="A6892" t="s">
        <v>5635</v>
      </c>
      <c r="B6892" t="s">
        <v>163</v>
      </c>
      <c r="C6892" s="2">
        <f>HYPERLINK("https://cao.dolgi.msk.ru/account/1080300031/", 1080300031)</f>
        <v>1080300031</v>
      </c>
      <c r="D6892" t="s">
        <v>5703</v>
      </c>
      <c r="E6892">
        <v>-228.03</v>
      </c>
      <c r="F6892">
        <v>-0.06</v>
      </c>
      <c r="G6892" t="s">
        <v>12</v>
      </c>
      <c r="I6892" t="s">
        <v>1050</v>
      </c>
    </row>
    <row r="6893" spans="1:9" hidden="1" x14ac:dyDescent="0.25">
      <c r="A6893" t="s">
        <v>5635</v>
      </c>
      <c r="B6893" t="s">
        <v>571</v>
      </c>
      <c r="C6893" s="2">
        <f>HYPERLINK("https://cao.dolgi.msk.ru/account/1080300058/", 1080300058)</f>
        <v>1080300058</v>
      </c>
      <c r="D6893" t="s">
        <v>5704</v>
      </c>
      <c r="E6893">
        <v>-297.25</v>
      </c>
      <c r="G6893" t="s">
        <v>14</v>
      </c>
      <c r="I6893" t="s">
        <v>1050</v>
      </c>
    </row>
    <row r="6894" spans="1:9" hidden="1" x14ac:dyDescent="0.25">
      <c r="A6894" t="s">
        <v>5635</v>
      </c>
      <c r="B6894" t="s">
        <v>571</v>
      </c>
      <c r="C6894" s="2">
        <f>HYPERLINK("https://cao.dolgi.msk.ru/account/1089124521/", 1089124521)</f>
        <v>1089124521</v>
      </c>
      <c r="D6894" t="s">
        <v>5704</v>
      </c>
      <c r="E6894">
        <v>0</v>
      </c>
      <c r="F6894">
        <v>0</v>
      </c>
      <c r="G6894" t="s">
        <v>12</v>
      </c>
      <c r="I6894" t="s">
        <v>1050</v>
      </c>
    </row>
    <row r="6895" spans="1:9" hidden="1" x14ac:dyDescent="0.25">
      <c r="A6895" t="s">
        <v>5635</v>
      </c>
      <c r="B6895" t="s">
        <v>682</v>
      </c>
      <c r="C6895" s="2">
        <f>HYPERLINK("https://cao.dolgi.msk.ru/account/1080300066/", 1080300066)</f>
        <v>1080300066</v>
      </c>
      <c r="D6895" t="s">
        <v>5705</v>
      </c>
      <c r="E6895">
        <v>-2957.01</v>
      </c>
      <c r="F6895">
        <v>-1.1200000000000001</v>
      </c>
      <c r="G6895" t="s">
        <v>12</v>
      </c>
      <c r="I6895" t="s">
        <v>1050</v>
      </c>
    </row>
    <row r="6896" spans="1:9" hidden="1" x14ac:dyDescent="0.25">
      <c r="A6896" t="s">
        <v>5635</v>
      </c>
      <c r="B6896" t="s">
        <v>578</v>
      </c>
      <c r="C6896" s="2">
        <f>HYPERLINK("https://cao.dolgi.msk.ru/account/1080300074/", 1080300074)</f>
        <v>1080300074</v>
      </c>
      <c r="D6896" t="s">
        <v>5706</v>
      </c>
      <c r="E6896">
        <v>-3255.68</v>
      </c>
      <c r="F6896">
        <v>-0.91</v>
      </c>
      <c r="G6896" t="s">
        <v>12</v>
      </c>
      <c r="I6896" t="s">
        <v>1050</v>
      </c>
    </row>
    <row r="6897" spans="1:9" hidden="1" x14ac:dyDescent="0.25">
      <c r="A6897" t="s">
        <v>5635</v>
      </c>
      <c r="B6897" t="s">
        <v>580</v>
      </c>
      <c r="C6897" s="2">
        <f>HYPERLINK("https://cao.dolgi.msk.ru/account/1080300082/", 1080300082)</f>
        <v>1080300082</v>
      </c>
      <c r="D6897" t="s">
        <v>5707</v>
      </c>
      <c r="E6897">
        <v>-4650.91</v>
      </c>
      <c r="F6897">
        <v>-0.95</v>
      </c>
      <c r="G6897" t="s">
        <v>12</v>
      </c>
      <c r="I6897" t="s">
        <v>1050</v>
      </c>
    </row>
    <row r="6898" spans="1:9" hidden="1" x14ac:dyDescent="0.25">
      <c r="A6898" t="s">
        <v>5635</v>
      </c>
      <c r="B6898" t="s">
        <v>686</v>
      </c>
      <c r="C6898" s="2">
        <f>HYPERLINK("https://cao.dolgi.msk.ru/account/1080300103/", 1080300103)</f>
        <v>1080300103</v>
      </c>
      <c r="D6898" t="s">
        <v>5708</v>
      </c>
      <c r="E6898">
        <v>-3951.78</v>
      </c>
      <c r="F6898">
        <v>-1.1100000000000001</v>
      </c>
      <c r="G6898" t="s">
        <v>12</v>
      </c>
      <c r="I6898" t="s">
        <v>1050</v>
      </c>
    </row>
    <row r="6899" spans="1:9" hidden="1" x14ac:dyDescent="0.25">
      <c r="A6899" t="s">
        <v>5635</v>
      </c>
      <c r="B6899" t="s">
        <v>582</v>
      </c>
      <c r="C6899" s="2">
        <f>HYPERLINK("https://cao.dolgi.msk.ru/account/1080300111/", 1080300111)</f>
        <v>1080300111</v>
      </c>
      <c r="D6899" t="s">
        <v>5709</v>
      </c>
      <c r="E6899">
        <v>0</v>
      </c>
      <c r="F6899">
        <v>0</v>
      </c>
      <c r="G6899" t="s">
        <v>12</v>
      </c>
      <c r="I6899" t="s">
        <v>1050</v>
      </c>
    </row>
    <row r="6900" spans="1:9" x14ac:dyDescent="0.25">
      <c r="A6900" t="s">
        <v>5635</v>
      </c>
      <c r="B6900" t="s">
        <v>584</v>
      </c>
      <c r="C6900" s="2">
        <f>HYPERLINK("https://cao.dolgi.msk.ru/account/1080300138/", 1080300138)</f>
        <v>1080300138</v>
      </c>
      <c r="D6900" t="s">
        <v>5710</v>
      </c>
      <c r="E6900">
        <v>24843</v>
      </c>
      <c r="F6900">
        <v>3.91</v>
      </c>
      <c r="G6900" t="s">
        <v>12</v>
      </c>
      <c r="I6900" t="s">
        <v>1050</v>
      </c>
    </row>
    <row r="6901" spans="1:9" hidden="1" x14ac:dyDescent="0.25">
      <c r="A6901" t="s">
        <v>5635</v>
      </c>
      <c r="B6901" t="s">
        <v>586</v>
      </c>
      <c r="C6901" s="2">
        <f>HYPERLINK("https://cao.dolgi.msk.ru/account/1080300146/", 1080300146)</f>
        <v>1080300146</v>
      </c>
      <c r="D6901" t="s">
        <v>5711</v>
      </c>
      <c r="E6901">
        <v>0</v>
      </c>
      <c r="F6901">
        <v>0</v>
      </c>
      <c r="G6901" t="s">
        <v>12</v>
      </c>
      <c r="I6901" t="s">
        <v>1050</v>
      </c>
    </row>
    <row r="6902" spans="1:9" hidden="1" x14ac:dyDescent="0.25">
      <c r="A6902" t="s">
        <v>5635</v>
      </c>
      <c r="B6902" t="s">
        <v>588</v>
      </c>
      <c r="C6902" s="2">
        <f>HYPERLINK("https://cao.dolgi.msk.ru/account/1080300154/", 1080300154)</f>
        <v>1080300154</v>
      </c>
      <c r="D6902" t="s">
        <v>5712</v>
      </c>
      <c r="E6902">
        <v>-5435.47</v>
      </c>
      <c r="F6902">
        <v>-1.1000000000000001</v>
      </c>
      <c r="G6902" t="s">
        <v>12</v>
      </c>
      <c r="I6902" t="s">
        <v>1050</v>
      </c>
    </row>
    <row r="6903" spans="1:9" hidden="1" x14ac:dyDescent="0.25">
      <c r="A6903" t="s">
        <v>5635</v>
      </c>
      <c r="B6903" t="s">
        <v>590</v>
      </c>
      <c r="C6903" s="2">
        <f>HYPERLINK("https://cao.dolgi.msk.ru/account/1080300162/", 1080300162)</f>
        <v>1080300162</v>
      </c>
      <c r="D6903" t="s">
        <v>5713</v>
      </c>
      <c r="E6903">
        <v>-58.2</v>
      </c>
      <c r="F6903">
        <v>0</v>
      </c>
      <c r="G6903" t="s">
        <v>12</v>
      </c>
      <c r="I6903" t="s">
        <v>1050</v>
      </c>
    </row>
    <row r="6904" spans="1:9" hidden="1" x14ac:dyDescent="0.25">
      <c r="A6904" t="s">
        <v>5635</v>
      </c>
      <c r="B6904" t="s">
        <v>693</v>
      </c>
      <c r="C6904" s="2">
        <f>HYPERLINK("https://cao.dolgi.msk.ru/account/1080300189/", 1080300189)</f>
        <v>1080300189</v>
      </c>
      <c r="D6904" t="s">
        <v>5714</v>
      </c>
      <c r="E6904">
        <v>-5859.2</v>
      </c>
      <c r="F6904">
        <v>-1.19</v>
      </c>
      <c r="G6904" t="s">
        <v>12</v>
      </c>
      <c r="I6904" t="s">
        <v>1050</v>
      </c>
    </row>
    <row r="6905" spans="1:9" hidden="1" x14ac:dyDescent="0.25">
      <c r="A6905" t="s">
        <v>5635</v>
      </c>
      <c r="B6905" t="s">
        <v>694</v>
      </c>
      <c r="C6905" s="2">
        <f>HYPERLINK("https://cao.dolgi.msk.ru/account/1080300197/", 1080300197)</f>
        <v>1080300197</v>
      </c>
      <c r="D6905" t="s">
        <v>5715</v>
      </c>
      <c r="E6905">
        <v>-3174.39</v>
      </c>
      <c r="F6905">
        <v>-1.42</v>
      </c>
      <c r="G6905" t="s">
        <v>12</v>
      </c>
      <c r="I6905" t="s">
        <v>1050</v>
      </c>
    </row>
    <row r="6906" spans="1:9" hidden="1" x14ac:dyDescent="0.25">
      <c r="A6906" t="s">
        <v>5635</v>
      </c>
      <c r="B6906" t="s">
        <v>696</v>
      </c>
      <c r="C6906" s="2">
        <f>HYPERLINK("https://cao.dolgi.msk.ru/account/1080300218/", 1080300218)</f>
        <v>1080300218</v>
      </c>
      <c r="D6906" t="s">
        <v>5716</v>
      </c>
      <c r="E6906">
        <v>-14710.67</v>
      </c>
      <c r="F6906">
        <v>-4.8600000000000003</v>
      </c>
      <c r="G6906" t="s">
        <v>12</v>
      </c>
      <c r="I6906" t="s">
        <v>1050</v>
      </c>
    </row>
    <row r="6907" spans="1:9" hidden="1" x14ac:dyDescent="0.25">
      <c r="A6907" t="s">
        <v>5635</v>
      </c>
      <c r="B6907" t="s">
        <v>698</v>
      </c>
      <c r="C6907" s="2">
        <f>HYPERLINK("https://cao.dolgi.msk.ru/account/1080300226/", 1080300226)</f>
        <v>1080300226</v>
      </c>
      <c r="D6907" t="s">
        <v>5717</v>
      </c>
      <c r="E6907">
        <v>1769.51</v>
      </c>
      <c r="F6907">
        <v>0.49</v>
      </c>
      <c r="G6907" t="s">
        <v>12</v>
      </c>
      <c r="I6907" t="s">
        <v>1050</v>
      </c>
    </row>
    <row r="6908" spans="1:9" hidden="1" x14ac:dyDescent="0.25">
      <c r="A6908" t="s">
        <v>5635</v>
      </c>
      <c r="B6908" t="s">
        <v>700</v>
      </c>
      <c r="C6908" s="2">
        <f>HYPERLINK("https://cao.dolgi.msk.ru/account/1080300234/", 1080300234)</f>
        <v>1080300234</v>
      </c>
      <c r="D6908" t="s">
        <v>5718</v>
      </c>
      <c r="E6908">
        <v>-7311.94</v>
      </c>
      <c r="F6908">
        <v>-1.27</v>
      </c>
      <c r="G6908" t="s">
        <v>12</v>
      </c>
      <c r="I6908" t="s">
        <v>1050</v>
      </c>
    </row>
    <row r="6909" spans="1:9" hidden="1" x14ac:dyDescent="0.25">
      <c r="A6909" t="s">
        <v>5635</v>
      </c>
      <c r="B6909" t="s">
        <v>702</v>
      </c>
      <c r="C6909" s="2">
        <f>HYPERLINK("https://cao.dolgi.msk.ru/account/1080300242/", 1080300242)</f>
        <v>1080300242</v>
      </c>
      <c r="D6909" t="s">
        <v>5719</v>
      </c>
      <c r="E6909">
        <v>-4954.7700000000004</v>
      </c>
      <c r="F6909">
        <v>-1.1599999999999999</v>
      </c>
      <c r="G6909" t="s">
        <v>12</v>
      </c>
      <c r="I6909" t="s">
        <v>1050</v>
      </c>
    </row>
    <row r="6910" spans="1:9" x14ac:dyDescent="0.25">
      <c r="A6910" t="s">
        <v>5635</v>
      </c>
      <c r="B6910" t="s">
        <v>703</v>
      </c>
      <c r="C6910" s="2">
        <f>HYPERLINK("https://cao.dolgi.msk.ru/account/1080300269/", 1080300269)</f>
        <v>1080300269</v>
      </c>
      <c r="D6910" t="s">
        <v>5720</v>
      </c>
      <c r="E6910">
        <v>5529.11</v>
      </c>
      <c r="F6910">
        <v>1.24</v>
      </c>
      <c r="G6910" t="s">
        <v>12</v>
      </c>
      <c r="I6910" t="s">
        <v>1050</v>
      </c>
    </row>
    <row r="6911" spans="1:9" hidden="1" x14ac:dyDescent="0.25">
      <c r="A6911" t="s">
        <v>5635</v>
      </c>
      <c r="B6911" t="s">
        <v>705</v>
      </c>
      <c r="C6911" s="2">
        <f>HYPERLINK("https://cao.dolgi.msk.ru/account/1080300277/", 1080300277)</f>
        <v>1080300277</v>
      </c>
      <c r="D6911" t="s">
        <v>5721</v>
      </c>
      <c r="E6911">
        <v>-2271.23</v>
      </c>
      <c r="F6911">
        <v>-1.26</v>
      </c>
      <c r="G6911" t="s">
        <v>12</v>
      </c>
      <c r="I6911" t="s">
        <v>1050</v>
      </c>
    </row>
    <row r="6912" spans="1:9" hidden="1" x14ac:dyDescent="0.25">
      <c r="A6912" t="s">
        <v>5635</v>
      </c>
      <c r="B6912" t="s">
        <v>707</v>
      </c>
      <c r="C6912" s="2">
        <f>HYPERLINK("https://cao.dolgi.msk.ru/account/1080300285/", 1080300285)</f>
        <v>1080300285</v>
      </c>
      <c r="D6912" t="s">
        <v>5722</v>
      </c>
      <c r="E6912">
        <v>-12364.91</v>
      </c>
      <c r="F6912">
        <v>-1.23</v>
      </c>
      <c r="G6912" t="s">
        <v>12</v>
      </c>
      <c r="I6912" t="s">
        <v>1050</v>
      </c>
    </row>
    <row r="6913" spans="1:9" hidden="1" x14ac:dyDescent="0.25">
      <c r="A6913" t="s">
        <v>5635</v>
      </c>
      <c r="B6913" t="s">
        <v>709</v>
      </c>
      <c r="C6913" s="2">
        <f>HYPERLINK("https://cao.dolgi.msk.ru/account/1080300293/", 1080300293)</f>
        <v>1080300293</v>
      </c>
      <c r="D6913" t="s">
        <v>5723</v>
      </c>
      <c r="E6913">
        <v>-2547</v>
      </c>
      <c r="F6913">
        <v>-1.17</v>
      </c>
      <c r="G6913" t="s">
        <v>12</v>
      </c>
      <c r="I6913" t="s">
        <v>1050</v>
      </c>
    </row>
    <row r="6914" spans="1:9" hidden="1" x14ac:dyDescent="0.25">
      <c r="A6914" t="s">
        <v>5635</v>
      </c>
      <c r="B6914" t="s">
        <v>711</v>
      </c>
      <c r="C6914" s="2">
        <f>HYPERLINK("https://cao.dolgi.msk.ru/account/1080300306/", 1080300306)</f>
        <v>1080300306</v>
      </c>
      <c r="D6914" t="s">
        <v>5724</v>
      </c>
      <c r="E6914">
        <v>-4998.9399999999996</v>
      </c>
      <c r="F6914">
        <v>-0.98</v>
      </c>
      <c r="G6914" t="s">
        <v>12</v>
      </c>
      <c r="I6914" t="s">
        <v>1050</v>
      </c>
    </row>
    <row r="6915" spans="1:9" hidden="1" x14ac:dyDescent="0.25">
      <c r="A6915" t="s">
        <v>5635</v>
      </c>
      <c r="B6915" t="s">
        <v>713</v>
      </c>
      <c r="C6915" s="2">
        <f>HYPERLINK("https://cao.dolgi.msk.ru/account/1080300314/", 1080300314)</f>
        <v>1080300314</v>
      </c>
      <c r="D6915" t="s">
        <v>5725</v>
      </c>
      <c r="E6915">
        <v>-17818.439999999999</v>
      </c>
      <c r="F6915">
        <v>-4.03</v>
      </c>
      <c r="G6915" t="s">
        <v>12</v>
      </c>
      <c r="I6915" t="s">
        <v>1050</v>
      </c>
    </row>
    <row r="6916" spans="1:9" hidden="1" x14ac:dyDescent="0.25">
      <c r="A6916" t="s">
        <v>5635</v>
      </c>
      <c r="B6916" t="s">
        <v>528</v>
      </c>
      <c r="C6916" s="2">
        <f>HYPERLINK("https://cao.dolgi.msk.ru/account/1080300322/", 1080300322)</f>
        <v>1080300322</v>
      </c>
      <c r="D6916" t="s">
        <v>5726</v>
      </c>
      <c r="E6916">
        <v>0</v>
      </c>
      <c r="F6916">
        <v>0</v>
      </c>
      <c r="G6916" t="s">
        <v>12</v>
      </c>
      <c r="I6916" t="s">
        <v>1050</v>
      </c>
    </row>
    <row r="6917" spans="1:9" hidden="1" x14ac:dyDescent="0.25">
      <c r="A6917" t="s">
        <v>5635</v>
      </c>
      <c r="B6917" t="s">
        <v>530</v>
      </c>
      <c r="C6917" s="2">
        <f>HYPERLINK("https://cao.dolgi.msk.ru/account/1080300349/", 1080300349)</f>
        <v>1080300349</v>
      </c>
      <c r="D6917" t="s">
        <v>5727</v>
      </c>
      <c r="E6917">
        <v>-28.71</v>
      </c>
      <c r="F6917">
        <v>-0.01</v>
      </c>
      <c r="G6917" t="s">
        <v>12</v>
      </c>
      <c r="I6917" t="s">
        <v>1050</v>
      </c>
    </row>
    <row r="6918" spans="1:9" hidden="1" x14ac:dyDescent="0.25">
      <c r="A6918" t="s">
        <v>5635</v>
      </c>
      <c r="B6918" t="s">
        <v>532</v>
      </c>
      <c r="C6918" s="2">
        <f>HYPERLINK("https://cao.dolgi.msk.ru/account/1080300357/", 1080300357)</f>
        <v>1080300357</v>
      </c>
      <c r="D6918" t="s">
        <v>5728</v>
      </c>
      <c r="E6918">
        <v>-4069.84</v>
      </c>
      <c r="F6918">
        <v>-1.1200000000000001</v>
      </c>
      <c r="G6918" t="s">
        <v>12</v>
      </c>
      <c r="I6918" t="s">
        <v>1050</v>
      </c>
    </row>
    <row r="6919" spans="1:9" hidden="1" x14ac:dyDescent="0.25">
      <c r="A6919" t="s">
        <v>5635</v>
      </c>
      <c r="B6919" t="s">
        <v>534</v>
      </c>
      <c r="C6919" s="2">
        <f>HYPERLINK("https://cao.dolgi.msk.ru/account/1080300365/", 1080300365)</f>
        <v>1080300365</v>
      </c>
      <c r="D6919" t="s">
        <v>5729</v>
      </c>
      <c r="E6919">
        <v>-7262.4</v>
      </c>
      <c r="F6919">
        <v>-2.72</v>
      </c>
      <c r="G6919" t="s">
        <v>12</v>
      </c>
      <c r="I6919" t="s">
        <v>1050</v>
      </c>
    </row>
    <row r="6920" spans="1:9" hidden="1" x14ac:dyDescent="0.25">
      <c r="A6920" t="s">
        <v>5635</v>
      </c>
      <c r="B6920" t="s">
        <v>536</v>
      </c>
      <c r="C6920" s="2">
        <f>HYPERLINK("https://cao.dolgi.msk.ru/account/1080300373/", 1080300373)</f>
        <v>1080300373</v>
      </c>
      <c r="D6920" t="s">
        <v>5730</v>
      </c>
      <c r="E6920">
        <v>-3669.48</v>
      </c>
      <c r="F6920">
        <v>-1.1399999999999999</v>
      </c>
      <c r="G6920" t="s">
        <v>12</v>
      </c>
      <c r="I6920" t="s">
        <v>1050</v>
      </c>
    </row>
    <row r="6921" spans="1:9" hidden="1" x14ac:dyDescent="0.25">
      <c r="A6921" t="s">
        <v>5635</v>
      </c>
      <c r="B6921" t="s">
        <v>538</v>
      </c>
      <c r="C6921" s="2">
        <f>HYPERLINK("https://cao.dolgi.msk.ru/account/1080300381/", 1080300381)</f>
        <v>1080300381</v>
      </c>
      <c r="D6921" t="s">
        <v>5731</v>
      </c>
      <c r="E6921">
        <v>-4771.9799999999996</v>
      </c>
      <c r="F6921">
        <v>-1.28</v>
      </c>
      <c r="G6921" t="s">
        <v>12</v>
      </c>
      <c r="I6921" t="s">
        <v>1050</v>
      </c>
    </row>
    <row r="6922" spans="1:9" hidden="1" x14ac:dyDescent="0.25">
      <c r="A6922" t="s">
        <v>5635</v>
      </c>
      <c r="B6922" t="s">
        <v>539</v>
      </c>
      <c r="C6922" s="2">
        <f>HYPERLINK("https://cao.dolgi.msk.ru/account/1080300402/", 1080300402)</f>
        <v>1080300402</v>
      </c>
      <c r="D6922" t="s">
        <v>5732</v>
      </c>
      <c r="E6922">
        <v>-4419.78</v>
      </c>
      <c r="F6922">
        <v>-1.18</v>
      </c>
      <c r="G6922" t="s">
        <v>12</v>
      </c>
      <c r="I6922" t="s">
        <v>1050</v>
      </c>
    </row>
    <row r="6923" spans="1:9" hidden="1" x14ac:dyDescent="0.25">
      <c r="A6923" t="s">
        <v>5635</v>
      </c>
      <c r="B6923" t="s">
        <v>541</v>
      </c>
      <c r="C6923" s="2">
        <f>HYPERLINK("https://cao.dolgi.msk.ru/account/1080300429/", 1080300429)</f>
        <v>1080300429</v>
      </c>
      <c r="D6923" t="s">
        <v>5733</v>
      </c>
      <c r="E6923">
        <v>-4653.22</v>
      </c>
      <c r="F6923">
        <v>-1.39</v>
      </c>
      <c r="G6923" t="s">
        <v>12</v>
      </c>
      <c r="I6923" t="s">
        <v>1050</v>
      </c>
    </row>
    <row r="6924" spans="1:9" hidden="1" x14ac:dyDescent="0.25">
      <c r="A6924" t="s">
        <v>5635</v>
      </c>
      <c r="B6924" t="s">
        <v>543</v>
      </c>
      <c r="C6924" s="2">
        <f>HYPERLINK("https://cao.dolgi.msk.ru/account/1080300437/", 1080300437)</f>
        <v>1080300437</v>
      </c>
      <c r="D6924" t="s">
        <v>15</v>
      </c>
      <c r="E6924">
        <v>58.2</v>
      </c>
      <c r="F6924">
        <v>0.01</v>
      </c>
      <c r="G6924" t="s">
        <v>12</v>
      </c>
      <c r="I6924" t="s">
        <v>1050</v>
      </c>
    </row>
    <row r="6925" spans="1:9" hidden="1" x14ac:dyDescent="0.25">
      <c r="A6925" t="s">
        <v>5635</v>
      </c>
      <c r="B6925" t="s">
        <v>545</v>
      </c>
      <c r="C6925" s="2">
        <f>HYPERLINK("https://cao.dolgi.msk.ru/account/1080300445/", 1080300445)</f>
        <v>1080300445</v>
      </c>
      <c r="D6925" t="s">
        <v>15</v>
      </c>
      <c r="E6925">
        <v>0</v>
      </c>
      <c r="F6925">
        <v>0</v>
      </c>
      <c r="G6925" t="s">
        <v>12</v>
      </c>
      <c r="I6925" t="s">
        <v>1050</v>
      </c>
    </row>
    <row r="6926" spans="1:9" hidden="1" x14ac:dyDescent="0.25">
      <c r="A6926" t="s">
        <v>5635</v>
      </c>
      <c r="B6926" t="s">
        <v>546</v>
      </c>
      <c r="C6926" s="2">
        <f>HYPERLINK("https://cao.dolgi.msk.ru/account/1080300453/", 1080300453)</f>
        <v>1080300453</v>
      </c>
      <c r="D6926" t="s">
        <v>5734</v>
      </c>
      <c r="E6926">
        <v>-5318.2</v>
      </c>
      <c r="F6926">
        <v>-1.41</v>
      </c>
      <c r="G6926" t="s">
        <v>12</v>
      </c>
      <c r="I6926" t="s">
        <v>1050</v>
      </c>
    </row>
    <row r="6927" spans="1:9" hidden="1" x14ac:dyDescent="0.25">
      <c r="A6927" t="s">
        <v>5635</v>
      </c>
      <c r="B6927" t="s">
        <v>546</v>
      </c>
      <c r="C6927" s="2">
        <f>HYPERLINK("https://cao.dolgi.msk.ru/account/1080325757/", 1080325757)</f>
        <v>1080325757</v>
      </c>
      <c r="D6927" t="s">
        <v>5734</v>
      </c>
      <c r="G6927" t="s">
        <v>14</v>
      </c>
      <c r="I6927" t="s">
        <v>1050</v>
      </c>
    </row>
    <row r="6928" spans="1:9" hidden="1" x14ac:dyDescent="0.25">
      <c r="A6928" t="s">
        <v>5635</v>
      </c>
      <c r="B6928" t="s">
        <v>548</v>
      </c>
      <c r="C6928" s="2">
        <f>HYPERLINK("https://cao.dolgi.msk.ru/account/1080300461/", 1080300461)</f>
        <v>1080300461</v>
      </c>
      <c r="D6928" t="s">
        <v>5735</v>
      </c>
      <c r="E6928">
        <v>-3184.86</v>
      </c>
      <c r="F6928">
        <v>-1.07</v>
      </c>
      <c r="G6928" t="s">
        <v>12</v>
      </c>
      <c r="I6928" t="s">
        <v>1050</v>
      </c>
    </row>
    <row r="6929" spans="1:9" hidden="1" x14ac:dyDescent="0.25">
      <c r="A6929" t="s">
        <v>5635</v>
      </c>
      <c r="B6929" t="s">
        <v>727</v>
      </c>
      <c r="C6929" s="2">
        <f>HYPERLINK("https://cao.dolgi.msk.ru/account/1080300488/", 1080300488)</f>
        <v>1080300488</v>
      </c>
      <c r="D6929" t="s">
        <v>5736</v>
      </c>
      <c r="E6929">
        <v>-4444.49</v>
      </c>
      <c r="F6929">
        <v>-1.1299999999999999</v>
      </c>
      <c r="G6929" t="s">
        <v>12</v>
      </c>
      <c r="I6929" t="s">
        <v>1050</v>
      </c>
    </row>
    <row r="6930" spans="1:9" hidden="1" x14ac:dyDescent="0.25">
      <c r="A6930" t="s">
        <v>5635</v>
      </c>
      <c r="B6930" t="s">
        <v>551</v>
      </c>
      <c r="C6930" s="2">
        <f>HYPERLINK("https://cao.dolgi.msk.ru/account/1080300496/", 1080300496)</f>
        <v>1080300496</v>
      </c>
      <c r="D6930" t="s">
        <v>5737</v>
      </c>
      <c r="E6930">
        <v>-6819.65</v>
      </c>
      <c r="F6930">
        <v>-1.19</v>
      </c>
      <c r="G6930" t="s">
        <v>12</v>
      </c>
      <c r="I6930" t="s">
        <v>1050</v>
      </c>
    </row>
    <row r="6931" spans="1:9" hidden="1" x14ac:dyDescent="0.25">
      <c r="A6931" t="s">
        <v>5635</v>
      </c>
      <c r="B6931" t="s">
        <v>730</v>
      </c>
      <c r="C6931" s="2">
        <f>HYPERLINK("https://cao.dolgi.msk.ru/account/1080300509/", 1080300509)</f>
        <v>1080300509</v>
      </c>
      <c r="D6931" t="s">
        <v>5738</v>
      </c>
      <c r="E6931">
        <v>31.29</v>
      </c>
      <c r="F6931">
        <v>0</v>
      </c>
      <c r="G6931" t="s">
        <v>12</v>
      </c>
      <c r="I6931" t="s">
        <v>1050</v>
      </c>
    </row>
    <row r="6932" spans="1:9" hidden="1" x14ac:dyDescent="0.25">
      <c r="A6932" t="s">
        <v>5635</v>
      </c>
      <c r="B6932" t="s">
        <v>732</v>
      </c>
      <c r="C6932" s="2">
        <f>HYPERLINK("https://cao.dolgi.msk.ru/account/1080300517/", 1080300517)</f>
        <v>1080300517</v>
      </c>
      <c r="D6932" t="s">
        <v>15</v>
      </c>
      <c r="E6932">
        <v>-2507.14</v>
      </c>
      <c r="F6932">
        <v>-0.98</v>
      </c>
      <c r="G6932" t="s">
        <v>12</v>
      </c>
      <c r="I6932" t="s">
        <v>1050</v>
      </c>
    </row>
    <row r="6933" spans="1:9" hidden="1" x14ac:dyDescent="0.25">
      <c r="A6933" t="s">
        <v>5635</v>
      </c>
      <c r="B6933" t="s">
        <v>553</v>
      </c>
      <c r="C6933" s="2">
        <f>HYPERLINK("https://cao.dolgi.msk.ru/account/1080300525/", 1080300525)</f>
        <v>1080300525</v>
      </c>
      <c r="D6933" t="s">
        <v>5739</v>
      </c>
      <c r="E6933">
        <v>500.78</v>
      </c>
      <c r="F6933">
        <v>0.11</v>
      </c>
      <c r="G6933" t="s">
        <v>12</v>
      </c>
      <c r="I6933" t="s">
        <v>1050</v>
      </c>
    </row>
    <row r="6934" spans="1:9" hidden="1" x14ac:dyDescent="0.25">
      <c r="A6934" t="s">
        <v>5635</v>
      </c>
      <c r="B6934" t="s">
        <v>555</v>
      </c>
      <c r="C6934" s="2">
        <f>HYPERLINK("https://cao.dolgi.msk.ru/account/1080300533/", 1080300533)</f>
        <v>1080300533</v>
      </c>
      <c r="D6934" t="s">
        <v>5740</v>
      </c>
      <c r="E6934">
        <v>0</v>
      </c>
      <c r="F6934">
        <v>0</v>
      </c>
      <c r="G6934" t="s">
        <v>12</v>
      </c>
      <c r="I6934" t="s">
        <v>1050</v>
      </c>
    </row>
    <row r="6935" spans="1:9" hidden="1" x14ac:dyDescent="0.25">
      <c r="A6935" t="s">
        <v>5635</v>
      </c>
      <c r="B6935" t="s">
        <v>736</v>
      </c>
      <c r="C6935" s="2">
        <f>HYPERLINK("https://cao.dolgi.msk.ru/account/1080300541/", 1080300541)</f>
        <v>1080300541</v>
      </c>
      <c r="D6935" t="s">
        <v>5741</v>
      </c>
      <c r="E6935">
        <v>-5924.42</v>
      </c>
      <c r="F6935">
        <v>-1.1200000000000001</v>
      </c>
      <c r="G6935" t="s">
        <v>12</v>
      </c>
      <c r="I6935" t="s">
        <v>1050</v>
      </c>
    </row>
    <row r="6936" spans="1:9" hidden="1" x14ac:dyDescent="0.25">
      <c r="A6936" t="s">
        <v>5635</v>
      </c>
      <c r="B6936" t="s">
        <v>738</v>
      </c>
      <c r="C6936" s="2">
        <f>HYPERLINK("https://cao.dolgi.msk.ru/account/1080300568/", 1080300568)</f>
        <v>1080300568</v>
      </c>
      <c r="D6936" t="s">
        <v>5742</v>
      </c>
      <c r="E6936">
        <v>-19.399999999999999</v>
      </c>
      <c r="F6936">
        <v>0</v>
      </c>
      <c r="G6936" t="s">
        <v>12</v>
      </c>
      <c r="I6936" t="s">
        <v>1050</v>
      </c>
    </row>
    <row r="6937" spans="1:9" hidden="1" x14ac:dyDescent="0.25">
      <c r="A6937" t="s">
        <v>5743</v>
      </c>
      <c r="B6937" t="s">
        <v>10</v>
      </c>
      <c r="C6937" s="2">
        <f>HYPERLINK("https://cao.dolgi.msk.ru/account/1080300576/", 1080300576)</f>
        <v>1080300576</v>
      </c>
      <c r="D6937" t="s">
        <v>5744</v>
      </c>
      <c r="E6937">
        <v>8104.81</v>
      </c>
      <c r="F6937">
        <v>1</v>
      </c>
      <c r="G6937" t="s">
        <v>12</v>
      </c>
      <c r="I6937" t="s">
        <v>1050</v>
      </c>
    </row>
    <row r="6938" spans="1:9" hidden="1" x14ac:dyDescent="0.25">
      <c r="A6938" t="s">
        <v>5743</v>
      </c>
      <c r="B6938" t="s">
        <v>16</v>
      </c>
      <c r="C6938" s="2">
        <f>HYPERLINK("https://cao.dolgi.msk.ru/account/1080300584/", 1080300584)</f>
        <v>1080300584</v>
      </c>
      <c r="D6938" t="s">
        <v>15</v>
      </c>
      <c r="E6938">
        <v>58.2</v>
      </c>
      <c r="F6938">
        <v>0.01</v>
      </c>
      <c r="G6938" t="s">
        <v>12</v>
      </c>
      <c r="I6938" t="s">
        <v>1050</v>
      </c>
    </row>
    <row r="6939" spans="1:9" hidden="1" x14ac:dyDescent="0.25">
      <c r="A6939" t="s">
        <v>5743</v>
      </c>
      <c r="B6939" t="s">
        <v>18</v>
      </c>
      <c r="C6939" s="2">
        <f>HYPERLINK("https://cao.dolgi.msk.ru/account/1080300592/", 1080300592)</f>
        <v>1080300592</v>
      </c>
      <c r="D6939" t="s">
        <v>5745</v>
      </c>
      <c r="E6939">
        <v>-9.6999999999999993</v>
      </c>
      <c r="F6939">
        <v>0</v>
      </c>
      <c r="G6939" t="s">
        <v>12</v>
      </c>
      <c r="I6939" t="s">
        <v>1050</v>
      </c>
    </row>
    <row r="6940" spans="1:9" x14ac:dyDescent="0.25">
      <c r="A6940" t="s">
        <v>5743</v>
      </c>
      <c r="B6940" t="s">
        <v>20</v>
      </c>
      <c r="C6940" s="2">
        <f>HYPERLINK("https://cao.dolgi.msk.ru/account/1080300605/", 1080300605)</f>
        <v>1080300605</v>
      </c>
      <c r="D6940" t="s">
        <v>5746</v>
      </c>
      <c r="E6940">
        <v>5844.06</v>
      </c>
      <c r="F6940">
        <v>1.27</v>
      </c>
      <c r="G6940" t="s">
        <v>12</v>
      </c>
      <c r="I6940" t="s">
        <v>1050</v>
      </c>
    </row>
    <row r="6941" spans="1:9" hidden="1" x14ac:dyDescent="0.25">
      <c r="A6941" t="s">
        <v>5743</v>
      </c>
      <c r="B6941" t="s">
        <v>21</v>
      </c>
      <c r="C6941" s="2">
        <f>HYPERLINK("https://cao.dolgi.msk.ru/account/1080300613/", 1080300613)</f>
        <v>1080300613</v>
      </c>
      <c r="D6941" t="s">
        <v>5747</v>
      </c>
      <c r="E6941">
        <v>7319.13</v>
      </c>
      <c r="F6941">
        <v>0.67</v>
      </c>
      <c r="G6941" t="s">
        <v>12</v>
      </c>
      <c r="I6941" t="s">
        <v>1050</v>
      </c>
    </row>
    <row r="6942" spans="1:9" hidden="1" x14ac:dyDescent="0.25">
      <c r="A6942" t="s">
        <v>5743</v>
      </c>
      <c r="B6942" t="s">
        <v>22</v>
      </c>
      <c r="C6942" s="2">
        <f>HYPERLINK("https://cao.dolgi.msk.ru/account/1080300621/", 1080300621)</f>
        <v>1080300621</v>
      </c>
      <c r="D6942" t="s">
        <v>5748</v>
      </c>
      <c r="E6942">
        <v>-5418.21</v>
      </c>
      <c r="F6942">
        <v>-1.23</v>
      </c>
      <c r="G6942" t="s">
        <v>12</v>
      </c>
      <c r="I6942" t="s">
        <v>1050</v>
      </c>
    </row>
    <row r="6943" spans="1:9" hidden="1" x14ac:dyDescent="0.25">
      <c r="A6943" t="s">
        <v>5743</v>
      </c>
      <c r="B6943" t="s">
        <v>23</v>
      </c>
      <c r="C6943" s="2">
        <f>HYPERLINK("https://cao.dolgi.msk.ru/account/1080300648/", 1080300648)</f>
        <v>1080300648</v>
      </c>
      <c r="D6943" t="s">
        <v>5749</v>
      </c>
      <c r="E6943">
        <v>-120.75</v>
      </c>
      <c r="F6943">
        <v>-0.03</v>
      </c>
      <c r="G6943" t="s">
        <v>12</v>
      </c>
      <c r="I6943" t="s">
        <v>1050</v>
      </c>
    </row>
    <row r="6944" spans="1:9" hidden="1" x14ac:dyDescent="0.25">
      <c r="A6944" t="s">
        <v>5743</v>
      </c>
      <c r="B6944" t="s">
        <v>24</v>
      </c>
      <c r="C6944" s="2">
        <f>HYPERLINK("https://cao.dolgi.msk.ru/account/1080300656/", 1080300656)</f>
        <v>1080300656</v>
      </c>
      <c r="D6944" t="s">
        <v>5750</v>
      </c>
      <c r="E6944">
        <v>-11240.6</v>
      </c>
      <c r="F6944">
        <v>-2.09</v>
      </c>
      <c r="G6944" t="s">
        <v>12</v>
      </c>
      <c r="I6944" t="s">
        <v>1050</v>
      </c>
    </row>
    <row r="6945" spans="1:9" x14ac:dyDescent="0.25">
      <c r="A6945" t="s">
        <v>5743</v>
      </c>
      <c r="B6945" t="s">
        <v>27</v>
      </c>
      <c r="C6945" s="2">
        <f>HYPERLINK("https://cao.dolgi.msk.ru/account/1080300664/", 1080300664)</f>
        <v>1080300664</v>
      </c>
      <c r="D6945" t="s">
        <v>5751</v>
      </c>
      <c r="E6945">
        <v>25096.94</v>
      </c>
      <c r="F6945">
        <v>2.0499999999999998</v>
      </c>
      <c r="G6945" t="s">
        <v>12</v>
      </c>
      <c r="I6945" t="s">
        <v>1050</v>
      </c>
    </row>
    <row r="6946" spans="1:9" hidden="1" x14ac:dyDescent="0.25">
      <c r="A6946" t="s">
        <v>5743</v>
      </c>
      <c r="B6946" t="s">
        <v>29</v>
      </c>
      <c r="C6946" s="2">
        <f>HYPERLINK("https://cao.dolgi.msk.ru/account/1080300672/", 1080300672)</f>
        <v>1080300672</v>
      </c>
      <c r="D6946" t="s">
        <v>5752</v>
      </c>
      <c r="E6946">
        <v>-3580.27</v>
      </c>
      <c r="F6946">
        <v>-0.98</v>
      </c>
      <c r="G6946" t="s">
        <v>12</v>
      </c>
      <c r="I6946" t="s">
        <v>1050</v>
      </c>
    </row>
    <row r="6947" spans="1:9" hidden="1" x14ac:dyDescent="0.25">
      <c r="A6947" t="s">
        <v>5743</v>
      </c>
      <c r="B6947" t="s">
        <v>31</v>
      </c>
      <c r="C6947" s="2">
        <f>HYPERLINK("https://cao.dolgi.msk.ru/account/1080300699/", 1080300699)</f>
        <v>1080300699</v>
      </c>
      <c r="D6947" t="s">
        <v>5753</v>
      </c>
      <c r="E6947">
        <v>-6310</v>
      </c>
      <c r="F6947">
        <v>-1.29</v>
      </c>
      <c r="G6947" t="s">
        <v>12</v>
      </c>
      <c r="I6947" t="s">
        <v>1050</v>
      </c>
    </row>
    <row r="6948" spans="1:9" hidden="1" x14ac:dyDescent="0.25">
      <c r="A6948" t="s">
        <v>5743</v>
      </c>
      <c r="B6948" t="s">
        <v>33</v>
      </c>
      <c r="C6948" s="2">
        <f>HYPERLINK("https://cao.dolgi.msk.ru/account/1080300701/", 1080300701)</f>
        <v>1080300701</v>
      </c>
      <c r="D6948" t="s">
        <v>5754</v>
      </c>
      <c r="E6948">
        <v>-19.399999999999999</v>
      </c>
      <c r="F6948">
        <v>0</v>
      </c>
      <c r="G6948" t="s">
        <v>12</v>
      </c>
      <c r="I6948" t="s">
        <v>1050</v>
      </c>
    </row>
    <row r="6949" spans="1:9" hidden="1" x14ac:dyDescent="0.25">
      <c r="A6949" t="s">
        <v>5743</v>
      </c>
      <c r="B6949" t="s">
        <v>34</v>
      </c>
      <c r="C6949" s="2">
        <f>HYPERLINK("https://cao.dolgi.msk.ru/account/1080300728/", 1080300728)</f>
        <v>1080300728</v>
      </c>
      <c r="D6949" t="s">
        <v>5755</v>
      </c>
      <c r="E6949">
        <v>0</v>
      </c>
      <c r="G6949" t="s">
        <v>14</v>
      </c>
      <c r="I6949" t="s">
        <v>1050</v>
      </c>
    </row>
    <row r="6950" spans="1:9" hidden="1" x14ac:dyDescent="0.25">
      <c r="A6950" t="s">
        <v>5743</v>
      </c>
      <c r="B6950" t="s">
        <v>34</v>
      </c>
      <c r="C6950" s="2">
        <f>HYPERLINK("https://cao.dolgi.msk.ru/account/1080300736/", 1080300736)</f>
        <v>1080300736</v>
      </c>
      <c r="D6950" t="s">
        <v>5756</v>
      </c>
      <c r="E6950">
        <v>-9907.2000000000007</v>
      </c>
      <c r="F6950">
        <v>-1.2</v>
      </c>
      <c r="G6950" t="s">
        <v>12</v>
      </c>
      <c r="I6950" t="s">
        <v>1050</v>
      </c>
    </row>
    <row r="6951" spans="1:9" hidden="1" x14ac:dyDescent="0.25">
      <c r="A6951" t="s">
        <v>5743</v>
      </c>
      <c r="B6951" t="s">
        <v>36</v>
      </c>
      <c r="C6951" s="2">
        <f>HYPERLINK("https://cao.dolgi.msk.ru/account/1080300744/", 1080300744)</f>
        <v>1080300744</v>
      </c>
      <c r="D6951" t="s">
        <v>5757</v>
      </c>
      <c r="E6951">
        <v>232.8</v>
      </c>
      <c r="F6951">
        <v>0.04</v>
      </c>
      <c r="G6951" t="s">
        <v>12</v>
      </c>
      <c r="I6951" t="s">
        <v>1050</v>
      </c>
    </row>
    <row r="6952" spans="1:9" hidden="1" x14ac:dyDescent="0.25">
      <c r="A6952" t="s">
        <v>5743</v>
      </c>
      <c r="B6952" t="s">
        <v>38</v>
      </c>
      <c r="C6952" s="2">
        <f>HYPERLINK("https://cao.dolgi.msk.ru/account/1080300752/", 1080300752)</f>
        <v>1080300752</v>
      </c>
      <c r="D6952" t="s">
        <v>5758</v>
      </c>
      <c r="E6952">
        <v>-2335.5700000000002</v>
      </c>
      <c r="F6952">
        <v>-1.3</v>
      </c>
      <c r="G6952" t="s">
        <v>12</v>
      </c>
      <c r="I6952" t="s">
        <v>1050</v>
      </c>
    </row>
    <row r="6953" spans="1:9" hidden="1" x14ac:dyDescent="0.25">
      <c r="A6953" t="s">
        <v>5743</v>
      </c>
      <c r="B6953" t="s">
        <v>39</v>
      </c>
      <c r="C6953" s="2">
        <f>HYPERLINK("https://cao.dolgi.msk.ru/account/1080300779/", 1080300779)</f>
        <v>1080300779</v>
      </c>
      <c r="D6953" t="s">
        <v>5759</v>
      </c>
      <c r="E6953">
        <v>-8351.9699999999993</v>
      </c>
      <c r="F6953">
        <v>-1.18</v>
      </c>
      <c r="G6953" t="s">
        <v>12</v>
      </c>
      <c r="I6953" t="s">
        <v>1050</v>
      </c>
    </row>
    <row r="6954" spans="1:9" hidden="1" x14ac:dyDescent="0.25">
      <c r="A6954" t="s">
        <v>5743</v>
      </c>
      <c r="B6954" t="s">
        <v>41</v>
      </c>
      <c r="C6954" s="2">
        <f>HYPERLINK("https://cao.dolgi.msk.ru/account/1080300824/", 1080300824)</f>
        <v>1080300824</v>
      </c>
      <c r="D6954" t="s">
        <v>5760</v>
      </c>
      <c r="E6954">
        <v>-5117.67</v>
      </c>
      <c r="F6954">
        <v>-1.28</v>
      </c>
      <c r="G6954" t="s">
        <v>12</v>
      </c>
      <c r="I6954" t="s">
        <v>1050</v>
      </c>
    </row>
    <row r="6955" spans="1:9" hidden="1" x14ac:dyDescent="0.25">
      <c r="A6955" t="s">
        <v>5743</v>
      </c>
      <c r="B6955" t="s">
        <v>42</v>
      </c>
      <c r="C6955" s="2">
        <f>HYPERLINK("https://cao.dolgi.msk.ru/account/1080300832/", 1080300832)</f>
        <v>1080300832</v>
      </c>
      <c r="D6955" t="s">
        <v>5761</v>
      </c>
      <c r="E6955">
        <v>-7698.74</v>
      </c>
      <c r="F6955">
        <v>-1.34</v>
      </c>
      <c r="G6955" t="s">
        <v>12</v>
      </c>
      <c r="I6955" t="s">
        <v>1050</v>
      </c>
    </row>
    <row r="6956" spans="1:9" hidden="1" x14ac:dyDescent="0.25">
      <c r="A6956" t="s">
        <v>5743</v>
      </c>
      <c r="B6956" t="s">
        <v>44</v>
      </c>
      <c r="C6956" s="2">
        <f>HYPERLINK("https://cao.dolgi.msk.ru/account/1080300904/", 1080300904)</f>
        <v>1080300904</v>
      </c>
      <c r="D6956" t="s">
        <v>5762</v>
      </c>
      <c r="E6956">
        <v>-126.22</v>
      </c>
      <c r="F6956">
        <v>-0.02</v>
      </c>
      <c r="G6956" t="s">
        <v>12</v>
      </c>
      <c r="I6956" t="s">
        <v>1050</v>
      </c>
    </row>
    <row r="6957" spans="1:9" hidden="1" x14ac:dyDescent="0.25">
      <c r="A6957" t="s">
        <v>5743</v>
      </c>
      <c r="B6957" t="s">
        <v>66</v>
      </c>
      <c r="C6957" s="2">
        <f>HYPERLINK("https://cao.dolgi.msk.ru/account/1080300859/", 1080300859)</f>
        <v>1080300859</v>
      </c>
      <c r="D6957" t="s">
        <v>5763</v>
      </c>
      <c r="E6957">
        <v>-2369.3000000000002</v>
      </c>
      <c r="F6957">
        <v>-0.62</v>
      </c>
      <c r="G6957" t="s">
        <v>12</v>
      </c>
      <c r="H6957" t="s">
        <v>7</v>
      </c>
      <c r="I6957" t="s">
        <v>1050</v>
      </c>
    </row>
    <row r="6958" spans="1:9" hidden="1" x14ac:dyDescent="0.25">
      <c r="A6958" t="s">
        <v>5743</v>
      </c>
      <c r="B6958" t="s">
        <v>66</v>
      </c>
      <c r="C6958" s="2">
        <f>HYPERLINK("https://cao.dolgi.msk.ru/account/1080300867/", 1080300867)</f>
        <v>1080300867</v>
      </c>
      <c r="D6958" t="s">
        <v>5764</v>
      </c>
      <c r="E6958">
        <v>-2876.9</v>
      </c>
      <c r="F6958">
        <v>-1.2</v>
      </c>
      <c r="G6958" t="s">
        <v>12</v>
      </c>
      <c r="H6958" t="s">
        <v>7</v>
      </c>
      <c r="I6958" t="s">
        <v>1050</v>
      </c>
    </row>
    <row r="6959" spans="1:9" hidden="1" x14ac:dyDescent="0.25">
      <c r="A6959" t="s">
        <v>5743</v>
      </c>
      <c r="B6959" t="s">
        <v>68</v>
      </c>
      <c r="C6959" s="2">
        <f>HYPERLINK("https://cao.dolgi.msk.ru/account/1080300875/", 1080300875)</f>
        <v>1080300875</v>
      </c>
      <c r="D6959" t="s">
        <v>5765</v>
      </c>
      <c r="E6959">
        <v>-2533.69</v>
      </c>
      <c r="F6959">
        <v>-1.34</v>
      </c>
      <c r="G6959" t="s">
        <v>12</v>
      </c>
      <c r="I6959" t="s">
        <v>1050</v>
      </c>
    </row>
    <row r="6960" spans="1:9" hidden="1" x14ac:dyDescent="0.25">
      <c r="A6960" t="s">
        <v>5743</v>
      </c>
      <c r="B6960" t="s">
        <v>68</v>
      </c>
      <c r="C6960" s="2">
        <f>HYPERLINK("https://cao.dolgi.msk.ru/account/1089124871/", 1089124871)</f>
        <v>1089124871</v>
      </c>
      <c r="D6960" t="s">
        <v>5765</v>
      </c>
      <c r="E6960">
        <v>-4842.4799999999996</v>
      </c>
      <c r="F6960">
        <v>-1.1299999999999999</v>
      </c>
      <c r="G6960" t="s">
        <v>12</v>
      </c>
      <c r="I6960" t="s">
        <v>1050</v>
      </c>
    </row>
    <row r="6961" spans="1:9" hidden="1" x14ac:dyDescent="0.25">
      <c r="A6961" t="s">
        <v>5743</v>
      </c>
      <c r="B6961" t="s">
        <v>70</v>
      </c>
      <c r="C6961" s="2">
        <f>HYPERLINK("https://cao.dolgi.msk.ru/account/1080300883/", 1080300883)</f>
        <v>1080300883</v>
      </c>
      <c r="D6961" t="s">
        <v>5766</v>
      </c>
      <c r="E6961">
        <v>-6780.45</v>
      </c>
      <c r="F6961">
        <v>-1.19</v>
      </c>
      <c r="G6961" t="s">
        <v>12</v>
      </c>
      <c r="I6961" t="s">
        <v>1050</v>
      </c>
    </row>
    <row r="6962" spans="1:9" hidden="1" x14ac:dyDescent="0.25">
      <c r="A6962" t="s">
        <v>5743</v>
      </c>
      <c r="B6962" t="s">
        <v>72</v>
      </c>
      <c r="C6962" s="2">
        <f>HYPERLINK("https://cao.dolgi.msk.ru/account/1080300891/", 1080300891)</f>
        <v>1080300891</v>
      </c>
      <c r="D6962" t="s">
        <v>5767</v>
      </c>
      <c r="E6962">
        <v>16.05</v>
      </c>
      <c r="F6962">
        <v>0</v>
      </c>
      <c r="G6962" t="s">
        <v>12</v>
      </c>
      <c r="I6962" t="s">
        <v>1050</v>
      </c>
    </row>
    <row r="6963" spans="1:9" hidden="1" x14ac:dyDescent="0.25">
      <c r="A6963" t="s">
        <v>5743</v>
      </c>
      <c r="B6963" t="s">
        <v>74</v>
      </c>
      <c r="C6963" s="2">
        <f>HYPERLINK("https://cao.dolgi.msk.ru/account/1080300912/", 1080300912)</f>
        <v>1080300912</v>
      </c>
      <c r="D6963" t="s">
        <v>5768</v>
      </c>
      <c r="E6963">
        <v>-1197.72</v>
      </c>
      <c r="F6963">
        <v>-0.14000000000000001</v>
      </c>
      <c r="G6963" t="s">
        <v>12</v>
      </c>
      <c r="I6963" t="s">
        <v>1050</v>
      </c>
    </row>
    <row r="6964" spans="1:9" hidden="1" x14ac:dyDescent="0.25">
      <c r="A6964" t="s">
        <v>5743</v>
      </c>
      <c r="B6964" t="s">
        <v>76</v>
      </c>
      <c r="C6964" s="2">
        <f>HYPERLINK("https://cao.dolgi.msk.ru/account/1080300939/", 1080300939)</f>
        <v>1080300939</v>
      </c>
      <c r="D6964" t="s">
        <v>5769</v>
      </c>
      <c r="E6964">
        <v>-211.26</v>
      </c>
      <c r="F6964">
        <v>-7.0000000000000007E-2</v>
      </c>
      <c r="G6964" t="s">
        <v>12</v>
      </c>
      <c r="I6964" t="s">
        <v>1050</v>
      </c>
    </row>
    <row r="6965" spans="1:9" hidden="1" x14ac:dyDescent="0.25">
      <c r="A6965" t="s">
        <v>5743</v>
      </c>
      <c r="B6965" t="s">
        <v>78</v>
      </c>
      <c r="C6965" s="2">
        <f>HYPERLINK("https://cao.dolgi.msk.ru/account/1080300947/", 1080300947)</f>
        <v>1080300947</v>
      </c>
      <c r="D6965" t="s">
        <v>5770</v>
      </c>
      <c r="E6965">
        <v>-6313.16</v>
      </c>
      <c r="F6965">
        <v>-1.1399999999999999</v>
      </c>
      <c r="G6965" t="s">
        <v>12</v>
      </c>
      <c r="I6965" t="s">
        <v>1050</v>
      </c>
    </row>
    <row r="6966" spans="1:9" hidden="1" x14ac:dyDescent="0.25">
      <c r="A6966" t="s">
        <v>5743</v>
      </c>
      <c r="B6966" t="s">
        <v>80</v>
      </c>
      <c r="C6966" s="2">
        <f>HYPERLINK("https://cao.dolgi.msk.ru/account/1080300955/", 1080300955)</f>
        <v>1080300955</v>
      </c>
      <c r="D6966" t="s">
        <v>5771</v>
      </c>
      <c r="E6966">
        <v>-3125.45</v>
      </c>
      <c r="F6966">
        <v>-1.0900000000000001</v>
      </c>
      <c r="G6966" t="s">
        <v>12</v>
      </c>
      <c r="H6966" t="s">
        <v>7</v>
      </c>
      <c r="I6966" t="s">
        <v>1050</v>
      </c>
    </row>
    <row r="6967" spans="1:9" x14ac:dyDescent="0.25">
      <c r="A6967" t="s">
        <v>5743</v>
      </c>
      <c r="B6967" t="s">
        <v>80</v>
      </c>
      <c r="C6967" s="2">
        <f>HYPERLINK("https://cao.dolgi.msk.ru/account/1080300963/", 1080300963)</f>
        <v>1080300963</v>
      </c>
      <c r="D6967" t="s">
        <v>5772</v>
      </c>
      <c r="E6967">
        <v>4958.09</v>
      </c>
      <c r="F6967">
        <v>1.79</v>
      </c>
      <c r="G6967" t="s">
        <v>12</v>
      </c>
      <c r="H6967" t="s">
        <v>7</v>
      </c>
      <c r="I6967" t="s">
        <v>1050</v>
      </c>
    </row>
    <row r="6968" spans="1:9" hidden="1" x14ac:dyDescent="0.25">
      <c r="A6968" t="s">
        <v>5743</v>
      </c>
      <c r="B6968" t="s">
        <v>82</v>
      </c>
      <c r="C6968" s="2">
        <f>HYPERLINK("https://cao.dolgi.msk.ru/account/1080300998/", 1080300998)</f>
        <v>1080300998</v>
      </c>
      <c r="D6968" t="s">
        <v>5773</v>
      </c>
      <c r="E6968">
        <v>-8346.4</v>
      </c>
      <c r="F6968">
        <v>-1.4</v>
      </c>
      <c r="G6968" t="s">
        <v>12</v>
      </c>
      <c r="I6968" t="s">
        <v>1050</v>
      </c>
    </row>
    <row r="6969" spans="1:9" hidden="1" x14ac:dyDescent="0.25">
      <c r="A6969" t="s">
        <v>5743</v>
      </c>
      <c r="B6969" t="s">
        <v>82</v>
      </c>
      <c r="C6969" s="2">
        <f>HYPERLINK("https://cao.dolgi.msk.ru/account/1080301018/", 1080301018)</f>
        <v>1080301018</v>
      </c>
      <c r="D6969" t="s">
        <v>5774</v>
      </c>
      <c r="E6969">
        <v>0</v>
      </c>
      <c r="G6969" t="s">
        <v>14</v>
      </c>
      <c r="I6969" t="s">
        <v>1050</v>
      </c>
    </row>
    <row r="6970" spans="1:9" hidden="1" x14ac:dyDescent="0.25">
      <c r="A6970" t="s">
        <v>5743</v>
      </c>
      <c r="B6970" t="s">
        <v>84</v>
      </c>
      <c r="C6970" s="2">
        <f>HYPERLINK("https://cao.dolgi.msk.ru/account/1080301026/", 1080301026)</f>
        <v>1080301026</v>
      </c>
      <c r="D6970" t="s">
        <v>5775</v>
      </c>
      <c r="E6970">
        <v>-914.71</v>
      </c>
      <c r="F6970">
        <v>-0.17</v>
      </c>
      <c r="G6970" t="s">
        <v>12</v>
      </c>
      <c r="I6970" t="s">
        <v>1050</v>
      </c>
    </row>
    <row r="6971" spans="1:9" hidden="1" x14ac:dyDescent="0.25">
      <c r="A6971" t="s">
        <v>5743</v>
      </c>
      <c r="B6971" t="s">
        <v>86</v>
      </c>
      <c r="C6971" s="2">
        <f>HYPERLINK("https://cao.dolgi.msk.ru/account/1080301034/", 1080301034)</f>
        <v>1080301034</v>
      </c>
      <c r="D6971" t="s">
        <v>5775</v>
      </c>
      <c r="E6971">
        <v>-4595.28</v>
      </c>
      <c r="F6971">
        <v>-1.25</v>
      </c>
      <c r="G6971" t="s">
        <v>12</v>
      </c>
      <c r="I6971" t="s">
        <v>1050</v>
      </c>
    </row>
    <row r="6972" spans="1:9" hidden="1" x14ac:dyDescent="0.25">
      <c r="A6972" t="s">
        <v>5743</v>
      </c>
      <c r="B6972" t="s">
        <v>88</v>
      </c>
      <c r="C6972" s="2">
        <f>HYPERLINK("https://cao.dolgi.msk.ru/account/1080301042/", 1080301042)</f>
        <v>1080301042</v>
      </c>
      <c r="D6972" t="s">
        <v>5776</v>
      </c>
      <c r="E6972">
        <v>-5875.81</v>
      </c>
      <c r="F6972">
        <v>-0.76</v>
      </c>
      <c r="G6972" t="s">
        <v>12</v>
      </c>
      <c r="I6972" t="s">
        <v>1050</v>
      </c>
    </row>
    <row r="6973" spans="1:9" x14ac:dyDescent="0.25">
      <c r="A6973" t="s">
        <v>5743</v>
      </c>
      <c r="B6973" t="s">
        <v>90</v>
      </c>
      <c r="C6973" s="2">
        <f>HYPERLINK("https://cao.dolgi.msk.ru/account/1080301069/", 1080301069)</f>
        <v>1080301069</v>
      </c>
      <c r="D6973" t="s">
        <v>5777</v>
      </c>
      <c r="E6973">
        <v>76245.399999999994</v>
      </c>
      <c r="F6973">
        <v>17.440000000000001</v>
      </c>
      <c r="G6973" t="s">
        <v>12</v>
      </c>
      <c r="H6973" t="s">
        <v>7</v>
      </c>
      <c r="I6973" t="s">
        <v>1050</v>
      </c>
    </row>
    <row r="6974" spans="1:9" hidden="1" x14ac:dyDescent="0.25">
      <c r="A6974" t="s">
        <v>5743</v>
      </c>
      <c r="B6974" t="s">
        <v>90</v>
      </c>
      <c r="C6974" s="2">
        <f>HYPERLINK("https://cao.dolgi.msk.ru/account/1080301077/", 1080301077)</f>
        <v>1080301077</v>
      </c>
      <c r="D6974" t="s">
        <v>5777</v>
      </c>
      <c r="E6974">
        <v>-4109.42</v>
      </c>
      <c r="F6974">
        <v>-1.0900000000000001</v>
      </c>
      <c r="G6974" t="s">
        <v>12</v>
      </c>
      <c r="H6974" t="s">
        <v>7</v>
      </c>
      <c r="I6974" t="s">
        <v>1050</v>
      </c>
    </row>
    <row r="6975" spans="1:9" hidden="1" x14ac:dyDescent="0.25">
      <c r="A6975" t="s">
        <v>5743</v>
      </c>
      <c r="B6975" t="s">
        <v>90</v>
      </c>
      <c r="C6975" s="2">
        <f>HYPERLINK("https://cao.dolgi.msk.ru/account/1080301085/", 1080301085)</f>
        <v>1080301085</v>
      </c>
      <c r="D6975" t="s">
        <v>5778</v>
      </c>
      <c r="E6975">
        <v>988.81</v>
      </c>
      <c r="F6975">
        <v>0.6</v>
      </c>
      <c r="G6975" t="s">
        <v>12</v>
      </c>
      <c r="H6975" t="s">
        <v>7</v>
      </c>
      <c r="I6975" t="s">
        <v>1050</v>
      </c>
    </row>
    <row r="6976" spans="1:9" hidden="1" x14ac:dyDescent="0.25">
      <c r="A6976" t="s">
        <v>5743</v>
      </c>
      <c r="B6976" t="s">
        <v>92</v>
      </c>
      <c r="C6976" s="2">
        <f>HYPERLINK("https://cao.dolgi.msk.ru/account/1080301106/", 1080301106)</f>
        <v>1080301106</v>
      </c>
      <c r="D6976" t="s">
        <v>5779</v>
      </c>
      <c r="E6976">
        <v>-3625.78</v>
      </c>
      <c r="F6976">
        <v>-1.17</v>
      </c>
      <c r="G6976" t="s">
        <v>12</v>
      </c>
      <c r="I6976" t="s">
        <v>1050</v>
      </c>
    </row>
    <row r="6977" spans="1:9" hidden="1" x14ac:dyDescent="0.25">
      <c r="A6977" t="s">
        <v>5743</v>
      </c>
      <c r="B6977" t="s">
        <v>94</v>
      </c>
      <c r="C6977" s="2">
        <f>HYPERLINK("https://cao.dolgi.msk.ru/account/1080301093/", 1080301093)</f>
        <v>1080301093</v>
      </c>
      <c r="D6977" t="s">
        <v>5780</v>
      </c>
      <c r="E6977">
        <v>-5417.35</v>
      </c>
      <c r="F6977">
        <v>-1.22</v>
      </c>
      <c r="G6977" t="s">
        <v>12</v>
      </c>
      <c r="I6977" t="s">
        <v>1050</v>
      </c>
    </row>
    <row r="6978" spans="1:9" hidden="1" x14ac:dyDescent="0.25">
      <c r="A6978" t="s">
        <v>5743</v>
      </c>
      <c r="B6978" t="s">
        <v>96</v>
      </c>
      <c r="C6978" s="2">
        <f>HYPERLINK("https://cao.dolgi.msk.ru/account/1080301114/", 1080301114)</f>
        <v>1080301114</v>
      </c>
      <c r="D6978" t="s">
        <v>5781</v>
      </c>
      <c r="E6978">
        <v>-2366.2800000000002</v>
      </c>
      <c r="F6978">
        <v>-0.87</v>
      </c>
      <c r="G6978" t="s">
        <v>12</v>
      </c>
      <c r="I6978" t="s">
        <v>1050</v>
      </c>
    </row>
    <row r="6979" spans="1:9" hidden="1" x14ac:dyDescent="0.25">
      <c r="A6979" t="s">
        <v>5743</v>
      </c>
      <c r="B6979" t="s">
        <v>98</v>
      </c>
      <c r="C6979" s="2">
        <f>HYPERLINK("https://cao.dolgi.msk.ru/account/1080301122/", 1080301122)</f>
        <v>1080301122</v>
      </c>
      <c r="D6979" t="s">
        <v>5782</v>
      </c>
      <c r="E6979">
        <v>-9255.93</v>
      </c>
      <c r="F6979">
        <v>-1.31</v>
      </c>
      <c r="G6979" t="s">
        <v>12</v>
      </c>
      <c r="I6979" t="s">
        <v>1050</v>
      </c>
    </row>
    <row r="6980" spans="1:9" hidden="1" x14ac:dyDescent="0.25">
      <c r="A6980" t="s">
        <v>5743</v>
      </c>
      <c r="B6980" t="s">
        <v>100</v>
      </c>
      <c r="C6980" s="2">
        <f>HYPERLINK("https://cao.dolgi.msk.ru/account/1080301149/", 1080301149)</f>
        <v>1080301149</v>
      </c>
      <c r="D6980" t="s">
        <v>5783</v>
      </c>
      <c r="E6980">
        <v>7609.71</v>
      </c>
      <c r="F6980">
        <v>0.87</v>
      </c>
      <c r="G6980" t="s">
        <v>12</v>
      </c>
      <c r="I6980" t="s">
        <v>1050</v>
      </c>
    </row>
    <row r="6981" spans="1:9" hidden="1" x14ac:dyDescent="0.25">
      <c r="A6981" t="s">
        <v>5743</v>
      </c>
      <c r="B6981" t="s">
        <v>102</v>
      </c>
      <c r="C6981" s="2">
        <f>HYPERLINK("https://cao.dolgi.msk.ru/account/1080301157/", 1080301157)</f>
        <v>1080301157</v>
      </c>
      <c r="D6981" t="s">
        <v>5784</v>
      </c>
      <c r="E6981">
        <v>-5068.9399999999996</v>
      </c>
      <c r="F6981">
        <v>-1.0900000000000001</v>
      </c>
      <c r="G6981" t="s">
        <v>12</v>
      </c>
      <c r="I6981" t="s">
        <v>1050</v>
      </c>
    </row>
    <row r="6982" spans="1:9" hidden="1" x14ac:dyDescent="0.25">
      <c r="A6982" t="s">
        <v>5743</v>
      </c>
      <c r="B6982" t="s">
        <v>104</v>
      </c>
      <c r="C6982" s="2">
        <f>HYPERLINK("https://cao.dolgi.msk.ru/account/1080301165/", 1080301165)</f>
        <v>1080301165</v>
      </c>
      <c r="D6982" t="s">
        <v>5785</v>
      </c>
      <c r="E6982">
        <v>-5771.02</v>
      </c>
      <c r="F6982">
        <v>-1.17</v>
      </c>
      <c r="G6982" t="s">
        <v>12</v>
      </c>
      <c r="I6982" t="s">
        <v>1050</v>
      </c>
    </row>
    <row r="6983" spans="1:9" hidden="1" x14ac:dyDescent="0.25">
      <c r="A6983" t="s">
        <v>5743</v>
      </c>
      <c r="B6983" t="s">
        <v>106</v>
      </c>
      <c r="C6983" s="2">
        <f>HYPERLINK("https://cao.dolgi.msk.ru/account/1080301173/", 1080301173)</f>
        <v>1080301173</v>
      </c>
      <c r="D6983" t="s">
        <v>5786</v>
      </c>
      <c r="G6983" t="s">
        <v>14</v>
      </c>
      <c r="I6983" t="s">
        <v>1050</v>
      </c>
    </row>
    <row r="6984" spans="1:9" hidden="1" x14ac:dyDescent="0.25">
      <c r="A6984" t="s">
        <v>5743</v>
      </c>
      <c r="B6984" t="s">
        <v>106</v>
      </c>
      <c r="C6984" s="2">
        <f>HYPERLINK("https://cao.dolgi.msk.ru/account/1089131844/", 1089131844)</f>
        <v>1089131844</v>
      </c>
      <c r="D6984" t="s">
        <v>5786</v>
      </c>
      <c r="E6984">
        <v>0</v>
      </c>
      <c r="F6984">
        <v>0</v>
      </c>
      <c r="G6984" t="s">
        <v>12</v>
      </c>
      <c r="I6984" t="s">
        <v>1050</v>
      </c>
    </row>
    <row r="6985" spans="1:9" hidden="1" x14ac:dyDescent="0.25">
      <c r="A6985" t="s">
        <v>5743</v>
      </c>
      <c r="B6985" t="s">
        <v>108</v>
      </c>
      <c r="C6985" s="2">
        <f>HYPERLINK("https://cao.dolgi.msk.ru/account/1080301181/", 1080301181)</f>
        <v>1080301181</v>
      </c>
      <c r="D6985" t="s">
        <v>5787</v>
      </c>
      <c r="E6985">
        <v>-11081.27</v>
      </c>
      <c r="F6985">
        <v>-2.36</v>
      </c>
      <c r="G6985" t="s">
        <v>12</v>
      </c>
      <c r="I6985" t="s">
        <v>1050</v>
      </c>
    </row>
    <row r="6986" spans="1:9" hidden="1" x14ac:dyDescent="0.25">
      <c r="A6986" t="s">
        <v>5743</v>
      </c>
      <c r="B6986" t="s">
        <v>110</v>
      </c>
      <c r="C6986" s="2">
        <f>HYPERLINK("https://cao.dolgi.msk.ru/account/1080301202/", 1080301202)</f>
        <v>1080301202</v>
      </c>
      <c r="D6986" t="s">
        <v>5788</v>
      </c>
      <c r="E6986">
        <v>-926.1</v>
      </c>
      <c r="F6986">
        <v>-0.22</v>
      </c>
      <c r="G6986" t="s">
        <v>12</v>
      </c>
      <c r="I6986" t="s">
        <v>1050</v>
      </c>
    </row>
    <row r="6987" spans="1:9" hidden="1" x14ac:dyDescent="0.25">
      <c r="A6987" t="s">
        <v>5743</v>
      </c>
      <c r="B6987" t="s">
        <v>112</v>
      </c>
      <c r="C6987" s="2">
        <f>HYPERLINK("https://cao.dolgi.msk.ru/account/1080301229/", 1080301229)</f>
        <v>1080301229</v>
      </c>
      <c r="D6987" t="s">
        <v>5789</v>
      </c>
      <c r="E6987">
        <v>-9136.2199999999993</v>
      </c>
      <c r="F6987">
        <v>-1.23</v>
      </c>
      <c r="G6987" t="s">
        <v>12</v>
      </c>
      <c r="I6987" t="s">
        <v>1050</v>
      </c>
    </row>
    <row r="6988" spans="1:9" hidden="1" x14ac:dyDescent="0.25">
      <c r="A6988" t="s">
        <v>5743</v>
      </c>
      <c r="B6988" t="s">
        <v>114</v>
      </c>
      <c r="C6988" s="2">
        <f>HYPERLINK("https://cao.dolgi.msk.ru/account/1080301237/", 1080301237)</f>
        <v>1080301237</v>
      </c>
      <c r="D6988" t="s">
        <v>5790</v>
      </c>
      <c r="E6988">
        <v>-694.89</v>
      </c>
      <c r="F6988">
        <v>-0.06</v>
      </c>
      <c r="G6988" t="s">
        <v>12</v>
      </c>
      <c r="I6988" t="s">
        <v>1050</v>
      </c>
    </row>
    <row r="6989" spans="1:9" hidden="1" x14ac:dyDescent="0.25">
      <c r="A6989" t="s">
        <v>5743</v>
      </c>
      <c r="B6989" t="s">
        <v>116</v>
      </c>
      <c r="C6989" s="2">
        <f>HYPERLINK("https://cao.dolgi.msk.ru/account/1080301245/", 1080301245)</f>
        <v>1080301245</v>
      </c>
      <c r="D6989" t="s">
        <v>5791</v>
      </c>
      <c r="E6989">
        <v>-3722.06</v>
      </c>
      <c r="F6989">
        <v>-0.94</v>
      </c>
      <c r="G6989" t="s">
        <v>12</v>
      </c>
      <c r="I6989" t="s">
        <v>1050</v>
      </c>
    </row>
    <row r="6990" spans="1:9" x14ac:dyDescent="0.25">
      <c r="A6990" t="s">
        <v>5743</v>
      </c>
      <c r="B6990" t="s">
        <v>118</v>
      </c>
      <c r="C6990" s="2">
        <f>HYPERLINK("https://cao.dolgi.msk.ru/account/1080301253/", 1080301253)</f>
        <v>1080301253</v>
      </c>
      <c r="D6990" t="s">
        <v>5792</v>
      </c>
      <c r="E6990">
        <v>5657.51</v>
      </c>
      <c r="F6990">
        <v>1.27</v>
      </c>
      <c r="G6990" t="s">
        <v>12</v>
      </c>
      <c r="I6990" t="s">
        <v>1050</v>
      </c>
    </row>
    <row r="6991" spans="1:9" x14ac:dyDescent="0.25">
      <c r="A6991" t="s">
        <v>5743</v>
      </c>
      <c r="B6991" t="s">
        <v>120</v>
      </c>
      <c r="C6991" s="2">
        <f>HYPERLINK("https://cao.dolgi.msk.ru/account/1080301261/", 1080301261)</f>
        <v>1080301261</v>
      </c>
      <c r="D6991" t="s">
        <v>5793</v>
      </c>
      <c r="E6991">
        <v>703902.35</v>
      </c>
      <c r="F6991">
        <v>105.63</v>
      </c>
      <c r="G6991" t="s">
        <v>12</v>
      </c>
      <c r="H6991" t="s">
        <v>7</v>
      </c>
      <c r="I6991" t="s">
        <v>1050</v>
      </c>
    </row>
    <row r="6992" spans="1:9" x14ac:dyDescent="0.25">
      <c r="A6992" t="s">
        <v>5743</v>
      </c>
      <c r="B6992" t="s">
        <v>120</v>
      </c>
      <c r="C6992" s="2">
        <f>HYPERLINK("https://cao.dolgi.msk.ru/account/1080301288/", 1080301288)</f>
        <v>1080301288</v>
      </c>
      <c r="D6992" t="s">
        <v>5794</v>
      </c>
      <c r="E6992">
        <v>361938.69</v>
      </c>
      <c r="F6992">
        <v>110.05</v>
      </c>
      <c r="G6992" t="s">
        <v>12</v>
      </c>
      <c r="H6992" t="s">
        <v>7</v>
      </c>
      <c r="I6992" t="s">
        <v>1050</v>
      </c>
    </row>
    <row r="6993" spans="1:9" hidden="1" x14ac:dyDescent="0.25">
      <c r="A6993" t="s">
        <v>5743</v>
      </c>
      <c r="B6993" t="s">
        <v>122</v>
      </c>
      <c r="C6993" s="2">
        <f>HYPERLINK("https://cao.dolgi.msk.ru/account/1080301296/", 1080301296)</f>
        <v>1080301296</v>
      </c>
      <c r="D6993" t="s">
        <v>5795</v>
      </c>
      <c r="E6993">
        <v>-765.39</v>
      </c>
      <c r="F6993">
        <v>-0.13</v>
      </c>
      <c r="G6993" t="s">
        <v>12</v>
      </c>
      <c r="I6993" t="s">
        <v>1050</v>
      </c>
    </row>
    <row r="6994" spans="1:9" hidden="1" x14ac:dyDescent="0.25">
      <c r="A6994" t="s">
        <v>5743</v>
      </c>
      <c r="B6994" t="s">
        <v>124</v>
      </c>
      <c r="C6994" s="2">
        <f>HYPERLINK("https://cao.dolgi.msk.ru/account/1080301309/", 1080301309)</f>
        <v>1080301309</v>
      </c>
      <c r="D6994" t="s">
        <v>5796</v>
      </c>
      <c r="E6994">
        <v>-6562.26</v>
      </c>
      <c r="F6994">
        <v>-1.28</v>
      </c>
      <c r="G6994" t="s">
        <v>12</v>
      </c>
      <c r="I6994" t="s">
        <v>1050</v>
      </c>
    </row>
    <row r="6995" spans="1:9" hidden="1" x14ac:dyDescent="0.25">
      <c r="A6995" t="s">
        <v>5743</v>
      </c>
      <c r="B6995" t="s">
        <v>126</v>
      </c>
      <c r="C6995" s="2">
        <f>HYPERLINK("https://cao.dolgi.msk.ru/account/1080301317/", 1080301317)</f>
        <v>1080301317</v>
      </c>
      <c r="D6995" t="s">
        <v>5797</v>
      </c>
      <c r="E6995">
        <v>-4118.2299999999996</v>
      </c>
      <c r="F6995">
        <v>-1.21</v>
      </c>
      <c r="G6995" t="s">
        <v>12</v>
      </c>
      <c r="I6995" t="s">
        <v>1050</v>
      </c>
    </row>
    <row r="6996" spans="1:9" hidden="1" x14ac:dyDescent="0.25">
      <c r="A6996" t="s">
        <v>5743</v>
      </c>
      <c r="B6996" t="s">
        <v>128</v>
      </c>
      <c r="C6996" s="2">
        <f>HYPERLINK("https://cao.dolgi.msk.ru/account/1080301325/", 1080301325)</f>
        <v>1080301325</v>
      </c>
      <c r="D6996" t="s">
        <v>5798</v>
      </c>
      <c r="E6996">
        <v>0</v>
      </c>
      <c r="G6996" t="s">
        <v>14</v>
      </c>
      <c r="I6996" t="s">
        <v>1050</v>
      </c>
    </row>
    <row r="6997" spans="1:9" hidden="1" x14ac:dyDescent="0.25">
      <c r="A6997" t="s">
        <v>5743</v>
      </c>
      <c r="B6997" t="s">
        <v>128</v>
      </c>
      <c r="C6997" s="2">
        <f>HYPERLINK("https://cao.dolgi.msk.ru/account/1080301333/", 1080301333)</f>
        <v>1080301333</v>
      </c>
      <c r="D6997" t="s">
        <v>5799</v>
      </c>
      <c r="E6997">
        <v>-8096.06</v>
      </c>
      <c r="F6997">
        <v>-1.18</v>
      </c>
      <c r="G6997" t="s">
        <v>12</v>
      </c>
      <c r="I6997" t="s">
        <v>1050</v>
      </c>
    </row>
    <row r="6998" spans="1:9" hidden="1" x14ac:dyDescent="0.25">
      <c r="A6998" t="s">
        <v>5743</v>
      </c>
      <c r="B6998" t="s">
        <v>130</v>
      </c>
      <c r="C6998" s="2">
        <f>HYPERLINK("https://cao.dolgi.msk.ru/account/1080301341/", 1080301341)</f>
        <v>1080301341</v>
      </c>
      <c r="D6998" t="s">
        <v>5800</v>
      </c>
      <c r="E6998">
        <v>-6118.31</v>
      </c>
      <c r="F6998">
        <v>-1.01</v>
      </c>
      <c r="G6998" t="s">
        <v>12</v>
      </c>
      <c r="I6998" t="s">
        <v>1050</v>
      </c>
    </row>
    <row r="6999" spans="1:9" hidden="1" x14ac:dyDescent="0.25">
      <c r="A6999" t="s">
        <v>5743</v>
      </c>
      <c r="B6999" t="s">
        <v>132</v>
      </c>
      <c r="C6999" s="2">
        <f>HYPERLINK("https://cao.dolgi.msk.ru/account/1080301368/", 1080301368)</f>
        <v>1080301368</v>
      </c>
      <c r="D6999" t="s">
        <v>5801</v>
      </c>
      <c r="E6999">
        <v>-5035.6499999999996</v>
      </c>
      <c r="F6999">
        <v>-1.74</v>
      </c>
      <c r="G6999" t="s">
        <v>12</v>
      </c>
      <c r="I6999" t="s">
        <v>1050</v>
      </c>
    </row>
    <row r="7000" spans="1:9" hidden="1" x14ac:dyDescent="0.25">
      <c r="A7000" t="s">
        <v>5743</v>
      </c>
      <c r="B7000" t="s">
        <v>133</v>
      </c>
      <c r="C7000" s="2">
        <f>HYPERLINK("https://cao.dolgi.msk.ru/account/1080301376/", 1080301376)</f>
        <v>1080301376</v>
      </c>
      <c r="D7000" t="s">
        <v>5802</v>
      </c>
      <c r="E7000">
        <v>-5087.8100000000004</v>
      </c>
      <c r="F7000">
        <v>-1.06</v>
      </c>
      <c r="G7000" t="s">
        <v>12</v>
      </c>
      <c r="I7000" t="s">
        <v>1050</v>
      </c>
    </row>
    <row r="7001" spans="1:9" hidden="1" x14ac:dyDescent="0.25">
      <c r="A7001" t="s">
        <v>5743</v>
      </c>
      <c r="B7001" t="s">
        <v>135</v>
      </c>
      <c r="C7001" s="2">
        <f>HYPERLINK("https://cao.dolgi.msk.ru/account/1080301384/", 1080301384)</f>
        <v>1080301384</v>
      </c>
      <c r="D7001" t="s">
        <v>5803</v>
      </c>
      <c r="E7001">
        <v>-10753.28</v>
      </c>
      <c r="F7001">
        <v>-1.1200000000000001</v>
      </c>
      <c r="G7001" t="s">
        <v>12</v>
      </c>
      <c r="I7001" t="s">
        <v>1050</v>
      </c>
    </row>
    <row r="7002" spans="1:9" hidden="1" x14ac:dyDescent="0.25">
      <c r="A7002" t="s">
        <v>5743</v>
      </c>
      <c r="B7002" t="s">
        <v>137</v>
      </c>
      <c r="C7002" s="2">
        <f>HYPERLINK("https://cao.dolgi.msk.ru/account/1080301392/", 1080301392)</f>
        <v>1080301392</v>
      </c>
      <c r="D7002" t="s">
        <v>5804</v>
      </c>
      <c r="E7002">
        <v>-4992.97</v>
      </c>
      <c r="F7002">
        <v>-1.27</v>
      </c>
      <c r="G7002" t="s">
        <v>12</v>
      </c>
      <c r="I7002" t="s">
        <v>1050</v>
      </c>
    </row>
    <row r="7003" spans="1:9" hidden="1" x14ac:dyDescent="0.25">
      <c r="A7003" t="s">
        <v>5743</v>
      </c>
      <c r="B7003" t="s">
        <v>139</v>
      </c>
      <c r="C7003" s="2">
        <f>HYPERLINK("https://cao.dolgi.msk.ru/account/1080301405/", 1080301405)</f>
        <v>1080301405</v>
      </c>
      <c r="D7003" t="s">
        <v>5805</v>
      </c>
      <c r="E7003">
        <v>-10359.6</v>
      </c>
      <c r="F7003">
        <v>-2.5499999999999998</v>
      </c>
      <c r="G7003" t="s">
        <v>12</v>
      </c>
      <c r="I7003" t="s">
        <v>1050</v>
      </c>
    </row>
    <row r="7004" spans="1:9" hidden="1" x14ac:dyDescent="0.25">
      <c r="A7004" t="s">
        <v>5743</v>
      </c>
      <c r="B7004" t="s">
        <v>141</v>
      </c>
      <c r="C7004" s="2">
        <f>HYPERLINK("https://cao.dolgi.msk.ru/account/1080301413/", 1080301413)</f>
        <v>1080301413</v>
      </c>
      <c r="D7004" t="s">
        <v>5806</v>
      </c>
      <c r="E7004">
        <v>-4262.97</v>
      </c>
      <c r="F7004">
        <v>-1.2</v>
      </c>
      <c r="G7004" t="s">
        <v>12</v>
      </c>
      <c r="I7004" t="s">
        <v>1050</v>
      </c>
    </row>
    <row r="7005" spans="1:9" hidden="1" x14ac:dyDescent="0.25">
      <c r="A7005" t="s">
        <v>5743</v>
      </c>
      <c r="B7005" t="s">
        <v>143</v>
      </c>
      <c r="C7005" s="2">
        <f>HYPERLINK("https://cao.dolgi.msk.ru/account/1080301421/", 1080301421)</f>
        <v>1080301421</v>
      </c>
      <c r="D7005" t="s">
        <v>5807</v>
      </c>
      <c r="E7005">
        <v>-10253.540000000001</v>
      </c>
      <c r="F7005">
        <v>-1.1000000000000001</v>
      </c>
      <c r="G7005" t="s">
        <v>12</v>
      </c>
      <c r="I7005" t="s">
        <v>1050</v>
      </c>
    </row>
    <row r="7006" spans="1:9" hidden="1" x14ac:dyDescent="0.25">
      <c r="A7006" t="s">
        <v>5743</v>
      </c>
      <c r="B7006" t="s">
        <v>145</v>
      </c>
      <c r="C7006" s="2">
        <f>HYPERLINK("https://cao.dolgi.msk.ru/account/1080301448/", 1080301448)</f>
        <v>1080301448</v>
      </c>
      <c r="D7006" t="s">
        <v>5808</v>
      </c>
      <c r="E7006">
        <v>-6844.64</v>
      </c>
      <c r="F7006">
        <v>-1.02</v>
      </c>
      <c r="G7006" t="s">
        <v>12</v>
      </c>
      <c r="I7006" t="s">
        <v>1050</v>
      </c>
    </row>
    <row r="7007" spans="1:9" hidden="1" x14ac:dyDescent="0.25">
      <c r="A7007" t="s">
        <v>5743</v>
      </c>
      <c r="B7007" t="s">
        <v>147</v>
      </c>
      <c r="C7007" s="2">
        <f>HYPERLINK("https://cao.dolgi.msk.ru/account/1080301464/", 1080301464)</f>
        <v>1080301464</v>
      </c>
      <c r="D7007" t="s">
        <v>5809</v>
      </c>
      <c r="E7007">
        <v>-3571.65</v>
      </c>
      <c r="F7007">
        <v>-0.59</v>
      </c>
      <c r="G7007" t="s">
        <v>12</v>
      </c>
      <c r="I7007" t="s">
        <v>1050</v>
      </c>
    </row>
    <row r="7008" spans="1:9" hidden="1" x14ac:dyDescent="0.25">
      <c r="A7008" t="s">
        <v>5743</v>
      </c>
      <c r="B7008" t="s">
        <v>149</v>
      </c>
      <c r="C7008" s="2">
        <f>HYPERLINK("https://cao.dolgi.msk.ru/account/1080301472/", 1080301472)</f>
        <v>1080301472</v>
      </c>
      <c r="D7008" t="s">
        <v>5810</v>
      </c>
      <c r="E7008">
        <v>-6520.75</v>
      </c>
      <c r="F7008">
        <v>-1.31</v>
      </c>
      <c r="G7008" t="s">
        <v>12</v>
      </c>
      <c r="I7008" t="s">
        <v>1050</v>
      </c>
    </row>
    <row r="7009" spans="1:9" hidden="1" x14ac:dyDescent="0.25">
      <c r="A7009" t="s">
        <v>5743</v>
      </c>
      <c r="B7009" t="s">
        <v>151</v>
      </c>
      <c r="C7009" s="2">
        <f>HYPERLINK("https://cao.dolgi.msk.ru/account/1080301499/", 1080301499)</f>
        <v>1080301499</v>
      </c>
      <c r="D7009" t="s">
        <v>15</v>
      </c>
      <c r="E7009">
        <v>-3572.66</v>
      </c>
      <c r="F7009">
        <v>-0.6</v>
      </c>
      <c r="G7009" t="s">
        <v>12</v>
      </c>
      <c r="I7009" t="s">
        <v>1050</v>
      </c>
    </row>
    <row r="7010" spans="1:9" hidden="1" x14ac:dyDescent="0.25">
      <c r="A7010" t="s">
        <v>5811</v>
      </c>
      <c r="B7010" t="s">
        <v>10</v>
      </c>
      <c r="C7010" s="2">
        <f>HYPERLINK("https://cao.dolgi.msk.ru/account/1080301528/", 1080301528)</f>
        <v>1080301528</v>
      </c>
      <c r="D7010" t="s">
        <v>5812</v>
      </c>
      <c r="E7010">
        <v>-3.45</v>
      </c>
      <c r="F7010">
        <v>0</v>
      </c>
      <c r="G7010" t="s">
        <v>12</v>
      </c>
      <c r="I7010" t="s">
        <v>1050</v>
      </c>
    </row>
    <row r="7011" spans="1:9" hidden="1" x14ac:dyDescent="0.25">
      <c r="A7011" t="s">
        <v>5811</v>
      </c>
      <c r="B7011" t="s">
        <v>16</v>
      </c>
      <c r="C7011" s="2">
        <f>HYPERLINK("https://cao.dolgi.msk.ru/account/1080301456/", 1080301456)</f>
        <v>1080301456</v>
      </c>
      <c r="D7011" t="s">
        <v>5813</v>
      </c>
      <c r="E7011">
        <v>-5639.85</v>
      </c>
      <c r="F7011">
        <v>-1.1299999999999999</v>
      </c>
      <c r="G7011" t="s">
        <v>12</v>
      </c>
      <c r="I7011" t="s">
        <v>1050</v>
      </c>
    </row>
    <row r="7012" spans="1:9" hidden="1" x14ac:dyDescent="0.25">
      <c r="A7012" t="s">
        <v>5811</v>
      </c>
      <c r="B7012" t="s">
        <v>16</v>
      </c>
      <c r="C7012" s="2">
        <f>HYPERLINK("https://cao.dolgi.msk.ru/account/1080301536/", 1080301536)</f>
        <v>1080301536</v>
      </c>
      <c r="D7012" t="s">
        <v>15</v>
      </c>
      <c r="G7012" t="s">
        <v>14</v>
      </c>
      <c r="I7012" t="s">
        <v>1050</v>
      </c>
    </row>
    <row r="7013" spans="1:9" hidden="1" x14ac:dyDescent="0.25">
      <c r="A7013" t="s">
        <v>5811</v>
      </c>
      <c r="B7013" t="s">
        <v>18</v>
      </c>
      <c r="C7013" s="2">
        <f>HYPERLINK("https://cao.dolgi.msk.ru/account/1080301544/", 1080301544)</f>
        <v>1080301544</v>
      </c>
      <c r="D7013" t="s">
        <v>5814</v>
      </c>
      <c r="E7013">
        <v>-6100.97</v>
      </c>
      <c r="F7013">
        <v>-1.19</v>
      </c>
      <c r="G7013" t="s">
        <v>12</v>
      </c>
      <c r="I7013" t="s">
        <v>1050</v>
      </c>
    </row>
    <row r="7014" spans="1:9" hidden="1" x14ac:dyDescent="0.25">
      <c r="A7014" t="s">
        <v>5811</v>
      </c>
      <c r="B7014" t="s">
        <v>20</v>
      </c>
      <c r="C7014" s="2">
        <f>HYPERLINK("https://cao.dolgi.msk.ru/account/1080301552/", 1080301552)</f>
        <v>1080301552</v>
      </c>
      <c r="D7014" t="s">
        <v>5815</v>
      </c>
      <c r="E7014">
        <v>-4824.2299999999996</v>
      </c>
      <c r="F7014">
        <v>-1.19</v>
      </c>
      <c r="G7014" t="s">
        <v>12</v>
      </c>
      <c r="I7014" t="s">
        <v>1050</v>
      </c>
    </row>
    <row r="7015" spans="1:9" hidden="1" x14ac:dyDescent="0.25">
      <c r="A7015" t="s">
        <v>5811</v>
      </c>
      <c r="B7015" t="s">
        <v>21</v>
      </c>
      <c r="C7015" s="2">
        <f>HYPERLINK("https://cao.dolgi.msk.ru/account/1080301579/", 1080301579)</f>
        <v>1080301579</v>
      </c>
      <c r="D7015" t="s">
        <v>5816</v>
      </c>
      <c r="E7015">
        <v>-5369.31</v>
      </c>
      <c r="F7015">
        <v>-1.26</v>
      </c>
      <c r="G7015" t="s">
        <v>12</v>
      </c>
      <c r="I7015" t="s">
        <v>1050</v>
      </c>
    </row>
    <row r="7016" spans="1:9" hidden="1" x14ac:dyDescent="0.25">
      <c r="A7016" t="s">
        <v>5811</v>
      </c>
      <c r="B7016" t="s">
        <v>22</v>
      </c>
      <c r="C7016" s="2">
        <f>HYPERLINK("https://cao.dolgi.msk.ru/account/1080301587/", 1080301587)</f>
        <v>1080301587</v>
      </c>
      <c r="D7016" t="s">
        <v>5817</v>
      </c>
      <c r="E7016">
        <v>-4336.09</v>
      </c>
      <c r="F7016">
        <v>-1.05</v>
      </c>
      <c r="G7016" t="s">
        <v>12</v>
      </c>
      <c r="I7016" t="s">
        <v>1050</v>
      </c>
    </row>
    <row r="7017" spans="1:9" hidden="1" x14ac:dyDescent="0.25">
      <c r="A7017" t="s">
        <v>5811</v>
      </c>
      <c r="B7017" t="s">
        <v>23</v>
      </c>
      <c r="C7017" s="2">
        <f>HYPERLINK("https://cao.dolgi.msk.ru/account/1080301595/", 1080301595)</f>
        <v>1080301595</v>
      </c>
      <c r="D7017" t="s">
        <v>5818</v>
      </c>
      <c r="E7017">
        <v>-200.49</v>
      </c>
      <c r="F7017">
        <v>-0.03</v>
      </c>
      <c r="G7017" t="s">
        <v>12</v>
      </c>
      <c r="I7017" t="s">
        <v>1050</v>
      </c>
    </row>
    <row r="7018" spans="1:9" hidden="1" x14ac:dyDescent="0.25">
      <c r="A7018" t="s">
        <v>5811</v>
      </c>
      <c r="B7018" t="s">
        <v>24</v>
      </c>
      <c r="C7018" s="2">
        <f>HYPERLINK("https://cao.dolgi.msk.ru/account/1080301608/", 1080301608)</f>
        <v>1080301608</v>
      </c>
      <c r="D7018" t="s">
        <v>5819</v>
      </c>
      <c r="E7018">
        <v>-10084.17</v>
      </c>
      <c r="F7018">
        <v>-2.36</v>
      </c>
      <c r="G7018" t="s">
        <v>12</v>
      </c>
      <c r="I7018" t="s">
        <v>1050</v>
      </c>
    </row>
    <row r="7019" spans="1:9" hidden="1" x14ac:dyDescent="0.25">
      <c r="A7019" t="s">
        <v>5811</v>
      </c>
      <c r="B7019" t="s">
        <v>27</v>
      </c>
      <c r="C7019" s="2">
        <f>HYPERLINK("https://cao.dolgi.msk.ru/account/1080301616/", 1080301616)</f>
        <v>1080301616</v>
      </c>
      <c r="D7019" t="s">
        <v>5820</v>
      </c>
      <c r="E7019">
        <v>-3645.29</v>
      </c>
      <c r="F7019">
        <v>-1.03</v>
      </c>
      <c r="G7019" t="s">
        <v>12</v>
      </c>
      <c r="I7019" t="s">
        <v>1050</v>
      </c>
    </row>
    <row r="7020" spans="1:9" hidden="1" x14ac:dyDescent="0.25">
      <c r="A7020" t="s">
        <v>5811</v>
      </c>
      <c r="B7020" t="s">
        <v>29</v>
      </c>
      <c r="C7020" s="2">
        <f>HYPERLINK("https://cao.dolgi.msk.ru/account/1080301624/", 1080301624)</f>
        <v>1080301624</v>
      </c>
      <c r="D7020" t="s">
        <v>5821</v>
      </c>
      <c r="E7020">
        <v>-1568.1</v>
      </c>
      <c r="F7020">
        <v>-1.1000000000000001</v>
      </c>
      <c r="G7020" t="s">
        <v>12</v>
      </c>
      <c r="H7020" t="s">
        <v>7</v>
      </c>
      <c r="I7020" t="s">
        <v>1050</v>
      </c>
    </row>
    <row r="7021" spans="1:9" hidden="1" x14ac:dyDescent="0.25">
      <c r="A7021" t="s">
        <v>5811</v>
      </c>
      <c r="B7021" t="s">
        <v>29</v>
      </c>
      <c r="C7021" s="2">
        <f>HYPERLINK("https://cao.dolgi.msk.ru/account/1080301632/", 1080301632)</f>
        <v>1080301632</v>
      </c>
      <c r="D7021" t="s">
        <v>5821</v>
      </c>
      <c r="E7021">
        <v>-3531.68</v>
      </c>
      <c r="F7021">
        <v>-1.06</v>
      </c>
      <c r="G7021" t="s">
        <v>12</v>
      </c>
      <c r="H7021" t="s">
        <v>7</v>
      </c>
      <c r="I7021" t="s">
        <v>1050</v>
      </c>
    </row>
    <row r="7022" spans="1:9" hidden="1" x14ac:dyDescent="0.25">
      <c r="A7022" t="s">
        <v>5811</v>
      </c>
      <c r="B7022" t="s">
        <v>31</v>
      </c>
      <c r="C7022" s="2">
        <f>HYPERLINK("https://cao.dolgi.msk.ru/account/1080301659/", 1080301659)</f>
        <v>1080301659</v>
      </c>
      <c r="D7022" t="s">
        <v>5822</v>
      </c>
      <c r="E7022">
        <v>-4202.6099999999997</v>
      </c>
      <c r="F7022">
        <v>-1.08</v>
      </c>
      <c r="G7022" t="s">
        <v>12</v>
      </c>
      <c r="I7022" t="s">
        <v>1050</v>
      </c>
    </row>
    <row r="7023" spans="1:9" hidden="1" x14ac:dyDescent="0.25">
      <c r="A7023" t="s">
        <v>5811</v>
      </c>
      <c r="B7023" t="s">
        <v>33</v>
      </c>
      <c r="C7023" s="2">
        <f>HYPERLINK("https://cao.dolgi.msk.ru/account/1080301667/", 1080301667)</f>
        <v>1080301667</v>
      </c>
      <c r="D7023" t="s">
        <v>5823</v>
      </c>
      <c r="E7023">
        <v>-3440.55</v>
      </c>
      <c r="F7023">
        <v>-1.07</v>
      </c>
      <c r="G7023" t="s">
        <v>12</v>
      </c>
      <c r="I7023" t="s">
        <v>1050</v>
      </c>
    </row>
    <row r="7024" spans="1:9" hidden="1" x14ac:dyDescent="0.25">
      <c r="A7024" t="s">
        <v>5811</v>
      </c>
      <c r="B7024" t="s">
        <v>34</v>
      </c>
      <c r="C7024" s="2">
        <f>HYPERLINK("https://cao.dolgi.msk.ru/account/1080301675/", 1080301675)</f>
        <v>1080301675</v>
      </c>
      <c r="D7024" t="s">
        <v>5824</v>
      </c>
      <c r="E7024">
        <v>-46.6</v>
      </c>
      <c r="F7024">
        <v>-0.01</v>
      </c>
      <c r="G7024" t="s">
        <v>12</v>
      </c>
      <c r="I7024" t="s">
        <v>1050</v>
      </c>
    </row>
    <row r="7025" spans="1:9" hidden="1" x14ac:dyDescent="0.25">
      <c r="A7025" t="s">
        <v>5811</v>
      </c>
      <c r="B7025" t="s">
        <v>36</v>
      </c>
      <c r="C7025" s="2">
        <f>HYPERLINK("https://cao.dolgi.msk.ru/account/1080301683/", 1080301683)</f>
        <v>1080301683</v>
      </c>
      <c r="D7025" t="s">
        <v>5825</v>
      </c>
      <c r="E7025">
        <v>-2274.77</v>
      </c>
      <c r="F7025">
        <v>-1.03</v>
      </c>
      <c r="G7025" t="s">
        <v>12</v>
      </c>
      <c r="I7025" t="s">
        <v>1050</v>
      </c>
    </row>
    <row r="7026" spans="1:9" hidden="1" x14ac:dyDescent="0.25">
      <c r="A7026" t="s">
        <v>5811</v>
      </c>
      <c r="B7026" t="s">
        <v>38</v>
      </c>
      <c r="C7026" s="2">
        <f>HYPERLINK("https://cao.dolgi.msk.ru/account/1080301691/", 1080301691)</f>
        <v>1080301691</v>
      </c>
      <c r="D7026" t="s">
        <v>5826</v>
      </c>
      <c r="E7026">
        <v>-3447.48</v>
      </c>
      <c r="F7026">
        <v>-0.92</v>
      </c>
      <c r="G7026" t="s">
        <v>12</v>
      </c>
      <c r="I7026" t="s">
        <v>1050</v>
      </c>
    </row>
    <row r="7027" spans="1:9" hidden="1" x14ac:dyDescent="0.25">
      <c r="A7027" t="s">
        <v>5811</v>
      </c>
      <c r="B7027" t="s">
        <v>39</v>
      </c>
      <c r="C7027" s="2">
        <f>HYPERLINK("https://cao.dolgi.msk.ru/account/1080301704/", 1080301704)</f>
        <v>1080301704</v>
      </c>
      <c r="D7027" t="s">
        <v>5827</v>
      </c>
      <c r="E7027">
        <v>-639.16999999999996</v>
      </c>
      <c r="F7027">
        <v>-0.14000000000000001</v>
      </c>
      <c r="G7027" t="s">
        <v>12</v>
      </c>
      <c r="I7027" t="s">
        <v>1050</v>
      </c>
    </row>
    <row r="7028" spans="1:9" hidden="1" x14ac:dyDescent="0.25">
      <c r="A7028" t="s">
        <v>5811</v>
      </c>
      <c r="B7028" t="s">
        <v>40</v>
      </c>
      <c r="C7028" s="2">
        <f>HYPERLINK("https://cao.dolgi.msk.ru/account/1080301712/", 1080301712)</f>
        <v>1080301712</v>
      </c>
      <c r="D7028" t="s">
        <v>5828</v>
      </c>
      <c r="E7028">
        <v>-4769.04</v>
      </c>
      <c r="F7028">
        <v>-1.04</v>
      </c>
      <c r="G7028" t="s">
        <v>12</v>
      </c>
      <c r="I7028" t="s">
        <v>1050</v>
      </c>
    </row>
    <row r="7029" spans="1:9" hidden="1" x14ac:dyDescent="0.25">
      <c r="A7029" t="s">
        <v>5811</v>
      </c>
      <c r="B7029" t="s">
        <v>41</v>
      </c>
      <c r="C7029" s="2">
        <f>HYPERLINK("https://cao.dolgi.msk.ru/account/1080301739/", 1080301739)</f>
        <v>1080301739</v>
      </c>
      <c r="D7029" t="s">
        <v>5829</v>
      </c>
      <c r="E7029">
        <v>-1.98</v>
      </c>
      <c r="F7029">
        <v>0</v>
      </c>
      <c r="G7029" t="s">
        <v>12</v>
      </c>
      <c r="I7029" t="s">
        <v>1050</v>
      </c>
    </row>
    <row r="7030" spans="1:9" hidden="1" x14ac:dyDescent="0.25">
      <c r="A7030" t="s">
        <v>5811</v>
      </c>
      <c r="B7030" t="s">
        <v>42</v>
      </c>
      <c r="C7030" s="2">
        <f>HYPERLINK("https://cao.dolgi.msk.ru/account/1080301747/", 1080301747)</f>
        <v>1080301747</v>
      </c>
      <c r="D7030" t="s">
        <v>5830</v>
      </c>
      <c r="E7030">
        <v>-5155.13</v>
      </c>
      <c r="F7030">
        <v>-1.1200000000000001</v>
      </c>
      <c r="G7030" t="s">
        <v>12</v>
      </c>
      <c r="I7030" t="s">
        <v>1050</v>
      </c>
    </row>
    <row r="7031" spans="1:9" hidden="1" x14ac:dyDescent="0.25">
      <c r="A7031" t="s">
        <v>5811</v>
      </c>
      <c r="B7031" t="s">
        <v>44</v>
      </c>
      <c r="C7031" s="2">
        <f>HYPERLINK("https://cao.dolgi.msk.ru/account/1080301755/", 1080301755)</f>
        <v>1080301755</v>
      </c>
      <c r="D7031" t="s">
        <v>5831</v>
      </c>
      <c r="E7031">
        <v>-4595.1099999999997</v>
      </c>
      <c r="F7031">
        <v>-0.91</v>
      </c>
      <c r="G7031" t="s">
        <v>12</v>
      </c>
      <c r="I7031" t="s">
        <v>1050</v>
      </c>
    </row>
    <row r="7032" spans="1:9" hidden="1" x14ac:dyDescent="0.25">
      <c r="A7032" t="s">
        <v>5811</v>
      </c>
      <c r="B7032" t="s">
        <v>66</v>
      </c>
      <c r="C7032" s="2">
        <f>HYPERLINK("https://cao.dolgi.msk.ru/account/1080301763/", 1080301763)</f>
        <v>1080301763</v>
      </c>
      <c r="D7032" t="s">
        <v>5832</v>
      </c>
      <c r="E7032">
        <v>-454.56</v>
      </c>
      <c r="F7032">
        <v>-0.11</v>
      </c>
      <c r="G7032" t="s">
        <v>12</v>
      </c>
      <c r="I7032" t="s">
        <v>1050</v>
      </c>
    </row>
    <row r="7033" spans="1:9" hidden="1" x14ac:dyDescent="0.25">
      <c r="A7033" t="s">
        <v>5811</v>
      </c>
      <c r="B7033" t="s">
        <v>68</v>
      </c>
      <c r="C7033" s="2">
        <f>HYPERLINK("https://cao.dolgi.msk.ru/account/1080301771/", 1080301771)</f>
        <v>1080301771</v>
      </c>
      <c r="D7033" t="s">
        <v>5833</v>
      </c>
      <c r="E7033">
        <v>-951.97</v>
      </c>
      <c r="F7033">
        <v>-0.13</v>
      </c>
      <c r="G7033" t="s">
        <v>12</v>
      </c>
      <c r="I7033" t="s">
        <v>1050</v>
      </c>
    </row>
    <row r="7034" spans="1:9" hidden="1" x14ac:dyDescent="0.25">
      <c r="A7034" t="s">
        <v>5811</v>
      </c>
      <c r="B7034" t="s">
        <v>70</v>
      </c>
      <c r="C7034" s="2">
        <f>HYPERLINK("https://cao.dolgi.msk.ru/account/1080301798/", 1080301798)</f>
        <v>1080301798</v>
      </c>
      <c r="D7034" t="s">
        <v>5834</v>
      </c>
      <c r="E7034">
        <v>-194</v>
      </c>
      <c r="F7034">
        <v>-0.02</v>
      </c>
      <c r="G7034" t="s">
        <v>12</v>
      </c>
      <c r="I7034" t="s">
        <v>1050</v>
      </c>
    </row>
    <row r="7035" spans="1:9" hidden="1" x14ac:dyDescent="0.25">
      <c r="A7035" t="s">
        <v>5811</v>
      </c>
      <c r="B7035" t="s">
        <v>72</v>
      </c>
      <c r="C7035" s="2">
        <f>HYPERLINK("https://cao.dolgi.msk.ru/account/1080301819/", 1080301819)</f>
        <v>1080301819</v>
      </c>
      <c r="D7035" t="s">
        <v>5835</v>
      </c>
      <c r="E7035">
        <v>-5355.54</v>
      </c>
      <c r="F7035">
        <v>-0.8</v>
      </c>
      <c r="G7035" t="s">
        <v>12</v>
      </c>
      <c r="I7035" t="s">
        <v>1050</v>
      </c>
    </row>
    <row r="7036" spans="1:9" hidden="1" x14ac:dyDescent="0.25">
      <c r="A7036" t="s">
        <v>5811</v>
      </c>
      <c r="B7036" t="s">
        <v>74</v>
      </c>
      <c r="C7036" s="2">
        <f>HYPERLINK("https://cao.dolgi.msk.ru/account/1080301827/", 1080301827)</f>
        <v>1080301827</v>
      </c>
      <c r="D7036" t="s">
        <v>5836</v>
      </c>
      <c r="E7036">
        <v>-6040.19</v>
      </c>
      <c r="F7036">
        <v>-1</v>
      </c>
      <c r="G7036" t="s">
        <v>12</v>
      </c>
      <c r="I7036" t="s">
        <v>1050</v>
      </c>
    </row>
    <row r="7037" spans="1:9" hidden="1" x14ac:dyDescent="0.25">
      <c r="A7037" t="s">
        <v>5811</v>
      </c>
      <c r="B7037" t="s">
        <v>76</v>
      </c>
      <c r="C7037" s="2">
        <f>HYPERLINK("https://cao.dolgi.msk.ru/account/1080301835/", 1080301835)</f>
        <v>1080301835</v>
      </c>
      <c r="D7037" t="s">
        <v>5837</v>
      </c>
      <c r="E7037">
        <v>-3045.04</v>
      </c>
      <c r="F7037">
        <v>-0.98</v>
      </c>
      <c r="G7037" t="s">
        <v>12</v>
      </c>
      <c r="I7037" t="s">
        <v>1050</v>
      </c>
    </row>
    <row r="7038" spans="1:9" hidden="1" x14ac:dyDescent="0.25">
      <c r="A7038" t="s">
        <v>5811</v>
      </c>
      <c r="B7038" t="s">
        <v>78</v>
      </c>
      <c r="C7038" s="2">
        <f>HYPERLINK("https://cao.dolgi.msk.ru/account/1080301843/", 1080301843)</f>
        <v>1080301843</v>
      </c>
      <c r="D7038" t="s">
        <v>5838</v>
      </c>
      <c r="E7038">
        <v>-11527.54</v>
      </c>
      <c r="F7038">
        <v>-0.89</v>
      </c>
      <c r="G7038" t="s">
        <v>12</v>
      </c>
      <c r="I7038" t="s">
        <v>1050</v>
      </c>
    </row>
    <row r="7039" spans="1:9" hidden="1" x14ac:dyDescent="0.25">
      <c r="A7039" t="s">
        <v>5811</v>
      </c>
      <c r="B7039" t="s">
        <v>80</v>
      </c>
      <c r="C7039" s="2">
        <f>HYPERLINK("https://cao.dolgi.msk.ru/account/1080301851/", 1080301851)</f>
        <v>1080301851</v>
      </c>
      <c r="D7039" t="s">
        <v>5839</v>
      </c>
      <c r="E7039">
        <v>0</v>
      </c>
      <c r="G7039" t="s">
        <v>14</v>
      </c>
      <c r="I7039" t="s">
        <v>1050</v>
      </c>
    </row>
    <row r="7040" spans="1:9" hidden="1" x14ac:dyDescent="0.25">
      <c r="A7040" t="s">
        <v>5811</v>
      </c>
      <c r="B7040" t="s">
        <v>80</v>
      </c>
      <c r="C7040" s="2">
        <f>HYPERLINK("https://cao.dolgi.msk.ru/account/1083268807/", 1083268807)</f>
        <v>1083268807</v>
      </c>
      <c r="D7040" t="s">
        <v>5840</v>
      </c>
      <c r="E7040">
        <v>-4894.34</v>
      </c>
      <c r="F7040">
        <v>-1.27</v>
      </c>
      <c r="G7040" t="s">
        <v>12</v>
      </c>
      <c r="I7040" t="s">
        <v>1050</v>
      </c>
    </row>
    <row r="7041" spans="1:9" hidden="1" x14ac:dyDescent="0.25">
      <c r="A7041" t="s">
        <v>5811</v>
      </c>
      <c r="B7041" t="s">
        <v>82</v>
      </c>
      <c r="C7041" s="2">
        <f>HYPERLINK("https://cao.dolgi.msk.ru/account/1080301878/", 1080301878)</f>
        <v>1080301878</v>
      </c>
      <c r="D7041" t="s">
        <v>5841</v>
      </c>
      <c r="E7041">
        <v>0</v>
      </c>
      <c r="F7041">
        <v>0</v>
      </c>
      <c r="G7041" t="s">
        <v>12</v>
      </c>
      <c r="I7041" t="s">
        <v>1050</v>
      </c>
    </row>
    <row r="7042" spans="1:9" hidden="1" x14ac:dyDescent="0.25">
      <c r="A7042" t="s">
        <v>5811</v>
      </c>
      <c r="B7042" t="s">
        <v>84</v>
      </c>
      <c r="C7042" s="2">
        <f>HYPERLINK("https://cao.dolgi.msk.ru/account/1080301886/", 1080301886)</f>
        <v>1080301886</v>
      </c>
      <c r="D7042" t="s">
        <v>5842</v>
      </c>
      <c r="E7042">
        <v>-6071</v>
      </c>
      <c r="F7042">
        <v>-0.92</v>
      </c>
      <c r="G7042" t="s">
        <v>12</v>
      </c>
      <c r="I7042" t="s">
        <v>1050</v>
      </c>
    </row>
    <row r="7043" spans="1:9" hidden="1" x14ac:dyDescent="0.25">
      <c r="A7043" t="s">
        <v>5811</v>
      </c>
      <c r="B7043" t="s">
        <v>86</v>
      </c>
      <c r="C7043" s="2">
        <f>HYPERLINK("https://cao.dolgi.msk.ru/account/1080301894/", 1080301894)</f>
        <v>1080301894</v>
      </c>
      <c r="D7043" t="s">
        <v>5843</v>
      </c>
      <c r="E7043">
        <v>-5477.72</v>
      </c>
      <c r="F7043">
        <v>-1.05</v>
      </c>
      <c r="G7043" t="s">
        <v>12</v>
      </c>
      <c r="I7043" t="s">
        <v>1050</v>
      </c>
    </row>
    <row r="7044" spans="1:9" hidden="1" x14ac:dyDescent="0.25">
      <c r="A7044" t="s">
        <v>5811</v>
      </c>
      <c r="B7044" t="s">
        <v>88</v>
      </c>
      <c r="C7044" s="2">
        <f>HYPERLINK("https://cao.dolgi.msk.ru/account/1080301907/", 1080301907)</f>
        <v>1080301907</v>
      </c>
      <c r="D7044" t="s">
        <v>5844</v>
      </c>
      <c r="E7044">
        <v>-3016.12</v>
      </c>
      <c r="F7044">
        <v>-1.08</v>
      </c>
      <c r="G7044" t="s">
        <v>12</v>
      </c>
      <c r="I7044" t="s">
        <v>1050</v>
      </c>
    </row>
    <row r="7045" spans="1:9" hidden="1" x14ac:dyDescent="0.25">
      <c r="A7045" t="s">
        <v>5811</v>
      </c>
      <c r="B7045" t="s">
        <v>88</v>
      </c>
      <c r="C7045" s="2">
        <f>HYPERLINK("https://cao.dolgi.msk.ru/account/1083371126/", 1083371126)</f>
        <v>1083371126</v>
      </c>
      <c r="D7045" t="s">
        <v>15</v>
      </c>
      <c r="E7045">
        <v>-4081.09</v>
      </c>
      <c r="F7045">
        <v>-1.85</v>
      </c>
      <c r="G7045" t="s">
        <v>12</v>
      </c>
      <c r="I7045" t="s">
        <v>1050</v>
      </c>
    </row>
    <row r="7046" spans="1:9" x14ac:dyDescent="0.25">
      <c r="A7046" t="s">
        <v>5811</v>
      </c>
      <c r="B7046" t="s">
        <v>90</v>
      </c>
      <c r="C7046" s="2">
        <f>HYPERLINK("https://cao.dolgi.msk.ru/account/1080301915/", 1080301915)</f>
        <v>1080301915</v>
      </c>
      <c r="D7046" t="s">
        <v>5845</v>
      </c>
      <c r="E7046">
        <v>12201.82</v>
      </c>
      <c r="F7046">
        <v>2.95</v>
      </c>
      <c r="G7046" t="s">
        <v>12</v>
      </c>
      <c r="I7046" t="s">
        <v>1050</v>
      </c>
    </row>
    <row r="7047" spans="1:9" hidden="1" x14ac:dyDescent="0.25">
      <c r="A7047" t="s">
        <v>5811</v>
      </c>
      <c r="B7047" t="s">
        <v>92</v>
      </c>
      <c r="C7047" s="2">
        <f>HYPERLINK("https://cao.dolgi.msk.ru/account/1080301923/", 1080301923)</f>
        <v>1080301923</v>
      </c>
      <c r="D7047" t="s">
        <v>5846</v>
      </c>
      <c r="E7047">
        <v>-4942.66</v>
      </c>
      <c r="F7047">
        <v>-1.08</v>
      </c>
      <c r="G7047" t="s">
        <v>12</v>
      </c>
      <c r="I7047" t="s">
        <v>1050</v>
      </c>
    </row>
    <row r="7048" spans="1:9" x14ac:dyDescent="0.25">
      <c r="A7048" t="s">
        <v>5811</v>
      </c>
      <c r="B7048" t="s">
        <v>94</v>
      </c>
      <c r="C7048" s="2">
        <f>HYPERLINK("https://cao.dolgi.msk.ru/account/1080301931/", 1080301931)</f>
        <v>1080301931</v>
      </c>
      <c r="D7048" t="s">
        <v>5847</v>
      </c>
      <c r="E7048">
        <v>136862.43</v>
      </c>
      <c r="F7048">
        <v>33.200000000000003</v>
      </c>
      <c r="G7048" t="s">
        <v>12</v>
      </c>
      <c r="I7048" t="s">
        <v>1050</v>
      </c>
    </row>
    <row r="7049" spans="1:9" x14ac:dyDescent="0.25">
      <c r="A7049" t="s">
        <v>5811</v>
      </c>
      <c r="B7049" t="s">
        <v>94</v>
      </c>
      <c r="C7049" s="2">
        <f>HYPERLINK("https://cao.dolgi.msk.ru/account/1089126471/", 1089126471)</f>
        <v>1089126471</v>
      </c>
      <c r="D7049" t="s">
        <v>5847</v>
      </c>
      <c r="E7049">
        <v>60521.33</v>
      </c>
      <c r="F7049">
        <v>14.68</v>
      </c>
      <c r="G7049" t="s">
        <v>12</v>
      </c>
      <c r="I7049" t="s">
        <v>1050</v>
      </c>
    </row>
    <row r="7050" spans="1:9" hidden="1" x14ac:dyDescent="0.25">
      <c r="A7050" t="s">
        <v>5811</v>
      </c>
      <c r="B7050" t="s">
        <v>96</v>
      </c>
      <c r="C7050" s="2">
        <f>HYPERLINK("https://cao.dolgi.msk.ru/account/1080301958/", 1080301958)</f>
        <v>1080301958</v>
      </c>
      <c r="D7050" t="s">
        <v>5848</v>
      </c>
      <c r="E7050">
        <v>-7278.56</v>
      </c>
      <c r="F7050">
        <v>-1.1399999999999999</v>
      </c>
      <c r="G7050" t="s">
        <v>12</v>
      </c>
      <c r="I7050" t="s">
        <v>1050</v>
      </c>
    </row>
    <row r="7051" spans="1:9" hidden="1" x14ac:dyDescent="0.25">
      <c r="A7051" t="s">
        <v>5811</v>
      </c>
      <c r="B7051" t="s">
        <v>98</v>
      </c>
      <c r="C7051" s="2">
        <f>HYPERLINK("https://cao.dolgi.msk.ru/account/1080301966/", 1080301966)</f>
        <v>1080301966</v>
      </c>
      <c r="D7051" t="s">
        <v>5849</v>
      </c>
      <c r="E7051">
        <v>1236.8900000000001</v>
      </c>
      <c r="F7051">
        <v>0.12</v>
      </c>
      <c r="G7051" t="s">
        <v>12</v>
      </c>
      <c r="I7051" t="s">
        <v>1050</v>
      </c>
    </row>
    <row r="7052" spans="1:9" x14ac:dyDescent="0.25">
      <c r="A7052" t="s">
        <v>5811</v>
      </c>
      <c r="B7052" t="s">
        <v>100</v>
      </c>
      <c r="C7052" s="2">
        <f>HYPERLINK("https://cao.dolgi.msk.ru/account/1080301974/", 1080301974)</f>
        <v>1080301974</v>
      </c>
      <c r="D7052" t="s">
        <v>5850</v>
      </c>
      <c r="E7052">
        <v>5388.83</v>
      </c>
      <c r="F7052">
        <v>1.03</v>
      </c>
      <c r="G7052" t="s">
        <v>12</v>
      </c>
      <c r="I7052" t="s">
        <v>1050</v>
      </c>
    </row>
    <row r="7053" spans="1:9" hidden="1" x14ac:dyDescent="0.25">
      <c r="A7053" t="s">
        <v>5811</v>
      </c>
      <c r="B7053" t="s">
        <v>102</v>
      </c>
      <c r="C7053" s="2">
        <f>HYPERLINK("https://cao.dolgi.msk.ru/account/1080301982/", 1080301982)</f>
        <v>1080301982</v>
      </c>
      <c r="D7053" t="s">
        <v>5851</v>
      </c>
      <c r="E7053">
        <v>-583.95000000000005</v>
      </c>
      <c r="F7053">
        <v>-0.15</v>
      </c>
      <c r="G7053" t="s">
        <v>12</v>
      </c>
      <c r="I7053" t="s">
        <v>1050</v>
      </c>
    </row>
    <row r="7054" spans="1:9" hidden="1" x14ac:dyDescent="0.25">
      <c r="A7054" t="s">
        <v>5811</v>
      </c>
      <c r="B7054" t="s">
        <v>104</v>
      </c>
      <c r="C7054" s="2">
        <f>HYPERLINK("https://cao.dolgi.msk.ru/account/1080302002/", 1080302002)</f>
        <v>1080302002</v>
      </c>
      <c r="D7054" t="s">
        <v>5852</v>
      </c>
      <c r="E7054">
        <v>-26.4</v>
      </c>
      <c r="F7054">
        <v>0</v>
      </c>
      <c r="G7054" t="s">
        <v>12</v>
      </c>
      <c r="I7054" t="s">
        <v>1050</v>
      </c>
    </row>
    <row r="7055" spans="1:9" hidden="1" x14ac:dyDescent="0.25">
      <c r="A7055" t="s">
        <v>5811</v>
      </c>
      <c r="B7055" t="s">
        <v>106</v>
      </c>
      <c r="C7055" s="2">
        <f>HYPERLINK("https://cao.dolgi.msk.ru/account/1080302029/", 1080302029)</f>
        <v>1080302029</v>
      </c>
      <c r="D7055" t="s">
        <v>5853</v>
      </c>
      <c r="E7055">
        <v>-5140.83</v>
      </c>
      <c r="F7055">
        <v>-1</v>
      </c>
      <c r="G7055" t="s">
        <v>12</v>
      </c>
      <c r="I7055" t="s">
        <v>1050</v>
      </c>
    </row>
    <row r="7056" spans="1:9" x14ac:dyDescent="0.25">
      <c r="A7056" t="s">
        <v>5811</v>
      </c>
      <c r="B7056" t="s">
        <v>108</v>
      </c>
      <c r="C7056" s="2">
        <f>HYPERLINK("https://cao.dolgi.msk.ru/account/1080302037/", 1080302037)</f>
        <v>1080302037</v>
      </c>
      <c r="D7056" t="s">
        <v>5854</v>
      </c>
      <c r="E7056">
        <v>196871.28</v>
      </c>
      <c r="F7056">
        <v>13.49</v>
      </c>
      <c r="G7056" t="s">
        <v>12</v>
      </c>
      <c r="I7056" t="s">
        <v>1050</v>
      </c>
    </row>
    <row r="7057" spans="1:9" hidden="1" x14ac:dyDescent="0.25">
      <c r="A7057" t="s">
        <v>5811</v>
      </c>
      <c r="B7057" t="s">
        <v>110</v>
      </c>
      <c r="C7057" s="2">
        <f>HYPERLINK("https://cao.dolgi.msk.ru/account/1080302045/", 1080302045)</f>
        <v>1080302045</v>
      </c>
      <c r="D7057" t="s">
        <v>5855</v>
      </c>
      <c r="E7057">
        <v>-4156.08</v>
      </c>
      <c r="F7057">
        <v>-1.24</v>
      </c>
      <c r="G7057" t="s">
        <v>12</v>
      </c>
      <c r="I7057" t="s">
        <v>1050</v>
      </c>
    </row>
    <row r="7058" spans="1:9" hidden="1" x14ac:dyDescent="0.25">
      <c r="A7058" t="s">
        <v>5811</v>
      </c>
      <c r="B7058" t="s">
        <v>112</v>
      </c>
      <c r="C7058" s="2">
        <f>HYPERLINK("https://cao.dolgi.msk.ru/account/1080302053/", 1080302053)</f>
        <v>1080302053</v>
      </c>
      <c r="D7058" t="s">
        <v>5856</v>
      </c>
      <c r="E7058">
        <v>487.72</v>
      </c>
      <c r="F7058">
        <v>0.09</v>
      </c>
      <c r="G7058" t="s">
        <v>12</v>
      </c>
      <c r="I7058" t="s">
        <v>1050</v>
      </c>
    </row>
    <row r="7059" spans="1:9" hidden="1" x14ac:dyDescent="0.25">
      <c r="A7059" t="s">
        <v>5811</v>
      </c>
      <c r="B7059" t="s">
        <v>114</v>
      </c>
      <c r="C7059" s="2">
        <f>HYPERLINK("https://cao.dolgi.msk.ru/account/1080302061/", 1080302061)</f>
        <v>1080302061</v>
      </c>
      <c r="D7059" t="s">
        <v>5857</v>
      </c>
      <c r="E7059">
        <v>-3299.4</v>
      </c>
      <c r="F7059">
        <v>-0.91</v>
      </c>
      <c r="G7059" t="s">
        <v>12</v>
      </c>
      <c r="I7059" t="s">
        <v>1050</v>
      </c>
    </row>
    <row r="7060" spans="1:9" x14ac:dyDescent="0.25">
      <c r="A7060" t="s">
        <v>5811</v>
      </c>
      <c r="B7060" t="s">
        <v>116</v>
      </c>
      <c r="C7060" s="2">
        <f>HYPERLINK("https://cao.dolgi.msk.ru/account/1080302088/", 1080302088)</f>
        <v>1080302088</v>
      </c>
      <c r="D7060" t="s">
        <v>5858</v>
      </c>
      <c r="E7060">
        <v>38390.910000000003</v>
      </c>
      <c r="F7060">
        <v>7.59</v>
      </c>
      <c r="G7060" t="s">
        <v>12</v>
      </c>
      <c r="I7060" t="s">
        <v>1050</v>
      </c>
    </row>
    <row r="7061" spans="1:9" hidden="1" x14ac:dyDescent="0.25">
      <c r="A7061" t="s">
        <v>5811</v>
      </c>
      <c r="B7061" t="s">
        <v>118</v>
      </c>
      <c r="C7061" s="2">
        <f>HYPERLINK("https://cao.dolgi.msk.ru/account/1080302096/", 1080302096)</f>
        <v>1080302096</v>
      </c>
      <c r="D7061" t="s">
        <v>5859</v>
      </c>
      <c r="E7061">
        <v>-3081.89</v>
      </c>
      <c r="F7061">
        <v>-1</v>
      </c>
      <c r="G7061" t="s">
        <v>12</v>
      </c>
      <c r="I7061" t="s">
        <v>1050</v>
      </c>
    </row>
    <row r="7062" spans="1:9" hidden="1" x14ac:dyDescent="0.25">
      <c r="A7062" t="s">
        <v>5811</v>
      </c>
      <c r="B7062" t="s">
        <v>120</v>
      </c>
      <c r="C7062" s="2">
        <f>HYPERLINK("https://cao.dolgi.msk.ru/account/1080302109/", 1080302109)</f>
        <v>1080302109</v>
      </c>
      <c r="D7062" t="s">
        <v>15</v>
      </c>
      <c r="E7062">
        <v>-3609.25</v>
      </c>
      <c r="F7062">
        <v>-1.02</v>
      </c>
      <c r="G7062" t="s">
        <v>12</v>
      </c>
      <c r="I7062" t="s">
        <v>1050</v>
      </c>
    </row>
    <row r="7063" spans="1:9" hidden="1" x14ac:dyDescent="0.25">
      <c r="A7063" t="s">
        <v>5811</v>
      </c>
      <c r="B7063" t="s">
        <v>122</v>
      </c>
      <c r="C7063" s="2">
        <f>HYPERLINK("https://cao.dolgi.msk.ru/account/1080302117/", 1080302117)</f>
        <v>1080302117</v>
      </c>
      <c r="D7063" t="s">
        <v>15</v>
      </c>
      <c r="E7063">
        <v>-7950.71</v>
      </c>
      <c r="F7063">
        <v>-1.25</v>
      </c>
      <c r="G7063" t="s">
        <v>12</v>
      </c>
      <c r="I7063" t="s">
        <v>1050</v>
      </c>
    </row>
    <row r="7064" spans="1:9" x14ac:dyDescent="0.25">
      <c r="A7064" t="s">
        <v>5811</v>
      </c>
      <c r="B7064" t="s">
        <v>124</v>
      </c>
      <c r="C7064" s="2">
        <f>HYPERLINK("https://cao.dolgi.msk.ru/account/1080302125/", 1080302125)</f>
        <v>1080302125</v>
      </c>
      <c r="D7064" t="s">
        <v>5860</v>
      </c>
      <c r="E7064">
        <v>7234.34</v>
      </c>
      <c r="F7064">
        <v>1.21</v>
      </c>
      <c r="G7064" t="s">
        <v>12</v>
      </c>
      <c r="I7064" t="s">
        <v>1050</v>
      </c>
    </row>
    <row r="7065" spans="1:9" hidden="1" x14ac:dyDescent="0.25">
      <c r="A7065" t="s">
        <v>5811</v>
      </c>
      <c r="B7065" t="s">
        <v>126</v>
      </c>
      <c r="C7065" s="2">
        <f>HYPERLINK("https://cao.dolgi.msk.ru/account/1080302133/", 1080302133)</f>
        <v>1080302133</v>
      </c>
      <c r="D7065" t="s">
        <v>5861</v>
      </c>
      <c r="E7065">
        <v>-3480.81</v>
      </c>
      <c r="F7065">
        <v>-1.44</v>
      </c>
      <c r="G7065" t="s">
        <v>12</v>
      </c>
      <c r="I7065" t="s">
        <v>1050</v>
      </c>
    </row>
    <row r="7066" spans="1:9" hidden="1" x14ac:dyDescent="0.25">
      <c r="A7066" t="s">
        <v>5811</v>
      </c>
      <c r="B7066" t="s">
        <v>128</v>
      </c>
      <c r="C7066" s="2">
        <f>HYPERLINK("https://cao.dolgi.msk.ru/account/1080302141/", 1080302141)</f>
        <v>1080302141</v>
      </c>
      <c r="D7066" t="s">
        <v>5862</v>
      </c>
      <c r="E7066">
        <v>-11185.14</v>
      </c>
      <c r="F7066">
        <v>-3.69</v>
      </c>
      <c r="G7066" t="s">
        <v>12</v>
      </c>
      <c r="I7066" t="s">
        <v>1050</v>
      </c>
    </row>
    <row r="7067" spans="1:9" hidden="1" x14ac:dyDescent="0.25">
      <c r="A7067" t="s">
        <v>5811</v>
      </c>
      <c r="B7067" t="s">
        <v>130</v>
      </c>
      <c r="C7067" s="2">
        <f>HYPERLINK("https://cao.dolgi.msk.ru/account/1080302168/", 1080302168)</f>
        <v>1080302168</v>
      </c>
      <c r="D7067" t="s">
        <v>15</v>
      </c>
      <c r="E7067">
        <v>-5876.33</v>
      </c>
      <c r="F7067">
        <v>-1.05</v>
      </c>
      <c r="G7067" t="s">
        <v>12</v>
      </c>
      <c r="I7067" t="s">
        <v>1050</v>
      </c>
    </row>
    <row r="7068" spans="1:9" hidden="1" x14ac:dyDescent="0.25">
      <c r="A7068" t="s">
        <v>5811</v>
      </c>
      <c r="B7068" t="s">
        <v>132</v>
      </c>
      <c r="C7068" s="2">
        <f>HYPERLINK("https://cao.dolgi.msk.ru/account/1080302176/", 1080302176)</f>
        <v>1080302176</v>
      </c>
      <c r="D7068" t="s">
        <v>5863</v>
      </c>
      <c r="E7068">
        <v>-4442.12</v>
      </c>
      <c r="F7068">
        <v>-0.87</v>
      </c>
      <c r="G7068" t="s">
        <v>12</v>
      </c>
      <c r="I7068" t="s">
        <v>1050</v>
      </c>
    </row>
    <row r="7069" spans="1:9" hidden="1" x14ac:dyDescent="0.25">
      <c r="A7069" t="s">
        <v>5811</v>
      </c>
      <c r="B7069" t="s">
        <v>133</v>
      </c>
      <c r="C7069" s="2">
        <f>HYPERLINK("https://cao.dolgi.msk.ru/account/1080302184/", 1080302184)</f>
        <v>1080302184</v>
      </c>
      <c r="D7069" t="s">
        <v>5864</v>
      </c>
      <c r="E7069">
        <v>-3470.02</v>
      </c>
      <c r="F7069">
        <v>-1.1499999999999999</v>
      </c>
      <c r="G7069" t="s">
        <v>12</v>
      </c>
      <c r="I7069" t="s">
        <v>1050</v>
      </c>
    </row>
    <row r="7070" spans="1:9" hidden="1" x14ac:dyDescent="0.25">
      <c r="A7070" t="s">
        <v>5811</v>
      </c>
      <c r="B7070" t="s">
        <v>135</v>
      </c>
      <c r="C7070" s="2">
        <f>HYPERLINK("https://cao.dolgi.msk.ru/account/1080302192/", 1080302192)</f>
        <v>1080302192</v>
      </c>
      <c r="D7070" t="s">
        <v>5865</v>
      </c>
      <c r="E7070">
        <v>-2157.88</v>
      </c>
      <c r="F7070">
        <v>-1.08</v>
      </c>
      <c r="G7070" t="s">
        <v>12</v>
      </c>
      <c r="I7070" t="s">
        <v>1050</v>
      </c>
    </row>
    <row r="7071" spans="1:9" hidden="1" x14ac:dyDescent="0.25">
      <c r="A7071" t="s">
        <v>5811</v>
      </c>
      <c r="B7071" t="s">
        <v>137</v>
      </c>
      <c r="C7071" s="2">
        <f>HYPERLINK("https://cao.dolgi.msk.ru/account/1080302205/", 1080302205)</f>
        <v>1080302205</v>
      </c>
      <c r="D7071" t="s">
        <v>5866</v>
      </c>
      <c r="E7071">
        <v>-2470.96</v>
      </c>
      <c r="F7071">
        <v>-0.97</v>
      </c>
      <c r="G7071" t="s">
        <v>12</v>
      </c>
      <c r="I7071" t="s">
        <v>1050</v>
      </c>
    </row>
    <row r="7072" spans="1:9" x14ac:dyDescent="0.25">
      <c r="A7072" t="s">
        <v>5811</v>
      </c>
      <c r="B7072" t="s">
        <v>139</v>
      </c>
      <c r="C7072" s="2">
        <f>HYPERLINK("https://cao.dolgi.msk.ru/account/1080302213/", 1080302213)</f>
        <v>1080302213</v>
      </c>
      <c r="D7072" t="s">
        <v>5867</v>
      </c>
      <c r="E7072">
        <v>19605.099999999999</v>
      </c>
      <c r="F7072">
        <v>2.85</v>
      </c>
      <c r="G7072" t="s">
        <v>12</v>
      </c>
      <c r="I7072" t="s">
        <v>1050</v>
      </c>
    </row>
    <row r="7073" spans="1:9" hidden="1" x14ac:dyDescent="0.25">
      <c r="A7073" t="s">
        <v>5811</v>
      </c>
      <c r="B7073" t="s">
        <v>141</v>
      </c>
      <c r="C7073" s="2">
        <f>HYPERLINK("https://cao.dolgi.msk.ru/account/1080302221/", 1080302221)</f>
        <v>1080302221</v>
      </c>
      <c r="D7073" t="s">
        <v>5868</v>
      </c>
      <c r="E7073">
        <v>-58.2</v>
      </c>
      <c r="F7073">
        <v>-0.01</v>
      </c>
      <c r="G7073" t="s">
        <v>12</v>
      </c>
      <c r="I7073" t="s">
        <v>1050</v>
      </c>
    </row>
    <row r="7074" spans="1:9" hidden="1" x14ac:dyDescent="0.25">
      <c r="A7074" t="s">
        <v>5811</v>
      </c>
      <c r="B7074" t="s">
        <v>143</v>
      </c>
      <c r="C7074" s="2">
        <f>HYPERLINK("https://cao.dolgi.msk.ru/account/1080302248/", 1080302248)</f>
        <v>1080302248</v>
      </c>
      <c r="D7074" t="s">
        <v>5869</v>
      </c>
      <c r="E7074">
        <v>0</v>
      </c>
      <c r="F7074">
        <v>0</v>
      </c>
      <c r="G7074" t="s">
        <v>12</v>
      </c>
      <c r="I7074" t="s">
        <v>1050</v>
      </c>
    </row>
    <row r="7075" spans="1:9" hidden="1" x14ac:dyDescent="0.25">
      <c r="A7075" t="s">
        <v>5870</v>
      </c>
      <c r="B7075" t="s">
        <v>10</v>
      </c>
      <c r="C7075" s="2">
        <f>HYPERLINK("https://cao.dolgi.msk.ru/account/1080302256/", 1080302256)</f>
        <v>1080302256</v>
      </c>
      <c r="D7075" t="s">
        <v>5871</v>
      </c>
      <c r="E7075">
        <v>-9864.23</v>
      </c>
      <c r="F7075">
        <v>-1.05</v>
      </c>
      <c r="G7075" t="s">
        <v>12</v>
      </c>
      <c r="I7075" t="s">
        <v>1050</v>
      </c>
    </row>
    <row r="7076" spans="1:9" hidden="1" x14ac:dyDescent="0.25">
      <c r="A7076" t="s">
        <v>5870</v>
      </c>
      <c r="B7076" t="s">
        <v>16</v>
      </c>
      <c r="C7076" s="2">
        <f>HYPERLINK("https://cao.dolgi.msk.ru/account/1080302264/", 1080302264)</f>
        <v>1080302264</v>
      </c>
      <c r="D7076" t="s">
        <v>5872</v>
      </c>
      <c r="E7076">
        <v>-6669.57</v>
      </c>
      <c r="F7076">
        <v>-1.07</v>
      </c>
      <c r="G7076" t="s">
        <v>12</v>
      </c>
      <c r="I7076" t="s">
        <v>1050</v>
      </c>
    </row>
    <row r="7077" spans="1:9" hidden="1" x14ac:dyDescent="0.25">
      <c r="A7077" t="s">
        <v>5870</v>
      </c>
      <c r="B7077" t="s">
        <v>18</v>
      </c>
      <c r="C7077" s="2">
        <f>HYPERLINK("https://cao.dolgi.msk.ru/account/1080302272/", 1080302272)</f>
        <v>1080302272</v>
      </c>
      <c r="D7077" t="s">
        <v>5873</v>
      </c>
      <c r="E7077">
        <v>-8037.89</v>
      </c>
      <c r="F7077">
        <v>-1.1100000000000001</v>
      </c>
      <c r="G7077" t="s">
        <v>12</v>
      </c>
      <c r="I7077" t="s">
        <v>1050</v>
      </c>
    </row>
    <row r="7078" spans="1:9" hidden="1" x14ac:dyDescent="0.25">
      <c r="A7078" t="s">
        <v>5870</v>
      </c>
      <c r="B7078" t="s">
        <v>20</v>
      </c>
      <c r="C7078" s="2">
        <f>HYPERLINK("https://cao.dolgi.msk.ru/account/1080302299/", 1080302299)</f>
        <v>1080302299</v>
      </c>
      <c r="D7078" t="s">
        <v>5874</v>
      </c>
      <c r="E7078">
        <v>-6513.1</v>
      </c>
      <c r="F7078">
        <v>-1.1599999999999999</v>
      </c>
      <c r="G7078" t="s">
        <v>12</v>
      </c>
      <c r="I7078" t="s">
        <v>1050</v>
      </c>
    </row>
    <row r="7079" spans="1:9" hidden="1" x14ac:dyDescent="0.25">
      <c r="A7079" t="s">
        <v>5870</v>
      </c>
      <c r="B7079" t="s">
        <v>21</v>
      </c>
      <c r="C7079" s="2">
        <f>HYPERLINK("https://cao.dolgi.msk.ru/account/1080302301/", 1080302301)</f>
        <v>1080302301</v>
      </c>
      <c r="D7079" t="s">
        <v>5875</v>
      </c>
      <c r="E7079">
        <v>241.53</v>
      </c>
      <c r="F7079">
        <v>0.08</v>
      </c>
      <c r="G7079" t="s">
        <v>12</v>
      </c>
      <c r="I7079" t="s">
        <v>1050</v>
      </c>
    </row>
    <row r="7080" spans="1:9" hidden="1" x14ac:dyDescent="0.25">
      <c r="A7080" t="s">
        <v>5870</v>
      </c>
      <c r="B7080" t="s">
        <v>22</v>
      </c>
      <c r="C7080" s="2">
        <f>HYPERLINK("https://cao.dolgi.msk.ru/account/1080302328/", 1080302328)</f>
        <v>1080302328</v>
      </c>
      <c r="D7080" t="s">
        <v>5876</v>
      </c>
      <c r="E7080">
        <v>-3800</v>
      </c>
      <c r="F7080">
        <v>-1.01</v>
      </c>
      <c r="G7080" t="s">
        <v>12</v>
      </c>
      <c r="I7080" t="s">
        <v>1050</v>
      </c>
    </row>
    <row r="7081" spans="1:9" hidden="1" x14ac:dyDescent="0.25">
      <c r="A7081" t="s">
        <v>5870</v>
      </c>
      <c r="B7081" t="s">
        <v>23</v>
      </c>
      <c r="C7081" s="2">
        <f>HYPERLINK("https://cao.dolgi.msk.ru/account/1080302336/", 1080302336)</f>
        <v>1080302336</v>
      </c>
      <c r="D7081" t="s">
        <v>5877</v>
      </c>
      <c r="E7081">
        <v>0</v>
      </c>
      <c r="F7081">
        <v>0</v>
      </c>
      <c r="G7081" t="s">
        <v>12</v>
      </c>
      <c r="I7081" t="s">
        <v>1050</v>
      </c>
    </row>
    <row r="7082" spans="1:9" hidden="1" x14ac:dyDescent="0.25">
      <c r="A7082" t="s">
        <v>5870</v>
      </c>
      <c r="B7082" t="s">
        <v>24</v>
      </c>
      <c r="C7082" s="2">
        <f>HYPERLINK("https://cao.dolgi.msk.ru/account/1080302344/", 1080302344)</f>
        <v>1080302344</v>
      </c>
      <c r="D7082" t="s">
        <v>5878</v>
      </c>
      <c r="E7082">
        <v>-4050.87</v>
      </c>
      <c r="F7082">
        <v>-0.93</v>
      </c>
      <c r="G7082" t="s">
        <v>12</v>
      </c>
      <c r="I7082" t="s">
        <v>1050</v>
      </c>
    </row>
    <row r="7083" spans="1:9" hidden="1" x14ac:dyDescent="0.25">
      <c r="A7083" t="s">
        <v>5870</v>
      </c>
      <c r="B7083" t="s">
        <v>27</v>
      </c>
      <c r="C7083" s="2">
        <f>HYPERLINK("https://cao.dolgi.msk.ru/account/1080302352/", 1080302352)</f>
        <v>1080302352</v>
      </c>
      <c r="D7083" t="s">
        <v>5879</v>
      </c>
      <c r="E7083">
        <v>42.5</v>
      </c>
      <c r="F7083">
        <v>0.01</v>
      </c>
      <c r="G7083" t="s">
        <v>12</v>
      </c>
      <c r="I7083" t="s">
        <v>1050</v>
      </c>
    </row>
    <row r="7084" spans="1:9" hidden="1" x14ac:dyDescent="0.25">
      <c r="A7084" t="s">
        <v>5870</v>
      </c>
      <c r="B7084" t="s">
        <v>29</v>
      </c>
      <c r="C7084" s="2">
        <f>HYPERLINK("https://cao.dolgi.msk.ru/account/1080302379/", 1080302379)</f>
        <v>1080302379</v>
      </c>
      <c r="D7084" t="s">
        <v>5880</v>
      </c>
      <c r="E7084">
        <v>0</v>
      </c>
      <c r="F7084">
        <v>0</v>
      </c>
      <c r="G7084" t="s">
        <v>12</v>
      </c>
      <c r="I7084" t="s">
        <v>1050</v>
      </c>
    </row>
    <row r="7085" spans="1:9" hidden="1" x14ac:dyDescent="0.25">
      <c r="A7085" t="s">
        <v>5870</v>
      </c>
      <c r="B7085" t="s">
        <v>31</v>
      </c>
      <c r="C7085" s="2">
        <f>HYPERLINK("https://cao.dolgi.msk.ru/account/1080302387/", 1080302387)</f>
        <v>1080302387</v>
      </c>
      <c r="D7085" t="s">
        <v>5881</v>
      </c>
      <c r="E7085">
        <v>-19890.240000000002</v>
      </c>
      <c r="F7085">
        <v>-3.24</v>
      </c>
      <c r="G7085" t="s">
        <v>12</v>
      </c>
      <c r="I7085" t="s">
        <v>1050</v>
      </c>
    </row>
    <row r="7086" spans="1:9" hidden="1" x14ac:dyDescent="0.25">
      <c r="A7086" t="s">
        <v>5870</v>
      </c>
      <c r="B7086" t="s">
        <v>33</v>
      </c>
      <c r="C7086" s="2">
        <f>HYPERLINK("https://cao.dolgi.msk.ru/account/1080302395/", 1080302395)</f>
        <v>1080302395</v>
      </c>
      <c r="D7086" t="s">
        <v>5882</v>
      </c>
      <c r="E7086">
        <v>-1828.74</v>
      </c>
      <c r="F7086">
        <v>-0.93</v>
      </c>
      <c r="G7086" t="s">
        <v>12</v>
      </c>
      <c r="I7086" t="s">
        <v>1050</v>
      </c>
    </row>
    <row r="7087" spans="1:9" hidden="1" x14ac:dyDescent="0.25">
      <c r="A7087" t="s">
        <v>5870</v>
      </c>
      <c r="B7087" t="s">
        <v>33</v>
      </c>
      <c r="C7087" s="2">
        <f>HYPERLINK("https://cao.dolgi.msk.ru/account/1089125065/", 1089125065)</f>
        <v>1089125065</v>
      </c>
      <c r="D7087" t="s">
        <v>15</v>
      </c>
      <c r="E7087">
        <v>-3578.17</v>
      </c>
      <c r="F7087">
        <v>-0.98</v>
      </c>
      <c r="G7087" t="s">
        <v>12</v>
      </c>
      <c r="I7087" t="s">
        <v>1050</v>
      </c>
    </row>
    <row r="7088" spans="1:9" hidden="1" x14ac:dyDescent="0.25">
      <c r="A7088" t="s">
        <v>5870</v>
      </c>
      <c r="B7088" t="s">
        <v>34</v>
      </c>
      <c r="C7088" s="2">
        <f>HYPERLINK("https://cao.dolgi.msk.ru/account/1080302408/", 1080302408)</f>
        <v>1080302408</v>
      </c>
      <c r="D7088" t="s">
        <v>5883</v>
      </c>
      <c r="E7088">
        <v>-4752.05</v>
      </c>
      <c r="F7088">
        <v>-1.06</v>
      </c>
      <c r="G7088" t="s">
        <v>12</v>
      </c>
      <c r="I7088" t="s">
        <v>1050</v>
      </c>
    </row>
    <row r="7089" spans="1:9" hidden="1" x14ac:dyDescent="0.25">
      <c r="A7089" t="s">
        <v>5870</v>
      </c>
      <c r="B7089" t="s">
        <v>36</v>
      </c>
      <c r="C7089" s="2">
        <f>HYPERLINK("https://cao.dolgi.msk.ru/account/1080302416/", 1080302416)</f>
        <v>1080302416</v>
      </c>
      <c r="D7089" t="s">
        <v>5884</v>
      </c>
      <c r="E7089">
        <v>-4971.87</v>
      </c>
      <c r="F7089">
        <v>-1.1599999999999999</v>
      </c>
      <c r="G7089" t="s">
        <v>12</v>
      </c>
      <c r="I7089" t="s">
        <v>1050</v>
      </c>
    </row>
    <row r="7090" spans="1:9" hidden="1" x14ac:dyDescent="0.25">
      <c r="A7090" t="s">
        <v>5870</v>
      </c>
      <c r="B7090" t="s">
        <v>38</v>
      </c>
      <c r="C7090" s="2">
        <f>HYPERLINK("https://cao.dolgi.msk.ru/account/1080302424/", 1080302424)</f>
        <v>1080302424</v>
      </c>
      <c r="D7090" t="s">
        <v>5885</v>
      </c>
      <c r="E7090">
        <v>-8756.35</v>
      </c>
      <c r="F7090">
        <v>-1.08</v>
      </c>
      <c r="G7090" t="s">
        <v>12</v>
      </c>
      <c r="I7090" t="s">
        <v>1050</v>
      </c>
    </row>
    <row r="7091" spans="1:9" hidden="1" x14ac:dyDescent="0.25">
      <c r="A7091" t="s">
        <v>5870</v>
      </c>
      <c r="B7091" t="s">
        <v>39</v>
      </c>
      <c r="C7091" s="2">
        <f>HYPERLINK("https://cao.dolgi.msk.ru/account/1080302432/", 1080302432)</f>
        <v>1080302432</v>
      </c>
      <c r="D7091" t="s">
        <v>5886</v>
      </c>
      <c r="E7091">
        <v>-2264.2199999999998</v>
      </c>
      <c r="F7091">
        <v>-1.2</v>
      </c>
      <c r="G7091" t="s">
        <v>12</v>
      </c>
      <c r="I7091" t="s">
        <v>1050</v>
      </c>
    </row>
    <row r="7092" spans="1:9" hidden="1" x14ac:dyDescent="0.25">
      <c r="A7092" t="s">
        <v>5870</v>
      </c>
      <c r="B7092" t="s">
        <v>40</v>
      </c>
      <c r="C7092" s="2">
        <f>HYPERLINK("https://cao.dolgi.msk.ru/account/1080302459/", 1080302459)</f>
        <v>1080302459</v>
      </c>
      <c r="D7092" t="s">
        <v>1082</v>
      </c>
      <c r="E7092">
        <v>-19.399999999999999</v>
      </c>
      <c r="F7092">
        <v>-0.01</v>
      </c>
      <c r="G7092" t="s">
        <v>12</v>
      </c>
      <c r="I7092" t="s">
        <v>1050</v>
      </c>
    </row>
    <row r="7093" spans="1:9" hidden="1" x14ac:dyDescent="0.25">
      <c r="A7093" t="s">
        <v>5870</v>
      </c>
      <c r="B7093" t="s">
        <v>41</v>
      </c>
      <c r="C7093" s="2">
        <f>HYPERLINK("https://cao.dolgi.msk.ru/account/1080302467/", 1080302467)</f>
        <v>1080302467</v>
      </c>
      <c r="D7093" t="s">
        <v>5887</v>
      </c>
      <c r="E7093">
        <v>-3591.92</v>
      </c>
      <c r="F7093">
        <v>-2.75</v>
      </c>
      <c r="G7093" t="s">
        <v>12</v>
      </c>
      <c r="I7093" t="s">
        <v>1050</v>
      </c>
    </row>
    <row r="7094" spans="1:9" hidden="1" x14ac:dyDescent="0.25">
      <c r="A7094" t="s">
        <v>5870</v>
      </c>
      <c r="B7094" t="s">
        <v>42</v>
      </c>
      <c r="C7094" s="2">
        <f>HYPERLINK("https://cao.dolgi.msk.ru/account/1080302475/", 1080302475)</f>
        <v>1080302475</v>
      </c>
      <c r="D7094" t="s">
        <v>5888</v>
      </c>
      <c r="E7094">
        <v>-4803.67</v>
      </c>
      <c r="F7094">
        <v>-1.1399999999999999</v>
      </c>
      <c r="G7094" t="s">
        <v>12</v>
      </c>
      <c r="I7094" t="s">
        <v>1050</v>
      </c>
    </row>
    <row r="7095" spans="1:9" hidden="1" x14ac:dyDescent="0.25">
      <c r="A7095" t="s">
        <v>5870</v>
      </c>
      <c r="B7095" t="s">
        <v>44</v>
      </c>
      <c r="C7095" s="2">
        <f>HYPERLINK("https://cao.dolgi.msk.ru/account/1080302483/", 1080302483)</f>
        <v>1080302483</v>
      </c>
      <c r="D7095" t="s">
        <v>5889</v>
      </c>
      <c r="E7095">
        <v>-8918.5400000000009</v>
      </c>
      <c r="F7095">
        <v>-1.24</v>
      </c>
      <c r="G7095" t="s">
        <v>12</v>
      </c>
      <c r="I7095" t="s">
        <v>1050</v>
      </c>
    </row>
    <row r="7096" spans="1:9" hidden="1" x14ac:dyDescent="0.25">
      <c r="A7096" t="s">
        <v>5870</v>
      </c>
      <c r="B7096" t="s">
        <v>66</v>
      </c>
      <c r="C7096" s="2">
        <f>HYPERLINK("https://cao.dolgi.msk.ru/account/1080302491/", 1080302491)</f>
        <v>1080302491</v>
      </c>
      <c r="D7096" t="s">
        <v>5890</v>
      </c>
      <c r="E7096">
        <v>-4678.8500000000004</v>
      </c>
      <c r="F7096">
        <v>-1.1599999999999999</v>
      </c>
      <c r="G7096" t="s">
        <v>12</v>
      </c>
      <c r="I7096" t="s">
        <v>1050</v>
      </c>
    </row>
    <row r="7097" spans="1:9" hidden="1" x14ac:dyDescent="0.25">
      <c r="A7097" t="s">
        <v>5870</v>
      </c>
      <c r="B7097" t="s">
        <v>68</v>
      </c>
      <c r="C7097" s="2">
        <f>HYPERLINK("https://cao.dolgi.msk.ru/account/1080302504/", 1080302504)</f>
        <v>1080302504</v>
      </c>
      <c r="D7097" t="s">
        <v>5891</v>
      </c>
      <c r="E7097">
        <v>-4683.21</v>
      </c>
      <c r="F7097">
        <v>-1.06</v>
      </c>
      <c r="G7097" t="s">
        <v>12</v>
      </c>
      <c r="I7097" t="s">
        <v>1050</v>
      </c>
    </row>
    <row r="7098" spans="1:9" hidden="1" x14ac:dyDescent="0.25">
      <c r="A7098" t="s">
        <v>5870</v>
      </c>
      <c r="B7098" t="s">
        <v>70</v>
      </c>
      <c r="C7098" s="2">
        <f>HYPERLINK("https://cao.dolgi.msk.ru/account/1080302512/", 1080302512)</f>
        <v>1080302512</v>
      </c>
      <c r="D7098" t="s">
        <v>5892</v>
      </c>
      <c r="E7098">
        <v>-7284.79</v>
      </c>
      <c r="F7098">
        <v>-1.08</v>
      </c>
      <c r="G7098" t="s">
        <v>12</v>
      </c>
      <c r="I7098" t="s">
        <v>1050</v>
      </c>
    </row>
    <row r="7099" spans="1:9" hidden="1" x14ac:dyDescent="0.25">
      <c r="A7099" t="s">
        <v>5870</v>
      </c>
      <c r="B7099" t="s">
        <v>72</v>
      </c>
      <c r="C7099" s="2">
        <f>HYPERLINK("https://cao.dolgi.msk.ru/account/1080302539/", 1080302539)</f>
        <v>1080302539</v>
      </c>
      <c r="D7099" t="s">
        <v>5893</v>
      </c>
      <c r="E7099">
        <v>-10679.44</v>
      </c>
      <c r="F7099">
        <v>-1.05</v>
      </c>
      <c r="G7099" t="s">
        <v>12</v>
      </c>
      <c r="I7099" t="s">
        <v>1050</v>
      </c>
    </row>
    <row r="7100" spans="1:9" hidden="1" x14ac:dyDescent="0.25">
      <c r="A7100" t="s">
        <v>5870</v>
      </c>
      <c r="B7100" t="s">
        <v>74</v>
      </c>
      <c r="C7100" s="2">
        <f>HYPERLINK("https://cao.dolgi.msk.ru/account/1080302547/", 1080302547)</f>
        <v>1080302547</v>
      </c>
      <c r="D7100" t="s">
        <v>5894</v>
      </c>
      <c r="E7100">
        <v>-3619.63</v>
      </c>
      <c r="F7100">
        <v>-1.08</v>
      </c>
      <c r="G7100" t="s">
        <v>12</v>
      </c>
      <c r="I7100" t="s">
        <v>1050</v>
      </c>
    </row>
    <row r="7101" spans="1:9" hidden="1" x14ac:dyDescent="0.25">
      <c r="A7101" t="s">
        <v>5870</v>
      </c>
      <c r="B7101" t="s">
        <v>76</v>
      </c>
      <c r="C7101" s="2">
        <f>HYPERLINK("https://cao.dolgi.msk.ru/account/1080302555/", 1080302555)</f>
        <v>1080302555</v>
      </c>
      <c r="D7101" t="s">
        <v>5895</v>
      </c>
      <c r="E7101">
        <v>-3273.98</v>
      </c>
      <c r="F7101">
        <v>-1.1599999999999999</v>
      </c>
      <c r="G7101" t="s">
        <v>12</v>
      </c>
      <c r="I7101" t="s">
        <v>1050</v>
      </c>
    </row>
    <row r="7102" spans="1:9" hidden="1" x14ac:dyDescent="0.25">
      <c r="A7102" t="s">
        <v>5870</v>
      </c>
      <c r="B7102" t="s">
        <v>78</v>
      </c>
      <c r="C7102" s="2">
        <f>HYPERLINK("https://cao.dolgi.msk.ru/account/1080302563/", 1080302563)</f>
        <v>1080302563</v>
      </c>
      <c r="D7102" t="s">
        <v>5896</v>
      </c>
      <c r="E7102">
        <v>-6983.1</v>
      </c>
      <c r="F7102">
        <v>-1.1200000000000001</v>
      </c>
      <c r="G7102" t="s">
        <v>12</v>
      </c>
      <c r="I7102" t="s">
        <v>1050</v>
      </c>
    </row>
    <row r="7103" spans="1:9" hidden="1" x14ac:dyDescent="0.25">
      <c r="A7103" t="s">
        <v>5870</v>
      </c>
      <c r="B7103" t="s">
        <v>80</v>
      </c>
      <c r="C7103" s="2">
        <f>HYPERLINK("https://cao.dolgi.msk.ru/account/1080302571/", 1080302571)</f>
        <v>1080302571</v>
      </c>
      <c r="D7103" t="s">
        <v>5897</v>
      </c>
      <c r="E7103">
        <v>-348.37</v>
      </c>
      <c r="F7103">
        <v>-7.0000000000000007E-2</v>
      </c>
      <c r="G7103" t="s">
        <v>12</v>
      </c>
      <c r="I7103" t="s">
        <v>1050</v>
      </c>
    </row>
    <row r="7104" spans="1:9" hidden="1" x14ac:dyDescent="0.25">
      <c r="A7104" t="s">
        <v>5870</v>
      </c>
      <c r="B7104" t="s">
        <v>82</v>
      </c>
      <c r="C7104" s="2">
        <f>HYPERLINK("https://cao.dolgi.msk.ru/account/1080302598/", 1080302598)</f>
        <v>1080302598</v>
      </c>
      <c r="D7104" t="s">
        <v>5898</v>
      </c>
      <c r="E7104">
        <v>-4947.8999999999996</v>
      </c>
      <c r="F7104">
        <v>-1.22</v>
      </c>
      <c r="G7104" t="s">
        <v>12</v>
      </c>
      <c r="I7104" t="s">
        <v>1050</v>
      </c>
    </row>
    <row r="7105" spans="1:9" hidden="1" x14ac:dyDescent="0.25">
      <c r="A7105" t="s">
        <v>5870</v>
      </c>
      <c r="B7105" t="s">
        <v>84</v>
      </c>
      <c r="C7105" s="2">
        <f>HYPERLINK("https://cao.dolgi.msk.ru/account/1080302619/", 1080302619)</f>
        <v>1080302619</v>
      </c>
      <c r="D7105" t="s">
        <v>5899</v>
      </c>
      <c r="E7105">
        <v>-3812.05</v>
      </c>
      <c r="F7105">
        <v>-1.33</v>
      </c>
      <c r="G7105" t="s">
        <v>12</v>
      </c>
      <c r="I7105" t="s">
        <v>1050</v>
      </c>
    </row>
    <row r="7106" spans="1:9" hidden="1" x14ac:dyDescent="0.25">
      <c r="A7106" t="s">
        <v>5870</v>
      </c>
      <c r="B7106" t="s">
        <v>86</v>
      </c>
      <c r="C7106" s="2">
        <f>HYPERLINK("https://cao.dolgi.msk.ru/account/1080302627/", 1080302627)</f>
        <v>1080302627</v>
      </c>
      <c r="D7106" t="s">
        <v>5900</v>
      </c>
      <c r="E7106">
        <v>0</v>
      </c>
      <c r="F7106">
        <v>0</v>
      </c>
      <c r="G7106" t="s">
        <v>12</v>
      </c>
      <c r="I7106" t="s">
        <v>1050</v>
      </c>
    </row>
    <row r="7107" spans="1:9" hidden="1" x14ac:dyDescent="0.25">
      <c r="A7107" t="s">
        <v>5870</v>
      </c>
      <c r="B7107" t="s">
        <v>88</v>
      </c>
      <c r="C7107" s="2">
        <f>HYPERLINK("https://cao.dolgi.msk.ru/account/1080302635/", 1080302635)</f>
        <v>1080302635</v>
      </c>
      <c r="D7107" t="s">
        <v>5901</v>
      </c>
      <c r="E7107">
        <v>-4382.6899999999996</v>
      </c>
      <c r="F7107">
        <v>-1.74</v>
      </c>
      <c r="G7107" t="s">
        <v>12</v>
      </c>
      <c r="I7107" t="s">
        <v>1050</v>
      </c>
    </row>
    <row r="7108" spans="1:9" hidden="1" x14ac:dyDescent="0.25">
      <c r="A7108" t="s">
        <v>5870</v>
      </c>
      <c r="B7108" t="s">
        <v>90</v>
      </c>
      <c r="C7108" s="2">
        <f>HYPERLINK("https://cao.dolgi.msk.ru/account/1080302643/", 1080302643)</f>
        <v>1080302643</v>
      </c>
      <c r="D7108" t="s">
        <v>5902</v>
      </c>
      <c r="E7108">
        <v>-7644.83</v>
      </c>
      <c r="F7108">
        <v>-1.93</v>
      </c>
      <c r="G7108" t="s">
        <v>12</v>
      </c>
      <c r="I7108" t="s">
        <v>1050</v>
      </c>
    </row>
    <row r="7109" spans="1:9" hidden="1" x14ac:dyDescent="0.25">
      <c r="A7109" t="s">
        <v>5870</v>
      </c>
      <c r="B7109" t="s">
        <v>92</v>
      </c>
      <c r="C7109" s="2">
        <f>HYPERLINK("https://cao.dolgi.msk.ru/account/1080302651/", 1080302651)</f>
        <v>1080302651</v>
      </c>
      <c r="D7109" t="s">
        <v>5903</v>
      </c>
      <c r="E7109">
        <v>-5575.56</v>
      </c>
      <c r="F7109">
        <v>-1.27</v>
      </c>
      <c r="G7109" t="s">
        <v>12</v>
      </c>
      <c r="I7109" t="s">
        <v>1050</v>
      </c>
    </row>
    <row r="7110" spans="1:9" hidden="1" x14ac:dyDescent="0.25">
      <c r="A7110" t="s">
        <v>5870</v>
      </c>
      <c r="B7110" t="s">
        <v>92</v>
      </c>
      <c r="C7110" s="2">
        <f>HYPERLINK("https://cao.dolgi.msk.ru/account/1083273788/", 1083273788)</f>
        <v>1083273788</v>
      </c>
      <c r="D7110" t="s">
        <v>5904</v>
      </c>
      <c r="E7110">
        <v>0</v>
      </c>
      <c r="G7110" t="s">
        <v>14</v>
      </c>
      <c r="I7110" t="s">
        <v>1050</v>
      </c>
    </row>
    <row r="7111" spans="1:9" hidden="1" x14ac:dyDescent="0.25">
      <c r="A7111" t="s">
        <v>5870</v>
      </c>
      <c r="B7111" t="s">
        <v>94</v>
      </c>
      <c r="C7111" s="2">
        <f>HYPERLINK("https://cao.dolgi.msk.ru/account/1080302678/", 1080302678)</f>
        <v>1080302678</v>
      </c>
      <c r="D7111" t="s">
        <v>5905</v>
      </c>
      <c r="E7111">
        <v>-4786.53</v>
      </c>
      <c r="F7111">
        <v>-1.1399999999999999</v>
      </c>
      <c r="G7111" t="s">
        <v>12</v>
      </c>
      <c r="I7111" t="s">
        <v>1050</v>
      </c>
    </row>
    <row r="7112" spans="1:9" hidden="1" x14ac:dyDescent="0.25">
      <c r="A7112" t="s">
        <v>5870</v>
      </c>
      <c r="B7112" t="s">
        <v>96</v>
      </c>
      <c r="C7112" s="2">
        <f>HYPERLINK("https://cao.dolgi.msk.ru/account/1080302686/", 1080302686)</f>
        <v>1080302686</v>
      </c>
      <c r="D7112" t="s">
        <v>5906</v>
      </c>
      <c r="E7112">
        <v>-7450.76</v>
      </c>
      <c r="F7112">
        <v>-1.38</v>
      </c>
      <c r="G7112" t="s">
        <v>12</v>
      </c>
      <c r="I7112" t="s">
        <v>1050</v>
      </c>
    </row>
    <row r="7113" spans="1:9" hidden="1" x14ac:dyDescent="0.25">
      <c r="A7113" t="s">
        <v>5870</v>
      </c>
      <c r="B7113" t="s">
        <v>98</v>
      </c>
      <c r="C7113" s="2">
        <f>HYPERLINK("https://cao.dolgi.msk.ru/account/1080302694/", 1080302694)</f>
        <v>1080302694</v>
      </c>
      <c r="D7113" t="s">
        <v>5907</v>
      </c>
      <c r="E7113">
        <v>-38.799999999999997</v>
      </c>
      <c r="F7113">
        <v>-0.01</v>
      </c>
      <c r="G7113" t="s">
        <v>12</v>
      </c>
      <c r="I7113" t="s">
        <v>1050</v>
      </c>
    </row>
    <row r="7114" spans="1:9" hidden="1" x14ac:dyDescent="0.25">
      <c r="A7114" t="s">
        <v>5870</v>
      </c>
      <c r="B7114" t="s">
        <v>100</v>
      </c>
      <c r="C7114" s="2">
        <f>HYPERLINK("https://cao.dolgi.msk.ru/account/1080302707/", 1080302707)</f>
        <v>1080302707</v>
      </c>
      <c r="D7114" t="s">
        <v>5908</v>
      </c>
      <c r="E7114">
        <v>-5785.97</v>
      </c>
      <c r="F7114">
        <v>-1.08</v>
      </c>
      <c r="G7114" t="s">
        <v>12</v>
      </c>
      <c r="I7114" t="s">
        <v>1050</v>
      </c>
    </row>
    <row r="7115" spans="1:9" hidden="1" x14ac:dyDescent="0.25">
      <c r="A7115" t="s">
        <v>5870</v>
      </c>
      <c r="B7115" t="s">
        <v>102</v>
      </c>
      <c r="C7115" s="2">
        <f>HYPERLINK("https://cao.dolgi.msk.ru/account/1080302715/", 1080302715)</f>
        <v>1080302715</v>
      </c>
      <c r="D7115" t="s">
        <v>5909</v>
      </c>
      <c r="E7115">
        <v>-55.37</v>
      </c>
      <c r="F7115">
        <v>-0.01</v>
      </c>
      <c r="G7115" t="s">
        <v>12</v>
      </c>
      <c r="I7115" t="s">
        <v>1050</v>
      </c>
    </row>
    <row r="7116" spans="1:9" hidden="1" x14ac:dyDescent="0.25">
      <c r="A7116" t="s">
        <v>5870</v>
      </c>
      <c r="B7116" t="s">
        <v>104</v>
      </c>
      <c r="C7116" s="2">
        <f>HYPERLINK("https://cao.dolgi.msk.ru/account/1080302723/", 1080302723)</f>
        <v>1080302723</v>
      </c>
      <c r="D7116" t="s">
        <v>5910</v>
      </c>
      <c r="E7116">
        <v>-5454.89</v>
      </c>
      <c r="F7116">
        <v>-1.05</v>
      </c>
      <c r="G7116" t="s">
        <v>12</v>
      </c>
      <c r="I7116" t="s">
        <v>1050</v>
      </c>
    </row>
    <row r="7117" spans="1:9" hidden="1" x14ac:dyDescent="0.25">
      <c r="A7117" t="s">
        <v>5870</v>
      </c>
      <c r="B7117" t="s">
        <v>106</v>
      </c>
      <c r="C7117" s="2">
        <f>HYPERLINK("https://cao.dolgi.msk.ru/account/1080302731/", 1080302731)</f>
        <v>1080302731</v>
      </c>
      <c r="D7117" t="s">
        <v>5911</v>
      </c>
      <c r="E7117">
        <v>-1699.84</v>
      </c>
      <c r="F7117">
        <v>-0.35</v>
      </c>
      <c r="G7117" t="s">
        <v>12</v>
      </c>
      <c r="I7117" t="s">
        <v>1050</v>
      </c>
    </row>
    <row r="7118" spans="1:9" hidden="1" x14ac:dyDescent="0.25">
      <c r="A7118" t="s">
        <v>5870</v>
      </c>
      <c r="B7118" t="s">
        <v>108</v>
      </c>
      <c r="C7118" s="2">
        <f>HYPERLINK("https://cao.dolgi.msk.ru/account/1080302758/", 1080302758)</f>
        <v>1080302758</v>
      </c>
      <c r="D7118" t="s">
        <v>5912</v>
      </c>
      <c r="E7118">
        <v>-5094.07</v>
      </c>
      <c r="F7118">
        <v>-1.08</v>
      </c>
      <c r="G7118" t="s">
        <v>12</v>
      </c>
      <c r="I7118" t="s">
        <v>1050</v>
      </c>
    </row>
    <row r="7119" spans="1:9" hidden="1" x14ac:dyDescent="0.25">
      <c r="A7119" t="s">
        <v>5870</v>
      </c>
      <c r="B7119" t="s">
        <v>110</v>
      </c>
      <c r="C7119" s="2">
        <f>HYPERLINK("https://cao.dolgi.msk.ru/account/1080302766/", 1080302766)</f>
        <v>1080302766</v>
      </c>
      <c r="D7119" t="s">
        <v>5913</v>
      </c>
      <c r="E7119">
        <v>-1177.1600000000001</v>
      </c>
      <c r="F7119">
        <v>-1.05</v>
      </c>
      <c r="G7119" t="s">
        <v>12</v>
      </c>
      <c r="I7119" t="s">
        <v>1050</v>
      </c>
    </row>
    <row r="7120" spans="1:9" hidden="1" x14ac:dyDescent="0.25">
      <c r="A7120" t="s">
        <v>5870</v>
      </c>
      <c r="B7120" t="s">
        <v>110</v>
      </c>
      <c r="C7120" s="2">
        <f>HYPERLINK("https://cao.dolgi.msk.ru/account/1089131721/", 1089131721)</f>
        <v>1089131721</v>
      </c>
      <c r="D7120" t="s">
        <v>1082</v>
      </c>
      <c r="E7120">
        <v>-8321.67</v>
      </c>
      <c r="F7120">
        <v>-0.92</v>
      </c>
      <c r="G7120" t="s">
        <v>12</v>
      </c>
      <c r="I7120" t="s">
        <v>1050</v>
      </c>
    </row>
    <row r="7121" spans="1:9" hidden="1" x14ac:dyDescent="0.25">
      <c r="A7121" t="s">
        <v>5870</v>
      </c>
      <c r="B7121" t="s">
        <v>112</v>
      </c>
      <c r="C7121" s="2">
        <f>HYPERLINK("https://cao.dolgi.msk.ru/account/1080302774/", 1080302774)</f>
        <v>1080302774</v>
      </c>
      <c r="D7121" t="s">
        <v>5914</v>
      </c>
      <c r="E7121">
        <v>-4384.49</v>
      </c>
      <c r="F7121">
        <v>-1.1499999999999999</v>
      </c>
      <c r="G7121" t="s">
        <v>12</v>
      </c>
      <c r="I7121" t="s">
        <v>1050</v>
      </c>
    </row>
    <row r="7122" spans="1:9" hidden="1" x14ac:dyDescent="0.25">
      <c r="A7122" t="s">
        <v>5870</v>
      </c>
      <c r="B7122" t="s">
        <v>114</v>
      </c>
      <c r="C7122" s="2">
        <f>HYPERLINK("https://cao.dolgi.msk.ru/account/1080302782/", 1080302782)</f>
        <v>1080302782</v>
      </c>
      <c r="D7122" t="s">
        <v>5915</v>
      </c>
      <c r="E7122">
        <v>0</v>
      </c>
      <c r="F7122">
        <v>0</v>
      </c>
      <c r="G7122" t="s">
        <v>12</v>
      </c>
      <c r="I7122" t="s">
        <v>1050</v>
      </c>
    </row>
    <row r="7123" spans="1:9" hidden="1" x14ac:dyDescent="0.25">
      <c r="A7123" t="s">
        <v>5870</v>
      </c>
      <c r="B7123" t="s">
        <v>116</v>
      </c>
      <c r="C7123" s="2">
        <f>HYPERLINK("https://cao.dolgi.msk.ru/account/1080302803/", 1080302803)</f>
        <v>1080302803</v>
      </c>
      <c r="D7123" t="s">
        <v>5916</v>
      </c>
      <c r="E7123">
        <v>-11369.21</v>
      </c>
      <c r="F7123">
        <v>-2.06</v>
      </c>
      <c r="G7123" t="s">
        <v>12</v>
      </c>
      <c r="I7123" t="s">
        <v>1050</v>
      </c>
    </row>
    <row r="7124" spans="1:9" hidden="1" x14ac:dyDescent="0.25">
      <c r="A7124" t="s">
        <v>5870</v>
      </c>
      <c r="B7124" t="s">
        <v>118</v>
      </c>
      <c r="C7124" s="2">
        <f>HYPERLINK("https://cao.dolgi.msk.ru/account/1080302811/", 1080302811)</f>
        <v>1080302811</v>
      </c>
      <c r="D7124" t="s">
        <v>5917</v>
      </c>
      <c r="E7124">
        <v>-6132.52</v>
      </c>
      <c r="F7124">
        <v>-1</v>
      </c>
      <c r="G7124" t="s">
        <v>12</v>
      </c>
      <c r="I7124" t="s">
        <v>1050</v>
      </c>
    </row>
    <row r="7125" spans="1:9" hidden="1" x14ac:dyDescent="0.25">
      <c r="A7125" t="s">
        <v>5870</v>
      </c>
      <c r="B7125" t="s">
        <v>120</v>
      </c>
      <c r="C7125" s="2">
        <f>HYPERLINK("https://cao.dolgi.msk.ru/account/1080302838/", 1080302838)</f>
        <v>1080302838</v>
      </c>
      <c r="D7125" t="s">
        <v>5918</v>
      </c>
      <c r="E7125">
        <v>0</v>
      </c>
      <c r="F7125">
        <v>0</v>
      </c>
      <c r="G7125" t="s">
        <v>12</v>
      </c>
      <c r="I7125" t="s">
        <v>1050</v>
      </c>
    </row>
    <row r="7126" spans="1:9" hidden="1" x14ac:dyDescent="0.25">
      <c r="A7126" t="s">
        <v>5870</v>
      </c>
      <c r="B7126" t="s">
        <v>122</v>
      </c>
      <c r="C7126" s="2">
        <f>HYPERLINK("https://cao.dolgi.msk.ru/account/1080302846/", 1080302846)</f>
        <v>1080302846</v>
      </c>
      <c r="D7126" t="s">
        <v>5919</v>
      </c>
      <c r="E7126">
        <v>-4970.72</v>
      </c>
      <c r="F7126">
        <v>-0.95</v>
      </c>
      <c r="G7126" t="s">
        <v>12</v>
      </c>
      <c r="I7126" t="s">
        <v>1050</v>
      </c>
    </row>
    <row r="7127" spans="1:9" hidden="1" x14ac:dyDescent="0.25">
      <c r="A7127" t="s">
        <v>5870</v>
      </c>
      <c r="B7127" t="s">
        <v>124</v>
      </c>
      <c r="C7127" s="2">
        <f>HYPERLINK("https://cao.dolgi.msk.ru/account/1080302854/", 1080302854)</f>
        <v>1080302854</v>
      </c>
      <c r="D7127" t="s">
        <v>5920</v>
      </c>
      <c r="E7127">
        <v>0</v>
      </c>
      <c r="F7127">
        <v>0</v>
      </c>
      <c r="G7127" t="s">
        <v>12</v>
      </c>
      <c r="I7127" t="s">
        <v>1050</v>
      </c>
    </row>
    <row r="7128" spans="1:9" hidden="1" x14ac:dyDescent="0.25">
      <c r="A7128" t="s">
        <v>5870</v>
      </c>
      <c r="B7128" t="s">
        <v>126</v>
      </c>
      <c r="C7128" s="2">
        <f>HYPERLINK("https://cao.dolgi.msk.ru/account/1080302862/", 1080302862)</f>
        <v>1080302862</v>
      </c>
      <c r="D7128" t="s">
        <v>5921</v>
      </c>
      <c r="E7128">
        <v>680.4</v>
      </c>
      <c r="F7128">
        <v>0.09</v>
      </c>
      <c r="G7128" t="s">
        <v>12</v>
      </c>
      <c r="I7128" t="s">
        <v>1050</v>
      </c>
    </row>
    <row r="7129" spans="1:9" hidden="1" x14ac:dyDescent="0.25">
      <c r="A7129" t="s">
        <v>5870</v>
      </c>
      <c r="B7129" t="s">
        <v>128</v>
      </c>
      <c r="C7129" s="2">
        <f>HYPERLINK("https://cao.dolgi.msk.ru/account/1080302889/", 1080302889)</f>
        <v>1080302889</v>
      </c>
      <c r="D7129" t="s">
        <v>5922</v>
      </c>
      <c r="E7129">
        <v>-1633.15</v>
      </c>
      <c r="F7129">
        <v>-1.43</v>
      </c>
      <c r="G7129" t="s">
        <v>12</v>
      </c>
      <c r="I7129" t="s">
        <v>1050</v>
      </c>
    </row>
    <row r="7130" spans="1:9" hidden="1" x14ac:dyDescent="0.25">
      <c r="A7130" t="s">
        <v>5870</v>
      </c>
      <c r="B7130" t="s">
        <v>128</v>
      </c>
      <c r="C7130" s="2">
        <f>HYPERLINK("https://cao.dolgi.msk.ru/account/1083286378/", 1083286378)</f>
        <v>1083286378</v>
      </c>
      <c r="D7130" t="s">
        <v>15</v>
      </c>
      <c r="E7130">
        <v>-2480.69</v>
      </c>
      <c r="F7130">
        <v>-1.33</v>
      </c>
      <c r="G7130" t="s">
        <v>12</v>
      </c>
      <c r="I7130" t="s">
        <v>1050</v>
      </c>
    </row>
    <row r="7131" spans="1:9" hidden="1" x14ac:dyDescent="0.25">
      <c r="A7131" t="s">
        <v>5870</v>
      </c>
      <c r="B7131" t="s">
        <v>130</v>
      </c>
      <c r="C7131" s="2">
        <f>HYPERLINK("https://cao.dolgi.msk.ru/account/1080302897/", 1080302897)</f>
        <v>1080302897</v>
      </c>
      <c r="D7131" t="s">
        <v>5923</v>
      </c>
      <c r="E7131">
        <v>-1019.72</v>
      </c>
      <c r="F7131">
        <v>-1.08</v>
      </c>
      <c r="G7131" t="s">
        <v>12</v>
      </c>
      <c r="I7131" t="s">
        <v>1050</v>
      </c>
    </row>
    <row r="7132" spans="1:9" hidden="1" x14ac:dyDescent="0.25">
      <c r="A7132" t="s">
        <v>5870</v>
      </c>
      <c r="B7132" t="s">
        <v>132</v>
      </c>
      <c r="C7132" s="2">
        <f>HYPERLINK("https://cao.dolgi.msk.ru/account/1080302918/", 1080302918)</f>
        <v>1080302918</v>
      </c>
      <c r="D7132" t="s">
        <v>5924</v>
      </c>
      <c r="E7132">
        <v>-5698.85</v>
      </c>
      <c r="F7132">
        <v>-1.1200000000000001</v>
      </c>
      <c r="G7132" t="s">
        <v>12</v>
      </c>
      <c r="I7132" t="s">
        <v>1050</v>
      </c>
    </row>
    <row r="7133" spans="1:9" hidden="1" x14ac:dyDescent="0.25">
      <c r="A7133" t="s">
        <v>5870</v>
      </c>
      <c r="B7133" t="s">
        <v>133</v>
      </c>
      <c r="C7133" s="2">
        <f>HYPERLINK("https://cao.dolgi.msk.ru/account/1080302926/", 1080302926)</f>
        <v>1080302926</v>
      </c>
      <c r="D7133" t="s">
        <v>5925</v>
      </c>
      <c r="E7133">
        <v>-7210.42</v>
      </c>
      <c r="F7133">
        <v>-1.03</v>
      </c>
      <c r="G7133" t="s">
        <v>12</v>
      </c>
      <c r="I7133" t="s">
        <v>1050</v>
      </c>
    </row>
    <row r="7134" spans="1:9" hidden="1" x14ac:dyDescent="0.25">
      <c r="A7134" t="s">
        <v>5870</v>
      </c>
      <c r="B7134" t="s">
        <v>135</v>
      </c>
      <c r="C7134" s="2">
        <f>HYPERLINK("https://cao.dolgi.msk.ru/account/1080302934/", 1080302934)</f>
        <v>1080302934</v>
      </c>
      <c r="D7134" t="s">
        <v>5926</v>
      </c>
      <c r="E7134">
        <v>-4731.46</v>
      </c>
      <c r="F7134">
        <v>-1.18</v>
      </c>
      <c r="G7134" t="s">
        <v>12</v>
      </c>
      <c r="I7134" t="s">
        <v>1050</v>
      </c>
    </row>
    <row r="7135" spans="1:9" hidden="1" x14ac:dyDescent="0.25">
      <c r="A7135" t="s">
        <v>5870</v>
      </c>
      <c r="B7135" t="s">
        <v>137</v>
      </c>
      <c r="C7135" s="2">
        <f>HYPERLINK("https://cao.dolgi.msk.ru/account/1080302942/", 1080302942)</f>
        <v>1080302942</v>
      </c>
      <c r="D7135" t="s">
        <v>5927</v>
      </c>
      <c r="E7135">
        <v>-51.34</v>
      </c>
      <c r="F7135">
        <v>-0.01</v>
      </c>
      <c r="G7135" t="s">
        <v>12</v>
      </c>
      <c r="I7135" t="s">
        <v>1050</v>
      </c>
    </row>
    <row r="7136" spans="1:9" hidden="1" x14ac:dyDescent="0.25">
      <c r="A7136" t="s">
        <v>5870</v>
      </c>
      <c r="B7136" t="s">
        <v>139</v>
      </c>
      <c r="C7136" s="2">
        <f>HYPERLINK("https://cao.dolgi.msk.ru/account/1080302969/", 1080302969)</f>
        <v>1080302969</v>
      </c>
      <c r="D7136" t="s">
        <v>5928</v>
      </c>
      <c r="E7136">
        <v>-511.06</v>
      </c>
      <c r="F7136">
        <v>-0.17</v>
      </c>
      <c r="G7136" t="s">
        <v>12</v>
      </c>
      <c r="I7136" t="s">
        <v>1050</v>
      </c>
    </row>
    <row r="7137" spans="1:9" hidden="1" x14ac:dyDescent="0.25">
      <c r="A7137" t="s">
        <v>5870</v>
      </c>
      <c r="B7137" t="s">
        <v>141</v>
      </c>
      <c r="C7137" s="2">
        <f>HYPERLINK("https://cao.dolgi.msk.ru/account/1080302977/", 1080302977)</f>
        <v>1080302977</v>
      </c>
      <c r="D7137" t="s">
        <v>5929</v>
      </c>
      <c r="E7137">
        <v>11.25</v>
      </c>
      <c r="F7137">
        <v>0</v>
      </c>
      <c r="G7137" t="s">
        <v>12</v>
      </c>
      <c r="I7137" t="s">
        <v>1050</v>
      </c>
    </row>
    <row r="7138" spans="1:9" hidden="1" x14ac:dyDescent="0.25">
      <c r="A7138" t="s">
        <v>5870</v>
      </c>
      <c r="B7138" t="s">
        <v>143</v>
      </c>
      <c r="C7138" s="2">
        <f>HYPERLINK("https://cao.dolgi.msk.ru/account/1080302985/", 1080302985)</f>
        <v>1080302985</v>
      </c>
      <c r="D7138" t="s">
        <v>5930</v>
      </c>
      <c r="E7138">
        <v>-0.7</v>
      </c>
      <c r="F7138">
        <v>0</v>
      </c>
      <c r="G7138" t="s">
        <v>12</v>
      </c>
      <c r="I7138" t="s">
        <v>1050</v>
      </c>
    </row>
    <row r="7139" spans="1:9" hidden="1" x14ac:dyDescent="0.25">
      <c r="A7139" t="s">
        <v>5870</v>
      </c>
      <c r="B7139" t="s">
        <v>145</v>
      </c>
      <c r="C7139" s="2">
        <f>HYPERLINK("https://cao.dolgi.msk.ru/account/1080302993/", 1080302993)</f>
        <v>1080302993</v>
      </c>
      <c r="D7139" t="s">
        <v>5931</v>
      </c>
      <c r="E7139">
        <v>-5002.3599999999997</v>
      </c>
      <c r="F7139">
        <v>-0.99</v>
      </c>
      <c r="G7139" t="s">
        <v>12</v>
      </c>
      <c r="I7139" t="s">
        <v>1050</v>
      </c>
    </row>
    <row r="7140" spans="1:9" hidden="1" x14ac:dyDescent="0.25">
      <c r="A7140" t="s">
        <v>5870</v>
      </c>
      <c r="B7140" t="s">
        <v>147</v>
      </c>
      <c r="C7140" s="2">
        <f>HYPERLINK("https://cao.dolgi.msk.ru/account/1080303005/", 1080303005)</f>
        <v>1080303005</v>
      </c>
      <c r="D7140" t="s">
        <v>5932</v>
      </c>
      <c r="E7140">
        <v>13.71</v>
      </c>
      <c r="F7140">
        <v>0</v>
      </c>
      <c r="G7140" t="s">
        <v>12</v>
      </c>
      <c r="I7140" t="s">
        <v>1050</v>
      </c>
    </row>
    <row r="7141" spans="1:9" hidden="1" x14ac:dyDescent="0.25">
      <c r="A7141" t="s">
        <v>5870</v>
      </c>
      <c r="B7141" t="s">
        <v>149</v>
      </c>
      <c r="C7141" s="2">
        <f>HYPERLINK("https://cao.dolgi.msk.ru/account/1080303013/", 1080303013)</f>
        <v>1080303013</v>
      </c>
      <c r="D7141" t="s">
        <v>5933</v>
      </c>
      <c r="E7141">
        <v>-13.75</v>
      </c>
      <c r="F7141">
        <v>0</v>
      </c>
      <c r="G7141" t="s">
        <v>12</v>
      </c>
      <c r="I7141" t="s">
        <v>1050</v>
      </c>
    </row>
    <row r="7142" spans="1:9" hidden="1" x14ac:dyDescent="0.25">
      <c r="A7142" t="s">
        <v>5870</v>
      </c>
      <c r="B7142" t="s">
        <v>151</v>
      </c>
      <c r="C7142" s="2">
        <f>HYPERLINK("https://cao.dolgi.msk.ru/account/1080303021/", 1080303021)</f>
        <v>1080303021</v>
      </c>
      <c r="D7142" t="s">
        <v>5934</v>
      </c>
      <c r="E7142">
        <v>-3917.12</v>
      </c>
      <c r="F7142">
        <v>-1.55</v>
      </c>
      <c r="G7142" t="s">
        <v>12</v>
      </c>
      <c r="I7142" t="s">
        <v>1050</v>
      </c>
    </row>
    <row r="7143" spans="1:9" hidden="1" x14ac:dyDescent="0.25">
      <c r="A7143" t="s">
        <v>5870</v>
      </c>
      <c r="B7143" t="s">
        <v>153</v>
      </c>
      <c r="C7143" s="2">
        <f>HYPERLINK("https://cao.dolgi.msk.ru/account/1080303048/", 1080303048)</f>
        <v>1080303048</v>
      </c>
      <c r="D7143" t="s">
        <v>5935</v>
      </c>
      <c r="E7143">
        <v>-3428.85</v>
      </c>
      <c r="F7143">
        <v>-1.1399999999999999</v>
      </c>
      <c r="G7143" t="s">
        <v>12</v>
      </c>
      <c r="I7143" t="s">
        <v>1050</v>
      </c>
    </row>
    <row r="7144" spans="1:9" hidden="1" x14ac:dyDescent="0.25">
      <c r="A7144" t="s">
        <v>5870</v>
      </c>
      <c r="B7144" t="s">
        <v>155</v>
      </c>
      <c r="C7144" s="2">
        <f>HYPERLINK("https://cao.dolgi.msk.ru/account/1080303056/", 1080303056)</f>
        <v>1080303056</v>
      </c>
      <c r="D7144" t="s">
        <v>5936</v>
      </c>
      <c r="E7144">
        <v>-2762.85</v>
      </c>
      <c r="F7144">
        <v>-0.98</v>
      </c>
      <c r="G7144" t="s">
        <v>12</v>
      </c>
      <c r="I7144" t="s">
        <v>1050</v>
      </c>
    </row>
    <row r="7145" spans="1:9" hidden="1" x14ac:dyDescent="0.25">
      <c r="A7145" t="s">
        <v>5870</v>
      </c>
      <c r="B7145" t="s">
        <v>157</v>
      </c>
      <c r="C7145" s="2">
        <f>HYPERLINK("https://cao.dolgi.msk.ru/account/1080303064/", 1080303064)</f>
        <v>1080303064</v>
      </c>
      <c r="D7145" t="s">
        <v>5937</v>
      </c>
      <c r="E7145">
        <v>-9870.14</v>
      </c>
      <c r="F7145">
        <v>-2.79</v>
      </c>
      <c r="G7145" t="s">
        <v>12</v>
      </c>
      <c r="I7145" t="s">
        <v>1050</v>
      </c>
    </row>
    <row r="7146" spans="1:9" hidden="1" x14ac:dyDescent="0.25">
      <c r="A7146" t="s">
        <v>5870</v>
      </c>
      <c r="B7146" t="s">
        <v>159</v>
      </c>
      <c r="C7146" s="2">
        <f>HYPERLINK("https://cao.dolgi.msk.ru/account/1080303072/", 1080303072)</f>
        <v>1080303072</v>
      </c>
      <c r="D7146" t="s">
        <v>5938</v>
      </c>
      <c r="E7146">
        <v>15.56</v>
      </c>
      <c r="F7146">
        <v>0.01</v>
      </c>
      <c r="G7146" t="s">
        <v>12</v>
      </c>
      <c r="I7146" t="s">
        <v>1050</v>
      </c>
    </row>
    <row r="7147" spans="1:9" hidden="1" x14ac:dyDescent="0.25">
      <c r="A7147" t="s">
        <v>5870</v>
      </c>
      <c r="B7147" t="s">
        <v>161</v>
      </c>
      <c r="C7147" s="2">
        <f>HYPERLINK("https://cao.dolgi.msk.ru/account/1080303099/", 1080303099)</f>
        <v>1080303099</v>
      </c>
      <c r="D7147" t="s">
        <v>5939</v>
      </c>
      <c r="E7147">
        <v>-5038.34</v>
      </c>
      <c r="F7147">
        <v>-1.06</v>
      </c>
      <c r="G7147" t="s">
        <v>12</v>
      </c>
      <c r="I7147" t="s">
        <v>1050</v>
      </c>
    </row>
    <row r="7148" spans="1:9" hidden="1" x14ac:dyDescent="0.25">
      <c r="A7148" t="s">
        <v>5870</v>
      </c>
      <c r="B7148" t="s">
        <v>163</v>
      </c>
      <c r="C7148" s="2">
        <f>HYPERLINK("https://cao.dolgi.msk.ru/account/1080303101/", 1080303101)</f>
        <v>1080303101</v>
      </c>
      <c r="D7148" t="s">
        <v>5940</v>
      </c>
      <c r="E7148">
        <v>-4734.3</v>
      </c>
      <c r="F7148">
        <v>-1.1200000000000001</v>
      </c>
      <c r="G7148" t="s">
        <v>12</v>
      </c>
      <c r="I7148" t="s">
        <v>1050</v>
      </c>
    </row>
    <row r="7149" spans="1:9" hidden="1" x14ac:dyDescent="0.25">
      <c r="A7149" t="s">
        <v>5870</v>
      </c>
      <c r="B7149" t="s">
        <v>571</v>
      </c>
      <c r="C7149" s="2">
        <f>HYPERLINK("https://cao.dolgi.msk.ru/account/1080303128/", 1080303128)</f>
        <v>1080303128</v>
      </c>
      <c r="D7149" t="s">
        <v>5941</v>
      </c>
      <c r="E7149">
        <v>2422.62</v>
      </c>
      <c r="F7149">
        <v>0.31</v>
      </c>
      <c r="G7149" t="s">
        <v>12</v>
      </c>
      <c r="I7149" t="s">
        <v>1050</v>
      </c>
    </row>
    <row r="7150" spans="1:9" hidden="1" x14ac:dyDescent="0.25">
      <c r="A7150" t="s">
        <v>5870</v>
      </c>
      <c r="B7150" t="s">
        <v>682</v>
      </c>
      <c r="C7150" s="2">
        <f>HYPERLINK("https://cao.dolgi.msk.ru/account/1080303136/", 1080303136)</f>
        <v>1080303136</v>
      </c>
      <c r="D7150" t="s">
        <v>5942</v>
      </c>
      <c r="E7150">
        <v>-5608.01</v>
      </c>
      <c r="F7150">
        <v>-1.1000000000000001</v>
      </c>
      <c r="G7150" t="s">
        <v>12</v>
      </c>
      <c r="I7150" t="s">
        <v>1050</v>
      </c>
    </row>
    <row r="7151" spans="1:9" hidden="1" x14ac:dyDescent="0.25">
      <c r="A7151" t="s">
        <v>5870</v>
      </c>
      <c r="B7151" t="s">
        <v>578</v>
      </c>
      <c r="C7151" s="2">
        <f>HYPERLINK("https://cao.dolgi.msk.ru/account/1080303144/", 1080303144)</f>
        <v>1080303144</v>
      </c>
      <c r="D7151" t="s">
        <v>5943</v>
      </c>
      <c r="E7151">
        <v>239.45</v>
      </c>
      <c r="F7151">
        <v>7.0000000000000007E-2</v>
      </c>
      <c r="G7151" t="s">
        <v>12</v>
      </c>
      <c r="I7151" t="s">
        <v>1050</v>
      </c>
    </row>
    <row r="7152" spans="1:9" hidden="1" x14ac:dyDescent="0.25">
      <c r="A7152" t="s">
        <v>5870</v>
      </c>
      <c r="B7152" t="s">
        <v>580</v>
      </c>
      <c r="C7152" s="2">
        <f>HYPERLINK("https://cao.dolgi.msk.ru/account/1080303152/", 1080303152)</f>
        <v>1080303152</v>
      </c>
      <c r="D7152" t="s">
        <v>5944</v>
      </c>
      <c r="E7152">
        <v>-6291.38</v>
      </c>
      <c r="F7152">
        <v>-1.07</v>
      </c>
      <c r="G7152" t="s">
        <v>12</v>
      </c>
      <c r="I7152" t="s">
        <v>1050</v>
      </c>
    </row>
    <row r="7153" spans="1:9" hidden="1" x14ac:dyDescent="0.25">
      <c r="A7153" t="s">
        <v>5870</v>
      </c>
      <c r="B7153" t="s">
        <v>686</v>
      </c>
      <c r="C7153" s="2">
        <f>HYPERLINK("https://cao.dolgi.msk.ru/account/1080303179/", 1080303179)</f>
        <v>1080303179</v>
      </c>
      <c r="D7153" t="s">
        <v>5945</v>
      </c>
      <c r="E7153">
        <v>-7788.25</v>
      </c>
      <c r="F7153">
        <v>-1.23</v>
      </c>
      <c r="G7153" t="s">
        <v>12</v>
      </c>
      <c r="I7153" t="s">
        <v>1050</v>
      </c>
    </row>
    <row r="7154" spans="1:9" hidden="1" x14ac:dyDescent="0.25">
      <c r="A7154" t="s">
        <v>5870</v>
      </c>
      <c r="B7154" t="s">
        <v>582</v>
      </c>
      <c r="C7154" s="2">
        <f>HYPERLINK("https://cao.dolgi.msk.ru/account/1080303187/", 1080303187)</f>
        <v>1080303187</v>
      </c>
      <c r="D7154" t="s">
        <v>5946</v>
      </c>
      <c r="E7154">
        <v>-3051.85</v>
      </c>
      <c r="F7154">
        <v>-0.96</v>
      </c>
      <c r="G7154" t="s">
        <v>12</v>
      </c>
      <c r="I7154" t="s">
        <v>1050</v>
      </c>
    </row>
    <row r="7155" spans="1:9" hidden="1" x14ac:dyDescent="0.25">
      <c r="A7155" t="s">
        <v>5870</v>
      </c>
      <c r="B7155" t="s">
        <v>584</v>
      </c>
      <c r="C7155" s="2">
        <f>HYPERLINK("https://cao.dolgi.msk.ru/account/1080303195/", 1080303195)</f>
        <v>1080303195</v>
      </c>
      <c r="D7155" t="s">
        <v>5947</v>
      </c>
      <c r="E7155">
        <v>-2464.13</v>
      </c>
      <c r="F7155">
        <v>-1.1299999999999999</v>
      </c>
      <c r="G7155" t="s">
        <v>12</v>
      </c>
      <c r="I7155" t="s">
        <v>1050</v>
      </c>
    </row>
    <row r="7156" spans="1:9" hidden="1" x14ac:dyDescent="0.25">
      <c r="A7156" t="s">
        <v>5870</v>
      </c>
      <c r="B7156" t="s">
        <v>586</v>
      </c>
      <c r="C7156" s="2">
        <f>HYPERLINK("https://cao.dolgi.msk.ru/account/1080303208/", 1080303208)</f>
        <v>1080303208</v>
      </c>
      <c r="D7156" t="s">
        <v>5948</v>
      </c>
      <c r="E7156">
        <v>-6945.76</v>
      </c>
      <c r="F7156">
        <v>-1</v>
      </c>
      <c r="G7156" t="s">
        <v>12</v>
      </c>
      <c r="I7156" t="s">
        <v>1050</v>
      </c>
    </row>
    <row r="7157" spans="1:9" hidden="1" x14ac:dyDescent="0.25">
      <c r="A7157" t="s">
        <v>5870</v>
      </c>
      <c r="B7157" t="s">
        <v>588</v>
      </c>
      <c r="C7157" s="2">
        <f>HYPERLINK("https://cao.dolgi.msk.ru/account/1080303216/", 1080303216)</f>
        <v>1080303216</v>
      </c>
      <c r="D7157" t="s">
        <v>5949</v>
      </c>
      <c r="E7157">
        <v>0</v>
      </c>
      <c r="F7157">
        <v>0</v>
      </c>
      <c r="G7157" t="s">
        <v>12</v>
      </c>
      <c r="I7157" t="s">
        <v>1050</v>
      </c>
    </row>
    <row r="7158" spans="1:9" hidden="1" x14ac:dyDescent="0.25">
      <c r="A7158" t="s">
        <v>5870</v>
      </c>
      <c r="B7158" t="s">
        <v>693</v>
      </c>
      <c r="C7158" s="2">
        <f>HYPERLINK("https://cao.dolgi.msk.ru/account/1080303232/", 1080303232)</f>
        <v>1080303232</v>
      </c>
      <c r="D7158" t="s">
        <v>5950</v>
      </c>
      <c r="E7158">
        <v>-2354.0300000000002</v>
      </c>
      <c r="F7158">
        <v>-0.95</v>
      </c>
      <c r="G7158" t="s">
        <v>12</v>
      </c>
      <c r="I7158" t="s">
        <v>1050</v>
      </c>
    </row>
    <row r="7159" spans="1:9" hidden="1" x14ac:dyDescent="0.25">
      <c r="A7159" t="s">
        <v>5870</v>
      </c>
      <c r="B7159" t="s">
        <v>694</v>
      </c>
      <c r="C7159" s="2">
        <f>HYPERLINK("https://cao.dolgi.msk.ru/account/1080303259/", 1080303259)</f>
        <v>1080303259</v>
      </c>
      <c r="D7159" t="s">
        <v>5951</v>
      </c>
      <c r="E7159">
        <v>-4897.74</v>
      </c>
      <c r="F7159">
        <v>-1.01</v>
      </c>
      <c r="G7159" t="s">
        <v>12</v>
      </c>
      <c r="I7159" t="s">
        <v>1050</v>
      </c>
    </row>
    <row r="7160" spans="1:9" hidden="1" x14ac:dyDescent="0.25">
      <c r="A7160" t="s">
        <v>5870</v>
      </c>
      <c r="B7160" t="s">
        <v>694</v>
      </c>
      <c r="C7160" s="2">
        <f>HYPERLINK("https://cao.dolgi.msk.ru/account/1083278159/", 1083278159)</f>
        <v>1083278159</v>
      </c>
      <c r="D7160" t="s">
        <v>5952</v>
      </c>
      <c r="E7160">
        <v>0</v>
      </c>
      <c r="G7160" t="s">
        <v>14</v>
      </c>
      <c r="I7160" t="s">
        <v>1050</v>
      </c>
    </row>
    <row r="7161" spans="1:9" hidden="1" x14ac:dyDescent="0.25">
      <c r="A7161" t="s">
        <v>5870</v>
      </c>
      <c r="B7161" t="s">
        <v>696</v>
      </c>
      <c r="C7161" s="2">
        <f>HYPERLINK("https://cao.dolgi.msk.ru/account/1080303267/", 1080303267)</f>
        <v>1080303267</v>
      </c>
      <c r="D7161" t="s">
        <v>5953</v>
      </c>
      <c r="E7161">
        <v>-6026.79</v>
      </c>
      <c r="F7161">
        <v>-1.06</v>
      </c>
      <c r="G7161" t="s">
        <v>12</v>
      </c>
      <c r="I7161" t="s">
        <v>1050</v>
      </c>
    </row>
    <row r="7162" spans="1:9" hidden="1" x14ac:dyDescent="0.25">
      <c r="A7162" t="s">
        <v>5870</v>
      </c>
      <c r="B7162" t="s">
        <v>698</v>
      </c>
      <c r="C7162" s="2">
        <f>HYPERLINK("https://cao.dolgi.msk.ru/account/1080303275/", 1080303275)</f>
        <v>1080303275</v>
      </c>
      <c r="D7162" t="s">
        <v>5954</v>
      </c>
      <c r="G7162" t="s">
        <v>14</v>
      </c>
      <c r="I7162" t="s">
        <v>1050</v>
      </c>
    </row>
    <row r="7163" spans="1:9" hidden="1" x14ac:dyDescent="0.25">
      <c r="A7163" t="s">
        <v>5870</v>
      </c>
      <c r="B7163" t="s">
        <v>698</v>
      </c>
      <c r="C7163" s="2">
        <f>HYPERLINK("https://cao.dolgi.msk.ru/account/1089118156/", 1089118156)</f>
        <v>1089118156</v>
      </c>
      <c r="D7163" t="s">
        <v>5955</v>
      </c>
      <c r="E7163">
        <v>-4806.34</v>
      </c>
      <c r="F7163">
        <v>-1.1399999999999999</v>
      </c>
      <c r="G7163" t="s">
        <v>12</v>
      </c>
      <c r="I7163" t="s">
        <v>1050</v>
      </c>
    </row>
    <row r="7164" spans="1:9" hidden="1" x14ac:dyDescent="0.25">
      <c r="A7164" t="s">
        <v>5870</v>
      </c>
      <c r="B7164" t="s">
        <v>700</v>
      </c>
      <c r="C7164" s="2">
        <f>HYPERLINK("https://cao.dolgi.msk.ru/account/1080303283/", 1080303283)</f>
        <v>1080303283</v>
      </c>
      <c r="D7164" t="s">
        <v>5956</v>
      </c>
      <c r="E7164">
        <v>-4384.67</v>
      </c>
      <c r="F7164">
        <v>-1.1499999999999999</v>
      </c>
      <c r="G7164" t="s">
        <v>12</v>
      </c>
      <c r="I7164" t="s">
        <v>1050</v>
      </c>
    </row>
    <row r="7165" spans="1:9" hidden="1" x14ac:dyDescent="0.25">
      <c r="A7165" t="s">
        <v>5870</v>
      </c>
      <c r="B7165" t="s">
        <v>702</v>
      </c>
      <c r="C7165" s="2">
        <f>HYPERLINK("https://cao.dolgi.msk.ru/account/1080303291/", 1080303291)</f>
        <v>1080303291</v>
      </c>
      <c r="D7165" t="s">
        <v>5957</v>
      </c>
      <c r="E7165">
        <v>-4467.83</v>
      </c>
      <c r="F7165">
        <v>-0.9</v>
      </c>
      <c r="G7165" t="s">
        <v>12</v>
      </c>
      <c r="I7165" t="s">
        <v>1050</v>
      </c>
    </row>
    <row r="7166" spans="1:9" hidden="1" x14ac:dyDescent="0.25">
      <c r="A7166" t="s">
        <v>5870</v>
      </c>
      <c r="B7166" t="s">
        <v>703</v>
      </c>
      <c r="C7166" s="2">
        <f>HYPERLINK("https://cao.dolgi.msk.ru/account/1080303304/", 1080303304)</f>
        <v>1080303304</v>
      </c>
      <c r="D7166" t="s">
        <v>5958</v>
      </c>
      <c r="E7166">
        <v>-5386.9</v>
      </c>
      <c r="F7166">
        <v>-1.17</v>
      </c>
      <c r="G7166" t="s">
        <v>12</v>
      </c>
      <c r="I7166" t="s">
        <v>1050</v>
      </c>
    </row>
    <row r="7167" spans="1:9" hidden="1" x14ac:dyDescent="0.25">
      <c r="A7167" t="s">
        <v>5870</v>
      </c>
      <c r="B7167" t="s">
        <v>705</v>
      </c>
      <c r="C7167" s="2">
        <f>HYPERLINK("https://cao.dolgi.msk.ru/account/1080303312/", 1080303312)</f>
        <v>1080303312</v>
      </c>
      <c r="D7167" t="s">
        <v>5959</v>
      </c>
      <c r="E7167">
        <v>-1907.34</v>
      </c>
      <c r="F7167">
        <v>-1.22</v>
      </c>
      <c r="G7167" t="s">
        <v>12</v>
      </c>
      <c r="I7167" t="s">
        <v>1050</v>
      </c>
    </row>
    <row r="7168" spans="1:9" hidden="1" x14ac:dyDescent="0.25">
      <c r="A7168" t="s">
        <v>5870</v>
      </c>
      <c r="B7168" t="s">
        <v>707</v>
      </c>
      <c r="C7168" s="2">
        <f>HYPERLINK("https://cao.dolgi.msk.ru/account/1080303339/", 1080303339)</f>
        <v>1080303339</v>
      </c>
      <c r="D7168" t="s">
        <v>5960</v>
      </c>
      <c r="E7168">
        <v>-4197.1499999999996</v>
      </c>
      <c r="F7168">
        <v>-1.2</v>
      </c>
      <c r="G7168" t="s">
        <v>12</v>
      </c>
      <c r="I7168" t="s">
        <v>1050</v>
      </c>
    </row>
    <row r="7169" spans="1:9" hidden="1" x14ac:dyDescent="0.25">
      <c r="A7169" t="s">
        <v>5870</v>
      </c>
      <c r="B7169" t="s">
        <v>709</v>
      </c>
      <c r="C7169" s="2">
        <f>HYPERLINK("https://cao.dolgi.msk.ru/account/1080303347/", 1080303347)</f>
        <v>1080303347</v>
      </c>
      <c r="D7169" t="s">
        <v>5961</v>
      </c>
      <c r="E7169">
        <v>-3140.84</v>
      </c>
      <c r="F7169">
        <v>-1.19</v>
      </c>
      <c r="G7169" t="s">
        <v>12</v>
      </c>
      <c r="I7169" t="s">
        <v>1050</v>
      </c>
    </row>
    <row r="7170" spans="1:9" hidden="1" x14ac:dyDescent="0.25">
      <c r="A7170" t="s">
        <v>5870</v>
      </c>
      <c r="B7170" t="s">
        <v>709</v>
      </c>
      <c r="C7170" s="2">
        <f>HYPERLINK("https://cao.dolgi.msk.ru/account/1083274609/", 1083274609)</f>
        <v>1083274609</v>
      </c>
      <c r="D7170" t="s">
        <v>15</v>
      </c>
      <c r="E7170">
        <v>-2007.43</v>
      </c>
      <c r="F7170">
        <v>-1.1200000000000001</v>
      </c>
      <c r="G7170" t="s">
        <v>12</v>
      </c>
      <c r="I7170" t="s">
        <v>1050</v>
      </c>
    </row>
    <row r="7171" spans="1:9" hidden="1" x14ac:dyDescent="0.25">
      <c r="A7171" t="s">
        <v>5870</v>
      </c>
      <c r="B7171" t="s">
        <v>711</v>
      </c>
      <c r="C7171" s="2">
        <f>HYPERLINK("https://cao.dolgi.msk.ru/account/1080303355/", 1080303355)</f>
        <v>1080303355</v>
      </c>
      <c r="D7171" t="s">
        <v>5962</v>
      </c>
      <c r="E7171">
        <v>-11733.62</v>
      </c>
      <c r="F7171">
        <v>-1.64</v>
      </c>
      <c r="G7171" t="s">
        <v>12</v>
      </c>
      <c r="I7171" t="s">
        <v>1050</v>
      </c>
    </row>
    <row r="7172" spans="1:9" hidden="1" x14ac:dyDescent="0.25">
      <c r="A7172" t="s">
        <v>5870</v>
      </c>
      <c r="B7172" t="s">
        <v>713</v>
      </c>
      <c r="C7172" s="2">
        <f>HYPERLINK("https://cao.dolgi.msk.ru/account/1080303363/", 1080303363)</f>
        <v>1080303363</v>
      </c>
      <c r="D7172" t="s">
        <v>5963</v>
      </c>
      <c r="E7172">
        <v>-4100.62</v>
      </c>
      <c r="F7172">
        <v>-1.4</v>
      </c>
      <c r="G7172" t="s">
        <v>12</v>
      </c>
      <c r="I7172" t="s">
        <v>1050</v>
      </c>
    </row>
    <row r="7173" spans="1:9" hidden="1" x14ac:dyDescent="0.25">
      <c r="A7173" t="s">
        <v>5870</v>
      </c>
      <c r="B7173" t="s">
        <v>528</v>
      </c>
      <c r="C7173" s="2">
        <f>HYPERLINK("https://cao.dolgi.msk.ru/account/1080303371/", 1080303371)</f>
        <v>1080303371</v>
      </c>
      <c r="D7173" t="s">
        <v>5964</v>
      </c>
      <c r="E7173">
        <v>-544.85</v>
      </c>
      <c r="F7173">
        <v>-0.13</v>
      </c>
      <c r="G7173" t="s">
        <v>12</v>
      </c>
      <c r="I7173" t="s">
        <v>1050</v>
      </c>
    </row>
    <row r="7174" spans="1:9" hidden="1" x14ac:dyDescent="0.25">
      <c r="A7174" t="s">
        <v>5870</v>
      </c>
      <c r="B7174" t="s">
        <v>530</v>
      </c>
      <c r="C7174" s="2">
        <f>HYPERLINK("https://cao.dolgi.msk.ru/account/1080303398/", 1080303398)</f>
        <v>1080303398</v>
      </c>
      <c r="D7174" t="s">
        <v>5965</v>
      </c>
      <c r="E7174">
        <v>-4914.5600000000004</v>
      </c>
      <c r="F7174">
        <v>-1.1499999999999999</v>
      </c>
      <c r="G7174" t="s">
        <v>12</v>
      </c>
      <c r="I7174" t="s">
        <v>1050</v>
      </c>
    </row>
    <row r="7175" spans="1:9" hidden="1" x14ac:dyDescent="0.25">
      <c r="A7175" t="s">
        <v>5870</v>
      </c>
      <c r="B7175" t="s">
        <v>532</v>
      </c>
      <c r="C7175" s="2">
        <f>HYPERLINK("https://cao.dolgi.msk.ru/account/1080303419/", 1080303419)</f>
        <v>1080303419</v>
      </c>
      <c r="D7175" t="s">
        <v>5966</v>
      </c>
      <c r="E7175">
        <v>-4067.83</v>
      </c>
      <c r="F7175">
        <v>-1.59</v>
      </c>
      <c r="G7175" t="s">
        <v>12</v>
      </c>
      <c r="I7175" t="s">
        <v>1050</v>
      </c>
    </row>
    <row r="7176" spans="1:9" hidden="1" x14ac:dyDescent="0.25">
      <c r="A7176" t="s">
        <v>5870</v>
      </c>
      <c r="B7176" t="s">
        <v>534</v>
      </c>
      <c r="C7176" s="2">
        <f>HYPERLINK("https://cao.dolgi.msk.ru/account/1080303427/", 1080303427)</f>
        <v>1080303427</v>
      </c>
      <c r="D7176" t="s">
        <v>5967</v>
      </c>
      <c r="E7176">
        <v>-1631.62</v>
      </c>
      <c r="F7176">
        <v>-1.26</v>
      </c>
      <c r="G7176" t="s">
        <v>12</v>
      </c>
      <c r="I7176" t="s">
        <v>1050</v>
      </c>
    </row>
    <row r="7177" spans="1:9" hidden="1" x14ac:dyDescent="0.25">
      <c r="A7177" t="s">
        <v>5870</v>
      </c>
      <c r="B7177" t="s">
        <v>536</v>
      </c>
      <c r="C7177" s="2">
        <f>HYPERLINK("https://cao.dolgi.msk.ru/account/1080303435/", 1080303435)</f>
        <v>1080303435</v>
      </c>
      <c r="D7177" t="s">
        <v>5968</v>
      </c>
      <c r="E7177">
        <v>0</v>
      </c>
      <c r="F7177">
        <v>0</v>
      </c>
      <c r="G7177" t="s">
        <v>12</v>
      </c>
      <c r="I7177" t="s">
        <v>1050</v>
      </c>
    </row>
    <row r="7178" spans="1:9" hidden="1" x14ac:dyDescent="0.25">
      <c r="A7178" t="s">
        <v>5870</v>
      </c>
      <c r="B7178" t="s">
        <v>538</v>
      </c>
      <c r="C7178" s="2">
        <f>HYPERLINK("https://cao.dolgi.msk.ru/account/1080303443/", 1080303443)</f>
        <v>1080303443</v>
      </c>
      <c r="D7178" t="s">
        <v>5969</v>
      </c>
      <c r="E7178">
        <v>-3825.77</v>
      </c>
      <c r="F7178">
        <v>-1.1000000000000001</v>
      </c>
      <c r="G7178" t="s">
        <v>12</v>
      </c>
      <c r="I7178" t="s">
        <v>1050</v>
      </c>
    </row>
    <row r="7179" spans="1:9" hidden="1" x14ac:dyDescent="0.25">
      <c r="A7179" t="s">
        <v>5870</v>
      </c>
      <c r="B7179" t="s">
        <v>539</v>
      </c>
      <c r="C7179" s="2">
        <f>HYPERLINK("https://cao.dolgi.msk.ru/account/1080303451/", 1080303451)</f>
        <v>1080303451</v>
      </c>
      <c r="D7179" t="s">
        <v>5970</v>
      </c>
      <c r="E7179">
        <v>-2894.95</v>
      </c>
      <c r="F7179">
        <v>-1.1000000000000001</v>
      </c>
      <c r="G7179" t="s">
        <v>12</v>
      </c>
      <c r="I7179" t="s">
        <v>1050</v>
      </c>
    </row>
    <row r="7180" spans="1:9" hidden="1" x14ac:dyDescent="0.25">
      <c r="A7180" t="s">
        <v>5870</v>
      </c>
      <c r="B7180" t="s">
        <v>541</v>
      </c>
      <c r="C7180" s="2">
        <f>HYPERLINK("https://cao.dolgi.msk.ru/account/1080303478/", 1080303478)</f>
        <v>1080303478</v>
      </c>
      <c r="D7180" t="s">
        <v>5971</v>
      </c>
      <c r="E7180">
        <v>-3455.94</v>
      </c>
      <c r="F7180">
        <v>-0.95</v>
      </c>
      <c r="G7180" t="s">
        <v>12</v>
      </c>
      <c r="I7180" t="s">
        <v>1050</v>
      </c>
    </row>
    <row r="7181" spans="1:9" hidden="1" x14ac:dyDescent="0.25">
      <c r="A7181" t="s">
        <v>5870</v>
      </c>
      <c r="B7181" t="s">
        <v>543</v>
      </c>
      <c r="C7181" s="2">
        <f>HYPERLINK("https://cao.dolgi.msk.ru/account/1080324877/", 1080324877)</f>
        <v>1080324877</v>
      </c>
      <c r="D7181" t="s">
        <v>5972</v>
      </c>
      <c r="E7181">
        <v>0</v>
      </c>
      <c r="F7181">
        <v>0</v>
      </c>
      <c r="G7181" t="s">
        <v>12</v>
      </c>
      <c r="I7181" t="s">
        <v>1050</v>
      </c>
    </row>
    <row r="7182" spans="1:9" hidden="1" x14ac:dyDescent="0.25">
      <c r="A7182" t="s">
        <v>5870</v>
      </c>
      <c r="B7182" t="s">
        <v>545</v>
      </c>
      <c r="C7182" s="2">
        <f>HYPERLINK("https://cao.dolgi.msk.ru/account/1080303494/", 1080303494)</f>
        <v>1080303494</v>
      </c>
      <c r="D7182" t="s">
        <v>5973</v>
      </c>
      <c r="E7182">
        <v>0</v>
      </c>
      <c r="F7182">
        <v>0</v>
      </c>
      <c r="G7182" t="s">
        <v>12</v>
      </c>
      <c r="I7182" t="s">
        <v>1050</v>
      </c>
    </row>
    <row r="7183" spans="1:9" hidden="1" x14ac:dyDescent="0.25">
      <c r="A7183" t="s">
        <v>5870</v>
      </c>
      <c r="B7183" t="s">
        <v>546</v>
      </c>
      <c r="C7183" s="2">
        <f>HYPERLINK("https://cao.dolgi.msk.ru/account/1080303507/", 1080303507)</f>
        <v>1080303507</v>
      </c>
      <c r="D7183" t="s">
        <v>5974</v>
      </c>
      <c r="E7183">
        <v>103.61</v>
      </c>
      <c r="F7183">
        <v>0.02</v>
      </c>
      <c r="G7183" t="s">
        <v>12</v>
      </c>
      <c r="I7183" t="s">
        <v>1050</v>
      </c>
    </row>
    <row r="7184" spans="1:9" hidden="1" x14ac:dyDescent="0.25">
      <c r="A7184" t="s">
        <v>5870</v>
      </c>
      <c r="B7184" t="s">
        <v>548</v>
      </c>
      <c r="C7184" s="2">
        <f>HYPERLINK("https://cao.dolgi.msk.ru/account/1080303515/", 1080303515)</f>
        <v>1080303515</v>
      </c>
      <c r="D7184" t="s">
        <v>5975</v>
      </c>
      <c r="E7184">
        <v>0</v>
      </c>
      <c r="F7184">
        <v>0</v>
      </c>
      <c r="G7184" t="s">
        <v>12</v>
      </c>
      <c r="I7184" t="s">
        <v>1050</v>
      </c>
    </row>
    <row r="7185" spans="1:9" hidden="1" x14ac:dyDescent="0.25">
      <c r="A7185" t="s">
        <v>5870</v>
      </c>
      <c r="B7185" t="s">
        <v>727</v>
      </c>
      <c r="C7185" s="2">
        <f>HYPERLINK("https://cao.dolgi.msk.ru/account/1080303523/", 1080303523)</f>
        <v>1080303523</v>
      </c>
      <c r="D7185" t="s">
        <v>5976</v>
      </c>
      <c r="E7185">
        <v>-6608.01</v>
      </c>
      <c r="F7185">
        <v>-1.07</v>
      </c>
      <c r="G7185" t="s">
        <v>12</v>
      </c>
      <c r="I7185" t="s">
        <v>1050</v>
      </c>
    </row>
    <row r="7186" spans="1:9" x14ac:dyDescent="0.25">
      <c r="A7186" t="s">
        <v>5870</v>
      </c>
      <c r="B7186" t="s">
        <v>727</v>
      </c>
      <c r="C7186" s="2">
        <f>HYPERLINK("https://cao.dolgi.msk.ru/account/1080326696/", 1080326696)</f>
        <v>1080326696</v>
      </c>
      <c r="D7186" t="s">
        <v>5976</v>
      </c>
      <c r="E7186">
        <v>41610.949999999997</v>
      </c>
      <c r="F7186">
        <v>62.48</v>
      </c>
      <c r="G7186" t="s">
        <v>12</v>
      </c>
      <c r="I7186" t="s">
        <v>1050</v>
      </c>
    </row>
    <row r="7187" spans="1:9" hidden="1" x14ac:dyDescent="0.25">
      <c r="A7187" t="s">
        <v>5870</v>
      </c>
      <c r="B7187" t="s">
        <v>551</v>
      </c>
      <c r="C7187" s="2">
        <f>HYPERLINK("https://cao.dolgi.msk.ru/account/1080303531/", 1080303531)</f>
        <v>1080303531</v>
      </c>
      <c r="D7187" t="s">
        <v>5977</v>
      </c>
      <c r="E7187">
        <v>-14922.91</v>
      </c>
      <c r="F7187">
        <v>-5.07</v>
      </c>
      <c r="G7187" t="s">
        <v>12</v>
      </c>
      <c r="I7187" t="s">
        <v>1050</v>
      </c>
    </row>
    <row r="7188" spans="1:9" hidden="1" x14ac:dyDescent="0.25">
      <c r="A7188" t="s">
        <v>5870</v>
      </c>
      <c r="B7188" t="s">
        <v>730</v>
      </c>
      <c r="C7188" s="2">
        <f>HYPERLINK("https://cao.dolgi.msk.ru/account/1080303558/", 1080303558)</f>
        <v>1080303558</v>
      </c>
      <c r="D7188" t="s">
        <v>5978</v>
      </c>
      <c r="E7188">
        <v>-4611.8100000000004</v>
      </c>
      <c r="F7188">
        <v>-1.1299999999999999</v>
      </c>
      <c r="G7188" t="s">
        <v>12</v>
      </c>
      <c r="I7188" t="s">
        <v>1050</v>
      </c>
    </row>
    <row r="7189" spans="1:9" hidden="1" x14ac:dyDescent="0.25">
      <c r="A7189" t="s">
        <v>5870</v>
      </c>
      <c r="B7189" t="s">
        <v>732</v>
      </c>
      <c r="C7189" s="2">
        <f>HYPERLINK("https://cao.dolgi.msk.ru/account/1080303566/", 1080303566)</f>
        <v>1080303566</v>
      </c>
      <c r="D7189" t="s">
        <v>5979</v>
      </c>
      <c r="E7189">
        <v>-4410.2700000000004</v>
      </c>
      <c r="F7189">
        <v>-1.39</v>
      </c>
      <c r="G7189" t="s">
        <v>12</v>
      </c>
      <c r="I7189" t="s">
        <v>1050</v>
      </c>
    </row>
    <row r="7190" spans="1:9" hidden="1" x14ac:dyDescent="0.25">
      <c r="A7190" t="s">
        <v>5870</v>
      </c>
      <c r="B7190" t="s">
        <v>553</v>
      </c>
      <c r="C7190" s="2">
        <f>HYPERLINK("https://cao.dolgi.msk.ru/account/1080303574/", 1080303574)</f>
        <v>1080303574</v>
      </c>
      <c r="D7190" t="s">
        <v>5980</v>
      </c>
      <c r="E7190">
        <v>-8384.24</v>
      </c>
      <c r="F7190">
        <v>-1.64</v>
      </c>
      <c r="G7190" t="s">
        <v>12</v>
      </c>
      <c r="I7190" t="s">
        <v>1050</v>
      </c>
    </row>
    <row r="7191" spans="1:9" hidden="1" x14ac:dyDescent="0.25">
      <c r="A7191" t="s">
        <v>5870</v>
      </c>
      <c r="B7191" t="s">
        <v>555</v>
      </c>
      <c r="C7191" s="2">
        <f>HYPERLINK("https://cao.dolgi.msk.ru/account/1080303582/", 1080303582)</f>
        <v>1080303582</v>
      </c>
      <c r="D7191" t="s">
        <v>15</v>
      </c>
      <c r="E7191">
        <v>-4695.95</v>
      </c>
      <c r="F7191">
        <v>-1.04</v>
      </c>
      <c r="G7191" t="s">
        <v>12</v>
      </c>
      <c r="I7191" t="s">
        <v>1050</v>
      </c>
    </row>
    <row r="7192" spans="1:9" hidden="1" x14ac:dyDescent="0.25">
      <c r="A7192" t="s">
        <v>5870</v>
      </c>
      <c r="B7192" t="s">
        <v>736</v>
      </c>
      <c r="C7192" s="2">
        <f>HYPERLINK("https://cao.dolgi.msk.ru/account/1080303603/", 1080303603)</f>
        <v>1080303603</v>
      </c>
      <c r="D7192" t="s">
        <v>5981</v>
      </c>
      <c r="E7192">
        <v>0</v>
      </c>
      <c r="F7192">
        <v>0</v>
      </c>
      <c r="G7192" t="s">
        <v>12</v>
      </c>
      <c r="I7192" t="s">
        <v>1050</v>
      </c>
    </row>
    <row r="7193" spans="1:9" hidden="1" x14ac:dyDescent="0.25">
      <c r="A7193" t="s">
        <v>5870</v>
      </c>
      <c r="B7193" t="s">
        <v>738</v>
      </c>
      <c r="C7193" s="2">
        <f>HYPERLINK("https://cao.dolgi.msk.ru/account/1080303611/", 1080303611)</f>
        <v>1080303611</v>
      </c>
      <c r="D7193" t="s">
        <v>5982</v>
      </c>
      <c r="E7193">
        <v>-3647.35</v>
      </c>
      <c r="F7193">
        <v>-1.1399999999999999</v>
      </c>
      <c r="G7193" t="s">
        <v>12</v>
      </c>
      <c r="I7193" t="s">
        <v>1050</v>
      </c>
    </row>
    <row r="7194" spans="1:9" hidden="1" x14ac:dyDescent="0.25">
      <c r="A7194" t="s">
        <v>5983</v>
      </c>
      <c r="B7194" t="s">
        <v>10</v>
      </c>
      <c r="C7194" s="2">
        <f>HYPERLINK("https://cao.dolgi.msk.ru/account/1080062766/", 1080062766)</f>
        <v>1080062766</v>
      </c>
      <c r="D7194" t="s">
        <v>5984</v>
      </c>
      <c r="E7194">
        <v>-12625.55</v>
      </c>
      <c r="F7194">
        <v>-1.3</v>
      </c>
      <c r="G7194" t="s">
        <v>12</v>
      </c>
      <c r="I7194" t="s">
        <v>230</v>
      </c>
    </row>
    <row r="7195" spans="1:9" hidden="1" x14ac:dyDescent="0.25">
      <c r="A7195" t="s">
        <v>5983</v>
      </c>
      <c r="B7195" t="s">
        <v>16</v>
      </c>
      <c r="C7195" s="2">
        <f>HYPERLINK("https://cao.dolgi.msk.ru/account/1080062774/", 1080062774)</f>
        <v>1080062774</v>
      </c>
      <c r="D7195" t="s">
        <v>5985</v>
      </c>
      <c r="E7195">
        <v>-5057.8599999999997</v>
      </c>
      <c r="F7195">
        <v>-1.35</v>
      </c>
      <c r="G7195" t="s">
        <v>12</v>
      </c>
      <c r="H7195" t="s">
        <v>7</v>
      </c>
      <c r="I7195" t="s">
        <v>230</v>
      </c>
    </row>
    <row r="7196" spans="1:9" hidden="1" x14ac:dyDescent="0.25">
      <c r="A7196" t="s">
        <v>5983</v>
      </c>
      <c r="B7196" t="s">
        <v>16</v>
      </c>
      <c r="C7196" s="2">
        <f>HYPERLINK("https://cao.dolgi.msk.ru/account/1080062782/", 1080062782)</f>
        <v>1080062782</v>
      </c>
      <c r="D7196" t="s">
        <v>5986</v>
      </c>
      <c r="E7196">
        <v>-3055.29</v>
      </c>
      <c r="F7196">
        <v>-1.24</v>
      </c>
      <c r="G7196" t="s">
        <v>12</v>
      </c>
      <c r="H7196" t="s">
        <v>7</v>
      </c>
      <c r="I7196" t="s">
        <v>230</v>
      </c>
    </row>
    <row r="7197" spans="1:9" hidden="1" x14ac:dyDescent="0.25">
      <c r="A7197" t="s">
        <v>5983</v>
      </c>
      <c r="B7197" t="s">
        <v>18</v>
      </c>
      <c r="C7197" s="2">
        <f>HYPERLINK("https://cao.dolgi.msk.ru/account/1080062803/", 1080062803)</f>
        <v>1080062803</v>
      </c>
      <c r="D7197" t="s">
        <v>5987</v>
      </c>
      <c r="E7197">
        <v>0</v>
      </c>
      <c r="G7197" t="s">
        <v>14</v>
      </c>
      <c r="I7197" t="s">
        <v>230</v>
      </c>
    </row>
    <row r="7198" spans="1:9" hidden="1" x14ac:dyDescent="0.25">
      <c r="A7198" t="s">
        <v>5983</v>
      </c>
      <c r="B7198" t="s">
        <v>18</v>
      </c>
      <c r="C7198" s="2">
        <f>HYPERLINK("https://cao.dolgi.msk.ru/account/1080062811/", 1080062811)</f>
        <v>1080062811</v>
      </c>
      <c r="D7198" t="s">
        <v>5987</v>
      </c>
      <c r="E7198">
        <v>0</v>
      </c>
      <c r="G7198" t="s">
        <v>14</v>
      </c>
      <c r="I7198" t="s">
        <v>230</v>
      </c>
    </row>
    <row r="7199" spans="1:9" hidden="1" x14ac:dyDescent="0.25">
      <c r="A7199" t="s">
        <v>5983</v>
      </c>
      <c r="B7199" t="s">
        <v>18</v>
      </c>
      <c r="C7199" s="2">
        <f>HYPERLINK("https://cao.dolgi.msk.ru/account/1080062838/", 1080062838)</f>
        <v>1080062838</v>
      </c>
      <c r="D7199" t="s">
        <v>5987</v>
      </c>
      <c r="E7199">
        <v>-14775.87</v>
      </c>
      <c r="F7199">
        <v>-1.1000000000000001</v>
      </c>
      <c r="G7199" t="s">
        <v>12</v>
      </c>
      <c r="I7199" t="s">
        <v>230</v>
      </c>
    </row>
    <row r="7200" spans="1:9" hidden="1" x14ac:dyDescent="0.25">
      <c r="A7200" t="s">
        <v>5983</v>
      </c>
      <c r="B7200" t="s">
        <v>20</v>
      </c>
      <c r="C7200" s="2">
        <f>HYPERLINK("https://cao.dolgi.msk.ru/account/1080062846/", 1080062846)</f>
        <v>1080062846</v>
      </c>
      <c r="D7200" t="s">
        <v>5988</v>
      </c>
      <c r="E7200">
        <v>-11951.94</v>
      </c>
      <c r="F7200">
        <v>-2.39</v>
      </c>
      <c r="G7200" t="s">
        <v>12</v>
      </c>
      <c r="I7200" t="s">
        <v>230</v>
      </c>
    </row>
    <row r="7201" spans="1:9" hidden="1" x14ac:dyDescent="0.25">
      <c r="A7201" t="s">
        <v>5983</v>
      </c>
      <c r="B7201" t="s">
        <v>21</v>
      </c>
      <c r="C7201" s="2">
        <f>HYPERLINK("https://cao.dolgi.msk.ru/account/1080062854/", 1080062854)</f>
        <v>1080062854</v>
      </c>
      <c r="D7201" t="s">
        <v>5989</v>
      </c>
      <c r="E7201">
        <v>-17103.740000000002</v>
      </c>
      <c r="F7201">
        <v>-2.39</v>
      </c>
      <c r="G7201" t="s">
        <v>12</v>
      </c>
      <c r="I7201" t="s">
        <v>230</v>
      </c>
    </row>
    <row r="7202" spans="1:9" hidden="1" x14ac:dyDescent="0.25">
      <c r="A7202" t="s">
        <v>5983</v>
      </c>
      <c r="B7202" t="s">
        <v>22</v>
      </c>
      <c r="C7202" s="2">
        <f>HYPERLINK("https://cao.dolgi.msk.ru/account/1080062862/", 1080062862)</f>
        <v>1080062862</v>
      </c>
      <c r="D7202" t="s">
        <v>5990</v>
      </c>
      <c r="E7202">
        <v>-8844.18</v>
      </c>
      <c r="F7202">
        <v>-1.3</v>
      </c>
      <c r="G7202" t="s">
        <v>12</v>
      </c>
      <c r="I7202" t="s">
        <v>230</v>
      </c>
    </row>
    <row r="7203" spans="1:9" hidden="1" x14ac:dyDescent="0.25">
      <c r="A7203" t="s">
        <v>5983</v>
      </c>
      <c r="B7203" t="s">
        <v>23</v>
      </c>
      <c r="C7203" s="2">
        <f>HYPERLINK("https://cao.dolgi.msk.ru/account/1080062889/", 1080062889)</f>
        <v>1080062889</v>
      </c>
      <c r="D7203" t="s">
        <v>5991</v>
      </c>
      <c r="E7203">
        <v>-4089.92</v>
      </c>
      <c r="F7203">
        <v>-1.08</v>
      </c>
      <c r="G7203" t="s">
        <v>12</v>
      </c>
      <c r="I7203" t="s">
        <v>230</v>
      </c>
    </row>
    <row r="7204" spans="1:9" hidden="1" x14ac:dyDescent="0.25">
      <c r="A7204" t="s">
        <v>5983</v>
      </c>
      <c r="B7204" t="s">
        <v>24</v>
      </c>
      <c r="C7204" s="2">
        <f>HYPERLINK("https://cao.dolgi.msk.ru/account/1080062897/", 1080062897)</f>
        <v>1080062897</v>
      </c>
      <c r="D7204" t="s">
        <v>5992</v>
      </c>
      <c r="E7204">
        <v>-8310.91</v>
      </c>
      <c r="F7204">
        <v>-1.21</v>
      </c>
      <c r="G7204" t="s">
        <v>12</v>
      </c>
      <c r="I7204" t="s">
        <v>230</v>
      </c>
    </row>
    <row r="7205" spans="1:9" hidden="1" x14ac:dyDescent="0.25">
      <c r="A7205" t="s">
        <v>5983</v>
      </c>
      <c r="B7205" t="s">
        <v>24</v>
      </c>
      <c r="C7205" s="2">
        <f>HYPERLINK("https://cao.dolgi.msk.ru/account/1080062918/", 1080062918)</f>
        <v>1080062918</v>
      </c>
      <c r="D7205" t="s">
        <v>15</v>
      </c>
      <c r="G7205" t="s">
        <v>14</v>
      </c>
      <c r="I7205" t="s">
        <v>230</v>
      </c>
    </row>
    <row r="7206" spans="1:9" hidden="1" x14ac:dyDescent="0.25">
      <c r="A7206" t="s">
        <v>5983</v>
      </c>
      <c r="B7206" t="s">
        <v>24</v>
      </c>
      <c r="C7206" s="2">
        <f>HYPERLINK("https://cao.dolgi.msk.ru/account/1080062942/", 1080062942)</f>
        <v>1080062942</v>
      </c>
      <c r="D7206" t="s">
        <v>15</v>
      </c>
      <c r="G7206" t="s">
        <v>14</v>
      </c>
      <c r="I7206" t="s">
        <v>230</v>
      </c>
    </row>
    <row r="7207" spans="1:9" hidden="1" x14ac:dyDescent="0.25">
      <c r="A7207" t="s">
        <v>5983</v>
      </c>
      <c r="B7207" t="s">
        <v>27</v>
      </c>
      <c r="C7207" s="2">
        <f>HYPERLINK("https://cao.dolgi.msk.ru/account/1080062926/", 1080062926)</f>
        <v>1080062926</v>
      </c>
      <c r="D7207" t="s">
        <v>5993</v>
      </c>
      <c r="E7207">
        <v>-9507.58</v>
      </c>
      <c r="F7207">
        <v>-1.33</v>
      </c>
      <c r="G7207" t="s">
        <v>12</v>
      </c>
      <c r="I7207" t="s">
        <v>230</v>
      </c>
    </row>
    <row r="7208" spans="1:9" hidden="1" x14ac:dyDescent="0.25">
      <c r="A7208" t="s">
        <v>5983</v>
      </c>
      <c r="B7208" t="s">
        <v>29</v>
      </c>
      <c r="C7208" s="2">
        <f>HYPERLINK("https://cao.dolgi.msk.ru/account/1080062969/", 1080062969)</f>
        <v>1080062969</v>
      </c>
      <c r="D7208" t="s">
        <v>5994</v>
      </c>
      <c r="E7208">
        <v>68.099999999999994</v>
      </c>
      <c r="F7208">
        <v>0.02</v>
      </c>
      <c r="G7208" t="s">
        <v>12</v>
      </c>
      <c r="I7208" t="s">
        <v>230</v>
      </c>
    </row>
    <row r="7209" spans="1:9" hidden="1" x14ac:dyDescent="0.25">
      <c r="A7209" t="s">
        <v>5983</v>
      </c>
      <c r="B7209" t="s">
        <v>31</v>
      </c>
      <c r="C7209" s="2">
        <f>HYPERLINK("https://cao.dolgi.msk.ru/account/1080062934/", 1080062934)</f>
        <v>1080062934</v>
      </c>
      <c r="D7209" t="s">
        <v>5995</v>
      </c>
      <c r="E7209">
        <v>-8887.4500000000007</v>
      </c>
      <c r="F7209">
        <v>-1.1499999999999999</v>
      </c>
      <c r="G7209" t="s">
        <v>12</v>
      </c>
      <c r="I7209" t="s">
        <v>230</v>
      </c>
    </row>
    <row r="7210" spans="1:9" hidden="1" x14ac:dyDescent="0.25">
      <c r="A7210" t="s">
        <v>5983</v>
      </c>
      <c r="B7210" t="s">
        <v>33</v>
      </c>
      <c r="C7210" s="2">
        <f>HYPERLINK("https://cao.dolgi.msk.ru/account/1080062977/", 1080062977)</f>
        <v>1080062977</v>
      </c>
      <c r="D7210" t="s">
        <v>5996</v>
      </c>
      <c r="E7210">
        <v>-10179.99</v>
      </c>
      <c r="F7210">
        <v>-1.26</v>
      </c>
      <c r="G7210" t="s">
        <v>12</v>
      </c>
      <c r="I7210" t="s">
        <v>230</v>
      </c>
    </row>
    <row r="7211" spans="1:9" hidden="1" x14ac:dyDescent="0.25">
      <c r="A7211" t="s">
        <v>5983</v>
      </c>
      <c r="B7211" t="s">
        <v>34</v>
      </c>
      <c r="C7211" s="2">
        <f>HYPERLINK("https://cao.dolgi.msk.ru/account/1080062985/", 1080062985)</f>
        <v>1080062985</v>
      </c>
      <c r="D7211" t="s">
        <v>5997</v>
      </c>
      <c r="E7211">
        <v>0</v>
      </c>
      <c r="F7211">
        <v>0</v>
      </c>
      <c r="G7211" t="s">
        <v>12</v>
      </c>
      <c r="I7211" t="s">
        <v>230</v>
      </c>
    </row>
    <row r="7212" spans="1:9" hidden="1" x14ac:dyDescent="0.25">
      <c r="A7212" t="s">
        <v>5983</v>
      </c>
      <c r="B7212" t="s">
        <v>36</v>
      </c>
      <c r="C7212" s="2">
        <f>HYPERLINK("https://cao.dolgi.msk.ru/account/1080062993/", 1080062993)</f>
        <v>1080062993</v>
      </c>
      <c r="D7212" t="s">
        <v>5998</v>
      </c>
      <c r="E7212">
        <v>-13270.01</v>
      </c>
      <c r="F7212">
        <v>-1.1499999999999999</v>
      </c>
      <c r="G7212" t="s">
        <v>12</v>
      </c>
      <c r="I7212" t="s">
        <v>230</v>
      </c>
    </row>
    <row r="7213" spans="1:9" hidden="1" x14ac:dyDescent="0.25">
      <c r="A7213" t="s">
        <v>5983</v>
      </c>
      <c r="B7213" t="s">
        <v>38</v>
      </c>
      <c r="C7213" s="2">
        <f>HYPERLINK("https://cao.dolgi.msk.ru/account/1080063005/", 1080063005)</f>
        <v>1080063005</v>
      </c>
      <c r="D7213" t="s">
        <v>5999</v>
      </c>
      <c r="E7213">
        <v>-12785.49</v>
      </c>
      <c r="F7213">
        <v>-1.18</v>
      </c>
      <c r="G7213" t="s">
        <v>12</v>
      </c>
      <c r="I7213" t="s">
        <v>230</v>
      </c>
    </row>
    <row r="7214" spans="1:9" x14ac:dyDescent="0.25">
      <c r="A7214" t="s">
        <v>5983</v>
      </c>
      <c r="B7214" t="s">
        <v>39</v>
      </c>
      <c r="C7214" s="2">
        <f>HYPERLINK("https://cao.dolgi.msk.ru/account/1080063013/", 1080063013)</f>
        <v>1080063013</v>
      </c>
      <c r="D7214" t="s">
        <v>6000</v>
      </c>
      <c r="E7214">
        <v>20810.349999999999</v>
      </c>
      <c r="F7214">
        <v>3.27</v>
      </c>
      <c r="G7214" t="s">
        <v>12</v>
      </c>
      <c r="I7214" t="s">
        <v>230</v>
      </c>
    </row>
    <row r="7215" spans="1:9" hidden="1" x14ac:dyDescent="0.25">
      <c r="A7215" t="s">
        <v>5983</v>
      </c>
      <c r="B7215" t="s">
        <v>40</v>
      </c>
      <c r="C7215" s="2">
        <f>HYPERLINK("https://cao.dolgi.msk.ru/account/1080063021/", 1080063021)</f>
        <v>1080063021</v>
      </c>
      <c r="D7215" t="s">
        <v>6001</v>
      </c>
      <c r="E7215">
        <v>-6764.21</v>
      </c>
      <c r="F7215">
        <v>-1.1499999999999999</v>
      </c>
      <c r="G7215" t="s">
        <v>12</v>
      </c>
      <c r="I7215" t="s">
        <v>230</v>
      </c>
    </row>
    <row r="7216" spans="1:9" hidden="1" x14ac:dyDescent="0.25">
      <c r="A7216" t="s">
        <v>5983</v>
      </c>
      <c r="B7216" t="s">
        <v>41</v>
      </c>
      <c r="C7216" s="2">
        <f>HYPERLINK("https://cao.dolgi.msk.ru/account/1080063056/", 1080063056)</f>
        <v>1080063056</v>
      </c>
      <c r="D7216" t="s">
        <v>736</v>
      </c>
      <c r="E7216">
        <v>-2441.59</v>
      </c>
      <c r="F7216">
        <v>-1.26</v>
      </c>
      <c r="G7216" t="s">
        <v>12</v>
      </c>
      <c r="H7216" t="s">
        <v>7</v>
      </c>
      <c r="I7216" t="s">
        <v>230</v>
      </c>
    </row>
    <row r="7217" spans="1:9" hidden="1" x14ac:dyDescent="0.25">
      <c r="A7217" t="s">
        <v>5983</v>
      </c>
      <c r="B7217" t="s">
        <v>41</v>
      </c>
      <c r="C7217" s="2">
        <f>HYPERLINK("https://cao.dolgi.msk.ru/account/1080063064/", 1080063064)</f>
        <v>1080063064</v>
      </c>
      <c r="D7217" t="s">
        <v>15</v>
      </c>
      <c r="E7217">
        <v>-17.7</v>
      </c>
      <c r="F7217">
        <v>-0.01</v>
      </c>
      <c r="G7217" t="s">
        <v>12</v>
      </c>
      <c r="H7217" t="s">
        <v>7</v>
      </c>
      <c r="I7217" t="s">
        <v>230</v>
      </c>
    </row>
    <row r="7218" spans="1:9" hidden="1" x14ac:dyDescent="0.25">
      <c r="A7218" t="s">
        <v>5983</v>
      </c>
      <c r="B7218" t="s">
        <v>41</v>
      </c>
      <c r="C7218" s="2">
        <f>HYPERLINK("https://cao.dolgi.msk.ru/account/1089118025/", 1089118025)</f>
        <v>1089118025</v>
      </c>
      <c r="D7218" t="s">
        <v>15</v>
      </c>
      <c r="E7218">
        <v>-705.85</v>
      </c>
      <c r="F7218">
        <v>-1.1100000000000001</v>
      </c>
      <c r="G7218" t="s">
        <v>12</v>
      </c>
      <c r="H7218" t="s">
        <v>7</v>
      </c>
      <c r="I7218" t="s">
        <v>230</v>
      </c>
    </row>
    <row r="7219" spans="1:9" x14ac:dyDescent="0.25">
      <c r="A7219" t="s">
        <v>5983</v>
      </c>
      <c r="B7219" t="s">
        <v>41</v>
      </c>
      <c r="C7219" s="2">
        <f>HYPERLINK("https://cao.dolgi.msk.ru/account/1089123297/", 1089123297)</f>
        <v>1089123297</v>
      </c>
      <c r="D7219" t="s">
        <v>6002</v>
      </c>
      <c r="E7219">
        <v>1622.04</v>
      </c>
      <c r="F7219">
        <v>1.34</v>
      </c>
      <c r="G7219" t="s">
        <v>12</v>
      </c>
      <c r="H7219" t="s">
        <v>7</v>
      </c>
      <c r="I7219" t="s">
        <v>230</v>
      </c>
    </row>
    <row r="7220" spans="1:9" hidden="1" x14ac:dyDescent="0.25">
      <c r="A7220" t="s">
        <v>5983</v>
      </c>
      <c r="B7220" t="s">
        <v>42</v>
      </c>
      <c r="C7220" s="2">
        <f>HYPERLINK("https://cao.dolgi.msk.ru/account/1080063072/", 1080063072)</f>
        <v>1080063072</v>
      </c>
      <c r="D7220" t="s">
        <v>6003</v>
      </c>
      <c r="E7220">
        <v>-6578.54</v>
      </c>
      <c r="F7220">
        <v>-1.1399999999999999</v>
      </c>
      <c r="G7220" t="s">
        <v>12</v>
      </c>
      <c r="I7220" t="s">
        <v>230</v>
      </c>
    </row>
    <row r="7221" spans="1:9" hidden="1" x14ac:dyDescent="0.25">
      <c r="A7221" t="s">
        <v>5983</v>
      </c>
      <c r="B7221" t="s">
        <v>44</v>
      </c>
      <c r="C7221" s="2">
        <f>HYPERLINK("https://cao.dolgi.msk.ru/account/1080063099/", 1080063099)</f>
        <v>1080063099</v>
      </c>
      <c r="D7221" t="s">
        <v>6004</v>
      </c>
      <c r="E7221">
        <v>0</v>
      </c>
      <c r="G7221" t="s">
        <v>14</v>
      </c>
      <c r="I7221" t="s">
        <v>230</v>
      </c>
    </row>
    <row r="7222" spans="1:9" hidden="1" x14ac:dyDescent="0.25">
      <c r="A7222" t="s">
        <v>5983</v>
      </c>
      <c r="B7222" t="s">
        <v>44</v>
      </c>
      <c r="C7222" s="2">
        <f>HYPERLINK("https://cao.dolgi.msk.ru/account/1080063101/", 1080063101)</f>
        <v>1080063101</v>
      </c>
      <c r="D7222" t="s">
        <v>6004</v>
      </c>
      <c r="E7222">
        <v>0</v>
      </c>
      <c r="G7222" t="s">
        <v>14</v>
      </c>
      <c r="I7222" t="s">
        <v>230</v>
      </c>
    </row>
    <row r="7223" spans="1:9" hidden="1" x14ac:dyDescent="0.25">
      <c r="A7223" t="s">
        <v>5983</v>
      </c>
      <c r="B7223" t="s">
        <v>44</v>
      </c>
      <c r="C7223" s="2">
        <f>HYPERLINK("https://cao.dolgi.msk.ru/account/1080063128/", 1080063128)</f>
        <v>1080063128</v>
      </c>
      <c r="D7223" t="s">
        <v>6004</v>
      </c>
      <c r="E7223">
        <v>0</v>
      </c>
      <c r="G7223" t="s">
        <v>14</v>
      </c>
      <c r="I7223" t="s">
        <v>230</v>
      </c>
    </row>
    <row r="7224" spans="1:9" hidden="1" x14ac:dyDescent="0.25">
      <c r="A7224" t="s">
        <v>5983</v>
      </c>
      <c r="B7224" t="s">
        <v>44</v>
      </c>
      <c r="C7224" s="2">
        <f>HYPERLINK("https://cao.dolgi.msk.ru/account/1080325503/", 1080325503)</f>
        <v>1080325503</v>
      </c>
      <c r="D7224" t="s">
        <v>15</v>
      </c>
      <c r="E7224">
        <v>0</v>
      </c>
      <c r="G7224" t="s">
        <v>14</v>
      </c>
      <c r="I7224" t="s">
        <v>230</v>
      </c>
    </row>
    <row r="7225" spans="1:9" hidden="1" x14ac:dyDescent="0.25">
      <c r="A7225" t="s">
        <v>5983</v>
      </c>
      <c r="B7225" t="s">
        <v>44</v>
      </c>
      <c r="C7225" s="2">
        <f>HYPERLINK("https://cao.dolgi.msk.ru/account/1083283644/", 1083283644)</f>
        <v>1083283644</v>
      </c>
      <c r="D7225" t="s">
        <v>15</v>
      </c>
      <c r="E7225">
        <v>-3463.16</v>
      </c>
      <c r="G7225" t="s">
        <v>14</v>
      </c>
      <c r="I7225" t="s">
        <v>230</v>
      </c>
    </row>
    <row r="7226" spans="1:9" hidden="1" x14ac:dyDescent="0.25">
      <c r="A7226" t="s">
        <v>5983</v>
      </c>
      <c r="B7226" t="s">
        <v>44</v>
      </c>
      <c r="C7226" s="2">
        <f>HYPERLINK("https://cao.dolgi.msk.ru/account/1083284188/", 1083284188)</f>
        <v>1083284188</v>
      </c>
      <c r="D7226" t="s">
        <v>15</v>
      </c>
      <c r="E7226">
        <v>0</v>
      </c>
      <c r="G7226" t="s">
        <v>14</v>
      </c>
      <c r="I7226" t="s">
        <v>230</v>
      </c>
    </row>
    <row r="7227" spans="1:9" hidden="1" x14ac:dyDescent="0.25">
      <c r="A7227" t="s">
        <v>5983</v>
      </c>
      <c r="B7227" t="s">
        <v>44</v>
      </c>
      <c r="C7227" s="2">
        <f>HYPERLINK("https://cao.dolgi.msk.ru/account/1083284196/", 1083284196)</f>
        <v>1083284196</v>
      </c>
      <c r="D7227" t="s">
        <v>15</v>
      </c>
      <c r="E7227">
        <v>0</v>
      </c>
      <c r="G7227" t="s">
        <v>14</v>
      </c>
      <c r="I7227" t="s">
        <v>230</v>
      </c>
    </row>
    <row r="7228" spans="1:9" hidden="1" x14ac:dyDescent="0.25">
      <c r="A7228" t="s">
        <v>5983</v>
      </c>
      <c r="B7228" t="s">
        <v>44</v>
      </c>
      <c r="C7228" s="2">
        <f>HYPERLINK("https://cao.dolgi.msk.ru/account/1083284209/", 1083284209)</f>
        <v>1083284209</v>
      </c>
      <c r="D7228" t="s">
        <v>15</v>
      </c>
      <c r="E7228">
        <v>0</v>
      </c>
      <c r="G7228" t="s">
        <v>14</v>
      </c>
      <c r="I7228" t="s">
        <v>230</v>
      </c>
    </row>
    <row r="7229" spans="1:9" hidden="1" x14ac:dyDescent="0.25">
      <c r="A7229" t="s">
        <v>5983</v>
      </c>
      <c r="B7229" t="s">
        <v>44</v>
      </c>
      <c r="C7229" s="2">
        <f>HYPERLINK("https://cao.dolgi.msk.ru/account/1083284268/", 1083284268)</f>
        <v>1083284268</v>
      </c>
      <c r="D7229" t="s">
        <v>15</v>
      </c>
      <c r="E7229">
        <v>-1200.3900000000001</v>
      </c>
      <c r="F7229">
        <v>-0.16</v>
      </c>
      <c r="G7229" t="s">
        <v>12</v>
      </c>
      <c r="I7229" t="s">
        <v>230</v>
      </c>
    </row>
    <row r="7230" spans="1:9" hidden="1" x14ac:dyDescent="0.25">
      <c r="A7230" t="s">
        <v>5983</v>
      </c>
      <c r="B7230" t="s">
        <v>44</v>
      </c>
      <c r="C7230" s="2">
        <f>HYPERLINK("https://cao.dolgi.msk.ru/account/1083284276/", 1083284276)</f>
        <v>1083284276</v>
      </c>
      <c r="D7230" t="s">
        <v>15</v>
      </c>
      <c r="E7230">
        <v>0</v>
      </c>
      <c r="G7230" t="s">
        <v>14</v>
      </c>
      <c r="I7230" t="s">
        <v>230</v>
      </c>
    </row>
    <row r="7231" spans="1:9" hidden="1" x14ac:dyDescent="0.25">
      <c r="A7231" t="s">
        <v>5983</v>
      </c>
      <c r="B7231" t="s">
        <v>66</v>
      </c>
      <c r="C7231" s="2">
        <f>HYPERLINK("https://cao.dolgi.msk.ru/account/1080063136/", 1080063136)</f>
        <v>1080063136</v>
      </c>
      <c r="D7231" t="s">
        <v>6005</v>
      </c>
      <c r="E7231">
        <v>-3518.81</v>
      </c>
      <c r="F7231">
        <v>-1.1399999999999999</v>
      </c>
      <c r="G7231" t="s">
        <v>12</v>
      </c>
      <c r="I7231" t="s">
        <v>230</v>
      </c>
    </row>
    <row r="7232" spans="1:9" hidden="1" x14ac:dyDescent="0.25">
      <c r="A7232" t="s">
        <v>5983</v>
      </c>
      <c r="B7232" t="s">
        <v>68</v>
      </c>
      <c r="C7232" s="2">
        <f>HYPERLINK("https://cao.dolgi.msk.ru/account/1080063144/", 1080063144)</f>
        <v>1080063144</v>
      </c>
      <c r="D7232" t="s">
        <v>6006</v>
      </c>
      <c r="E7232">
        <v>-15.88</v>
      </c>
      <c r="F7232">
        <v>-0.01</v>
      </c>
      <c r="G7232" t="s">
        <v>12</v>
      </c>
      <c r="H7232" t="s">
        <v>7</v>
      </c>
      <c r="I7232" t="s">
        <v>230</v>
      </c>
    </row>
    <row r="7233" spans="1:9" hidden="1" x14ac:dyDescent="0.25">
      <c r="A7233" t="s">
        <v>5983</v>
      </c>
      <c r="B7233" t="s">
        <v>68</v>
      </c>
      <c r="C7233" s="2">
        <f>HYPERLINK("https://cao.dolgi.msk.ru/account/1080063152/", 1080063152)</f>
        <v>1080063152</v>
      </c>
      <c r="D7233" t="s">
        <v>6006</v>
      </c>
      <c r="E7233">
        <v>-5970.23</v>
      </c>
      <c r="F7233">
        <v>-1.1100000000000001</v>
      </c>
      <c r="G7233" t="s">
        <v>12</v>
      </c>
      <c r="H7233" t="s">
        <v>7</v>
      </c>
      <c r="I7233" t="s">
        <v>230</v>
      </c>
    </row>
    <row r="7234" spans="1:9" hidden="1" x14ac:dyDescent="0.25">
      <c r="A7234" t="s">
        <v>5983</v>
      </c>
      <c r="B7234" t="s">
        <v>70</v>
      </c>
      <c r="C7234" s="2">
        <f>HYPERLINK("https://cao.dolgi.msk.ru/account/1080063179/", 1080063179)</f>
        <v>1080063179</v>
      </c>
      <c r="D7234" t="s">
        <v>6007</v>
      </c>
      <c r="E7234">
        <v>-207.44</v>
      </c>
      <c r="F7234">
        <v>-7.0000000000000007E-2</v>
      </c>
      <c r="G7234" t="s">
        <v>12</v>
      </c>
      <c r="I7234" t="s">
        <v>230</v>
      </c>
    </row>
    <row r="7235" spans="1:9" hidden="1" x14ac:dyDescent="0.25">
      <c r="A7235" t="s">
        <v>5983</v>
      </c>
      <c r="B7235" t="s">
        <v>72</v>
      </c>
      <c r="C7235" s="2">
        <f>HYPERLINK("https://cao.dolgi.msk.ru/account/1080063187/", 1080063187)</f>
        <v>1080063187</v>
      </c>
      <c r="D7235" t="s">
        <v>62</v>
      </c>
      <c r="E7235">
        <v>-11132.45</v>
      </c>
      <c r="F7235">
        <v>-2</v>
      </c>
      <c r="G7235" t="s">
        <v>12</v>
      </c>
      <c r="I7235" t="s">
        <v>230</v>
      </c>
    </row>
    <row r="7236" spans="1:9" hidden="1" x14ac:dyDescent="0.25">
      <c r="A7236" t="s">
        <v>5983</v>
      </c>
      <c r="B7236" t="s">
        <v>72</v>
      </c>
      <c r="C7236" s="2">
        <f>HYPERLINK("https://cao.dolgi.msk.ru/account/1080063195/", 1080063195)</f>
        <v>1080063195</v>
      </c>
      <c r="D7236" t="s">
        <v>6008</v>
      </c>
      <c r="G7236" t="s">
        <v>14</v>
      </c>
      <c r="I7236" t="s">
        <v>230</v>
      </c>
    </row>
    <row r="7237" spans="1:9" hidden="1" x14ac:dyDescent="0.25">
      <c r="A7237" t="s">
        <v>5983</v>
      </c>
      <c r="B7237" t="s">
        <v>74</v>
      </c>
      <c r="C7237" s="2">
        <f>HYPERLINK("https://cao.dolgi.msk.ru/account/1080063208/", 1080063208)</f>
        <v>1080063208</v>
      </c>
      <c r="D7237" t="s">
        <v>6009</v>
      </c>
      <c r="E7237">
        <v>-6862.6</v>
      </c>
      <c r="F7237">
        <v>-1.75</v>
      </c>
      <c r="G7237" t="s">
        <v>12</v>
      </c>
      <c r="I7237" t="s">
        <v>230</v>
      </c>
    </row>
    <row r="7238" spans="1:9" hidden="1" x14ac:dyDescent="0.25">
      <c r="A7238" t="s">
        <v>5983</v>
      </c>
      <c r="B7238" t="s">
        <v>76</v>
      </c>
      <c r="C7238" s="2">
        <f>HYPERLINK("https://cao.dolgi.msk.ru/account/1080063216/", 1080063216)</f>
        <v>1080063216</v>
      </c>
      <c r="D7238" t="s">
        <v>6010</v>
      </c>
      <c r="E7238">
        <v>-8608.36</v>
      </c>
      <c r="F7238">
        <v>-1.1200000000000001</v>
      </c>
      <c r="G7238" t="s">
        <v>12</v>
      </c>
      <c r="I7238" t="s">
        <v>230</v>
      </c>
    </row>
    <row r="7239" spans="1:9" hidden="1" x14ac:dyDescent="0.25">
      <c r="A7239" t="s">
        <v>5983</v>
      </c>
      <c r="B7239" t="s">
        <v>78</v>
      </c>
      <c r="C7239" s="2">
        <f>HYPERLINK("https://cao.dolgi.msk.ru/account/1080063224/", 1080063224)</f>
        <v>1080063224</v>
      </c>
      <c r="D7239" t="s">
        <v>6011</v>
      </c>
      <c r="E7239">
        <v>-4116.88</v>
      </c>
      <c r="F7239">
        <v>-1.2</v>
      </c>
      <c r="G7239" t="s">
        <v>12</v>
      </c>
      <c r="I7239" t="s">
        <v>230</v>
      </c>
    </row>
    <row r="7240" spans="1:9" hidden="1" x14ac:dyDescent="0.25">
      <c r="A7240" t="s">
        <v>5983</v>
      </c>
      <c r="B7240" t="s">
        <v>80</v>
      </c>
      <c r="C7240" s="2">
        <f>HYPERLINK("https://cao.dolgi.msk.ru/account/1080063232/", 1080063232)</f>
        <v>1080063232</v>
      </c>
      <c r="D7240" t="s">
        <v>6012</v>
      </c>
      <c r="E7240">
        <v>-10647.34</v>
      </c>
      <c r="F7240">
        <v>-1.1299999999999999</v>
      </c>
      <c r="G7240" t="s">
        <v>12</v>
      </c>
      <c r="I7240" t="s">
        <v>230</v>
      </c>
    </row>
    <row r="7241" spans="1:9" hidden="1" x14ac:dyDescent="0.25">
      <c r="A7241" t="s">
        <v>5983</v>
      </c>
      <c r="B7241" t="s">
        <v>82</v>
      </c>
      <c r="C7241" s="2">
        <f>HYPERLINK("https://cao.dolgi.msk.ru/account/1080063259/", 1080063259)</f>
        <v>1080063259</v>
      </c>
      <c r="D7241" t="s">
        <v>6013</v>
      </c>
      <c r="E7241">
        <v>-7409.05</v>
      </c>
      <c r="F7241">
        <v>-1.1299999999999999</v>
      </c>
      <c r="G7241" t="s">
        <v>12</v>
      </c>
      <c r="I7241" t="s">
        <v>230</v>
      </c>
    </row>
    <row r="7242" spans="1:9" hidden="1" x14ac:dyDescent="0.25">
      <c r="A7242" t="s">
        <v>5983</v>
      </c>
      <c r="B7242" t="s">
        <v>84</v>
      </c>
      <c r="C7242" s="2">
        <f>HYPERLINK("https://cao.dolgi.msk.ru/account/1080063267/", 1080063267)</f>
        <v>1080063267</v>
      </c>
      <c r="D7242" t="s">
        <v>6014</v>
      </c>
      <c r="E7242">
        <v>-5590.38</v>
      </c>
      <c r="F7242">
        <v>-1.1499999999999999</v>
      </c>
      <c r="G7242" t="s">
        <v>12</v>
      </c>
      <c r="I7242" t="s">
        <v>230</v>
      </c>
    </row>
    <row r="7243" spans="1:9" hidden="1" x14ac:dyDescent="0.25">
      <c r="A7243" t="s">
        <v>5983</v>
      </c>
      <c r="B7243" t="s">
        <v>86</v>
      </c>
      <c r="C7243" s="2">
        <f>HYPERLINK("https://cao.dolgi.msk.ru/account/1080063275/", 1080063275)</f>
        <v>1080063275</v>
      </c>
      <c r="D7243" t="s">
        <v>62</v>
      </c>
      <c r="E7243">
        <v>-8852.64</v>
      </c>
      <c r="F7243">
        <v>-1.1299999999999999</v>
      </c>
      <c r="G7243" t="s">
        <v>12</v>
      </c>
      <c r="I7243" t="s">
        <v>230</v>
      </c>
    </row>
    <row r="7244" spans="1:9" hidden="1" x14ac:dyDescent="0.25">
      <c r="A7244" t="s">
        <v>5983</v>
      </c>
      <c r="B7244" t="s">
        <v>88</v>
      </c>
      <c r="C7244" s="2">
        <f>HYPERLINK("https://cao.dolgi.msk.ru/account/1080063283/", 1080063283)</f>
        <v>1080063283</v>
      </c>
      <c r="D7244" t="s">
        <v>6015</v>
      </c>
      <c r="E7244">
        <v>-9400.2000000000007</v>
      </c>
      <c r="F7244">
        <v>-0.96</v>
      </c>
      <c r="G7244" t="s">
        <v>12</v>
      </c>
      <c r="I7244" t="s">
        <v>230</v>
      </c>
    </row>
    <row r="7245" spans="1:9" hidden="1" x14ac:dyDescent="0.25">
      <c r="A7245" t="s">
        <v>5983</v>
      </c>
      <c r="B7245" t="s">
        <v>90</v>
      </c>
      <c r="C7245" s="2">
        <f>HYPERLINK("https://cao.dolgi.msk.ru/account/1080063291/", 1080063291)</f>
        <v>1080063291</v>
      </c>
      <c r="D7245" t="s">
        <v>6016</v>
      </c>
      <c r="E7245">
        <v>-12279.06</v>
      </c>
      <c r="F7245">
        <v>-2.62</v>
      </c>
      <c r="G7245" t="s">
        <v>12</v>
      </c>
      <c r="I7245" t="s">
        <v>230</v>
      </c>
    </row>
    <row r="7246" spans="1:9" hidden="1" x14ac:dyDescent="0.25">
      <c r="A7246" t="s">
        <v>5983</v>
      </c>
      <c r="B7246" t="s">
        <v>92</v>
      </c>
      <c r="C7246" s="2">
        <f>HYPERLINK("https://cao.dolgi.msk.ru/account/1080063304/", 1080063304)</f>
        <v>1080063304</v>
      </c>
      <c r="D7246" t="s">
        <v>6017</v>
      </c>
      <c r="E7246">
        <v>-3423.91</v>
      </c>
      <c r="F7246">
        <v>-1.2</v>
      </c>
      <c r="G7246" t="s">
        <v>12</v>
      </c>
      <c r="I7246" t="s">
        <v>230</v>
      </c>
    </row>
    <row r="7247" spans="1:9" hidden="1" x14ac:dyDescent="0.25">
      <c r="A7247" t="s">
        <v>5983</v>
      </c>
      <c r="B7247" t="s">
        <v>92</v>
      </c>
      <c r="C7247" s="2">
        <f>HYPERLINK("https://cao.dolgi.msk.ru/account/1083278167/", 1083278167)</f>
        <v>1083278167</v>
      </c>
      <c r="D7247" t="s">
        <v>15</v>
      </c>
      <c r="E7247">
        <v>-3217.23</v>
      </c>
      <c r="F7247">
        <v>-1.41</v>
      </c>
      <c r="G7247" t="s">
        <v>12</v>
      </c>
      <c r="I7247" t="s">
        <v>230</v>
      </c>
    </row>
    <row r="7248" spans="1:9" hidden="1" x14ac:dyDescent="0.25">
      <c r="A7248" t="s">
        <v>5983</v>
      </c>
      <c r="B7248" t="s">
        <v>94</v>
      </c>
      <c r="C7248" s="2">
        <f>HYPERLINK("https://cao.dolgi.msk.ru/account/1080063312/", 1080063312)</f>
        <v>1080063312</v>
      </c>
      <c r="D7248" t="s">
        <v>6018</v>
      </c>
      <c r="E7248">
        <v>-8859.7099999999991</v>
      </c>
      <c r="F7248">
        <v>-2.5099999999999998</v>
      </c>
      <c r="G7248" t="s">
        <v>12</v>
      </c>
      <c r="I7248" t="s">
        <v>230</v>
      </c>
    </row>
    <row r="7249" spans="1:9" hidden="1" x14ac:dyDescent="0.25">
      <c r="A7249" t="s">
        <v>5983</v>
      </c>
      <c r="B7249" t="s">
        <v>96</v>
      </c>
      <c r="C7249" s="2">
        <f>HYPERLINK("https://cao.dolgi.msk.ru/account/1080063339/", 1080063339)</f>
        <v>1080063339</v>
      </c>
      <c r="D7249" t="s">
        <v>6019</v>
      </c>
      <c r="E7249">
        <v>-6501.82</v>
      </c>
      <c r="F7249">
        <v>-1.23</v>
      </c>
      <c r="G7249" t="s">
        <v>12</v>
      </c>
      <c r="I7249" t="s">
        <v>230</v>
      </c>
    </row>
    <row r="7250" spans="1:9" hidden="1" x14ac:dyDescent="0.25">
      <c r="A7250" t="s">
        <v>5983</v>
      </c>
      <c r="B7250" t="s">
        <v>98</v>
      </c>
      <c r="C7250" s="2">
        <f>HYPERLINK("https://cao.dolgi.msk.ru/account/1080063347/", 1080063347)</f>
        <v>1080063347</v>
      </c>
      <c r="D7250" t="s">
        <v>6020</v>
      </c>
      <c r="E7250">
        <v>-5653.92</v>
      </c>
      <c r="F7250">
        <v>-1.2</v>
      </c>
      <c r="G7250" t="s">
        <v>12</v>
      </c>
      <c r="I7250" t="s">
        <v>230</v>
      </c>
    </row>
    <row r="7251" spans="1:9" hidden="1" x14ac:dyDescent="0.25">
      <c r="A7251" t="s">
        <v>5983</v>
      </c>
      <c r="B7251" t="s">
        <v>100</v>
      </c>
      <c r="C7251" s="2">
        <f>HYPERLINK("https://cao.dolgi.msk.ru/account/1080063355/", 1080063355)</f>
        <v>1080063355</v>
      </c>
      <c r="D7251" t="s">
        <v>6021</v>
      </c>
      <c r="E7251">
        <v>-7392.44</v>
      </c>
      <c r="F7251">
        <v>-1.27</v>
      </c>
      <c r="G7251" t="s">
        <v>12</v>
      </c>
      <c r="I7251" t="s">
        <v>230</v>
      </c>
    </row>
    <row r="7252" spans="1:9" hidden="1" x14ac:dyDescent="0.25">
      <c r="A7252" t="s">
        <v>5983</v>
      </c>
      <c r="B7252" t="s">
        <v>102</v>
      </c>
      <c r="C7252" s="2">
        <f>HYPERLINK("https://cao.dolgi.msk.ru/account/1080062758/", 1080062758)</f>
        <v>1080062758</v>
      </c>
      <c r="D7252" t="s">
        <v>62</v>
      </c>
      <c r="E7252">
        <v>-7439.46</v>
      </c>
      <c r="F7252">
        <v>-1.1399999999999999</v>
      </c>
      <c r="G7252" t="s">
        <v>12</v>
      </c>
      <c r="I7252" t="s">
        <v>230</v>
      </c>
    </row>
    <row r="7253" spans="1:9" hidden="1" x14ac:dyDescent="0.25">
      <c r="A7253" t="s">
        <v>5983</v>
      </c>
      <c r="B7253" t="s">
        <v>104</v>
      </c>
      <c r="C7253" s="2">
        <f>HYPERLINK("https://cao.dolgi.msk.ru/account/1080063363/", 1080063363)</f>
        <v>1080063363</v>
      </c>
      <c r="D7253" t="s">
        <v>6022</v>
      </c>
      <c r="E7253">
        <v>-5043.95</v>
      </c>
      <c r="F7253">
        <v>-1.1599999999999999</v>
      </c>
      <c r="G7253" t="s">
        <v>12</v>
      </c>
      <c r="I7253" t="s">
        <v>230</v>
      </c>
    </row>
    <row r="7254" spans="1:9" hidden="1" x14ac:dyDescent="0.25">
      <c r="A7254" t="s">
        <v>5983</v>
      </c>
      <c r="B7254" t="s">
        <v>106</v>
      </c>
      <c r="C7254" s="2">
        <f>HYPERLINK("https://cao.dolgi.msk.ru/account/1080063398/", 1080063398)</f>
        <v>1080063398</v>
      </c>
      <c r="D7254" t="s">
        <v>6023</v>
      </c>
      <c r="E7254">
        <v>-6781.1</v>
      </c>
      <c r="F7254">
        <v>-1.0900000000000001</v>
      </c>
      <c r="G7254" t="s">
        <v>12</v>
      </c>
      <c r="I7254" t="s">
        <v>230</v>
      </c>
    </row>
    <row r="7255" spans="1:9" hidden="1" x14ac:dyDescent="0.25">
      <c r="A7255" t="s">
        <v>5983</v>
      </c>
      <c r="B7255" t="s">
        <v>116</v>
      </c>
      <c r="C7255" s="2">
        <f>HYPERLINK("https://cao.dolgi.msk.ru/account/1080063419/", 1080063419)</f>
        <v>1080063419</v>
      </c>
      <c r="D7255" t="s">
        <v>6024</v>
      </c>
      <c r="E7255">
        <v>-6667.1</v>
      </c>
      <c r="F7255">
        <v>-1.21</v>
      </c>
      <c r="G7255" t="s">
        <v>12</v>
      </c>
      <c r="I7255" t="s">
        <v>230</v>
      </c>
    </row>
    <row r="7256" spans="1:9" hidden="1" x14ac:dyDescent="0.25">
      <c r="A7256" t="s">
        <v>5983</v>
      </c>
      <c r="B7256" t="s">
        <v>118</v>
      </c>
      <c r="C7256" s="2">
        <f>HYPERLINK("https://cao.dolgi.msk.ru/account/1080063427/", 1080063427)</f>
        <v>1080063427</v>
      </c>
      <c r="D7256" t="s">
        <v>6025</v>
      </c>
      <c r="E7256">
        <v>-5040.6899999999996</v>
      </c>
      <c r="F7256">
        <v>-1.22</v>
      </c>
      <c r="G7256" t="s">
        <v>12</v>
      </c>
      <c r="I7256" t="s">
        <v>230</v>
      </c>
    </row>
    <row r="7257" spans="1:9" hidden="1" x14ac:dyDescent="0.25">
      <c r="A7257" t="s">
        <v>5983</v>
      </c>
      <c r="B7257" t="s">
        <v>120</v>
      </c>
      <c r="C7257" s="2">
        <f>HYPERLINK("https://cao.dolgi.msk.ru/account/1080063435/", 1080063435)</f>
        <v>1080063435</v>
      </c>
      <c r="D7257" t="s">
        <v>6026</v>
      </c>
      <c r="E7257">
        <v>-1227.8499999999999</v>
      </c>
      <c r="F7257">
        <v>-0.28000000000000003</v>
      </c>
      <c r="G7257" t="s">
        <v>12</v>
      </c>
      <c r="I7257" t="s">
        <v>230</v>
      </c>
    </row>
    <row r="7258" spans="1:9" hidden="1" x14ac:dyDescent="0.25">
      <c r="A7258" t="s">
        <v>5983</v>
      </c>
      <c r="B7258" t="s">
        <v>122</v>
      </c>
      <c r="C7258" s="2">
        <f>HYPERLINK("https://cao.dolgi.msk.ru/account/1080063371/", 1080063371)</f>
        <v>1080063371</v>
      </c>
      <c r="D7258" t="s">
        <v>62</v>
      </c>
      <c r="E7258">
        <v>-8700.48</v>
      </c>
      <c r="F7258">
        <v>-1.08</v>
      </c>
      <c r="G7258" t="s">
        <v>12</v>
      </c>
      <c r="I7258" t="s">
        <v>230</v>
      </c>
    </row>
    <row r="7259" spans="1:9" hidden="1" x14ac:dyDescent="0.25">
      <c r="A7259" t="s">
        <v>5983</v>
      </c>
      <c r="B7259" t="s">
        <v>124</v>
      </c>
      <c r="C7259" s="2">
        <f>HYPERLINK("https://cao.dolgi.msk.ru/account/1080063443/", 1080063443)</f>
        <v>1080063443</v>
      </c>
      <c r="D7259" t="s">
        <v>6027</v>
      </c>
      <c r="E7259">
        <v>-91.38</v>
      </c>
      <c r="F7259">
        <v>-0.01</v>
      </c>
      <c r="G7259" t="s">
        <v>12</v>
      </c>
      <c r="I7259" t="s">
        <v>230</v>
      </c>
    </row>
    <row r="7260" spans="1:9" hidden="1" x14ac:dyDescent="0.25">
      <c r="A7260" t="s">
        <v>5983</v>
      </c>
      <c r="B7260" t="s">
        <v>126</v>
      </c>
      <c r="C7260" s="2">
        <f>HYPERLINK("https://cao.dolgi.msk.ru/account/1080063451/", 1080063451)</f>
        <v>1080063451</v>
      </c>
      <c r="D7260" t="s">
        <v>6028</v>
      </c>
      <c r="E7260">
        <v>-3653.09</v>
      </c>
      <c r="F7260">
        <v>-1.19</v>
      </c>
      <c r="G7260" t="s">
        <v>12</v>
      </c>
      <c r="I7260" t="s">
        <v>230</v>
      </c>
    </row>
    <row r="7261" spans="1:9" hidden="1" x14ac:dyDescent="0.25">
      <c r="A7261" t="s">
        <v>5983</v>
      </c>
      <c r="B7261" t="s">
        <v>128</v>
      </c>
      <c r="C7261" s="2">
        <f>HYPERLINK("https://cao.dolgi.msk.ru/account/1080063478/", 1080063478)</f>
        <v>1080063478</v>
      </c>
      <c r="D7261" t="s">
        <v>6029</v>
      </c>
      <c r="E7261">
        <v>-6355.93</v>
      </c>
      <c r="F7261">
        <v>-1.1200000000000001</v>
      </c>
      <c r="G7261" t="s">
        <v>12</v>
      </c>
      <c r="I7261" t="s">
        <v>230</v>
      </c>
    </row>
    <row r="7262" spans="1:9" hidden="1" x14ac:dyDescent="0.25">
      <c r="A7262" t="s">
        <v>5983</v>
      </c>
      <c r="B7262" t="s">
        <v>130</v>
      </c>
      <c r="C7262" s="2">
        <f>HYPERLINK("https://cao.dolgi.msk.ru/account/1080063486/", 1080063486)</f>
        <v>1080063486</v>
      </c>
      <c r="D7262" t="s">
        <v>6030</v>
      </c>
      <c r="E7262">
        <v>-2900.66</v>
      </c>
      <c r="F7262">
        <v>-0.49</v>
      </c>
      <c r="G7262" t="s">
        <v>12</v>
      </c>
      <c r="I7262" t="s">
        <v>230</v>
      </c>
    </row>
    <row r="7263" spans="1:9" hidden="1" x14ac:dyDescent="0.25">
      <c r="A7263" t="s">
        <v>5983</v>
      </c>
      <c r="B7263" t="s">
        <v>132</v>
      </c>
      <c r="C7263" s="2">
        <f>HYPERLINK("https://cao.dolgi.msk.ru/account/1080063494/", 1080063494)</f>
        <v>1080063494</v>
      </c>
      <c r="D7263" t="s">
        <v>6031</v>
      </c>
      <c r="E7263">
        <v>-6827.95</v>
      </c>
      <c r="F7263">
        <v>-1.1499999999999999</v>
      </c>
      <c r="G7263" t="s">
        <v>12</v>
      </c>
      <c r="I7263" t="s">
        <v>230</v>
      </c>
    </row>
    <row r="7264" spans="1:9" hidden="1" x14ac:dyDescent="0.25">
      <c r="A7264" t="s">
        <v>5983</v>
      </c>
      <c r="B7264" t="s">
        <v>133</v>
      </c>
      <c r="C7264" s="2">
        <f>HYPERLINK("https://cao.dolgi.msk.ru/account/1080063507/", 1080063507)</f>
        <v>1080063507</v>
      </c>
      <c r="D7264" t="s">
        <v>6032</v>
      </c>
      <c r="E7264">
        <v>-5535.28</v>
      </c>
      <c r="F7264">
        <v>-1.26</v>
      </c>
      <c r="G7264" t="s">
        <v>12</v>
      </c>
      <c r="I7264" t="s">
        <v>230</v>
      </c>
    </row>
    <row r="7265" spans="1:9" hidden="1" x14ac:dyDescent="0.25">
      <c r="A7265" t="s">
        <v>5983</v>
      </c>
      <c r="B7265" t="s">
        <v>135</v>
      </c>
      <c r="C7265" s="2">
        <f>HYPERLINK("https://cao.dolgi.msk.ru/account/1080063515/", 1080063515)</f>
        <v>1080063515</v>
      </c>
      <c r="D7265" t="s">
        <v>6033</v>
      </c>
      <c r="E7265">
        <v>-5645.92</v>
      </c>
      <c r="F7265">
        <v>-1.2</v>
      </c>
      <c r="G7265" t="s">
        <v>12</v>
      </c>
      <c r="I7265" t="s">
        <v>230</v>
      </c>
    </row>
    <row r="7266" spans="1:9" hidden="1" x14ac:dyDescent="0.25">
      <c r="A7266" t="s">
        <v>5983</v>
      </c>
      <c r="B7266" t="s">
        <v>137</v>
      </c>
      <c r="C7266" s="2">
        <f>HYPERLINK("https://cao.dolgi.msk.ru/account/1080063523/", 1080063523)</f>
        <v>1080063523</v>
      </c>
      <c r="D7266" t="s">
        <v>6034</v>
      </c>
      <c r="E7266">
        <v>-5718.94</v>
      </c>
      <c r="F7266">
        <v>-1.24</v>
      </c>
      <c r="G7266" t="s">
        <v>12</v>
      </c>
      <c r="I7266" t="s">
        <v>230</v>
      </c>
    </row>
    <row r="7267" spans="1:9" hidden="1" x14ac:dyDescent="0.25">
      <c r="A7267" t="s">
        <v>5983</v>
      </c>
      <c r="B7267" t="s">
        <v>139</v>
      </c>
      <c r="C7267" s="2">
        <f>HYPERLINK("https://cao.dolgi.msk.ru/account/1080063531/", 1080063531)</f>
        <v>1080063531</v>
      </c>
      <c r="D7267" t="s">
        <v>6035</v>
      </c>
      <c r="E7267">
        <v>7025.36</v>
      </c>
      <c r="F7267">
        <v>1</v>
      </c>
      <c r="G7267" t="s">
        <v>12</v>
      </c>
      <c r="I7267" t="s">
        <v>230</v>
      </c>
    </row>
    <row r="7268" spans="1:9" hidden="1" x14ac:dyDescent="0.25">
      <c r="A7268" t="s">
        <v>5983</v>
      </c>
      <c r="B7268" t="s">
        <v>141</v>
      </c>
      <c r="C7268" s="2">
        <f>HYPERLINK("https://cao.dolgi.msk.ru/account/1080063558/", 1080063558)</f>
        <v>1080063558</v>
      </c>
      <c r="D7268" t="s">
        <v>6036</v>
      </c>
      <c r="E7268">
        <v>6738.21</v>
      </c>
      <c r="F7268">
        <v>1</v>
      </c>
      <c r="G7268" t="s">
        <v>12</v>
      </c>
      <c r="I7268" t="s">
        <v>230</v>
      </c>
    </row>
    <row r="7269" spans="1:9" hidden="1" x14ac:dyDescent="0.25">
      <c r="A7269" t="s">
        <v>5983</v>
      </c>
      <c r="B7269" t="s">
        <v>143</v>
      </c>
      <c r="C7269" s="2">
        <f>HYPERLINK("https://cao.dolgi.msk.ru/account/1080063566/", 1080063566)</f>
        <v>1080063566</v>
      </c>
      <c r="D7269" t="s">
        <v>6037</v>
      </c>
      <c r="E7269">
        <v>-3917.9</v>
      </c>
      <c r="F7269">
        <v>-1.23</v>
      </c>
      <c r="G7269" t="s">
        <v>12</v>
      </c>
      <c r="I7269" t="s">
        <v>230</v>
      </c>
    </row>
    <row r="7270" spans="1:9" hidden="1" x14ac:dyDescent="0.25">
      <c r="A7270" t="s">
        <v>5983</v>
      </c>
      <c r="B7270" t="s">
        <v>145</v>
      </c>
      <c r="C7270" s="2">
        <f>HYPERLINK("https://cao.dolgi.msk.ru/account/1080063574/", 1080063574)</f>
        <v>1080063574</v>
      </c>
      <c r="D7270" t="s">
        <v>6038</v>
      </c>
      <c r="E7270">
        <v>-71.98</v>
      </c>
      <c r="F7270">
        <v>-0.01</v>
      </c>
      <c r="G7270" t="s">
        <v>12</v>
      </c>
      <c r="I7270" t="s">
        <v>230</v>
      </c>
    </row>
    <row r="7271" spans="1:9" hidden="1" x14ac:dyDescent="0.25">
      <c r="A7271" t="s">
        <v>5983</v>
      </c>
      <c r="B7271" t="s">
        <v>147</v>
      </c>
      <c r="C7271" s="2">
        <f>HYPERLINK("https://cao.dolgi.msk.ru/account/1080063582/", 1080063582)</f>
        <v>1080063582</v>
      </c>
      <c r="D7271" t="s">
        <v>6039</v>
      </c>
      <c r="E7271">
        <v>-1260.5899999999999</v>
      </c>
      <c r="F7271">
        <v>-0.25</v>
      </c>
      <c r="G7271" t="s">
        <v>12</v>
      </c>
      <c r="I7271" t="s">
        <v>230</v>
      </c>
    </row>
    <row r="7272" spans="1:9" hidden="1" x14ac:dyDescent="0.25">
      <c r="A7272" t="s">
        <v>5983</v>
      </c>
      <c r="B7272" t="s">
        <v>149</v>
      </c>
      <c r="C7272" s="2">
        <f>HYPERLINK("https://cao.dolgi.msk.ru/account/1080063603/", 1080063603)</f>
        <v>1080063603</v>
      </c>
      <c r="D7272" t="s">
        <v>6040</v>
      </c>
      <c r="E7272">
        <v>-5892.33</v>
      </c>
      <c r="F7272">
        <v>-1.19</v>
      </c>
      <c r="G7272" t="s">
        <v>12</v>
      </c>
      <c r="I7272" t="s">
        <v>230</v>
      </c>
    </row>
    <row r="7273" spans="1:9" hidden="1" x14ac:dyDescent="0.25">
      <c r="A7273" t="s">
        <v>5983</v>
      </c>
      <c r="B7273" t="s">
        <v>151</v>
      </c>
      <c r="C7273" s="2">
        <f>HYPERLINK("https://cao.dolgi.msk.ru/account/1080063611/", 1080063611)</f>
        <v>1080063611</v>
      </c>
      <c r="D7273" t="s">
        <v>6041</v>
      </c>
      <c r="E7273">
        <v>-4077.67</v>
      </c>
      <c r="F7273">
        <v>-1.38</v>
      </c>
      <c r="G7273" t="s">
        <v>12</v>
      </c>
      <c r="I7273" t="s">
        <v>230</v>
      </c>
    </row>
    <row r="7274" spans="1:9" hidden="1" x14ac:dyDescent="0.25">
      <c r="A7274" t="s">
        <v>5983</v>
      </c>
      <c r="B7274" t="s">
        <v>153</v>
      </c>
      <c r="C7274" s="2">
        <f>HYPERLINK("https://cao.dolgi.msk.ru/account/1080063638/", 1080063638)</f>
        <v>1080063638</v>
      </c>
      <c r="D7274" t="s">
        <v>6042</v>
      </c>
      <c r="E7274">
        <v>-531.12</v>
      </c>
      <c r="F7274">
        <v>-0.12</v>
      </c>
      <c r="G7274" t="s">
        <v>12</v>
      </c>
      <c r="I7274" t="s">
        <v>230</v>
      </c>
    </row>
    <row r="7275" spans="1:9" hidden="1" x14ac:dyDescent="0.25">
      <c r="A7275" t="s">
        <v>5983</v>
      </c>
      <c r="B7275" t="s">
        <v>155</v>
      </c>
      <c r="C7275" s="2">
        <f>HYPERLINK("https://cao.dolgi.msk.ru/account/1080063646/", 1080063646)</f>
        <v>1080063646</v>
      </c>
      <c r="D7275" t="s">
        <v>6043</v>
      </c>
      <c r="E7275">
        <v>-7843.74</v>
      </c>
      <c r="F7275">
        <v>-1.1599999999999999</v>
      </c>
      <c r="G7275" t="s">
        <v>12</v>
      </c>
      <c r="I7275" t="s">
        <v>230</v>
      </c>
    </row>
    <row r="7276" spans="1:9" hidden="1" x14ac:dyDescent="0.25">
      <c r="A7276" t="s">
        <v>5983</v>
      </c>
      <c r="B7276" t="s">
        <v>157</v>
      </c>
      <c r="C7276" s="2">
        <f>HYPERLINK("https://cao.dolgi.msk.ru/account/1080063654/", 1080063654)</f>
        <v>1080063654</v>
      </c>
      <c r="D7276" t="s">
        <v>6044</v>
      </c>
      <c r="E7276">
        <v>-7194.11</v>
      </c>
      <c r="F7276">
        <v>-1.29</v>
      </c>
      <c r="G7276" t="s">
        <v>12</v>
      </c>
      <c r="I7276" t="s">
        <v>230</v>
      </c>
    </row>
    <row r="7277" spans="1:9" hidden="1" x14ac:dyDescent="0.25">
      <c r="A7277" t="s">
        <v>5983</v>
      </c>
      <c r="B7277" t="s">
        <v>159</v>
      </c>
      <c r="C7277" s="2">
        <f>HYPERLINK("https://cao.dolgi.msk.ru/account/1080063662/", 1080063662)</f>
        <v>1080063662</v>
      </c>
      <c r="D7277" t="s">
        <v>6045</v>
      </c>
      <c r="E7277">
        <v>503.18</v>
      </c>
      <c r="G7277" t="s">
        <v>14</v>
      </c>
      <c r="I7277" t="s">
        <v>230</v>
      </c>
    </row>
    <row r="7278" spans="1:9" hidden="1" x14ac:dyDescent="0.25">
      <c r="A7278" t="s">
        <v>5983</v>
      </c>
      <c r="B7278" t="s">
        <v>159</v>
      </c>
      <c r="C7278" s="2">
        <f>HYPERLINK("https://cao.dolgi.msk.ru/account/1083283505/", 1083283505)</f>
        <v>1083283505</v>
      </c>
      <c r="D7278" t="s">
        <v>15</v>
      </c>
      <c r="E7278">
        <v>-6229.62</v>
      </c>
      <c r="F7278">
        <v>-1.5</v>
      </c>
      <c r="G7278" t="s">
        <v>12</v>
      </c>
      <c r="I7278" t="s">
        <v>230</v>
      </c>
    </row>
    <row r="7279" spans="1:9" x14ac:dyDescent="0.25">
      <c r="A7279" t="s">
        <v>5983</v>
      </c>
      <c r="B7279" t="s">
        <v>161</v>
      </c>
      <c r="C7279" s="2">
        <f>HYPERLINK("https://cao.dolgi.msk.ru/account/1080063689/", 1080063689)</f>
        <v>1080063689</v>
      </c>
      <c r="D7279" t="s">
        <v>1151</v>
      </c>
      <c r="E7279">
        <v>424583.14</v>
      </c>
      <c r="F7279">
        <v>88.74</v>
      </c>
      <c r="G7279" t="s">
        <v>12</v>
      </c>
      <c r="I7279" t="s">
        <v>230</v>
      </c>
    </row>
    <row r="7280" spans="1:9" hidden="1" x14ac:dyDescent="0.25">
      <c r="A7280" t="s">
        <v>5983</v>
      </c>
      <c r="B7280" t="s">
        <v>163</v>
      </c>
      <c r="C7280" s="2">
        <f>HYPERLINK("https://cao.dolgi.msk.ru/account/1080063697/", 1080063697)</f>
        <v>1080063697</v>
      </c>
      <c r="D7280" t="s">
        <v>6046</v>
      </c>
      <c r="E7280">
        <v>-9.6999999999999993</v>
      </c>
      <c r="F7280">
        <v>0</v>
      </c>
      <c r="G7280" t="s">
        <v>12</v>
      </c>
      <c r="I7280" t="s">
        <v>230</v>
      </c>
    </row>
    <row r="7281" spans="1:9" hidden="1" x14ac:dyDescent="0.25">
      <c r="A7281" t="s">
        <v>5983</v>
      </c>
      <c r="B7281" t="s">
        <v>571</v>
      </c>
      <c r="C7281" s="2">
        <f>HYPERLINK("https://cao.dolgi.msk.ru/account/1080063718/", 1080063718)</f>
        <v>1080063718</v>
      </c>
      <c r="D7281" t="s">
        <v>6047</v>
      </c>
      <c r="E7281">
        <v>-7163.58</v>
      </c>
      <c r="F7281">
        <v>-1.2</v>
      </c>
      <c r="G7281" t="s">
        <v>12</v>
      </c>
      <c r="I7281" t="s">
        <v>230</v>
      </c>
    </row>
    <row r="7282" spans="1:9" hidden="1" x14ac:dyDescent="0.25">
      <c r="A7282" t="s">
        <v>6048</v>
      </c>
      <c r="B7282" t="s">
        <v>10</v>
      </c>
      <c r="C7282" s="2">
        <f>HYPERLINK("https://cao.dolgi.msk.ru/account/1080134635/", 1080134635)</f>
        <v>1080134635</v>
      </c>
      <c r="D7282" t="s">
        <v>6049</v>
      </c>
      <c r="E7282">
        <v>-2108.85</v>
      </c>
      <c r="F7282">
        <v>-0.42</v>
      </c>
      <c r="G7282" t="s">
        <v>12</v>
      </c>
      <c r="I7282" t="s">
        <v>2409</v>
      </c>
    </row>
    <row r="7283" spans="1:9" x14ac:dyDescent="0.25">
      <c r="A7283" t="s">
        <v>6048</v>
      </c>
      <c r="B7283" t="s">
        <v>16</v>
      </c>
      <c r="C7283" s="2">
        <f>HYPERLINK("https://cao.dolgi.msk.ru/account/1080134643/", 1080134643)</f>
        <v>1080134643</v>
      </c>
      <c r="D7283" t="s">
        <v>6050</v>
      </c>
      <c r="E7283">
        <v>14399.42</v>
      </c>
      <c r="F7283">
        <v>1.99</v>
      </c>
      <c r="G7283" t="s">
        <v>12</v>
      </c>
      <c r="I7283" t="s">
        <v>2409</v>
      </c>
    </row>
    <row r="7284" spans="1:9" hidden="1" x14ac:dyDescent="0.25">
      <c r="A7284" t="s">
        <v>6048</v>
      </c>
      <c r="B7284" t="s">
        <v>18</v>
      </c>
      <c r="C7284" s="2">
        <f>HYPERLINK("https://cao.dolgi.msk.ru/account/1080134678/", 1080134678)</f>
        <v>1080134678</v>
      </c>
      <c r="D7284" t="s">
        <v>6051</v>
      </c>
      <c r="E7284">
        <v>-9291.02</v>
      </c>
      <c r="F7284">
        <v>-1.18</v>
      </c>
      <c r="G7284" t="s">
        <v>12</v>
      </c>
      <c r="I7284" t="s">
        <v>2409</v>
      </c>
    </row>
    <row r="7285" spans="1:9" hidden="1" x14ac:dyDescent="0.25">
      <c r="A7285" t="s">
        <v>6048</v>
      </c>
      <c r="B7285" t="s">
        <v>20</v>
      </c>
      <c r="C7285" s="2">
        <f>HYPERLINK("https://cao.dolgi.msk.ru/account/1080134686/", 1080134686)</f>
        <v>1080134686</v>
      </c>
      <c r="D7285" t="s">
        <v>6052</v>
      </c>
      <c r="E7285">
        <v>-3728.55</v>
      </c>
      <c r="F7285">
        <v>-1.02</v>
      </c>
      <c r="G7285" t="s">
        <v>12</v>
      </c>
      <c r="I7285" t="s">
        <v>2409</v>
      </c>
    </row>
    <row r="7286" spans="1:9" hidden="1" x14ac:dyDescent="0.25">
      <c r="A7286" t="s">
        <v>6048</v>
      </c>
      <c r="B7286" t="s">
        <v>21</v>
      </c>
      <c r="C7286" s="2">
        <f>HYPERLINK("https://cao.dolgi.msk.ru/account/1080134694/", 1080134694)</f>
        <v>1080134694</v>
      </c>
      <c r="D7286" t="s">
        <v>6053</v>
      </c>
      <c r="E7286">
        <v>-5567.92</v>
      </c>
      <c r="F7286">
        <v>-1.04</v>
      </c>
      <c r="G7286" t="s">
        <v>12</v>
      </c>
      <c r="I7286" t="s">
        <v>2409</v>
      </c>
    </row>
    <row r="7287" spans="1:9" hidden="1" x14ac:dyDescent="0.25">
      <c r="A7287" t="s">
        <v>6048</v>
      </c>
      <c r="B7287" t="s">
        <v>22</v>
      </c>
      <c r="C7287" s="2">
        <f>HYPERLINK("https://cao.dolgi.msk.ru/account/1080134707/", 1080134707)</f>
        <v>1080134707</v>
      </c>
      <c r="D7287" t="s">
        <v>6054</v>
      </c>
      <c r="E7287">
        <v>-6476.27</v>
      </c>
      <c r="F7287">
        <v>-1.1499999999999999</v>
      </c>
      <c r="G7287" t="s">
        <v>12</v>
      </c>
      <c r="I7287" t="s">
        <v>2409</v>
      </c>
    </row>
    <row r="7288" spans="1:9" hidden="1" x14ac:dyDescent="0.25">
      <c r="A7288" t="s">
        <v>6048</v>
      </c>
      <c r="B7288" t="s">
        <v>22</v>
      </c>
      <c r="C7288" s="2">
        <f>HYPERLINK("https://cao.dolgi.msk.ru/account/1080134715/", 1080134715)</f>
        <v>1080134715</v>
      </c>
      <c r="D7288" t="s">
        <v>15</v>
      </c>
      <c r="G7288" t="s">
        <v>14</v>
      </c>
      <c r="I7288" t="s">
        <v>2409</v>
      </c>
    </row>
    <row r="7289" spans="1:9" hidden="1" x14ac:dyDescent="0.25">
      <c r="A7289" t="s">
        <v>6048</v>
      </c>
      <c r="B7289" t="s">
        <v>23</v>
      </c>
      <c r="C7289" s="2">
        <f>HYPERLINK("https://cao.dolgi.msk.ru/account/1080134723/", 1080134723)</f>
        <v>1080134723</v>
      </c>
      <c r="D7289" t="s">
        <v>6055</v>
      </c>
      <c r="E7289">
        <v>-9460.08</v>
      </c>
      <c r="F7289">
        <v>-1.1200000000000001</v>
      </c>
      <c r="G7289" t="s">
        <v>12</v>
      </c>
      <c r="I7289" t="s">
        <v>2409</v>
      </c>
    </row>
    <row r="7290" spans="1:9" hidden="1" x14ac:dyDescent="0.25">
      <c r="A7290" t="s">
        <v>6048</v>
      </c>
      <c r="B7290" t="s">
        <v>24</v>
      </c>
      <c r="C7290" s="2">
        <f>HYPERLINK("https://cao.dolgi.msk.ru/account/1080134731/", 1080134731)</f>
        <v>1080134731</v>
      </c>
      <c r="D7290" t="s">
        <v>6056</v>
      </c>
      <c r="E7290">
        <v>-6415.97</v>
      </c>
      <c r="F7290">
        <v>-1.23</v>
      </c>
      <c r="G7290" t="s">
        <v>12</v>
      </c>
      <c r="I7290" t="s">
        <v>2409</v>
      </c>
    </row>
    <row r="7291" spans="1:9" hidden="1" x14ac:dyDescent="0.25">
      <c r="A7291" t="s">
        <v>6048</v>
      </c>
      <c r="B7291" t="s">
        <v>27</v>
      </c>
      <c r="C7291" s="2">
        <f>HYPERLINK("https://cao.dolgi.msk.ru/account/1080134758/", 1080134758)</f>
        <v>1080134758</v>
      </c>
      <c r="D7291" t="s">
        <v>6057</v>
      </c>
      <c r="E7291">
        <v>-6771.95</v>
      </c>
      <c r="F7291">
        <v>-1.04</v>
      </c>
      <c r="G7291" t="s">
        <v>12</v>
      </c>
      <c r="I7291" t="s">
        <v>2409</v>
      </c>
    </row>
    <row r="7292" spans="1:9" hidden="1" x14ac:dyDescent="0.25">
      <c r="A7292" t="s">
        <v>6048</v>
      </c>
      <c r="B7292" t="s">
        <v>29</v>
      </c>
      <c r="C7292" s="2">
        <f>HYPERLINK("https://cao.dolgi.msk.ru/account/1080134766/", 1080134766)</f>
        <v>1080134766</v>
      </c>
      <c r="D7292" t="s">
        <v>6058</v>
      </c>
      <c r="E7292">
        <v>-19284.73</v>
      </c>
      <c r="F7292">
        <v>-2.14</v>
      </c>
      <c r="G7292" t="s">
        <v>12</v>
      </c>
      <c r="I7292" t="s">
        <v>2409</v>
      </c>
    </row>
    <row r="7293" spans="1:9" hidden="1" x14ac:dyDescent="0.25">
      <c r="A7293" t="s">
        <v>6048</v>
      </c>
      <c r="B7293" t="s">
        <v>31</v>
      </c>
      <c r="C7293" s="2">
        <f>HYPERLINK("https://cao.dolgi.msk.ru/account/1080134782/", 1080134782)</f>
        <v>1080134782</v>
      </c>
      <c r="D7293" t="s">
        <v>6059</v>
      </c>
      <c r="E7293">
        <v>-6319.47</v>
      </c>
      <c r="F7293">
        <v>-1.05</v>
      </c>
      <c r="G7293" t="s">
        <v>12</v>
      </c>
      <c r="I7293" t="s">
        <v>2409</v>
      </c>
    </row>
    <row r="7294" spans="1:9" hidden="1" x14ac:dyDescent="0.25">
      <c r="A7294" t="s">
        <v>6048</v>
      </c>
      <c r="B7294" t="s">
        <v>34</v>
      </c>
      <c r="C7294" s="2">
        <f>HYPERLINK("https://cao.dolgi.msk.ru/account/1080134838/", 1080134838)</f>
        <v>1080134838</v>
      </c>
      <c r="D7294" t="s">
        <v>15</v>
      </c>
      <c r="E7294">
        <v>-4690.72</v>
      </c>
      <c r="F7294">
        <v>-1.1499999999999999</v>
      </c>
      <c r="G7294" t="s">
        <v>12</v>
      </c>
      <c r="I7294" t="s">
        <v>2409</v>
      </c>
    </row>
    <row r="7295" spans="1:9" hidden="1" x14ac:dyDescent="0.25">
      <c r="A7295" t="s">
        <v>6048</v>
      </c>
      <c r="B7295" t="s">
        <v>36</v>
      </c>
      <c r="C7295" s="2">
        <f>HYPERLINK("https://cao.dolgi.msk.ru/account/1080134846/", 1080134846)</f>
        <v>1080134846</v>
      </c>
      <c r="D7295" t="s">
        <v>6060</v>
      </c>
      <c r="E7295">
        <v>-6997.56</v>
      </c>
      <c r="F7295">
        <v>-1.25</v>
      </c>
      <c r="G7295" t="s">
        <v>12</v>
      </c>
      <c r="I7295" t="s">
        <v>2409</v>
      </c>
    </row>
    <row r="7296" spans="1:9" hidden="1" x14ac:dyDescent="0.25">
      <c r="A7296" t="s">
        <v>6048</v>
      </c>
      <c r="B7296" t="s">
        <v>38</v>
      </c>
      <c r="C7296" s="2">
        <f>HYPERLINK("https://cao.dolgi.msk.ru/account/1080134854/", 1080134854)</f>
        <v>1080134854</v>
      </c>
      <c r="D7296" t="s">
        <v>6061</v>
      </c>
      <c r="E7296">
        <v>-9045.51</v>
      </c>
      <c r="F7296">
        <v>-1.35</v>
      </c>
      <c r="G7296" t="s">
        <v>12</v>
      </c>
      <c r="I7296" t="s">
        <v>2409</v>
      </c>
    </row>
    <row r="7297" spans="1:9" hidden="1" x14ac:dyDescent="0.25">
      <c r="A7297" t="s">
        <v>6048</v>
      </c>
      <c r="B7297" t="s">
        <v>39</v>
      </c>
      <c r="C7297" s="2">
        <f>HYPERLINK("https://cao.dolgi.msk.ru/account/1080134862/", 1080134862)</f>
        <v>1080134862</v>
      </c>
      <c r="D7297" t="s">
        <v>6062</v>
      </c>
      <c r="E7297">
        <v>-5735.82</v>
      </c>
      <c r="F7297">
        <v>-1.08</v>
      </c>
      <c r="G7297" t="s">
        <v>12</v>
      </c>
      <c r="I7297" t="s">
        <v>2409</v>
      </c>
    </row>
    <row r="7298" spans="1:9" hidden="1" x14ac:dyDescent="0.25">
      <c r="A7298" t="s">
        <v>6048</v>
      </c>
      <c r="B7298" t="s">
        <v>40</v>
      </c>
      <c r="C7298" s="2">
        <f>HYPERLINK("https://cao.dolgi.msk.ru/account/1080134889/", 1080134889)</f>
        <v>1080134889</v>
      </c>
      <c r="D7298" t="s">
        <v>6063</v>
      </c>
      <c r="E7298">
        <v>-48.3</v>
      </c>
      <c r="F7298">
        <v>-0.01</v>
      </c>
      <c r="G7298" t="s">
        <v>12</v>
      </c>
      <c r="I7298" t="s">
        <v>2409</v>
      </c>
    </row>
    <row r="7299" spans="1:9" x14ac:dyDescent="0.25">
      <c r="A7299" t="s">
        <v>6048</v>
      </c>
      <c r="B7299" t="s">
        <v>41</v>
      </c>
      <c r="C7299" s="2">
        <f>HYPERLINK("https://cao.dolgi.msk.ru/account/1080134897/", 1080134897)</f>
        <v>1080134897</v>
      </c>
      <c r="D7299" t="s">
        <v>6064</v>
      </c>
      <c r="E7299">
        <v>167532.21</v>
      </c>
      <c r="F7299">
        <v>27.8</v>
      </c>
      <c r="G7299" t="s">
        <v>12</v>
      </c>
      <c r="I7299" t="s">
        <v>2409</v>
      </c>
    </row>
    <row r="7300" spans="1:9" hidden="1" x14ac:dyDescent="0.25">
      <c r="A7300" t="s">
        <v>6048</v>
      </c>
      <c r="B7300" t="s">
        <v>42</v>
      </c>
      <c r="C7300" s="2">
        <f>HYPERLINK("https://cao.dolgi.msk.ru/account/1080134918/", 1080134918)</f>
        <v>1080134918</v>
      </c>
      <c r="D7300" t="s">
        <v>6065</v>
      </c>
      <c r="G7300" t="s">
        <v>14</v>
      </c>
      <c r="I7300" t="s">
        <v>2409</v>
      </c>
    </row>
    <row r="7301" spans="1:9" hidden="1" x14ac:dyDescent="0.25">
      <c r="A7301" t="s">
        <v>6048</v>
      </c>
      <c r="B7301" t="s">
        <v>42</v>
      </c>
      <c r="C7301" s="2">
        <f>HYPERLINK("https://cao.dolgi.msk.ru/account/1080134926/", 1080134926)</f>
        <v>1080134926</v>
      </c>
      <c r="D7301" t="s">
        <v>6065</v>
      </c>
      <c r="E7301">
        <v>-7429.55</v>
      </c>
      <c r="F7301">
        <v>-1.1100000000000001</v>
      </c>
      <c r="G7301" t="s">
        <v>12</v>
      </c>
      <c r="I7301" t="s">
        <v>2409</v>
      </c>
    </row>
    <row r="7302" spans="1:9" hidden="1" x14ac:dyDescent="0.25">
      <c r="A7302" t="s">
        <v>6048</v>
      </c>
      <c r="B7302" t="s">
        <v>44</v>
      </c>
      <c r="C7302" s="2">
        <f>HYPERLINK("https://cao.dolgi.msk.ru/account/1080134934/", 1080134934)</f>
        <v>1080134934</v>
      </c>
      <c r="D7302" t="s">
        <v>6066</v>
      </c>
      <c r="E7302">
        <v>-11.19</v>
      </c>
      <c r="F7302">
        <v>0</v>
      </c>
      <c r="G7302" t="s">
        <v>12</v>
      </c>
      <c r="I7302" t="s">
        <v>2409</v>
      </c>
    </row>
    <row r="7303" spans="1:9" hidden="1" x14ac:dyDescent="0.25">
      <c r="A7303" t="s">
        <v>6048</v>
      </c>
      <c r="B7303" t="s">
        <v>66</v>
      </c>
      <c r="C7303" s="2">
        <f>HYPERLINK("https://cao.dolgi.msk.ru/account/1080134969/", 1080134969)</f>
        <v>1080134969</v>
      </c>
      <c r="D7303" t="s">
        <v>6067</v>
      </c>
      <c r="E7303">
        <v>-3288.64</v>
      </c>
      <c r="F7303">
        <v>-0.36</v>
      </c>
      <c r="G7303" t="s">
        <v>12</v>
      </c>
      <c r="I7303" t="s">
        <v>2409</v>
      </c>
    </row>
    <row r="7304" spans="1:9" hidden="1" x14ac:dyDescent="0.25">
      <c r="A7304" t="s">
        <v>6048</v>
      </c>
      <c r="B7304" t="s">
        <v>68</v>
      </c>
      <c r="C7304" s="2">
        <f>HYPERLINK("https://cao.dolgi.msk.ru/account/1080134977/", 1080134977)</f>
        <v>1080134977</v>
      </c>
      <c r="D7304" t="s">
        <v>6068</v>
      </c>
      <c r="E7304">
        <v>18.3</v>
      </c>
      <c r="F7304">
        <v>0</v>
      </c>
      <c r="G7304" t="s">
        <v>12</v>
      </c>
      <c r="I7304" t="s">
        <v>2409</v>
      </c>
    </row>
    <row r="7305" spans="1:9" hidden="1" x14ac:dyDescent="0.25">
      <c r="A7305" t="s">
        <v>6048</v>
      </c>
      <c r="B7305" t="s">
        <v>68</v>
      </c>
      <c r="C7305" s="2">
        <f>HYPERLINK("https://cao.dolgi.msk.ru/account/1080134985/", 1080134985)</f>
        <v>1080134985</v>
      </c>
      <c r="D7305" t="s">
        <v>6069</v>
      </c>
      <c r="E7305">
        <v>-33.159999999999997</v>
      </c>
      <c r="F7305">
        <v>-0.01</v>
      </c>
      <c r="G7305" t="s">
        <v>14</v>
      </c>
      <c r="I7305" t="s">
        <v>2409</v>
      </c>
    </row>
    <row r="7306" spans="1:9" hidden="1" x14ac:dyDescent="0.25">
      <c r="A7306" t="s">
        <v>6048</v>
      </c>
      <c r="B7306" t="s">
        <v>70</v>
      </c>
      <c r="C7306" s="2">
        <f>HYPERLINK("https://cao.dolgi.msk.ru/account/1080134993/", 1080134993)</f>
        <v>1080134993</v>
      </c>
      <c r="D7306" t="s">
        <v>6070</v>
      </c>
      <c r="E7306">
        <v>-2003.49</v>
      </c>
      <c r="F7306">
        <v>-0.39</v>
      </c>
      <c r="G7306" t="s">
        <v>12</v>
      </c>
      <c r="I7306" t="s">
        <v>2409</v>
      </c>
    </row>
    <row r="7307" spans="1:9" hidden="1" x14ac:dyDescent="0.25">
      <c r="A7307" t="s">
        <v>6048</v>
      </c>
      <c r="B7307" t="s">
        <v>72</v>
      </c>
      <c r="C7307" s="2">
        <f>HYPERLINK("https://cao.dolgi.msk.ru/account/1080135005/", 1080135005)</f>
        <v>1080135005</v>
      </c>
      <c r="D7307" t="s">
        <v>15</v>
      </c>
      <c r="G7307" t="s">
        <v>14</v>
      </c>
      <c r="I7307" t="s">
        <v>2409</v>
      </c>
    </row>
    <row r="7308" spans="1:9" x14ac:dyDescent="0.25">
      <c r="A7308" t="s">
        <v>6048</v>
      </c>
      <c r="B7308" t="s">
        <v>74</v>
      </c>
      <c r="C7308" s="2">
        <f>HYPERLINK("https://cao.dolgi.msk.ru/account/1080135013/", 1080135013)</f>
        <v>1080135013</v>
      </c>
      <c r="D7308" t="s">
        <v>6071</v>
      </c>
      <c r="E7308">
        <v>8673.8700000000008</v>
      </c>
      <c r="F7308">
        <v>1.01</v>
      </c>
      <c r="G7308" t="s">
        <v>12</v>
      </c>
      <c r="I7308" t="s">
        <v>2409</v>
      </c>
    </row>
    <row r="7309" spans="1:9" hidden="1" x14ac:dyDescent="0.25">
      <c r="A7309" t="s">
        <v>6048</v>
      </c>
      <c r="B7309" t="s">
        <v>76</v>
      </c>
      <c r="C7309" s="2">
        <f>HYPERLINK("https://cao.dolgi.msk.ru/account/1080135048/", 1080135048)</f>
        <v>1080135048</v>
      </c>
      <c r="D7309" t="s">
        <v>6072</v>
      </c>
      <c r="E7309">
        <v>-8240.11</v>
      </c>
      <c r="F7309">
        <v>-1.08</v>
      </c>
      <c r="G7309" t="s">
        <v>12</v>
      </c>
      <c r="I7309" t="s">
        <v>2409</v>
      </c>
    </row>
    <row r="7310" spans="1:9" hidden="1" x14ac:dyDescent="0.25">
      <c r="A7310" t="s">
        <v>6048</v>
      </c>
      <c r="B7310" t="s">
        <v>78</v>
      </c>
      <c r="C7310" s="2">
        <f>HYPERLINK("https://cao.dolgi.msk.ru/account/1080135064/", 1080135064)</f>
        <v>1080135064</v>
      </c>
      <c r="D7310" t="s">
        <v>6073</v>
      </c>
      <c r="E7310">
        <v>-6209.24</v>
      </c>
      <c r="F7310">
        <v>-1.66</v>
      </c>
      <c r="G7310" t="s">
        <v>12</v>
      </c>
      <c r="I7310" t="s">
        <v>2409</v>
      </c>
    </row>
    <row r="7311" spans="1:9" hidden="1" x14ac:dyDescent="0.25">
      <c r="A7311" t="s">
        <v>6048</v>
      </c>
      <c r="B7311" t="s">
        <v>80</v>
      </c>
      <c r="C7311" s="2">
        <f>HYPERLINK("https://cao.dolgi.msk.ru/account/1080135072/", 1080135072)</f>
        <v>1080135072</v>
      </c>
      <c r="D7311" t="s">
        <v>6074</v>
      </c>
      <c r="E7311">
        <v>-7698.06</v>
      </c>
      <c r="F7311">
        <v>-1.1100000000000001</v>
      </c>
      <c r="G7311" t="s">
        <v>12</v>
      </c>
      <c r="I7311" t="s">
        <v>2409</v>
      </c>
    </row>
    <row r="7312" spans="1:9" hidden="1" x14ac:dyDescent="0.25">
      <c r="A7312" t="s">
        <v>6048</v>
      </c>
      <c r="B7312" t="s">
        <v>82</v>
      </c>
      <c r="C7312" s="2">
        <f>HYPERLINK("https://cao.dolgi.msk.ru/account/1080135099/", 1080135099)</f>
        <v>1080135099</v>
      </c>
      <c r="D7312" t="s">
        <v>6075</v>
      </c>
      <c r="E7312">
        <v>1261.3399999999999</v>
      </c>
      <c r="F7312">
        <v>0.19</v>
      </c>
      <c r="G7312" t="s">
        <v>12</v>
      </c>
      <c r="I7312" t="s">
        <v>2409</v>
      </c>
    </row>
    <row r="7313" spans="1:9" hidden="1" x14ac:dyDescent="0.25">
      <c r="A7313" t="s">
        <v>6048</v>
      </c>
      <c r="B7313" t="s">
        <v>84</v>
      </c>
      <c r="C7313" s="2">
        <f>HYPERLINK("https://cao.dolgi.msk.ru/account/1080135101/", 1080135101)</f>
        <v>1080135101</v>
      </c>
      <c r="D7313" t="s">
        <v>6075</v>
      </c>
      <c r="E7313">
        <v>-207.7</v>
      </c>
      <c r="F7313">
        <v>-0.04</v>
      </c>
      <c r="G7313" t="s">
        <v>12</v>
      </c>
      <c r="I7313" t="s">
        <v>2409</v>
      </c>
    </row>
    <row r="7314" spans="1:9" hidden="1" x14ac:dyDescent="0.25">
      <c r="A7314" t="s">
        <v>6048</v>
      </c>
      <c r="B7314" t="s">
        <v>86</v>
      </c>
      <c r="C7314" s="2">
        <f>HYPERLINK("https://cao.dolgi.msk.ru/account/1080135144/", 1080135144)</f>
        <v>1080135144</v>
      </c>
      <c r="D7314" t="s">
        <v>6076</v>
      </c>
      <c r="E7314">
        <v>-6144.86</v>
      </c>
      <c r="F7314">
        <v>-1.01</v>
      </c>
      <c r="G7314" t="s">
        <v>12</v>
      </c>
      <c r="I7314" t="s">
        <v>2409</v>
      </c>
    </row>
    <row r="7315" spans="1:9" hidden="1" x14ac:dyDescent="0.25">
      <c r="A7315" t="s">
        <v>6048</v>
      </c>
      <c r="B7315" t="s">
        <v>88</v>
      </c>
      <c r="C7315" s="2">
        <f>HYPERLINK("https://cao.dolgi.msk.ru/account/1080135152/", 1080135152)</f>
        <v>1080135152</v>
      </c>
      <c r="D7315" t="s">
        <v>6077</v>
      </c>
      <c r="E7315">
        <v>-8914.3700000000008</v>
      </c>
      <c r="F7315">
        <v>-1.19</v>
      </c>
      <c r="G7315" t="s">
        <v>12</v>
      </c>
      <c r="I7315" t="s">
        <v>2409</v>
      </c>
    </row>
    <row r="7316" spans="1:9" hidden="1" x14ac:dyDescent="0.25">
      <c r="A7316" t="s">
        <v>6048</v>
      </c>
      <c r="B7316" t="s">
        <v>90</v>
      </c>
      <c r="C7316" s="2">
        <f>HYPERLINK("https://cao.dolgi.msk.ru/account/1080135179/", 1080135179)</f>
        <v>1080135179</v>
      </c>
      <c r="D7316" t="s">
        <v>6078</v>
      </c>
      <c r="E7316">
        <v>-9666.14</v>
      </c>
      <c r="F7316">
        <v>-1.19</v>
      </c>
      <c r="G7316" t="s">
        <v>12</v>
      </c>
      <c r="I7316" t="s">
        <v>2409</v>
      </c>
    </row>
    <row r="7317" spans="1:9" hidden="1" x14ac:dyDescent="0.25">
      <c r="A7317" t="s">
        <v>6048</v>
      </c>
      <c r="B7317" t="s">
        <v>92</v>
      </c>
      <c r="C7317" s="2">
        <f>HYPERLINK("https://cao.dolgi.msk.ru/account/1080135187/", 1080135187)</f>
        <v>1080135187</v>
      </c>
      <c r="D7317" t="s">
        <v>6079</v>
      </c>
      <c r="E7317">
        <v>-8919.5499999999993</v>
      </c>
      <c r="F7317">
        <v>-1.1499999999999999</v>
      </c>
      <c r="G7317" t="s">
        <v>12</v>
      </c>
      <c r="I7317" t="s">
        <v>2409</v>
      </c>
    </row>
    <row r="7318" spans="1:9" hidden="1" x14ac:dyDescent="0.25">
      <c r="A7318" t="s">
        <v>6048</v>
      </c>
      <c r="B7318" t="s">
        <v>92</v>
      </c>
      <c r="C7318" s="2">
        <f>HYPERLINK("https://cao.dolgi.msk.ru/account/1080135195/", 1080135195)</f>
        <v>1080135195</v>
      </c>
      <c r="D7318" t="s">
        <v>6080</v>
      </c>
      <c r="E7318">
        <v>0</v>
      </c>
      <c r="G7318" t="s">
        <v>14</v>
      </c>
      <c r="I7318" t="s">
        <v>2409</v>
      </c>
    </row>
    <row r="7319" spans="1:9" hidden="1" x14ac:dyDescent="0.25">
      <c r="A7319" t="s">
        <v>6048</v>
      </c>
      <c r="B7319" t="s">
        <v>94</v>
      </c>
      <c r="C7319" s="2">
        <f>HYPERLINK("https://cao.dolgi.msk.ru/account/1080135208/", 1080135208)</f>
        <v>1080135208</v>
      </c>
      <c r="D7319" t="s">
        <v>6081</v>
      </c>
      <c r="E7319">
        <v>-5771</v>
      </c>
      <c r="F7319">
        <v>-1.3</v>
      </c>
      <c r="G7319" t="s">
        <v>12</v>
      </c>
      <c r="I7319" t="s">
        <v>2409</v>
      </c>
    </row>
    <row r="7320" spans="1:9" hidden="1" x14ac:dyDescent="0.25">
      <c r="A7320" t="s">
        <v>6048</v>
      </c>
      <c r="B7320" t="s">
        <v>96</v>
      </c>
      <c r="C7320" s="2">
        <f>HYPERLINK("https://cao.dolgi.msk.ru/account/1080135216/", 1080135216)</f>
        <v>1080135216</v>
      </c>
      <c r="D7320" t="s">
        <v>6082</v>
      </c>
      <c r="E7320">
        <v>-7599.94</v>
      </c>
      <c r="F7320">
        <v>-1.1599999999999999</v>
      </c>
      <c r="G7320" t="s">
        <v>12</v>
      </c>
      <c r="I7320" t="s">
        <v>2409</v>
      </c>
    </row>
    <row r="7321" spans="1:9" hidden="1" x14ac:dyDescent="0.25">
      <c r="A7321" t="s">
        <v>6048</v>
      </c>
      <c r="B7321" t="s">
        <v>98</v>
      </c>
      <c r="C7321" s="2">
        <f>HYPERLINK("https://cao.dolgi.msk.ru/account/1080135232/", 1080135232)</f>
        <v>1080135232</v>
      </c>
      <c r="D7321" t="s">
        <v>15</v>
      </c>
      <c r="G7321" t="s">
        <v>14</v>
      </c>
      <c r="I7321" t="s">
        <v>2409</v>
      </c>
    </row>
    <row r="7322" spans="1:9" hidden="1" x14ac:dyDescent="0.25">
      <c r="A7322" t="s">
        <v>6048</v>
      </c>
      <c r="B7322" t="s">
        <v>98</v>
      </c>
      <c r="C7322" s="2">
        <f>HYPERLINK("https://cao.dolgi.msk.ru/account/1080135259/", 1080135259)</f>
        <v>1080135259</v>
      </c>
      <c r="D7322" t="s">
        <v>6083</v>
      </c>
      <c r="E7322">
        <v>-9163.7999999999993</v>
      </c>
      <c r="F7322">
        <v>-1.06</v>
      </c>
      <c r="G7322" t="s">
        <v>12</v>
      </c>
      <c r="I7322" t="s">
        <v>2409</v>
      </c>
    </row>
    <row r="7323" spans="1:9" hidden="1" x14ac:dyDescent="0.25">
      <c r="A7323" t="s">
        <v>6048</v>
      </c>
      <c r="B7323" t="s">
        <v>98</v>
      </c>
      <c r="C7323" s="2">
        <f>HYPERLINK("https://cao.dolgi.msk.ru/account/1080135267/", 1080135267)</f>
        <v>1080135267</v>
      </c>
      <c r="D7323" t="s">
        <v>15</v>
      </c>
      <c r="G7323" t="s">
        <v>14</v>
      </c>
      <c r="I7323" t="s">
        <v>2409</v>
      </c>
    </row>
    <row r="7324" spans="1:9" hidden="1" x14ac:dyDescent="0.25">
      <c r="A7324" t="s">
        <v>6048</v>
      </c>
      <c r="B7324" t="s">
        <v>100</v>
      </c>
      <c r="C7324" s="2">
        <f>HYPERLINK("https://cao.dolgi.msk.ru/account/1080135275/", 1080135275)</f>
        <v>1080135275</v>
      </c>
      <c r="D7324" t="s">
        <v>6084</v>
      </c>
      <c r="E7324">
        <v>-7116.37</v>
      </c>
      <c r="F7324">
        <v>-0.81</v>
      </c>
      <c r="G7324" t="s">
        <v>12</v>
      </c>
      <c r="I7324" t="s">
        <v>2409</v>
      </c>
    </row>
    <row r="7325" spans="1:9" hidden="1" x14ac:dyDescent="0.25">
      <c r="A7325" t="s">
        <v>6048</v>
      </c>
      <c r="B7325" t="s">
        <v>102</v>
      </c>
      <c r="C7325" s="2">
        <f>HYPERLINK("https://cao.dolgi.msk.ru/account/1080135291/", 1080135291)</f>
        <v>1080135291</v>
      </c>
      <c r="D7325" t="s">
        <v>6085</v>
      </c>
      <c r="E7325">
        <v>-62.86</v>
      </c>
      <c r="F7325">
        <v>-0.01</v>
      </c>
      <c r="G7325" t="s">
        <v>12</v>
      </c>
      <c r="I7325" t="s">
        <v>2409</v>
      </c>
    </row>
    <row r="7326" spans="1:9" hidden="1" x14ac:dyDescent="0.25">
      <c r="A7326" t="s">
        <v>6048</v>
      </c>
      <c r="B7326" t="s">
        <v>104</v>
      </c>
      <c r="C7326" s="2">
        <f>HYPERLINK("https://cao.dolgi.msk.ru/account/1080135304/", 1080135304)</f>
        <v>1080135304</v>
      </c>
      <c r="D7326" t="s">
        <v>6086</v>
      </c>
      <c r="E7326">
        <v>0</v>
      </c>
      <c r="F7326">
        <v>0</v>
      </c>
      <c r="G7326" t="s">
        <v>12</v>
      </c>
      <c r="I7326" t="s">
        <v>2409</v>
      </c>
    </row>
    <row r="7327" spans="1:9" hidden="1" x14ac:dyDescent="0.25">
      <c r="A7327" t="s">
        <v>6048</v>
      </c>
      <c r="B7327" t="s">
        <v>106</v>
      </c>
      <c r="C7327" s="2">
        <f>HYPERLINK("https://cao.dolgi.msk.ru/account/1080135347/", 1080135347)</f>
        <v>1080135347</v>
      </c>
      <c r="D7327" t="s">
        <v>6087</v>
      </c>
      <c r="E7327">
        <v>-10681.14</v>
      </c>
      <c r="F7327">
        <v>-1.03</v>
      </c>
      <c r="G7327" t="s">
        <v>12</v>
      </c>
      <c r="I7327" t="s">
        <v>2409</v>
      </c>
    </row>
    <row r="7328" spans="1:9" hidden="1" x14ac:dyDescent="0.25">
      <c r="A7328" t="s">
        <v>6048</v>
      </c>
      <c r="B7328" t="s">
        <v>106</v>
      </c>
      <c r="C7328" s="2">
        <f>HYPERLINK("https://cao.dolgi.msk.ru/account/1080135355/", 1080135355)</f>
        <v>1080135355</v>
      </c>
      <c r="D7328" t="s">
        <v>6087</v>
      </c>
      <c r="E7328">
        <v>1109.24</v>
      </c>
      <c r="G7328" t="s">
        <v>14</v>
      </c>
      <c r="I7328" t="s">
        <v>2409</v>
      </c>
    </row>
    <row r="7329" spans="1:9" hidden="1" x14ac:dyDescent="0.25">
      <c r="A7329" t="s">
        <v>6048</v>
      </c>
      <c r="B7329" t="s">
        <v>108</v>
      </c>
      <c r="C7329" s="2">
        <f>HYPERLINK("https://cao.dolgi.msk.ru/account/1080135363/", 1080135363)</f>
        <v>1080135363</v>
      </c>
      <c r="D7329" t="s">
        <v>15</v>
      </c>
      <c r="G7329" t="s">
        <v>14</v>
      </c>
      <c r="I7329" t="s">
        <v>2409</v>
      </c>
    </row>
    <row r="7330" spans="1:9" hidden="1" x14ac:dyDescent="0.25">
      <c r="A7330" t="s">
        <v>6048</v>
      </c>
      <c r="B7330" t="s">
        <v>110</v>
      </c>
      <c r="C7330" s="2">
        <f>HYPERLINK("https://cao.dolgi.msk.ru/account/1080135398/", 1080135398)</f>
        <v>1080135398</v>
      </c>
      <c r="D7330" t="s">
        <v>6088</v>
      </c>
      <c r="E7330">
        <v>-10546.87</v>
      </c>
      <c r="F7330">
        <v>-1.08</v>
      </c>
      <c r="G7330" t="s">
        <v>12</v>
      </c>
      <c r="I7330" t="s">
        <v>2409</v>
      </c>
    </row>
    <row r="7331" spans="1:9" hidden="1" x14ac:dyDescent="0.25">
      <c r="A7331" t="s">
        <v>6048</v>
      </c>
      <c r="B7331" t="s">
        <v>112</v>
      </c>
      <c r="C7331" s="2">
        <f>HYPERLINK("https://cao.dolgi.msk.ru/account/1080135419/", 1080135419)</f>
        <v>1080135419</v>
      </c>
      <c r="D7331" t="s">
        <v>6089</v>
      </c>
      <c r="E7331">
        <v>-5627.49</v>
      </c>
      <c r="F7331">
        <v>-1.1399999999999999</v>
      </c>
      <c r="G7331" t="s">
        <v>12</v>
      </c>
      <c r="I7331" t="s">
        <v>2409</v>
      </c>
    </row>
    <row r="7332" spans="1:9" hidden="1" x14ac:dyDescent="0.25">
      <c r="A7332" t="s">
        <v>6048</v>
      </c>
      <c r="B7332" t="s">
        <v>114</v>
      </c>
      <c r="C7332" s="2">
        <f>HYPERLINK("https://cao.dolgi.msk.ru/account/1080135427/", 1080135427)</f>
        <v>1080135427</v>
      </c>
      <c r="D7332" t="s">
        <v>6090</v>
      </c>
      <c r="E7332">
        <v>-25859.15</v>
      </c>
      <c r="F7332">
        <v>-3.13</v>
      </c>
      <c r="G7332" t="s">
        <v>12</v>
      </c>
      <c r="I7332" t="s">
        <v>2409</v>
      </c>
    </row>
    <row r="7333" spans="1:9" hidden="1" x14ac:dyDescent="0.25">
      <c r="A7333" t="s">
        <v>6048</v>
      </c>
      <c r="B7333" t="s">
        <v>116</v>
      </c>
      <c r="C7333" s="2">
        <f>HYPERLINK("https://cao.dolgi.msk.ru/account/1080135435/", 1080135435)</f>
        <v>1080135435</v>
      </c>
      <c r="D7333" t="s">
        <v>6091</v>
      </c>
      <c r="E7333">
        <v>-10.63</v>
      </c>
      <c r="F7333">
        <v>0</v>
      </c>
      <c r="G7333" t="s">
        <v>12</v>
      </c>
      <c r="I7333" t="s">
        <v>2409</v>
      </c>
    </row>
    <row r="7334" spans="1:9" hidden="1" x14ac:dyDescent="0.25">
      <c r="A7334" t="s">
        <v>6048</v>
      </c>
      <c r="B7334" t="s">
        <v>118</v>
      </c>
      <c r="C7334" s="2">
        <f>HYPERLINK("https://cao.dolgi.msk.ru/account/1080135443/", 1080135443)</f>
        <v>1080135443</v>
      </c>
      <c r="D7334" t="s">
        <v>6092</v>
      </c>
      <c r="E7334">
        <v>-1695.84</v>
      </c>
      <c r="F7334">
        <v>-1.17</v>
      </c>
      <c r="G7334" t="s">
        <v>12</v>
      </c>
      <c r="H7334" t="s">
        <v>7</v>
      </c>
      <c r="I7334" t="s">
        <v>2409</v>
      </c>
    </row>
    <row r="7335" spans="1:9" hidden="1" x14ac:dyDescent="0.25">
      <c r="A7335" t="s">
        <v>6048</v>
      </c>
      <c r="B7335" t="s">
        <v>118</v>
      </c>
      <c r="C7335" s="2">
        <f>HYPERLINK("https://cao.dolgi.msk.ru/account/1080135451/", 1080135451)</f>
        <v>1080135451</v>
      </c>
      <c r="D7335" t="s">
        <v>6093</v>
      </c>
      <c r="E7335">
        <v>-5938.15</v>
      </c>
      <c r="F7335">
        <v>-1.17</v>
      </c>
      <c r="G7335" t="s">
        <v>12</v>
      </c>
      <c r="H7335" t="s">
        <v>7</v>
      </c>
      <c r="I7335" t="s">
        <v>2409</v>
      </c>
    </row>
    <row r="7336" spans="1:9" hidden="1" x14ac:dyDescent="0.25">
      <c r="A7336" t="s">
        <v>6048</v>
      </c>
      <c r="B7336" t="s">
        <v>120</v>
      </c>
      <c r="C7336" s="2">
        <f>HYPERLINK("https://cao.dolgi.msk.ru/account/1080135478/", 1080135478)</f>
        <v>1080135478</v>
      </c>
      <c r="D7336" t="s">
        <v>6094</v>
      </c>
      <c r="E7336">
        <v>-7086.26</v>
      </c>
      <c r="F7336">
        <v>-1.1499999999999999</v>
      </c>
      <c r="G7336" t="s">
        <v>12</v>
      </c>
      <c r="I7336" t="s">
        <v>2409</v>
      </c>
    </row>
    <row r="7337" spans="1:9" hidden="1" x14ac:dyDescent="0.25">
      <c r="A7337" t="s">
        <v>6048</v>
      </c>
      <c r="B7337" t="s">
        <v>122</v>
      </c>
      <c r="C7337" s="2">
        <f>HYPERLINK("https://cao.dolgi.msk.ru/account/1080135486/", 1080135486)</f>
        <v>1080135486</v>
      </c>
      <c r="D7337" t="s">
        <v>6095</v>
      </c>
      <c r="E7337">
        <v>119.66</v>
      </c>
      <c r="F7337">
        <v>0.01</v>
      </c>
      <c r="G7337" t="s">
        <v>12</v>
      </c>
      <c r="I7337" t="s">
        <v>2409</v>
      </c>
    </row>
    <row r="7338" spans="1:9" hidden="1" x14ac:dyDescent="0.25">
      <c r="A7338" t="s">
        <v>6048</v>
      </c>
      <c r="B7338" t="s">
        <v>124</v>
      </c>
      <c r="C7338" s="2">
        <f>HYPERLINK("https://cao.dolgi.msk.ru/account/1080135494/", 1080135494)</f>
        <v>1080135494</v>
      </c>
      <c r="D7338" t="s">
        <v>6096</v>
      </c>
      <c r="E7338">
        <v>-7409.08</v>
      </c>
      <c r="F7338">
        <v>-1.22</v>
      </c>
      <c r="G7338" t="s">
        <v>12</v>
      </c>
      <c r="I7338" t="s">
        <v>2409</v>
      </c>
    </row>
    <row r="7339" spans="1:9" hidden="1" x14ac:dyDescent="0.25">
      <c r="A7339" t="s">
        <v>6048</v>
      </c>
      <c r="B7339" t="s">
        <v>130</v>
      </c>
      <c r="C7339" s="2">
        <f>HYPERLINK("https://cao.dolgi.msk.ru/account/1080135531/", 1080135531)</f>
        <v>1080135531</v>
      </c>
      <c r="D7339" t="s">
        <v>6097</v>
      </c>
      <c r="E7339">
        <v>637.29999999999995</v>
      </c>
      <c r="F7339">
        <v>0.1</v>
      </c>
      <c r="G7339" t="s">
        <v>12</v>
      </c>
      <c r="I7339" t="s">
        <v>2409</v>
      </c>
    </row>
    <row r="7340" spans="1:9" hidden="1" x14ac:dyDescent="0.25">
      <c r="A7340" t="s">
        <v>6048</v>
      </c>
      <c r="B7340" t="s">
        <v>132</v>
      </c>
      <c r="C7340" s="2">
        <f>HYPERLINK("https://cao.dolgi.msk.ru/account/1080135793/", 1080135793)</f>
        <v>1080135793</v>
      </c>
      <c r="D7340" t="s">
        <v>6098</v>
      </c>
      <c r="E7340">
        <v>0</v>
      </c>
      <c r="G7340" t="s">
        <v>12</v>
      </c>
      <c r="H7340" t="s">
        <v>7</v>
      </c>
      <c r="I7340" t="s">
        <v>2409</v>
      </c>
    </row>
    <row r="7341" spans="1:9" hidden="1" x14ac:dyDescent="0.25">
      <c r="A7341" t="s">
        <v>6048</v>
      </c>
      <c r="B7341" t="s">
        <v>133</v>
      </c>
      <c r="C7341" s="2">
        <f>HYPERLINK("https://cao.dolgi.msk.ru/account/1080135566/", 1080135566)</f>
        <v>1080135566</v>
      </c>
      <c r="D7341" t="s">
        <v>6099</v>
      </c>
      <c r="E7341">
        <v>-7331.55</v>
      </c>
      <c r="F7341">
        <v>-1.1499999999999999</v>
      </c>
      <c r="G7341" t="s">
        <v>12</v>
      </c>
      <c r="I7341" t="s">
        <v>2409</v>
      </c>
    </row>
    <row r="7342" spans="1:9" hidden="1" x14ac:dyDescent="0.25">
      <c r="A7342" t="s">
        <v>6048</v>
      </c>
      <c r="B7342" t="s">
        <v>135</v>
      </c>
      <c r="C7342" s="2">
        <f>HYPERLINK("https://cao.dolgi.msk.ru/account/1080135574/", 1080135574)</f>
        <v>1080135574</v>
      </c>
      <c r="D7342" t="s">
        <v>6100</v>
      </c>
      <c r="E7342">
        <v>-5716.12</v>
      </c>
      <c r="F7342">
        <v>-1.1200000000000001</v>
      </c>
      <c r="G7342" t="s">
        <v>12</v>
      </c>
      <c r="I7342" t="s">
        <v>2409</v>
      </c>
    </row>
    <row r="7343" spans="1:9" hidden="1" x14ac:dyDescent="0.25">
      <c r="A7343" t="s">
        <v>6048</v>
      </c>
      <c r="B7343" t="s">
        <v>137</v>
      </c>
      <c r="C7343" s="2">
        <f>HYPERLINK("https://cao.dolgi.msk.ru/account/1080135582/", 1080135582)</f>
        <v>1080135582</v>
      </c>
      <c r="D7343" t="s">
        <v>6101</v>
      </c>
      <c r="E7343">
        <v>-4946.45</v>
      </c>
      <c r="F7343">
        <v>-1.1000000000000001</v>
      </c>
      <c r="G7343" t="s">
        <v>12</v>
      </c>
      <c r="I7343" t="s">
        <v>2409</v>
      </c>
    </row>
    <row r="7344" spans="1:9" hidden="1" x14ac:dyDescent="0.25">
      <c r="A7344" t="s">
        <v>6048</v>
      </c>
      <c r="B7344" t="s">
        <v>139</v>
      </c>
      <c r="C7344" s="2">
        <f>HYPERLINK("https://cao.dolgi.msk.ru/account/1080135603/", 1080135603)</f>
        <v>1080135603</v>
      </c>
      <c r="D7344" t="s">
        <v>6102</v>
      </c>
      <c r="E7344">
        <v>5925.22</v>
      </c>
      <c r="F7344">
        <v>0.98</v>
      </c>
      <c r="G7344" t="s">
        <v>12</v>
      </c>
      <c r="I7344" t="s">
        <v>2409</v>
      </c>
    </row>
    <row r="7345" spans="1:9" hidden="1" x14ac:dyDescent="0.25">
      <c r="A7345" t="s">
        <v>6048</v>
      </c>
      <c r="B7345" t="s">
        <v>141</v>
      </c>
      <c r="C7345" s="2">
        <f>HYPERLINK("https://cao.dolgi.msk.ru/account/1080135611/", 1080135611)</f>
        <v>1080135611</v>
      </c>
      <c r="D7345" t="s">
        <v>6103</v>
      </c>
      <c r="E7345">
        <v>-10419.39</v>
      </c>
      <c r="F7345">
        <v>-1.65</v>
      </c>
      <c r="G7345" t="s">
        <v>12</v>
      </c>
      <c r="I7345" t="s">
        <v>2409</v>
      </c>
    </row>
    <row r="7346" spans="1:9" hidden="1" x14ac:dyDescent="0.25">
      <c r="A7346" t="s">
        <v>6048</v>
      </c>
      <c r="B7346" t="s">
        <v>143</v>
      </c>
      <c r="C7346" s="2">
        <f>HYPERLINK("https://cao.dolgi.msk.ru/account/1080135638/", 1080135638)</f>
        <v>1080135638</v>
      </c>
      <c r="D7346" t="s">
        <v>6104</v>
      </c>
      <c r="E7346">
        <v>-10616.02</v>
      </c>
      <c r="F7346">
        <v>-2.2000000000000002</v>
      </c>
      <c r="G7346" t="s">
        <v>12</v>
      </c>
      <c r="I7346" t="s">
        <v>2409</v>
      </c>
    </row>
    <row r="7347" spans="1:9" hidden="1" x14ac:dyDescent="0.25">
      <c r="A7347" t="s">
        <v>6048</v>
      </c>
      <c r="B7347" t="s">
        <v>145</v>
      </c>
      <c r="C7347" s="2">
        <f>HYPERLINK("https://cao.dolgi.msk.ru/account/1080135646/", 1080135646)</f>
        <v>1080135646</v>
      </c>
      <c r="D7347" t="s">
        <v>6105</v>
      </c>
      <c r="E7347">
        <v>-5370.52</v>
      </c>
      <c r="F7347">
        <v>-1.1200000000000001</v>
      </c>
      <c r="G7347" t="s">
        <v>12</v>
      </c>
      <c r="I7347" t="s">
        <v>2409</v>
      </c>
    </row>
    <row r="7348" spans="1:9" hidden="1" x14ac:dyDescent="0.25">
      <c r="A7348" t="s">
        <v>6048</v>
      </c>
      <c r="B7348" t="s">
        <v>147</v>
      </c>
      <c r="C7348" s="2">
        <f>HYPERLINK("https://cao.dolgi.msk.ru/account/1080135654/", 1080135654)</f>
        <v>1080135654</v>
      </c>
      <c r="D7348" t="s">
        <v>6106</v>
      </c>
      <c r="E7348">
        <v>0</v>
      </c>
      <c r="F7348">
        <v>0</v>
      </c>
      <c r="G7348" t="s">
        <v>12</v>
      </c>
      <c r="I7348" t="s">
        <v>2409</v>
      </c>
    </row>
    <row r="7349" spans="1:9" hidden="1" x14ac:dyDescent="0.25">
      <c r="A7349" t="s">
        <v>6048</v>
      </c>
      <c r="B7349" t="s">
        <v>149</v>
      </c>
      <c r="C7349" s="2">
        <f>HYPERLINK("https://cao.dolgi.msk.ru/account/1080135662/", 1080135662)</f>
        <v>1080135662</v>
      </c>
      <c r="D7349" t="s">
        <v>6107</v>
      </c>
      <c r="E7349">
        <v>-38.799999999999997</v>
      </c>
      <c r="F7349">
        <v>0</v>
      </c>
      <c r="G7349" t="s">
        <v>12</v>
      </c>
      <c r="I7349" t="s">
        <v>2409</v>
      </c>
    </row>
    <row r="7350" spans="1:9" hidden="1" x14ac:dyDescent="0.25">
      <c r="A7350" t="s">
        <v>6048</v>
      </c>
      <c r="B7350" t="s">
        <v>151</v>
      </c>
      <c r="C7350" s="2">
        <f>HYPERLINK("https://cao.dolgi.msk.ru/account/1080135697/", 1080135697)</f>
        <v>1080135697</v>
      </c>
      <c r="D7350" t="s">
        <v>6108</v>
      </c>
      <c r="E7350">
        <v>-7581.8</v>
      </c>
      <c r="F7350">
        <v>-1.65</v>
      </c>
      <c r="G7350" t="s">
        <v>12</v>
      </c>
      <c r="I7350" t="s">
        <v>2409</v>
      </c>
    </row>
    <row r="7351" spans="1:9" hidden="1" x14ac:dyDescent="0.25">
      <c r="A7351" t="s">
        <v>6048</v>
      </c>
      <c r="B7351" t="s">
        <v>153</v>
      </c>
      <c r="C7351" s="2">
        <f>HYPERLINK("https://cao.dolgi.msk.ru/account/1080135718/", 1080135718)</f>
        <v>1080135718</v>
      </c>
      <c r="D7351" t="s">
        <v>6109</v>
      </c>
      <c r="E7351">
        <v>-29.1</v>
      </c>
      <c r="F7351">
        <v>-0.01</v>
      </c>
      <c r="G7351" t="s">
        <v>12</v>
      </c>
      <c r="I7351" t="s">
        <v>2409</v>
      </c>
    </row>
    <row r="7352" spans="1:9" hidden="1" x14ac:dyDescent="0.25">
      <c r="A7352" t="s">
        <v>6048</v>
      </c>
      <c r="B7352" t="s">
        <v>155</v>
      </c>
      <c r="C7352" s="2">
        <f>HYPERLINK("https://cao.dolgi.msk.ru/account/1080135734/", 1080135734)</f>
        <v>1080135734</v>
      </c>
      <c r="D7352" t="s">
        <v>6110</v>
      </c>
      <c r="E7352">
        <v>-7930.87</v>
      </c>
      <c r="F7352">
        <v>-1.18</v>
      </c>
      <c r="G7352" t="s">
        <v>12</v>
      </c>
      <c r="I7352" t="s">
        <v>2409</v>
      </c>
    </row>
    <row r="7353" spans="1:9" hidden="1" x14ac:dyDescent="0.25">
      <c r="A7353" t="s">
        <v>6048</v>
      </c>
      <c r="B7353" t="s">
        <v>157</v>
      </c>
      <c r="C7353" s="2">
        <f>HYPERLINK("https://cao.dolgi.msk.ru/account/1080135742/", 1080135742)</f>
        <v>1080135742</v>
      </c>
      <c r="D7353" t="s">
        <v>6111</v>
      </c>
      <c r="E7353">
        <v>-9806.49</v>
      </c>
      <c r="F7353">
        <v>-1.04</v>
      </c>
      <c r="G7353" t="s">
        <v>12</v>
      </c>
      <c r="I7353" t="s">
        <v>2409</v>
      </c>
    </row>
    <row r="7354" spans="1:9" hidden="1" x14ac:dyDescent="0.25">
      <c r="A7354" t="s">
        <v>6048</v>
      </c>
      <c r="B7354" t="s">
        <v>159</v>
      </c>
      <c r="C7354" s="2">
        <f>HYPERLINK("https://cao.dolgi.msk.ru/account/1080135769/", 1080135769)</f>
        <v>1080135769</v>
      </c>
      <c r="D7354" t="s">
        <v>6112</v>
      </c>
      <c r="E7354">
        <v>-10326.76</v>
      </c>
      <c r="F7354">
        <v>-1.07</v>
      </c>
      <c r="G7354" t="s">
        <v>12</v>
      </c>
      <c r="I7354" t="s">
        <v>2409</v>
      </c>
    </row>
    <row r="7355" spans="1:9" hidden="1" x14ac:dyDescent="0.25">
      <c r="A7355" t="s">
        <v>6048</v>
      </c>
      <c r="B7355" t="s">
        <v>161</v>
      </c>
      <c r="C7355" s="2">
        <f>HYPERLINK("https://cao.dolgi.msk.ru/account/1080135777/", 1080135777)</f>
        <v>1080135777</v>
      </c>
      <c r="D7355" t="s">
        <v>6113</v>
      </c>
      <c r="E7355">
        <v>-111</v>
      </c>
      <c r="F7355">
        <v>-0.02</v>
      </c>
      <c r="G7355" t="s">
        <v>12</v>
      </c>
      <c r="I7355" t="s">
        <v>2409</v>
      </c>
    </row>
    <row r="7356" spans="1:9" hidden="1" x14ac:dyDescent="0.25">
      <c r="A7356" t="s">
        <v>6048</v>
      </c>
      <c r="B7356" t="s">
        <v>163</v>
      </c>
      <c r="C7356" s="2">
        <f>HYPERLINK("https://cao.dolgi.msk.ru/account/1080135785/", 1080135785)</f>
        <v>1080135785</v>
      </c>
      <c r="D7356" t="s">
        <v>6114</v>
      </c>
      <c r="E7356">
        <v>-6448.96</v>
      </c>
      <c r="F7356">
        <v>-1.04</v>
      </c>
      <c r="G7356" t="s">
        <v>12</v>
      </c>
      <c r="I7356" t="s">
        <v>2409</v>
      </c>
    </row>
    <row r="7357" spans="1:9" hidden="1" x14ac:dyDescent="0.25">
      <c r="A7357" t="s">
        <v>6115</v>
      </c>
      <c r="B7357" t="s">
        <v>16</v>
      </c>
      <c r="C7357" s="2">
        <f>HYPERLINK("https://cao.dolgi.msk.ru/account/1080012873/", 1080012873)</f>
        <v>1080012873</v>
      </c>
      <c r="D7357" t="s">
        <v>62</v>
      </c>
      <c r="E7357">
        <v>-14233.6</v>
      </c>
      <c r="F7357">
        <v>-1.1100000000000001</v>
      </c>
      <c r="G7357" t="s">
        <v>12</v>
      </c>
      <c r="I7357" t="s">
        <v>13</v>
      </c>
    </row>
    <row r="7358" spans="1:9" hidden="1" x14ac:dyDescent="0.25">
      <c r="A7358" t="s">
        <v>6115</v>
      </c>
      <c r="B7358" t="s">
        <v>18</v>
      </c>
      <c r="C7358" s="2">
        <f>HYPERLINK("https://cao.dolgi.msk.ru/account/1080012929/", 1080012929)</f>
        <v>1080012929</v>
      </c>
      <c r="D7358" t="s">
        <v>62</v>
      </c>
      <c r="E7358">
        <v>-9.6999999999999993</v>
      </c>
      <c r="F7358">
        <v>0</v>
      </c>
      <c r="G7358" t="s">
        <v>12</v>
      </c>
      <c r="I7358" t="s">
        <v>13</v>
      </c>
    </row>
    <row r="7359" spans="1:9" hidden="1" x14ac:dyDescent="0.25">
      <c r="A7359" t="s">
        <v>6115</v>
      </c>
      <c r="B7359" t="s">
        <v>20</v>
      </c>
      <c r="C7359" s="2">
        <f>HYPERLINK("https://cao.dolgi.msk.ru/account/1080009463/", 1080009463)</f>
        <v>1080009463</v>
      </c>
      <c r="D7359" t="s">
        <v>62</v>
      </c>
      <c r="E7359">
        <v>-20562.46</v>
      </c>
      <c r="F7359">
        <v>-4.22</v>
      </c>
      <c r="G7359" t="s">
        <v>12</v>
      </c>
      <c r="I7359" t="s">
        <v>13</v>
      </c>
    </row>
    <row r="7360" spans="1:9" hidden="1" x14ac:dyDescent="0.25">
      <c r="A7360" t="s">
        <v>6115</v>
      </c>
      <c r="B7360" t="s">
        <v>20</v>
      </c>
      <c r="C7360" s="2">
        <f>HYPERLINK("https://cao.dolgi.msk.ru/account/1080012881/", 1080012881)</f>
        <v>1080012881</v>
      </c>
      <c r="D7360" t="s">
        <v>62</v>
      </c>
      <c r="E7360">
        <v>-15554.78</v>
      </c>
      <c r="F7360">
        <v>-2.97</v>
      </c>
      <c r="G7360" t="s">
        <v>12</v>
      </c>
      <c r="I7360" t="s">
        <v>13</v>
      </c>
    </row>
    <row r="7361" spans="1:9" hidden="1" x14ac:dyDescent="0.25">
      <c r="A7361" t="s">
        <v>6115</v>
      </c>
      <c r="B7361" t="s">
        <v>21</v>
      </c>
      <c r="C7361" s="2">
        <f>HYPERLINK("https://cao.dolgi.msk.ru/account/1080012937/", 1080012937)</f>
        <v>1080012937</v>
      </c>
      <c r="D7361" t="s">
        <v>6116</v>
      </c>
      <c r="E7361">
        <v>-12733.5</v>
      </c>
      <c r="F7361">
        <v>-1.17</v>
      </c>
      <c r="G7361" t="s">
        <v>12</v>
      </c>
      <c r="I7361" t="s">
        <v>13</v>
      </c>
    </row>
    <row r="7362" spans="1:9" hidden="1" x14ac:dyDescent="0.25">
      <c r="A7362" t="s">
        <v>6115</v>
      </c>
      <c r="B7362" t="s">
        <v>22</v>
      </c>
      <c r="C7362" s="2">
        <f>HYPERLINK("https://cao.dolgi.msk.ru/account/1080012945/", 1080012945)</f>
        <v>1080012945</v>
      </c>
      <c r="D7362" t="s">
        <v>6117</v>
      </c>
      <c r="E7362">
        <v>-34913.56</v>
      </c>
      <c r="F7362">
        <v>-1.1599999999999999</v>
      </c>
      <c r="G7362" t="s">
        <v>12</v>
      </c>
      <c r="I7362" t="s">
        <v>13</v>
      </c>
    </row>
    <row r="7363" spans="1:9" hidden="1" x14ac:dyDescent="0.25">
      <c r="A7363" t="s">
        <v>6115</v>
      </c>
      <c r="B7363" t="s">
        <v>22</v>
      </c>
      <c r="C7363" s="2">
        <f>HYPERLINK("https://cao.dolgi.msk.ru/account/1080012953/", 1080012953)</f>
        <v>1080012953</v>
      </c>
      <c r="D7363" t="s">
        <v>15</v>
      </c>
      <c r="G7363" t="s">
        <v>14</v>
      </c>
      <c r="I7363" t="s">
        <v>13</v>
      </c>
    </row>
    <row r="7364" spans="1:9" hidden="1" x14ac:dyDescent="0.25">
      <c r="A7364" t="s">
        <v>6115</v>
      </c>
      <c r="B7364" t="s">
        <v>22</v>
      </c>
      <c r="C7364" s="2">
        <f>HYPERLINK("https://cao.dolgi.msk.ru/account/1080012961/", 1080012961)</f>
        <v>1080012961</v>
      </c>
      <c r="D7364" t="s">
        <v>15</v>
      </c>
      <c r="G7364" t="s">
        <v>14</v>
      </c>
      <c r="I7364" t="s">
        <v>13</v>
      </c>
    </row>
    <row r="7365" spans="1:9" hidden="1" x14ac:dyDescent="0.25">
      <c r="A7365" t="s">
        <v>6115</v>
      </c>
      <c r="B7365" t="s">
        <v>22</v>
      </c>
      <c r="C7365" s="2">
        <f>HYPERLINK("https://cao.dolgi.msk.ru/account/1080012988/", 1080012988)</f>
        <v>1080012988</v>
      </c>
      <c r="D7365" t="s">
        <v>15</v>
      </c>
      <c r="G7365" t="s">
        <v>14</v>
      </c>
      <c r="I7365" t="s">
        <v>13</v>
      </c>
    </row>
    <row r="7366" spans="1:9" hidden="1" x14ac:dyDescent="0.25">
      <c r="A7366" t="s">
        <v>6115</v>
      </c>
      <c r="B7366" t="s">
        <v>22</v>
      </c>
      <c r="C7366" s="2">
        <f>HYPERLINK("https://cao.dolgi.msk.ru/account/1080013008/", 1080013008)</f>
        <v>1080013008</v>
      </c>
      <c r="D7366" t="s">
        <v>15</v>
      </c>
      <c r="G7366" t="s">
        <v>14</v>
      </c>
      <c r="I7366" t="s">
        <v>13</v>
      </c>
    </row>
    <row r="7367" spans="1:9" hidden="1" x14ac:dyDescent="0.25">
      <c r="A7367" t="s">
        <v>6115</v>
      </c>
      <c r="B7367" t="s">
        <v>22</v>
      </c>
      <c r="C7367" s="2">
        <f>HYPERLINK("https://cao.dolgi.msk.ru/account/1080013016/", 1080013016)</f>
        <v>1080013016</v>
      </c>
      <c r="D7367" t="s">
        <v>15</v>
      </c>
      <c r="G7367" t="s">
        <v>14</v>
      </c>
      <c r="I7367" t="s">
        <v>13</v>
      </c>
    </row>
    <row r="7368" spans="1:9" hidden="1" x14ac:dyDescent="0.25">
      <c r="A7368" t="s">
        <v>6115</v>
      </c>
      <c r="B7368" t="s">
        <v>22</v>
      </c>
      <c r="C7368" s="2">
        <f>HYPERLINK("https://cao.dolgi.msk.ru/account/1080324586/", 1080324586)</f>
        <v>1080324586</v>
      </c>
      <c r="D7368" t="s">
        <v>15</v>
      </c>
      <c r="G7368" t="s">
        <v>14</v>
      </c>
      <c r="I7368" t="s">
        <v>13</v>
      </c>
    </row>
    <row r="7369" spans="1:9" hidden="1" x14ac:dyDescent="0.25">
      <c r="A7369" t="s">
        <v>6115</v>
      </c>
      <c r="B7369" t="s">
        <v>23</v>
      </c>
      <c r="C7369" s="2">
        <f>HYPERLINK("https://cao.dolgi.msk.ru/account/1080013024/", 1080013024)</f>
        <v>1080013024</v>
      </c>
      <c r="D7369" t="s">
        <v>6118</v>
      </c>
      <c r="E7369">
        <v>-1981.72</v>
      </c>
      <c r="F7369">
        <v>-1.1599999999999999</v>
      </c>
      <c r="G7369" t="s">
        <v>12</v>
      </c>
      <c r="H7369" t="s">
        <v>7</v>
      </c>
      <c r="I7369" t="s">
        <v>13</v>
      </c>
    </row>
    <row r="7370" spans="1:9" hidden="1" x14ac:dyDescent="0.25">
      <c r="A7370" t="s">
        <v>6115</v>
      </c>
      <c r="B7370" t="s">
        <v>23</v>
      </c>
      <c r="C7370" s="2">
        <f>HYPERLINK("https://cao.dolgi.msk.ru/account/1080013032/", 1080013032)</f>
        <v>1080013032</v>
      </c>
      <c r="D7370" t="s">
        <v>6119</v>
      </c>
      <c r="E7370">
        <v>-537.01</v>
      </c>
      <c r="F7370">
        <v>-0.49</v>
      </c>
      <c r="G7370" t="s">
        <v>12</v>
      </c>
      <c r="H7370" t="s">
        <v>7</v>
      </c>
      <c r="I7370" t="s">
        <v>13</v>
      </c>
    </row>
    <row r="7371" spans="1:9" hidden="1" x14ac:dyDescent="0.25">
      <c r="A7371" t="s">
        <v>6115</v>
      </c>
      <c r="B7371" t="s">
        <v>23</v>
      </c>
      <c r="C7371" s="2">
        <f>HYPERLINK("https://cao.dolgi.msk.ru/account/1080013059/", 1080013059)</f>
        <v>1080013059</v>
      </c>
      <c r="D7371" t="s">
        <v>6118</v>
      </c>
      <c r="E7371">
        <v>-8986.9500000000007</v>
      </c>
      <c r="F7371">
        <v>-2.2000000000000002</v>
      </c>
      <c r="G7371" t="s">
        <v>12</v>
      </c>
      <c r="H7371" t="s">
        <v>7</v>
      </c>
      <c r="I7371" t="s">
        <v>13</v>
      </c>
    </row>
    <row r="7372" spans="1:9" x14ac:dyDescent="0.25">
      <c r="A7372" t="s">
        <v>6115</v>
      </c>
      <c r="B7372" t="s">
        <v>23</v>
      </c>
      <c r="C7372" s="2">
        <f>HYPERLINK("https://cao.dolgi.msk.ru/account/1080013489/", 1080013489)</f>
        <v>1080013489</v>
      </c>
      <c r="D7372" t="s">
        <v>6120</v>
      </c>
      <c r="E7372">
        <v>1803.17</v>
      </c>
      <c r="F7372">
        <v>2.2400000000000002</v>
      </c>
      <c r="G7372" t="s">
        <v>12</v>
      </c>
      <c r="H7372" t="s">
        <v>7</v>
      </c>
      <c r="I7372" t="s">
        <v>13</v>
      </c>
    </row>
    <row r="7373" spans="1:9" hidden="1" x14ac:dyDescent="0.25">
      <c r="A7373" t="s">
        <v>6115</v>
      </c>
      <c r="B7373" t="s">
        <v>24</v>
      </c>
      <c r="C7373" s="2">
        <f>HYPERLINK("https://cao.dolgi.msk.ru/account/1080013067/", 1080013067)</f>
        <v>1080013067</v>
      </c>
      <c r="D7373" t="s">
        <v>15</v>
      </c>
      <c r="E7373">
        <v>-1195.21</v>
      </c>
      <c r="F7373">
        <v>-0.28999999999999998</v>
      </c>
      <c r="G7373" t="s">
        <v>12</v>
      </c>
      <c r="H7373" t="s">
        <v>7</v>
      </c>
      <c r="I7373" t="s">
        <v>13</v>
      </c>
    </row>
    <row r="7374" spans="1:9" hidden="1" x14ac:dyDescent="0.25">
      <c r="A7374" t="s">
        <v>6115</v>
      </c>
      <c r="B7374" t="s">
        <v>24</v>
      </c>
      <c r="C7374" s="2">
        <f>HYPERLINK("https://cao.dolgi.msk.ru/account/1080013075/", 1080013075)</f>
        <v>1080013075</v>
      </c>
      <c r="D7374" t="s">
        <v>15</v>
      </c>
      <c r="E7374">
        <v>-2084.09</v>
      </c>
      <c r="F7374">
        <v>-0.37</v>
      </c>
      <c r="G7374" t="s">
        <v>12</v>
      </c>
      <c r="H7374" t="s">
        <v>7</v>
      </c>
      <c r="I7374" t="s">
        <v>13</v>
      </c>
    </row>
    <row r="7375" spans="1:9" hidden="1" x14ac:dyDescent="0.25">
      <c r="A7375" t="s">
        <v>6115</v>
      </c>
      <c r="B7375" t="s">
        <v>24</v>
      </c>
      <c r="C7375" s="2">
        <f>HYPERLINK("https://cao.dolgi.msk.ru/account/1080013251/", 1080013251)</f>
        <v>1080013251</v>
      </c>
      <c r="D7375" t="s">
        <v>6121</v>
      </c>
      <c r="E7375">
        <v>-3145.29</v>
      </c>
      <c r="F7375">
        <v>-0.38</v>
      </c>
      <c r="G7375" t="s">
        <v>12</v>
      </c>
      <c r="H7375" t="s">
        <v>7</v>
      </c>
      <c r="I7375" t="s">
        <v>13</v>
      </c>
    </row>
    <row r="7376" spans="1:9" hidden="1" x14ac:dyDescent="0.25">
      <c r="A7376" t="s">
        <v>6115</v>
      </c>
      <c r="B7376" t="s">
        <v>24</v>
      </c>
      <c r="C7376" s="2">
        <f>HYPERLINK("https://cao.dolgi.msk.ru/account/1080324869/", 1080324869)</f>
        <v>1080324869</v>
      </c>
      <c r="D7376" t="s">
        <v>15</v>
      </c>
      <c r="E7376">
        <v>-652.72</v>
      </c>
      <c r="F7376">
        <v>-0.19</v>
      </c>
      <c r="G7376" t="s">
        <v>12</v>
      </c>
      <c r="H7376" t="s">
        <v>7</v>
      </c>
      <c r="I7376" t="s">
        <v>13</v>
      </c>
    </row>
    <row r="7377" spans="1:9" hidden="1" x14ac:dyDescent="0.25">
      <c r="A7377" t="s">
        <v>6115</v>
      </c>
      <c r="B7377" t="s">
        <v>27</v>
      </c>
      <c r="C7377" s="2">
        <f>HYPERLINK("https://cao.dolgi.msk.ru/account/1080013083/", 1080013083)</f>
        <v>1080013083</v>
      </c>
      <c r="D7377" t="s">
        <v>10</v>
      </c>
      <c r="E7377">
        <v>-13722.25</v>
      </c>
      <c r="F7377">
        <v>-1.33</v>
      </c>
      <c r="G7377" t="s">
        <v>12</v>
      </c>
      <c r="I7377" t="s">
        <v>13</v>
      </c>
    </row>
    <row r="7378" spans="1:9" hidden="1" x14ac:dyDescent="0.25">
      <c r="A7378" t="s">
        <v>6115</v>
      </c>
      <c r="B7378" t="s">
        <v>29</v>
      </c>
      <c r="C7378" s="2">
        <f>HYPERLINK("https://cao.dolgi.msk.ru/account/1080013104/", 1080013104)</f>
        <v>1080013104</v>
      </c>
      <c r="D7378" t="s">
        <v>15</v>
      </c>
      <c r="E7378">
        <v>-14222.62</v>
      </c>
      <c r="F7378">
        <v>-1.41</v>
      </c>
      <c r="G7378" t="s">
        <v>12</v>
      </c>
      <c r="I7378" t="s">
        <v>13</v>
      </c>
    </row>
    <row r="7379" spans="1:9" hidden="1" x14ac:dyDescent="0.25">
      <c r="A7379" t="s">
        <v>6115</v>
      </c>
      <c r="B7379" t="s">
        <v>29</v>
      </c>
      <c r="C7379" s="2">
        <f>HYPERLINK("https://cao.dolgi.msk.ru/account/1080013112/", 1080013112)</f>
        <v>1080013112</v>
      </c>
      <c r="D7379" t="s">
        <v>6122</v>
      </c>
      <c r="E7379">
        <v>0</v>
      </c>
      <c r="G7379" t="s">
        <v>14</v>
      </c>
      <c r="I7379" t="s">
        <v>13</v>
      </c>
    </row>
    <row r="7380" spans="1:9" hidden="1" x14ac:dyDescent="0.25">
      <c r="A7380" t="s">
        <v>6115</v>
      </c>
      <c r="B7380" t="s">
        <v>29</v>
      </c>
      <c r="C7380" s="2">
        <f>HYPERLINK("https://cao.dolgi.msk.ru/account/1080013139/", 1080013139)</f>
        <v>1080013139</v>
      </c>
      <c r="D7380" t="s">
        <v>6122</v>
      </c>
      <c r="E7380">
        <v>0</v>
      </c>
      <c r="G7380" t="s">
        <v>14</v>
      </c>
      <c r="I7380" t="s">
        <v>13</v>
      </c>
    </row>
    <row r="7381" spans="1:9" hidden="1" x14ac:dyDescent="0.25">
      <c r="A7381" t="s">
        <v>6115</v>
      </c>
      <c r="B7381" t="s">
        <v>29</v>
      </c>
      <c r="C7381" s="2">
        <f>HYPERLINK("https://cao.dolgi.msk.ru/account/1080013147/", 1080013147)</f>
        <v>1080013147</v>
      </c>
      <c r="D7381" t="s">
        <v>6123</v>
      </c>
      <c r="E7381">
        <v>-10.6</v>
      </c>
      <c r="G7381" t="s">
        <v>14</v>
      </c>
      <c r="I7381" t="s">
        <v>13</v>
      </c>
    </row>
    <row r="7382" spans="1:9" hidden="1" x14ac:dyDescent="0.25">
      <c r="A7382" t="s">
        <v>6115</v>
      </c>
      <c r="B7382" t="s">
        <v>31</v>
      </c>
      <c r="C7382" s="2">
        <f>HYPERLINK("https://cao.dolgi.msk.ru/account/1080013155/", 1080013155)</f>
        <v>1080013155</v>
      </c>
      <c r="D7382" t="s">
        <v>6124</v>
      </c>
      <c r="E7382">
        <v>-14413.96</v>
      </c>
      <c r="F7382">
        <v>-1.1599999999999999</v>
      </c>
      <c r="G7382" t="s">
        <v>12</v>
      </c>
      <c r="I7382" t="s">
        <v>13</v>
      </c>
    </row>
    <row r="7383" spans="1:9" hidden="1" x14ac:dyDescent="0.25">
      <c r="A7383" t="s">
        <v>6115</v>
      </c>
      <c r="B7383" t="s">
        <v>33</v>
      </c>
      <c r="C7383" s="2">
        <f>HYPERLINK("https://cao.dolgi.msk.ru/account/1080013649/", 1080013649)</f>
        <v>1080013649</v>
      </c>
      <c r="D7383" t="s">
        <v>62</v>
      </c>
      <c r="E7383">
        <v>-14088.05</v>
      </c>
      <c r="F7383">
        <v>-1.1499999999999999</v>
      </c>
      <c r="G7383" t="s">
        <v>12</v>
      </c>
      <c r="I7383" t="s">
        <v>13</v>
      </c>
    </row>
    <row r="7384" spans="1:9" hidden="1" x14ac:dyDescent="0.25">
      <c r="A7384" t="s">
        <v>6115</v>
      </c>
      <c r="B7384" t="s">
        <v>263</v>
      </c>
      <c r="C7384" s="2">
        <f>HYPERLINK("https://cao.dolgi.msk.ru/account/1080013657/", 1080013657)</f>
        <v>1080013657</v>
      </c>
      <c r="D7384" t="s">
        <v>62</v>
      </c>
      <c r="E7384">
        <v>-14453.57</v>
      </c>
      <c r="F7384">
        <v>-1.1499999999999999</v>
      </c>
      <c r="G7384" t="s">
        <v>12</v>
      </c>
      <c r="I7384" t="s">
        <v>13</v>
      </c>
    </row>
    <row r="7385" spans="1:9" hidden="1" x14ac:dyDescent="0.25">
      <c r="A7385" t="s">
        <v>6115</v>
      </c>
      <c r="B7385" t="s">
        <v>6125</v>
      </c>
      <c r="C7385" s="2">
        <f>HYPERLINK("https://cao.dolgi.msk.ru/account/1080013665/", 1080013665)</f>
        <v>1080013665</v>
      </c>
      <c r="D7385" t="s">
        <v>6126</v>
      </c>
      <c r="E7385">
        <v>-15657.44</v>
      </c>
      <c r="F7385">
        <v>-1.1599999999999999</v>
      </c>
      <c r="G7385" t="s">
        <v>12</v>
      </c>
      <c r="I7385" t="s">
        <v>13</v>
      </c>
    </row>
    <row r="7386" spans="1:9" hidden="1" x14ac:dyDescent="0.25">
      <c r="A7386" t="s">
        <v>6115</v>
      </c>
      <c r="B7386" t="s">
        <v>34</v>
      </c>
      <c r="C7386" s="2">
        <f>HYPERLINK("https://cao.dolgi.msk.ru/account/1080013163/", 1080013163)</f>
        <v>1080013163</v>
      </c>
      <c r="D7386" t="s">
        <v>6127</v>
      </c>
      <c r="E7386">
        <v>-8560.93</v>
      </c>
      <c r="F7386">
        <v>-1.1200000000000001</v>
      </c>
      <c r="G7386" t="s">
        <v>12</v>
      </c>
      <c r="I7386" t="s">
        <v>13</v>
      </c>
    </row>
    <row r="7387" spans="1:9" hidden="1" x14ac:dyDescent="0.25">
      <c r="A7387" t="s">
        <v>6115</v>
      </c>
      <c r="B7387" t="s">
        <v>39</v>
      </c>
      <c r="C7387" s="2">
        <f>HYPERLINK("https://cao.dolgi.msk.ru/account/1080013198/", 1080013198)</f>
        <v>1080013198</v>
      </c>
      <c r="D7387" t="s">
        <v>6128</v>
      </c>
      <c r="E7387">
        <v>-3060.93</v>
      </c>
      <c r="F7387">
        <v>-0.46</v>
      </c>
      <c r="G7387" t="s">
        <v>12</v>
      </c>
      <c r="H7387" t="s">
        <v>7</v>
      </c>
      <c r="I7387" t="s">
        <v>13</v>
      </c>
    </row>
    <row r="7388" spans="1:9" hidden="1" x14ac:dyDescent="0.25">
      <c r="A7388" t="s">
        <v>6115</v>
      </c>
      <c r="B7388" t="s">
        <v>39</v>
      </c>
      <c r="C7388" s="2">
        <f>HYPERLINK("https://cao.dolgi.msk.ru/account/1080013219/", 1080013219)</f>
        <v>1080013219</v>
      </c>
      <c r="D7388" t="s">
        <v>62</v>
      </c>
      <c r="E7388">
        <v>238.6</v>
      </c>
      <c r="F7388">
        <v>0.11</v>
      </c>
      <c r="G7388" t="s">
        <v>12</v>
      </c>
      <c r="H7388" t="s">
        <v>7</v>
      </c>
      <c r="I7388" t="s">
        <v>13</v>
      </c>
    </row>
    <row r="7389" spans="1:9" hidden="1" x14ac:dyDescent="0.25">
      <c r="A7389" t="s">
        <v>6115</v>
      </c>
      <c r="B7389" t="s">
        <v>41</v>
      </c>
      <c r="C7389" s="2">
        <f>HYPERLINK("https://cao.dolgi.msk.ru/account/1080013227/", 1080013227)</f>
        <v>1080013227</v>
      </c>
      <c r="D7389" t="s">
        <v>6129</v>
      </c>
      <c r="E7389">
        <v>-184.7</v>
      </c>
      <c r="F7389">
        <v>-0.02</v>
      </c>
      <c r="G7389" t="s">
        <v>12</v>
      </c>
      <c r="I7389" t="s">
        <v>13</v>
      </c>
    </row>
    <row r="7390" spans="1:9" hidden="1" x14ac:dyDescent="0.25">
      <c r="A7390" t="s">
        <v>6115</v>
      </c>
      <c r="B7390" t="s">
        <v>42</v>
      </c>
      <c r="C7390" s="2">
        <f>HYPERLINK("https://cao.dolgi.msk.ru/account/1080013243/", 1080013243)</f>
        <v>1080013243</v>
      </c>
      <c r="D7390" t="s">
        <v>62</v>
      </c>
      <c r="E7390">
        <v>-10253.049999999999</v>
      </c>
      <c r="F7390">
        <v>-1.08</v>
      </c>
      <c r="G7390" t="s">
        <v>12</v>
      </c>
      <c r="I7390" t="s">
        <v>13</v>
      </c>
    </row>
    <row r="7391" spans="1:9" hidden="1" x14ac:dyDescent="0.25">
      <c r="A7391" t="s">
        <v>6115</v>
      </c>
      <c r="B7391" t="s">
        <v>44</v>
      </c>
      <c r="C7391" s="2">
        <f>HYPERLINK("https://cao.dolgi.msk.ru/account/1080013235/", 1080013235)</f>
        <v>1080013235</v>
      </c>
      <c r="D7391" t="s">
        <v>6130</v>
      </c>
      <c r="E7391">
        <v>-9878.07</v>
      </c>
      <c r="F7391">
        <v>-1.42</v>
      </c>
      <c r="G7391" t="s">
        <v>12</v>
      </c>
      <c r="I7391" t="s">
        <v>13</v>
      </c>
    </row>
    <row r="7392" spans="1:9" hidden="1" x14ac:dyDescent="0.25">
      <c r="A7392" t="s">
        <v>6115</v>
      </c>
      <c r="B7392" t="s">
        <v>66</v>
      </c>
      <c r="C7392" s="2">
        <f>HYPERLINK("https://cao.dolgi.msk.ru/account/1080013374/", 1080013374)</f>
        <v>1080013374</v>
      </c>
      <c r="D7392" t="s">
        <v>6131</v>
      </c>
      <c r="E7392">
        <v>48.57</v>
      </c>
      <c r="F7392">
        <v>0.01</v>
      </c>
      <c r="G7392" t="s">
        <v>12</v>
      </c>
      <c r="I7392" t="s">
        <v>13</v>
      </c>
    </row>
    <row r="7393" spans="1:9" hidden="1" x14ac:dyDescent="0.25">
      <c r="A7393" t="s">
        <v>6115</v>
      </c>
      <c r="B7393" t="s">
        <v>68</v>
      </c>
      <c r="C7393" s="2">
        <f>HYPERLINK("https://cao.dolgi.msk.ru/account/1080013091/", 1080013091)</f>
        <v>1080013091</v>
      </c>
      <c r="D7393" t="s">
        <v>15</v>
      </c>
      <c r="E7393">
        <v>-1075.99</v>
      </c>
      <c r="F7393">
        <v>-0.13</v>
      </c>
      <c r="G7393" t="s">
        <v>12</v>
      </c>
      <c r="I7393" t="s">
        <v>13</v>
      </c>
    </row>
    <row r="7394" spans="1:9" hidden="1" x14ac:dyDescent="0.25">
      <c r="A7394" t="s">
        <v>6115</v>
      </c>
      <c r="B7394" t="s">
        <v>70</v>
      </c>
      <c r="C7394" s="2">
        <f>HYPERLINK("https://cao.dolgi.msk.ru/account/1080013278/", 1080013278)</f>
        <v>1080013278</v>
      </c>
      <c r="D7394" t="s">
        <v>6132</v>
      </c>
      <c r="E7394">
        <v>-13245.78</v>
      </c>
      <c r="F7394">
        <v>-1.1499999999999999</v>
      </c>
      <c r="G7394" t="s">
        <v>12</v>
      </c>
      <c r="I7394" t="s">
        <v>13</v>
      </c>
    </row>
    <row r="7395" spans="1:9" hidden="1" x14ac:dyDescent="0.25">
      <c r="A7395" t="s">
        <v>6115</v>
      </c>
      <c r="B7395" t="s">
        <v>72</v>
      </c>
      <c r="C7395" s="2">
        <f>HYPERLINK("https://cao.dolgi.msk.ru/account/1080013286/", 1080013286)</f>
        <v>1080013286</v>
      </c>
      <c r="D7395" t="s">
        <v>6133</v>
      </c>
      <c r="E7395">
        <v>-13773.99</v>
      </c>
      <c r="F7395">
        <v>-1.07</v>
      </c>
      <c r="G7395" t="s">
        <v>12</v>
      </c>
      <c r="I7395" t="s">
        <v>13</v>
      </c>
    </row>
    <row r="7396" spans="1:9" hidden="1" x14ac:dyDescent="0.25">
      <c r="A7396" t="s">
        <v>6115</v>
      </c>
      <c r="B7396" t="s">
        <v>74</v>
      </c>
      <c r="C7396" s="2">
        <f>HYPERLINK("https://cao.dolgi.msk.ru/account/1080013294/", 1080013294)</f>
        <v>1080013294</v>
      </c>
      <c r="D7396" t="s">
        <v>6134</v>
      </c>
      <c r="E7396">
        <v>0</v>
      </c>
      <c r="F7396">
        <v>0</v>
      </c>
      <c r="G7396" t="s">
        <v>12</v>
      </c>
      <c r="I7396" t="s">
        <v>13</v>
      </c>
    </row>
    <row r="7397" spans="1:9" hidden="1" x14ac:dyDescent="0.25">
      <c r="A7397" t="s">
        <v>6115</v>
      </c>
      <c r="B7397" t="s">
        <v>76</v>
      </c>
      <c r="C7397" s="2">
        <f>HYPERLINK("https://cao.dolgi.msk.ru/account/1080013307/", 1080013307)</f>
        <v>1080013307</v>
      </c>
      <c r="D7397" t="s">
        <v>6135</v>
      </c>
      <c r="E7397">
        <v>-15020.94</v>
      </c>
      <c r="F7397">
        <v>-1.06</v>
      </c>
      <c r="G7397" t="s">
        <v>12</v>
      </c>
      <c r="I7397" t="s">
        <v>13</v>
      </c>
    </row>
    <row r="7398" spans="1:9" hidden="1" x14ac:dyDescent="0.25">
      <c r="A7398" t="s">
        <v>6115</v>
      </c>
      <c r="B7398" t="s">
        <v>78</v>
      </c>
      <c r="C7398" s="2">
        <f>HYPERLINK("https://cao.dolgi.msk.ru/account/1080008145/", 1080008145)</f>
        <v>1080008145</v>
      </c>
      <c r="D7398" t="s">
        <v>62</v>
      </c>
      <c r="E7398">
        <v>-24147.96</v>
      </c>
      <c r="F7398">
        <v>-2</v>
      </c>
      <c r="G7398" t="s">
        <v>12</v>
      </c>
      <c r="I7398" t="s">
        <v>13</v>
      </c>
    </row>
    <row r="7399" spans="1:9" hidden="1" x14ac:dyDescent="0.25">
      <c r="A7399" t="s">
        <v>6115</v>
      </c>
      <c r="B7399" t="s">
        <v>80</v>
      </c>
      <c r="C7399" s="2">
        <f>HYPERLINK("https://cao.dolgi.msk.ru/account/1080013315/", 1080013315)</f>
        <v>1080013315</v>
      </c>
      <c r="D7399" t="s">
        <v>6136</v>
      </c>
      <c r="E7399">
        <v>-7602.08</v>
      </c>
      <c r="F7399">
        <v>-1.1599999999999999</v>
      </c>
      <c r="G7399" t="s">
        <v>12</v>
      </c>
      <c r="I7399" t="s">
        <v>13</v>
      </c>
    </row>
    <row r="7400" spans="1:9" hidden="1" x14ac:dyDescent="0.25">
      <c r="A7400" t="s">
        <v>6115</v>
      </c>
      <c r="B7400" t="s">
        <v>82</v>
      </c>
      <c r="C7400" s="2">
        <f>HYPERLINK("https://cao.dolgi.msk.ru/account/1080013323/", 1080013323)</f>
        <v>1080013323</v>
      </c>
      <c r="D7400" t="s">
        <v>6137</v>
      </c>
      <c r="E7400">
        <v>-13392.15</v>
      </c>
      <c r="F7400">
        <v>-1.06</v>
      </c>
      <c r="G7400" t="s">
        <v>12</v>
      </c>
      <c r="I7400" t="s">
        <v>13</v>
      </c>
    </row>
    <row r="7401" spans="1:9" hidden="1" x14ac:dyDescent="0.25">
      <c r="A7401" t="s">
        <v>6115</v>
      </c>
      <c r="B7401" t="s">
        <v>86</v>
      </c>
      <c r="C7401" s="2">
        <f>HYPERLINK("https://cao.dolgi.msk.ru/account/1080013358/", 1080013358)</f>
        <v>1080013358</v>
      </c>
      <c r="D7401" t="s">
        <v>6138</v>
      </c>
      <c r="E7401">
        <v>-9485.7800000000007</v>
      </c>
      <c r="F7401">
        <v>-1.1299999999999999</v>
      </c>
      <c r="G7401" t="s">
        <v>12</v>
      </c>
      <c r="I7401" t="s">
        <v>13</v>
      </c>
    </row>
    <row r="7402" spans="1:9" hidden="1" x14ac:dyDescent="0.25">
      <c r="A7402" t="s">
        <v>6115</v>
      </c>
      <c r="B7402" t="s">
        <v>88</v>
      </c>
      <c r="C7402" s="2">
        <f>HYPERLINK("https://cao.dolgi.msk.ru/account/1080013366/", 1080013366)</f>
        <v>1080013366</v>
      </c>
      <c r="D7402" t="s">
        <v>6139</v>
      </c>
      <c r="E7402">
        <v>-7581.39</v>
      </c>
      <c r="F7402">
        <v>-1.08</v>
      </c>
      <c r="G7402" t="s">
        <v>12</v>
      </c>
      <c r="I7402" t="s">
        <v>13</v>
      </c>
    </row>
    <row r="7403" spans="1:9" hidden="1" x14ac:dyDescent="0.25">
      <c r="A7403" t="s">
        <v>6115</v>
      </c>
      <c r="B7403" t="s">
        <v>90</v>
      </c>
      <c r="C7403" s="2">
        <f>HYPERLINK("https://cao.dolgi.msk.ru/account/1080013382/", 1080013382)</f>
        <v>1080013382</v>
      </c>
      <c r="D7403" t="s">
        <v>62</v>
      </c>
      <c r="E7403">
        <v>-13835.32</v>
      </c>
      <c r="F7403">
        <v>-1.18</v>
      </c>
      <c r="G7403" t="s">
        <v>12</v>
      </c>
      <c r="I7403" t="s">
        <v>13</v>
      </c>
    </row>
    <row r="7404" spans="1:9" hidden="1" x14ac:dyDescent="0.25">
      <c r="A7404" t="s">
        <v>6115</v>
      </c>
      <c r="B7404" t="s">
        <v>90</v>
      </c>
      <c r="C7404" s="2">
        <f>HYPERLINK("https://cao.dolgi.msk.ru/account/1083284233/", 1083284233)</f>
        <v>1083284233</v>
      </c>
      <c r="D7404" t="s">
        <v>15</v>
      </c>
      <c r="E7404">
        <v>-4339.29</v>
      </c>
      <c r="F7404">
        <v>-619.9</v>
      </c>
      <c r="G7404" t="s">
        <v>14</v>
      </c>
      <c r="I7404" t="s">
        <v>13</v>
      </c>
    </row>
    <row r="7405" spans="1:9" hidden="1" x14ac:dyDescent="0.25">
      <c r="A7405" t="s">
        <v>6115</v>
      </c>
      <c r="B7405" t="s">
        <v>90</v>
      </c>
      <c r="C7405" s="2">
        <f>HYPERLINK("https://cao.dolgi.msk.ru/account/1089131852/", 1089131852)</f>
        <v>1089131852</v>
      </c>
      <c r="D7405" t="s">
        <v>6140</v>
      </c>
      <c r="E7405">
        <v>85.98</v>
      </c>
      <c r="F7405">
        <v>1</v>
      </c>
      <c r="G7405" t="s">
        <v>14</v>
      </c>
      <c r="I7405" t="s">
        <v>13</v>
      </c>
    </row>
    <row r="7406" spans="1:9" hidden="1" x14ac:dyDescent="0.25">
      <c r="A7406" t="s">
        <v>6115</v>
      </c>
      <c r="B7406" t="s">
        <v>92</v>
      </c>
      <c r="C7406" s="2">
        <f>HYPERLINK("https://cao.dolgi.msk.ru/account/1080012902/", 1080012902)</f>
        <v>1080012902</v>
      </c>
      <c r="D7406" t="s">
        <v>62</v>
      </c>
      <c r="E7406">
        <v>-13525.69</v>
      </c>
      <c r="F7406">
        <v>-1.21</v>
      </c>
      <c r="G7406" t="s">
        <v>12</v>
      </c>
      <c r="I7406" t="s">
        <v>13</v>
      </c>
    </row>
    <row r="7407" spans="1:9" hidden="1" x14ac:dyDescent="0.25">
      <c r="A7407" t="s">
        <v>6115</v>
      </c>
      <c r="B7407" t="s">
        <v>94</v>
      </c>
      <c r="C7407" s="2">
        <f>HYPERLINK("https://cao.dolgi.msk.ru/account/1080013403/", 1080013403)</f>
        <v>1080013403</v>
      </c>
      <c r="D7407" t="s">
        <v>62</v>
      </c>
      <c r="E7407">
        <v>-12773.73</v>
      </c>
      <c r="F7407">
        <v>-1.1399999999999999</v>
      </c>
      <c r="G7407" t="s">
        <v>12</v>
      </c>
      <c r="I7407" t="s">
        <v>13</v>
      </c>
    </row>
    <row r="7408" spans="1:9" hidden="1" x14ac:dyDescent="0.25">
      <c r="A7408" t="s">
        <v>6115</v>
      </c>
      <c r="B7408" t="s">
        <v>96</v>
      </c>
      <c r="C7408" s="2">
        <f>HYPERLINK("https://cao.dolgi.msk.ru/account/1080013411/", 1080013411)</f>
        <v>1080013411</v>
      </c>
      <c r="D7408" t="s">
        <v>6141</v>
      </c>
      <c r="E7408">
        <v>-31314.01</v>
      </c>
      <c r="F7408">
        <v>-3.82</v>
      </c>
      <c r="G7408" t="s">
        <v>12</v>
      </c>
      <c r="I7408" t="s">
        <v>13</v>
      </c>
    </row>
    <row r="7409" spans="1:9" hidden="1" x14ac:dyDescent="0.25">
      <c r="A7409" t="s">
        <v>6115</v>
      </c>
      <c r="B7409" t="s">
        <v>98</v>
      </c>
      <c r="C7409" s="2">
        <f>HYPERLINK("https://cao.dolgi.msk.ru/account/1080013438/", 1080013438)</f>
        <v>1080013438</v>
      </c>
      <c r="D7409" t="s">
        <v>6142</v>
      </c>
      <c r="E7409">
        <v>-358.88</v>
      </c>
      <c r="F7409">
        <v>-0.03</v>
      </c>
      <c r="G7409" t="s">
        <v>12</v>
      </c>
      <c r="I7409" t="s">
        <v>13</v>
      </c>
    </row>
    <row r="7410" spans="1:9" hidden="1" x14ac:dyDescent="0.25">
      <c r="A7410" t="s">
        <v>6115</v>
      </c>
      <c r="B7410" t="s">
        <v>100</v>
      </c>
      <c r="C7410" s="2">
        <f>HYPERLINK("https://cao.dolgi.msk.ru/account/1080013446/", 1080013446)</f>
        <v>1080013446</v>
      </c>
      <c r="D7410" t="s">
        <v>15</v>
      </c>
      <c r="E7410">
        <v>-26351.67</v>
      </c>
      <c r="F7410">
        <v>-1.1399999999999999</v>
      </c>
      <c r="G7410" t="s">
        <v>12</v>
      </c>
      <c r="I7410" t="s">
        <v>13</v>
      </c>
    </row>
    <row r="7411" spans="1:9" hidden="1" x14ac:dyDescent="0.25">
      <c r="A7411" t="s">
        <v>6115</v>
      </c>
      <c r="B7411" t="s">
        <v>102</v>
      </c>
      <c r="C7411" s="2">
        <f>HYPERLINK("https://cao.dolgi.msk.ru/account/1080013462/", 1080013462)</f>
        <v>1080013462</v>
      </c>
      <c r="D7411" t="s">
        <v>6143</v>
      </c>
      <c r="E7411">
        <v>12936.32</v>
      </c>
      <c r="F7411">
        <v>0.87</v>
      </c>
      <c r="G7411" t="s">
        <v>12</v>
      </c>
      <c r="I7411" t="s">
        <v>13</v>
      </c>
    </row>
    <row r="7412" spans="1:9" hidden="1" x14ac:dyDescent="0.25">
      <c r="A7412" t="s">
        <v>6115</v>
      </c>
      <c r="B7412" t="s">
        <v>104</v>
      </c>
      <c r="C7412" s="2">
        <f>HYPERLINK("https://cao.dolgi.msk.ru/account/1080013454/", 1080013454)</f>
        <v>1080013454</v>
      </c>
      <c r="D7412" t="s">
        <v>6144</v>
      </c>
      <c r="E7412">
        <v>-11628.01</v>
      </c>
      <c r="F7412">
        <v>-1.0900000000000001</v>
      </c>
      <c r="G7412" t="s">
        <v>12</v>
      </c>
      <c r="I7412" t="s">
        <v>13</v>
      </c>
    </row>
    <row r="7413" spans="1:9" hidden="1" x14ac:dyDescent="0.25">
      <c r="A7413" t="s">
        <v>6145</v>
      </c>
      <c r="B7413" t="s">
        <v>10</v>
      </c>
      <c r="C7413" s="2">
        <f>HYPERLINK("https://cao.dolgi.msk.ru/account/1080013673/", 1080013673)</f>
        <v>1080013673</v>
      </c>
      <c r="D7413" t="s">
        <v>6146</v>
      </c>
      <c r="E7413">
        <v>-8501.2000000000007</v>
      </c>
      <c r="F7413">
        <v>-0.86</v>
      </c>
      <c r="G7413" t="s">
        <v>12</v>
      </c>
      <c r="I7413" t="s">
        <v>13</v>
      </c>
    </row>
    <row r="7414" spans="1:9" hidden="1" x14ac:dyDescent="0.25">
      <c r="A7414" t="s">
        <v>6145</v>
      </c>
      <c r="B7414" t="s">
        <v>16</v>
      </c>
      <c r="C7414" s="2">
        <f>HYPERLINK("https://cao.dolgi.msk.ru/account/1080013681/", 1080013681)</f>
        <v>1080013681</v>
      </c>
      <c r="D7414" t="s">
        <v>6147</v>
      </c>
      <c r="E7414">
        <v>-5255.31</v>
      </c>
      <c r="F7414">
        <v>-1.1599999999999999</v>
      </c>
      <c r="G7414" t="s">
        <v>12</v>
      </c>
      <c r="I7414" t="s">
        <v>13</v>
      </c>
    </row>
    <row r="7415" spans="1:9" hidden="1" x14ac:dyDescent="0.25">
      <c r="A7415" t="s">
        <v>6145</v>
      </c>
      <c r="B7415" t="s">
        <v>18</v>
      </c>
      <c r="C7415" s="2">
        <f>HYPERLINK("https://cao.dolgi.msk.ru/account/1080013702/", 1080013702)</f>
        <v>1080013702</v>
      </c>
      <c r="D7415" t="s">
        <v>6148</v>
      </c>
      <c r="E7415">
        <v>-6659.22</v>
      </c>
      <c r="F7415">
        <v>-0.95</v>
      </c>
      <c r="G7415" t="s">
        <v>12</v>
      </c>
      <c r="I7415" t="s">
        <v>13</v>
      </c>
    </row>
    <row r="7416" spans="1:9" hidden="1" x14ac:dyDescent="0.25">
      <c r="A7416" t="s">
        <v>6145</v>
      </c>
      <c r="B7416" t="s">
        <v>20</v>
      </c>
      <c r="C7416" s="2">
        <f>HYPERLINK("https://cao.dolgi.msk.ru/account/1080013729/", 1080013729)</f>
        <v>1080013729</v>
      </c>
      <c r="D7416" t="s">
        <v>6149</v>
      </c>
      <c r="E7416">
        <v>-10358.66</v>
      </c>
      <c r="F7416">
        <v>-0.91</v>
      </c>
      <c r="G7416" t="s">
        <v>12</v>
      </c>
      <c r="I7416" t="s">
        <v>13</v>
      </c>
    </row>
    <row r="7417" spans="1:9" hidden="1" x14ac:dyDescent="0.25">
      <c r="A7417" t="s">
        <v>6145</v>
      </c>
      <c r="B7417" t="s">
        <v>21</v>
      </c>
      <c r="C7417" s="2">
        <f>HYPERLINK("https://cao.dolgi.msk.ru/account/1080013737/", 1080013737)</f>
        <v>1080013737</v>
      </c>
      <c r="D7417" t="s">
        <v>6150</v>
      </c>
      <c r="E7417">
        <v>-15595</v>
      </c>
      <c r="F7417">
        <v>-0.86</v>
      </c>
      <c r="G7417" t="s">
        <v>12</v>
      </c>
      <c r="I7417" t="s">
        <v>13</v>
      </c>
    </row>
    <row r="7418" spans="1:9" hidden="1" x14ac:dyDescent="0.25">
      <c r="A7418" t="s">
        <v>6145</v>
      </c>
      <c r="B7418" t="s">
        <v>22</v>
      </c>
      <c r="C7418" s="2">
        <f>HYPERLINK("https://cao.dolgi.msk.ru/account/1080013745/", 1080013745)</f>
        <v>1080013745</v>
      </c>
      <c r="D7418" t="s">
        <v>6151</v>
      </c>
      <c r="E7418">
        <v>-192.08</v>
      </c>
      <c r="F7418">
        <v>-0.02</v>
      </c>
      <c r="G7418" t="s">
        <v>12</v>
      </c>
      <c r="I7418" t="s">
        <v>13</v>
      </c>
    </row>
    <row r="7419" spans="1:9" hidden="1" x14ac:dyDescent="0.25">
      <c r="A7419" t="s">
        <v>6145</v>
      </c>
      <c r="B7419" t="s">
        <v>23</v>
      </c>
      <c r="C7419" s="2">
        <f>HYPERLINK("https://cao.dolgi.msk.ru/account/1080013753/", 1080013753)</f>
        <v>1080013753</v>
      </c>
      <c r="D7419" t="s">
        <v>6152</v>
      </c>
      <c r="E7419">
        <v>-12966.04</v>
      </c>
      <c r="F7419">
        <v>-0.87</v>
      </c>
      <c r="G7419" t="s">
        <v>12</v>
      </c>
      <c r="I7419" t="s">
        <v>13</v>
      </c>
    </row>
    <row r="7420" spans="1:9" hidden="1" x14ac:dyDescent="0.25">
      <c r="A7420" t="s">
        <v>6145</v>
      </c>
      <c r="B7420" t="s">
        <v>24</v>
      </c>
      <c r="C7420" s="2">
        <f>HYPERLINK("https://cao.dolgi.msk.ru/account/1080013761/", 1080013761)</f>
        <v>1080013761</v>
      </c>
      <c r="D7420" t="s">
        <v>6153</v>
      </c>
      <c r="E7420">
        <v>-9080.7199999999993</v>
      </c>
      <c r="F7420">
        <v>-0.83</v>
      </c>
      <c r="G7420" t="s">
        <v>12</v>
      </c>
      <c r="I7420" t="s">
        <v>13</v>
      </c>
    </row>
    <row r="7421" spans="1:9" hidden="1" x14ac:dyDescent="0.25">
      <c r="A7421" t="s">
        <v>6145</v>
      </c>
      <c r="B7421" t="s">
        <v>27</v>
      </c>
      <c r="C7421" s="2">
        <f>HYPERLINK("https://cao.dolgi.msk.ru/account/1080013788/", 1080013788)</f>
        <v>1080013788</v>
      </c>
      <c r="D7421" t="s">
        <v>6154</v>
      </c>
      <c r="E7421">
        <v>-39564.42</v>
      </c>
      <c r="F7421">
        <v>-2.75</v>
      </c>
      <c r="G7421" t="s">
        <v>12</v>
      </c>
      <c r="I7421" t="s">
        <v>13</v>
      </c>
    </row>
    <row r="7422" spans="1:9" hidden="1" x14ac:dyDescent="0.25">
      <c r="A7422" t="s">
        <v>6145</v>
      </c>
      <c r="B7422" t="s">
        <v>29</v>
      </c>
      <c r="C7422" s="2">
        <f>HYPERLINK("https://cao.dolgi.msk.ru/account/1080013796/", 1080013796)</f>
        <v>1080013796</v>
      </c>
      <c r="D7422" t="s">
        <v>6155</v>
      </c>
      <c r="E7422">
        <v>-9610.61</v>
      </c>
      <c r="F7422">
        <v>-1.02</v>
      </c>
      <c r="G7422" t="s">
        <v>12</v>
      </c>
      <c r="I7422" t="s">
        <v>13</v>
      </c>
    </row>
    <row r="7423" spans="1:9" x14ac:dyDescent="0.25">
      <c r="A7423" t="s">
        <v>6145</v>
      </c>
      <c r="B7423" t="s">
        <v>31</v>
      </c>
      <c r="C7423" s="2">
        <f>HYPERLINK("https://cao.dolgi.msk.ru/account/1089118121/", 1089118121)</f>
        <v>1089118121</v>
      </c>
      <c r="D7423" t="s">
        <v>15</v>
      </c>
      <c r="E7423">
        <v>8277.35</v>
      </c>
      <c r="F7423">
        <v>1.52</v>
      </c>
      <c r="G7423" t="s">
        <v>12</v>
      </c>
      <c r="I7423" t="s">
        <v>13</v>
      </c>
    </row>
    <row r="7424" spans="1:9" hidden="1" x14ac:dyDescent="0.25">
      <c r="A7424" t="s">
        <v>6145</v>
      </c>
      <c r="B7424" t="s">
        <v>33</v>
      </c>
      <c r="C7424" s="2">
        <f>HYPERLINK("https://cao.dolgi.msk.ru/account/1080013809/", 1080013809)</f>
        <v>1080013809</v>
      </c>
      <c r="D7424" t="s">
        <v>6156</v>
      </c>
      <c r="E7424">
        <v>-5473.11</v>
      </c>
      <c r="F7424">
        <v>-0.79</v>
      </c>
      <c r="G7424" t="s">
        <v>12</v>
      </c>
      <c r="I7424" t="s">
        <v>13</v>
      </c>
    </row>
    <row r="7425" spans="1:9" hidden="1" x14ac:dyDescent="0.25">
      <c r="A7425" t="s">
        <v>6145</v>
      </c>
      <c r="B7425" t="s">
        <v>34</v>
      </c>
      <c r="C7425" s="2">
        <f>HYPERLINK("https://cao.dolgi.msk.ru/account/1080013817/", 1080013817)</f>
        <v>1080013817</v>
      </c>
      <c r="D7425" t="s">
        <v>6157</v>
      </c>
      <c r="E7425">
        <v>-22934.81</v>
      </c>
      <c r="F7425">
        <v>-1.53</v>
      </c>
      <c r="G7425" t="s">
        <v>12</v>
      </c>
      <c r="I7425" t="s">
        <v>13</v>
      </c>
    </row>
    <row r="7426" spans="1:9" hidden="1" x14ac:dyDescent="0.25">
      <c r="A7426" t="s">
        <v>6145</v>
      </c>
      <c r="B7426" t="s">
        <v>36</v>
      </c>
      <c r="C7426" s="2">
        <f>HYPERLINK("https://cao.dolgi.msk.ru/account/1080013825/", 1080013825)</f>
        <v>1080013825</v>
      </c>
      <c r="D7426" t="s">
        <v>62</v>
      </c>
      <c r="E7426">
        <v>-8021.44</v>
      </c>
      <c r="F7426">
        <v>-0.81</v>
      </c>
      <c r="G7426" t="s">
        <v>12</v>
      </c>
      <c r="I7426" t="s">
        <v>13</v>
      </c>
    </row>
    <row r="7427" spans="1:9" hidden="1" x14ac:dyDescent="0.25">
      <c r="A7427" t="s">
        <v>6145</v>
      </c>
      <c r="B7427" t="s">
        <v>38</v>
      </c>
      <c r="C7427" s="2">
        <f>HYPERLINK("https://cao.dolgi.msk.ru/account/1080013833/", 1080013833)</f>
        <v>1080013833</v>
      </c>
      <c r="D7427" t="s">
        <v>15</v>
      </c>
      <c r="E7427">
        <v>0</v>
      </c>
      <c r="G7427" t="s">
        <v>14</v>
      </c>
      <c r="I7427" t="s">
        <v>13</v>
      </c>
    </row>
    <row r="7428" spans="1:9" hidden="1" x14ac:dyDescent="0.25">
      <c r="A7428" t="s">
        <v>6145</v>
      </c>
      <c r="B7428" t="s">
        <v>38</v>
      </c>
      <c r="C7428" s="2">
        <f>HYPERLINK("https://cao.dolgi.msk.ru/account/1083371062/", 1083371062)</f>
        <v>1083371062</v>
      </c>
      <c r="D7428" t="s">
        <v>15</v>
      </c>
      <c r="E7428">
        <v>0</v>
      </c>
      <c r="G7428" t="s">
        <v>14</v>
      </c>
      <c r="I7428" t="s">
        <v>13</v>
      </c>
    </row>
    <row r="7429" spans="1:9" hidden="1" x14ac:dyDescent="0.25">
      <c r="A7429" t="s">
        <v>6145</v>
      </c>
      <c r="B7429" t="s">
        <v>38</v>
      </c>
      <c r="C7429" s="2">
        <f>HYPERLINK("https://cao.dolgi.msk.ru/account/1083371089/", 1083371089)</f>
        <v>1083371089</v>
      </c>
      <c r="D7429" t="s">
        <v>15</v>
      </c>
      <c r="E7429">
        <v>0</v>
      </c>
      <c r="G7429" t="s">
        <v>14</v>
      </c>
      <c r="I7429" t="s">
        <v>13</v>
      </c>
    </row>
    <row r="7430" spans="1:9" hidden="1" x14ac:dyDescent="0.25">
      <c r="A7430" t="s">
        <v>6145</v>
      </c>
      <c r="B7430" t="s">
        <v>38</v>
      </c>
      <c r="C7430" s="2">
        <f>HYPERLINK("https://cao.dolgi.msk.ru/account/1083371097/", 1083371097)</f>
        <v>1083371097</v>
      </c>
      <c r="D7430" t="s">
        <v>15</v>
      </c>
      <c r="E7430">
        <v>-149184.26999999999</v>
      </c>
      <c r="F7430">
        <v>-9.1300000000000008</v>
      </c>
      <c r="G7430" t="s">
        <v>12</v>
      </c>
      <c r="I7430" t="s">
        <v>13</v>
      </c>
    </row>
    <row r="7431" spans="1:9" hidden="1" x14ac:dyDescent="0.25">
      <c r="A7431" t="s">
        <v>6145</v>
      </c>
      <c r="B7431" t="s">
        <v>39</v>
      </c>
      <c r="C7431" s="2">
        <f>HYPERLINK("https://cao.dolgi.msk.ru/account/1080013841/", 1080013841)</f>
        <v>1080013841</v>
      </c>
      <c r="D7431" t="s">
        <v>6158</v>
      </c>
      <c r="E7431">
        <v>-11452.85</v>
      </c>
      <c r="F7431">
        <v>-0.79</v>
      </c>
      <c r="G7431" t="s">
        <v>12</v>
      </c>
      <c r="I7431" t="s">
        <v>13</v>
      </c>
    </row>
    <row r="7432" spans="1:9" hidden="1" x14ac:dyDescent="0.25">
      <c r="A7432" t="s">
        <v>6145</v>
      </c>
      <c r="B7432" t="s">
        <v>40</v>
      </c>
      <c r="C7432" s="2">
        <f>HYPERLINK("https://cao.dolgi.msk.ru/account/1080013868/", 1080013868)</f>
        <v>1080013868</v>
      </c>
      <c r="D7432" t="s">
        <v>6159</v>
      </c>
      <c r="E7432">
        <v>-14977.49</v>
      </c>
      <c r="F7432">
        <v>-0.81</v>
      </c>
      <c r="G7432" t="s">
        <v>12</v>
      </c>
      <c r="I7432" t="s">
        <v>13</v>
      </c>
    </row>
    <row r="7433" spans="1:9" hidden="1" x14ac:dyDescent="0.25">
      <c r="A7433" t="s">
        <v>6145</v>
      </c>
      <c r="B7433" t="s">
        <v>41</v>
      </c>
      <c r="C7433" s="2">
        <f>HYPERLINK("https://cao.dolgi.msk.ru/account/1080013876/", 1080013876)</f>
        <v>1080013876</v>
      </c>
      <c r="D7433" t="s">
        <v>6160</v>
      </c>
      <c r="E7433">
        <v>-14626.27</v>
      </c>
      <c r="F7433">
        <v>-1.24</v>
      </c>
      <c r="G7433" t="s">
        <v>12</v>
      </c>
      <c r="I7433" t="s">
        <v>13</v>
      </c>
    </row>
    <row r="7434" spans="1:9" hidden="1" x14ac:dyDescent="0.25">
      <c r="A7434" t="s">
        <v>6161</v>
      </c>
      <c r="B7434" t="s">
        <v>16</v>
      </c>
      <c r="C7434" s="2">
        <f>HYPERLINK("https://cao.dolgi.msk.ru/account/1080134256/", 1080134256)</f>
        <v>1080134256</v>
      </c>
      <c r="D7434" t="s">
        <v>6162</v>
      </c>
      <c r="E7434">
        <v>0</v>
      </c>
      <c r="F7434">
        <v>0</v>
      </c>
      <c r="G7434" t="s">
        <v>12</v>
      </c>
      <c r="I7434" t="s">
        <v>2409</v>
      </c>
    </row>
    <row r="7435" spans="1:9" hidden="1" x14ac:dyDescent="0.25">
      <c r="A7435" t="s">
        <v>6161</v>
      </c>
      <c r="B7435" t="s">
        <v>18</v>
      </c>
      <c r="C7435" s="2">
        <f>HYPERLINK("https://cao.dolgi.msk.ru/account/1080134264/", 1080134264)</f>
        <v>1080134264</v>
      </c>
      <c r="D7435" t="s">
        <v>6163</v>
      </c>
      <c r="E7435">
        <v>-257.83</v>
      </c>
      <c r="F7435">
        <v>-0.03</v>
      </c>
      <c r="G7435" t="s">
        <v>12</v>
      </c>
      <c r="I7435" t="s">
        <v>2409</v>
      </c>
    </row>
    <row r="7436" spans="1:9" hidden="1" x14ac:dyDescent="0.25">
      <c r="A7436" t="s">
        <v>6161</v>
      </c>
      <c r="B7436" t="s">
        <v>20</v>
      </c>
      <c r="C7436" s="2">
        <f>HYPERLINK("https://cao.dolgi.msk.ru/account/1080134272/", 1080134272)</f>
        <v>1080134272</v>
      </c>
      <c r="D7436" t="s">
        <v>6164</v>
      </c>
      <c r="E7436">
        <v>-7371.47</v>
      </c>
      <c r="F7436">
        <v>-1.0900000000000001</v>
      </c>
      <c r="G7436" t="s">
        <v>12</v>
      </c>
      <c r="I7436" t="s">
        <v>2409</v>
      </c>
    </row>
    <row r="7437" spans="1:9" hidden="1" x14ac:dyDescent="0.25">
      <c r="A7437" t="s">
        <v>6161</v>
      </c>
      <c r="B7437" t="s">
        <v>21</v>
      </c>
      <c r="C7437" s="2">
        <f>HYPERLINK("https://cao.dolgi.msk.ru/account/1080134299/", 1080134299)</f>
        <v>1080134299</v>
      </c>
      <c r="D7437" t="s">
        <v>6165</v>
      </c>
      <c r="E7437">
        <v>8631.59</v>
      </c>
      <c r="F7437">
        <v>0.92</v>
      </c>
      <c r="G7437" t="s">
        <v>12</v>
      </c>
      <c r="I7437" t="s">
        <v>2409</v>
      </c>
    </row>
    <row r="7438" spans="1:9" hidden="1" x14ac:dyDescent="0.25">
      <c r="A7438" t="s">
        <v>6161</v>
      </c>
      <c r="B7438" t="s">
        <v>21</v>
      </c>
      <c r="C7438" s="2">
        <f>HYPERLINK("https://cao.dolgi.msk.ru/account/1089131465/", 1089131465)</f>
        <v>1089131465</v>
      </c>
      <c r="D7438" t="s">
        <v>15</v>
      </c>
      <c r="E7438">
        <v>-1673.21</v>
      </c>
      <c r="F7438">
        <v>-0.37</v>
      </c>
      <c r="G7438" t="s">
        <v>12</v>
      </c>
      <c r="I7438" t="s">
        <v>2409</v>
      </c>
    </row>
    <row r="7439" spans="1:9" x14ac:dyDescent="0.25">
      <c r="A7439" t="s">
        <v>6161</v>
      </c>
      <c r="B7439" t="s">
        <v>22</v>
      </c>
      <c r="C7439" s="2">
        <f>HYPERLINK("https://cao.dolgi.msk.ru/account/1080134301/", 1080134301)</f>
        <v>1080134301</v>
      </c>
      <c r="D7439" t="s">
        <v>6166</v>
      </c>
      <c r="E7439">
        <v>7605.75</v>
      </c>
      <c r="F7439">
        <v>1.02</v>
      </c>
      <c r="G7439" t="s">
        <v>12</v>
      </c>
      <c r="I7439" t="s">
        <v>2409</v>
      </c>
    </row>
    <row r="7440" spans="1:9" hidden="1" x14ac:dyDescent="0.25">
      <c r="A7440" t="s">
        <v>6161</v>
      </c>
      <c r="B7440" t="s">
        <v>23</v>
      </c>
      <c r="C7440" s="2">
        <f>HYPERLINK("https://cao.dolgi.msk.ru/account/1080134328/", 1080134328)</f>
        <v>1080134328</v>
      </c>
      <c r="D7440" t="s">
        <v>6167</v>
      </c>
      <c r="E7440">
        <v>9022.33</v>
      </c>
      <c r="F7440">
        <v>0.94</v>
      </c>
      <c r="G7440" t="s">
        <v>12</v>
      </c>
      <c r="I7440" t="s">
        <v>2409</v>
      </c>
    </row>
    <row r="7441" spans="1:9" hidden="1" x14ac:dyDescent="0.25">
      <c r="A7441" t="s">
        <v>6161</v>
      </c>
      <c r="B7441" t="s">
        <v>24</v>
      </c>
      <c r="C7441" s="2">
        <f>HYPERLINK("https://cao.dolgi.msk.ru/account/1080134336/", 1080134336)</f>
        <v>1080134336</v>
      </c>
      <c r="D7441" t="s">
        <v>6168</v>
      </c>
      <c r="E7441">
        <v>-10200.58</v>
      </c>
      <c r="F7441">
        <v>-1.1599999999999999</v>
      </c>
      <c r="G7441" t="s">
        <v>12</v>
      </c>
      <c r="I7441" t="s">
        <v>2409</v>
      </c>
    </row>
    <row r="7442" spans="1:9" hidden="1" x14ac:dyDescent="0.25">
      <c r="A7442" t="s">
        <v>6161</v>
      </c>
      <c r="B7442" t="s">
        <v>27</v>
      </c>
      <c r="C7442" s="2">
        <f>HYPERLINK("https://cao.dolgi.msk.ru/account/1080134344/", 1080134344)</f>
        <v>1080134344</v>
      </c>
      <c r="D7442" t="s">
        <v>6169</v>
      </c>
      <c r="E7442">
        <v>13825.72</v>
      </c>
      <c r="F7442">
        <v>1</v>
      </c>
      <c r="G7442" t="s">
        <v>12</v>
      </c>
      <c r="I7442" t="s">
        <v>2409</v>
      </c>
    </row>
    <row r="7443" spans="1:9" hidden="1" x14ac:dyDescent="0.25">
      <c r="A7443" t="s">
        <v>6161</v>
      </c>
      <c r="B7443" t="s">
        <v>29</v>
      </c>
      <c r="C7443" s="2">
        <f>HYPERLINK("https://cao.dolgi.msk.ru/account/1080134352/", 1080134352)</f>
        <v>1080134352</v>
      </c>
      <c r="D7443" t="s">
        <v>6170</v>
      </c>
      <c r="E7443">
        <v>3.09</v>
      </c>
      <c r="F7443">
        <v>0</v>
      </c>
      <c r="G7443" t="s">
        <v>12</v>
      </c>
      <c r="I7443" t="s">
        <v>2409</v>
      </c>
    </row>
    <row r="7444" spans="1:9" hidden="1" x14ac:dyDescent="0.25">
      <c r="A7444" t="s">
        <v>6161</v>
      </c>
      <c r="B7444" t="s">
        <v>31</v>
      </c>
      <c r="C7444" s="2">
        <f>HYPERLINK("https://cao.dolgi.msk.ru/account/1080134379/", 1080134379)</f>
        <v>1080134379</v>
      </c>
      <c r="D7444" t="s">
        <v>6171</v>
      </c>
      <c r="E7444">
        <v>-8779.74</v>
      </c>
      <c r="F7444">
        <v>-1.08</v>
      </c>
      <c r="G7444" t="s">
        <v>12</v>
      </c>
      <c r="I7444" t="s">
        <v>2409</v>
      </c>
    </row>
    <row r="7445" spans="1:9" hidden="1" x14ac:dyDescent="0.25">
      <c r="A7445" t="s">
        <v>6161</v>
      </c>
      <c r="B7445" t="s">
        <v>33</v>
      </c>
      <c r="C7445" s="2">
        <f>HYPERLINK("https://cao.dolgi.msk.ru/account/1080134387/", 1080134387)</f>
        <v>1080134387</v>
      </c>
      <c r="D7445" t="s">
        <v>6172</v>
      </c>
      <c r="E7445">
        <v>-9741.77</v>
      </c>
      <c r="F7445">
        <v>-0.84</v>
      </c>
      <c r="G7445" t="s">
        <v>12</v>
      </c>
      <c r="I7445" t="s">
        <v>2409</v>
      </c>
    </row>
    <row r="7446" spans="1:9" hidden="1" x14ac:dyDescent="0.25">
      <c r="A7446" t="s">
        <v>6161</v>
      </c>
      <c r="B7446" t="s">
        <v>34</v>
      </c>
      <c r="C7446" s="2">
        <f>HYPERLINK("https://cao.dolgi.msk.ru/account/1080134395/", 1080134395)</f>
        <v>1080134395</v>
      </c>
      <c r="D7446" t="s">
        <v>6173</v>
      </c>
      <c r="E7446">
        <v>-11253.71</v>
      </c>
      <c r="F7446">
        <v>-1.07</v>
      </c>
      <c r="G7446" t="s">
        <v>12</v>
      </c>
      <c r="I7446" t="s">
        <v>2409</v>
      </c>
    </row>
    <row r="7447" spans="1:9" hidden="1" x14ac:dyDescent="0.25">
      <c r="A7447" t="s">
        <v>6161</v>
      </c>
      <c r="B7447" t="s">
        <v>36</v>
      </c>
      <c r="C7447" s="2">
        <f>HYPERLINK("https://cao.dolgi.msk.ru/account/1080134408/", 1080134408)</f>
        <v>1080134408</v>
      </c>
      <c r="D7447" t="s">
        <v>6174</v>
      </c>
      <c r="E7447">
        <v>-4592.1000000000004</v>
      </c>
      <c r="F7447">
        <v>-1.0900000000000001</v>
      </c>
      <c r="G7447" t="s">
        <v>12</v>
      </c>
      <c r="I7447" t="s">
        <v>2409</v>
      </c>
    </row>
    <row r="7448" spans="1:9" x14ac:dyDescent="0.25">
      <c r="A7448" t="s">
        <v>6161</v>
      </c>
      <c r="B7448" t="s">
        <v>38</v>
      </c>
      <c r="C7448" s="2">
        <f>HYPERLINK("https://cao.dolgi.msk.ru/account/1080134416/", 1080134416)</f>
        <v>1080134416</v>
      </c>
      <c r="D7448" t="s">
        <v>1082</v>
      </c>
      <c r="E7448">
        <v>114502.93</v>
      </c>
      <c r="F7448">
        <v>12.93</v>
      </c>
      <c r="G7448" t="s">
        <v>12</v>
      </c>
      <c r="I7448" t="s">
        <v>2409</v>
      </c>
    </row>
    <row r="7449" spans="1:9" hidden="1" x14ac:dyDescent="0.25">
      <c r="A7449" t="s">
        <v>6161</v>
      </c>
      <c r="B7449" t="s">
        <v>39</v>
      </c>
      <c r="C7449" s="2">
        <f>HYPERLINK("https://cao.dolgi.msk.ru/account/1080134424/", 1080134424)</f>
        <v>1080134424</v>
      </c>
      <c r="D7449" t="s">
        <v>1082</v>
      </c>
      <c r="E7449">
        <v>-12003.23</v>
      </c>
      <c r="F7449">
        <v>-1.04</v>
      </c>
      <c r="G7449" t="s">
        <v>12</v>
      </c>
      <c r="I7449" t="s">
        <v>2409</v>
      </c>
    </row>
    <row r="7450" spans="1:9" hidden="1" x14ac:dyDescent="0.25">
      <c r="A7450" t="s">
        <v>6161</v>
      </c>
      <c r="B7450" t="s">
        <v>40</v>
      </c>
      <c r="C7450" s="2">
        <f>HYPERLINK("https://cao.dolgi.msk.ru/account/1080134432/", 1080134432)</f>
        <v>1080134432</v>
      </c>
      <c r="D7450" t="s">
        <v>6175</v>
      </c>
      <c r="E7450">
        <v>-16696.689999999999</v>
      </c>
      <c r="F7450">
        <v>-1.05</v>
      </c>
      <c r="G7450" t="s">
        <v>12</v>
      </c>
      <c r="I7450" t="s">
        <v>2409</v>
      </c>
    </row>
    <row r="7451" spans="1:9" hidden="1" x14ac:dyDescent="0.25">
      <c r="A7451" t="s">
        <v>6161</v>
      </c>
      <c r="B7451" t="s">
        <v>41</v>
      </c>
      <c r="C7451" s="2">
        <f>HYPERLINK("https://cao.dolgi.msk.ru/account/1080134459/", 1080134459)</f>
        <v>1080134459</v>
      </c>
      <c r="D7451" t="s">
        <v>6176</v>
      </c>
      <c r="E7451">
        <v>-9926.44</v>
      </c>
      <c r="F7451">
        <v>-1.05</v>
      </c>
      <c r="G7451" t="s">
        <v>12</v>
      </c>
      <c r="I7451" t="s">
        <v>2409</v>
      </c>
    </row>
    <row r="7452" spans="1:9" hidden="1" x14ac:dyDescent="0.25">
      <c r="A7452" t="s">
        <v>6161</v>
      </c>
      <c r="B7452" t="s">
        <v>42</v>
      </c>
      <c r="C7452" s="2">
        <f>HYPERLINK("https://cao.dolgi.msk.ru/account/1080134467/", 1080134467)</f>
        <v>1080134467</v>
      </c>
      <c r="D7452" t="s">
        <v>1082</v>
      </c>
      <c r="E7452">
        <v>-16534</v>
      </c>
      <c r="F7452">
        <v>-1.07</v>
      </c>
      <c r="G7452" t="s">
        <v>12</v>
      </c>
      <c r="I7452" t="s">
        <v>2409</v>
      </c>
    </row>
    <row r="7453" spans="1:9" hidden="1" x14ac:dyDescent="0.25">
      <c r="A7453" t="s">
        <v>6161</v>
      </c>
      <c r="B7453" t="s">
        <v>44</v>
      </c>
      <c r="C7453" s="2">
        <f>HYPERLINK("https://cao.dolgi.msk.ru/account/1080134475/", 1080134475)</f>
        <v>1080134475</v>
      </c>
      <c r="D7453" t="s">
        <v>15</v>
      </c>
      <c r="E7453">
        <v>-18909.91</v>
      </c>
      <c r="F7453">
        <v>-0.99</v>
      </c>
      <c r="G7453" t="s">
        <v>12</v>
      </c>
      <c r="I7453" t="s">
        <v>2409</v>
      </c>
    </row>
    <row r="7454" spans="1:9" hidden="1" x14ac:dyDescent="0.25">
      <c r="A7454" t="s">
        <v>6177</v>
      </c>
      <c r="B7454" t="s">
        <v>10</v>
      </c>
      <c r="C7454" s="2">
        <f>HYPERLINK("https://cao.dolgi.msk.ru/account/1080134483/", 1080134483)</f>
        <v>1080134483</v>
      </c>
      <c r="D7454" t="s">
        <v>6178</v>
      </c>
      <c r="E7454">
        <v>-12147.98</v>
      </c>
      <c r="F7454">
        <v>-1.04</v>
      </c>
      <c r="G7454" t="s">
        <v>12</v>
      </c>
      <c r="I7454" t="s">
        <v>2409</v>
      </c>
    </row>
    <row r="7455" spans="1:9" hidden="1" x14ac:dyDescent="0.25">
      <c r="A7455" t="s">
        <v>6177</v>
      </c>
      <c r="B7455" t="s">
        <v>16</v>
      </c>
      <c r="C7455" s="2">
        <f>HYPERLINK("https://cao.dolgi.msk.ru/account/1080134491/", 1080134491)</f>
        <v>1080134491</v>
      </c>
      <c r="D7455" t="s">
        <v>62</v>
      </c>
      <c r="E7455">
        <v>-17019.89</v>
      </c>
      <c r="F7455">
        <v>-1.41</v>
      </c>
      <c r="G7455" t="s">
        <v>12</v>
      </c>
      <c r="I7455" t="s">
        <v>2409</v>
      </c>
    </row>
    <row r="7456" spans="1:9" hidden="1" x14ac:dyDescent="0.25">
      <c r="A7456" t="s">
        <v>6177</v>
      </c>
      <c r="B7456" t="s">
        <v>18</v>
      </c>
      <c r="C7456" s="2">
        <f>HYPERLINK("https://cao.dolgi.msk.ru/account/1080134504/", 1080134504)</f>
        <v>1080134504</v>
      </c>
      <c r="D7456" t="s">
        <v>15</v>
      </c>
      <c r="E7456">
        <v>0</v>
      </c>
      <c r="F7456">
        <v>0</v>
      </c>
      <c r="G7456" t="s">
        <v>12</v>
      </c>
      <c r="I7456" t="s">
        <v>2409</v>
      </c>
    </row>
    <row r="7457" spans="1:9" hidden="1" x14ac:dyDescent="0.25">
      <c r="A7457" t="s">
        <v>6177</v>
      </c>
      <c r="B7457" t="s">
        <v>20</v>
      </c>
      <c r="C7457" s="2">
        <f>HYPERLINK("https://cao.dolgi.msk.ru/account/1080134512/", 1080134512)</f>
        <v>1080134512</v>
      </c>
      <c r="D7457" t="s">
        <v>6179</v>
      </c>
      <c r="E7457">
        <v>-10134.4</v>
      </c>
      <c r="F7457">
        <v>-1.0900000000000001</v>
      </c>
      <c r="G7457" t="s">
        <v>12</v>
      </c>
      <c r="I7457" t="s">
        <v>2409</v>
      </c>
    </row>
    <row r="7458" spans="1:9" hidden="1" x14ac:dyDescent="0.25">
      <c r="A7458" t="s">
        <v>6177</v>
      </c>
      <c r="B7458" t="s">
        <v>21</v>
      </c>
      <c r="C7458" s="2">
        <f>HYPERLINK("https://cao.dolgi.msk.ru/account/1080134539/", 1080134539)</f>
        <v>1080134539</v>
      </c>
      <c r="D7458" t="s">
        <v>6180</v>
      </c>
      <c r="E7458">
        <v>-16828.86</v>
      </c>
      <c r="F7458">
        <v>-1.01</v>
      </c>
      <c r="G7458" t="s">
        <v>12</v>
      </c>
      <c r="I7458" t="s">
        <v>2409</v>
      </c>
    </row>
    <row r="7459" spans="1:9" hidden="1" x14ac:dyDescent="0.25">
      <c r="A7459" t="s">
        <v>6177</v>
      </c>
      <c r="B7459" t="s">
        <v>22</v>
      </c>
      <c r="C7459" s="2">
        <f>HYPERLINK("https://cao.dolgi.msk.ru/account/1080134547/", 1080134547)</f>
        <v>1080134547</v>
      </c>
      <c r="D7459" t="s">
        <v>6181</v>
      </c>
      <c r="E7459">
        <v>-9688.68</v>
      </c>
      <c r="F7459">
        <v>-1.04</v>
      </c>
      <c r="G7459" t="s">
        <v>12</v>
      </c>
      <c r="I7459" t="s">
        <v>2409</v>
      </c>
    </row>
    <row r="7460" spans="1:9" hidden="1" x14ac:dyDescent="0.25">
      <c r="A7460" t="s">
        <v>6177</v>
      </c>
      <c r="B7460" t="s">
        <v>23</v>
      </c>
      <c r="C7460" s="2">
        <f>HYPERLINK("https://cao.dolgi.msk.ru/account/1080134555/", 1080134555)</f>
        <v>1080134555</v>
      </c>
      <c r="D7460" t="s">
        <v>6182</v>
      </c>
      <c r="E7460">
        <v>0</v>
      </c>
      <c r="F7460">
        <v>0</v>
      </c>
      <c r="G7460" t="s">
        <v>12</v>
      </c>
      <c r="I7460" t="s">
        <v>2409</v>
      </c>
    </row>
    <row r="7461" spans="1:9" hidden="1" x14ac:dyDescent="0.25">
      <c r="A7461" t="s">
        <v>6177</v>
      </c>
      <c r="B7461" t="s">
        <v>24</v>
      </c>
      <c r="C7461" s="2">
        <f>HYPERLINK("https://cao.dolgi.msk.ru/account/1080134563/", 1080134563)</f>
        <v>1080134563</v>
      </c>
      <c r="D7461" t="s">
        <v>62</v>
      </c>
      <c r="E7461">
        <v>-13749.67</v>
      </c>
      <c r="F7461">
        <v>-1</v>
      </c>
      <c r="G7461" t="s">
        <v>12</v>
      </c>
      <c r="I7461" t="s">
        <v>2409</v>
      </c>
    </row>
    <row r="7462" spans="1:9" hidden="1" x14ac:dyDescent="0.25">
      <c r="A7462" t="s">
        <v>6177</v>
      </c>
      <c r="B7462" t="s">
        <v>27</v>
      </c>
      <c r="C7462" s="2">
        <f>HYPERLINK("https://cao.dolgi.msk.ru/account/1080134571/", 1080134571)</f>
        <v>1080134571</v>
      </c>
      <c r="D7462" t="s">
        <v>6183</v>
      </c>
      <c r="E7462">
        <v>-21536.91</v>
      </c>
      <c r="F7462">
        <v>-1.63</v>
      </c>
      <c r="G7462" t="s">
        <v>12</v>
      </c>
      <c r="I7462" t="s">
        <v>2409</v>
      </c>
    </row>
    <row r="7463" spans="1:9" hidden="1" x14ac:dyDescent="0.25">
      <c r="A7463" t="s">
        <v>6177</v>
      </c>
      <c r="B7463" t="s">
        <v>29</v>
      </c>
      <c r="C7463" s="2">
        <f>HYPERLINK("https://cao.dolgi.msk.ru/account/1080134598/", 1080134598)</f>
        <v>1080134598</v>
      </c>
      <c r="D7463" t="s">
        <v>6184</v>
      </c>
      <c r="E7463">
        <v>-14734.02</v>
      </c>
      <c r="F7463">
        <v>-1.06</v>
      </c>
      <c r="G7463" t="s">
        <v>12</v>
      </c>
      <c r="I7463" t="s">
        <v>2409</v>
      </c>
    </row>
    <row r="7464" spans="1:9" hidden="1" x14ac:dyDescent="0.25">
      <c r="A7464" t="s">
        <v>6177</v>
      </c>
      <c r="B7464" t="s">
        <v>31</v>
      </c>
      <c r="C7464" s="2">
        <f>HYPERLINK("https://cao.dolgi.msk.ru/account/1080134619/", 1080134619)</f>
        <v>1080134619</v>
      </c>
      <c r="D7464" t="s">
        <v>6185</v>
      </c>
      <c r="E7464">
        <v>-4639.04</v>
      </c>
      <c r="F7464">
        <v>-0.36</v>
      </c>
      <c r="G7464" t="s">
        <v>12</v>
      </c>
      <c r="I7464" t="s">
        <v>2409</v>
      </c>
    </row>
    <row r="7465" spans="1:9" x14ac:dyDescent="0.25">
      <c r="A7465" t="s">
        <v>6177</v>
      </c>
      <c r="B7465" t="s">
        <v>33</v>
      </c>
      <c r="C7465" s="2">
        <f>HYPERLINK("https://cao.dolgi.msk.ru/account/1080134627/", 1080134627)</f>
        <v>1080134627</v>
      </c>
      <c r="D7465" t="s">
        <v>6186</v>
      </c>
      <c r="E7465">
        <v>59434.03</v>
      </c>
      <c r="F7465">
        <v>2.86</v>
      </c>
      <c r="G7465" t="s">
        <v>12</v>
      </c>
      <c r="I7465" t="s">
        <v>2409</v>
      </c>
    </row>
    <row r="7466" spans="1:9" hidden="1" x14ac:dyDescent="0.25">
      <c r="A7466" t="s">
        <v>6187</v>
      </c>
      <c r="B7466" t="s">
        <v>34</v>
      </c>
      <c r="C7466" s="2">
        <f>HYPERLINK("https://cao.dolgi.msk.ru/account/1080014211/", 1080014211)</f>
        <v>1080014211</v>
      </c>
      <c r="D7466" t="s">
        <v>15</v>
      </c>
      <c r="E7466">
        <v>-6.15</v>
      </c>
      <c r="G7466" t="s">
        <v>14</v>
      </c>
      <c r="H7466" t="s">
        <v>7</v>
      </c>
      <c r="I7466" t="s">
        <v>13</v>
      </c>
    </row>
    <row r="7467" spans="1:9" hidden="1" x14ac:dyDescent="0.25">
      <c r="A7467" t="s">
        <v>6187</v>
      </c>
      <c r="B7467" t="s">
        <v>36</v>
      </c>
      <c r="C7467" s="2">
        <f>HYPERLINK("https://cao.dolgi.msk.ru/account/1083391573/", 1083391573)</f>
        <v>1083391573</v>
      </c>
      <c r="D7467" t="s">
        <v>189</v>
      </c>
      <c r="E7467">
        <v>-32659.24</v>
      </c>
      <c r="G7467" t="s">
        <v>12</v>
      </c>
      <c r="I7467" t="s">
        <v>13</v>
      </c>
    </row>
    <row r="7468" spans="1:9" hidden="1" x14ac:dyDescent="0.25">
      <c r="A7468" t="s">
        <v>6187</v>
      </c>
      <c r="B7468" t="s">
        <v>41</v>
      </c>
      <c r="C7468" s="2">
        <f>HYPERLINK("https://cao.dolgi.msk.ru/account/1083391581/", 1083391581)</f>
        <v>1083391581</v>
      </c>
      <c r="D7468" t="s">
        <v>189</v>
      </c>
      <c r="E7468">
        <v>-33967.300000000003</v>
      </c>
      <c r="G7468" t="s">
        <v>12</v>
      </c>
      <c r="I7468" t="s">
        <v>13</v>
      </c>
    </row>
    <row r="7469" spans="1:9" hidden="1" x14ac:dyDescent="0.25">
      <c r="A7469" t="s">
        <v>6187</v>
      </c>
      <c r="B7469" t="s">
        <v>70</v>
      </c>
      <c r="C7469" s="2">
        <f>HYPERLINK("https://cao.dolgi.msk.ru/account/1080014297/", 1080014297)</f>
        <v>1080014297</v>
      </c>
      <c r="D7469" t="s">
        <v>15</v>
      </c>
      <c r="E7469">
        <v>0</v>
      </c>
      <c r="G7469" t="s">
        <v>14</v>
      </c>
      <c r="H7469" t="s">
        <v>7</v>
      </c>
      <c r="I7469" t="s">
        <v>13</v>
      </c>
    </row>
    <row r="7470" spans="1:9" hidden="1" x14ac:dyDescent="0.25">
      <c r="A7470" t="s">
        <v>6187</v>
      </c>
      <c r="B7470" t="s">
        <v>76</v>
      </c>
      <c r="C7470" s="2">
        <f>HYPERLINK("https://cao.dolgi.msk.ru/account/1080014369/", 1080014369)</f>
        <v>1080014369</v>
      </c>
      <c r="D7470" t="s">
        <v>15</v>
      </c>
      <c r="G7470" t="s">
        <v>14</v>
      </c>
      <c r="I7470" t="s">
        <v>13</v>
      </c>
    </row>
    <row r="7471" spans="1:9" hidden="1" x14ac:dyDescent="0.25">
      <c r="A7471" t="s">
        <v>6187</v>
      </c>
      <c r="B7471" t="s">
        <v>82</v>
      </c>
      <c r="C7471" s="2">
        <f>HYPERLINK("https://cao.dolgi.msk.ru/account/1080014393/", 1080014393)</f>
        <v>1080014393</v>
      </c>
      <c r="D7471" t="s">
        <v>15</v>
      </c>
      <c r="E7471">
        <v>-87782.5</v>
      </c>
      <c r="G7471" t="s">
        <v>14</v>
      </c>
      <c r="I7471" t="s">
        <v>13</v>
      </c>
    </row>
    <row r="7472" spans="1:9" hidden="1" x14ac:dyDescent="0.25">
      <c r="A7472" t="s">
        <v>6188</v>
      </c>
      <c r="B7472" t="s">
        <v>16</v>
      </c>
      <c r="C7472" s="2">
        <f>HYPERLINK("https://cao.dolgi.msk.ru/account/1080020101/", 1080020101)</f>
        <v>1080020101</v>
      </c>
      <c r="D7472" t="s">
        <v>6189</v>
      </c>
      <c r="E7472">
        <v>-11897.93</v>
      </c>
      <c r="F7472">
        <v>-0.98</v>
      </c>
      <c r="G7472" t="s">
        <v>12</v>
      </c>
      <c r="I7472" t="s">
        <v>13</v>
      </c>
    </row>
    <row r="7473" spans="1:9" hidden="1" x14ac:dyDescent="0.25">
      <c r="A7473" t="s">
        <v>6188</v>
      </c>
      <c r="B7473" t="s">
        <v>18</v>
      </c>
      <c r="C7473" s="2">
        <f>HYPERLINK("https://cao.dolgi.msk.ru/account/1080020128/", 1080020128)</f>
        <v>1080020128</v>
      </c>
      <c r="D7473" t="s">
        <v>6190</v>
      </c>
      <c r="E7473">
        <v>0</v>
      </c>
      <c r="F7473">
        <v>0</v>
      </c>
      <c r="G7473" t="s">
        <v>12</v>
      </c>
      <c r="I7473" t="s">
        <v>13</v>
      </c>
    </row>
    <row r="7474" spans="1:9" hidden="1" x14ac:dyDescent="0.25">
      <c r="A7474" t="s">
        <v>6188</v>
      </c>
      <c r="B7474" t="s">
        <v>20</v>
      </c>
      <c r="C7474" s="2">
        <f>HYPERLINK("https://cao.dolgi.msk.ru/account/1080020136/", 1080020136)</f>
        <v>1080020136</v>
      </c>
      <c r="D7474" t="s">
        <v>62</v>
      </c>
      <c r="E7474">
        <v>-22261.1</v>
      </c>
      <c r="F7474">
        <v>-1</v>
      </c>
      <c r="G7474" t="s">
        <v>12</v>
      </c>
      <c r="I7474" t="s">
        <v>13</v>
      </c>
    </row>
    <row r="7475" spans="1:9" hidden="1" x14ac:dyDescent="0.25">
      <c r="A7475" t="s">
        <v>6188</v>
      </c>
      <c r="B7475" t="s">
        <v>21</v>
      </c>
      <c r="C7475" s="2">
        <f>HYPERLINK("https://cao.dolgi.msk.ru/account/1080020144/", 1080020144)</f>
        <v>1080020144</v>
      </c>
      <c r="D7475" t="s">
        <v>6191</v>
      </c>
      <c r="E7475">
        <v>-347.67</v>
      </c>
      <c r="F7475">
        <v>-0.03</v>
      </c>
      <c r="G7475" t="s">
        <v>12</v>
      </c>
      <c r="I7475" t="s">
        <v>13</v>
      </c>
    </row>
    <row r="7476" spans="1:9" hidden="1" x14ac:dyDescent="0.25">
      <c r="A7476" t="s">
        <v>6188</v>
      </c>
      <c r="B7476" t="s">
        <v>22</v>
      </c>
      <c r="C7476" s="2">
        <f>HYPERLINK("https://cao.dolgi.msk.ru/account/1080020152/", 1080020152)</f>
        <v>1080020152</v>
      </c>
      <c r="D7476" t="s">
        <v>6192</v>
      </c>
      <c r="E7476">
        <v>-600.95000000000005</v>
      </c>
      <c r="F7476">
        <v>-0.04</v>
      </c>
      <c r="G7476" t="s">
        <v>12</v>
      </c>
      <c r="I7476" t="s">
        <v>13</v>
      </c>
    </row>
    <row r="7477" spans="1:9" hidden="1" x14ac:dyDescent="0.25">
      <c r="A7477" t="s">
        <v>6188</v>
      </c>
      <c r="B7477" t="s">
        <v>33</v>
      </c>
      <c r="C7477" s="2">
        <f>HYPERLINK("https://cao.dolgi.msk.ru/account/1080020224/", 1080020224)</f>
        <v>1080020224</v>
      </c>
      <c r="D7477" t="s">
        <v>6193</v>
      </c>
      <c r="E7477">
        <v>6124.24</v>
      </c>
      <c r="F7477">
        <v>0.46</v>
      </c>
      <c r="G7477" t="s">
        <v>12</v>
      </c>
      <c r="I7477" t="s">
        <v>13</v>
      </c>
    </row>
    <row r="7478" spans="1:9" hidden="1" x14ac:dyDescent="0.25">
      <c r="A7478" t="s">
        <v>6194</v>
      </c>
      <c r="B7478" t="s">
        <v>23</v>
      </c>
      <c r="C7478" s="2">
        <f>HYPERLINK("https://cao.dolgi.msk.ru/account/1080020371/", 1080020371)</f>
        <v>1080020371</v>
      </c>
      <c r="D7478" t="s">
        <v>15</v>
      </c>
      <c r="E7478">
        <v>500.46</v>
      </c>
      <c r="F7478">
        <v>0.24</v>
      </c>
      <c r="G7478" t="s">
        <v>12</v>
      </c>
    </row>
    <row r="7479" spans="1:9" hidden="1" x14ac:dyDescent="0.25">
      <c r="A7479" t="s">
        <v>6194</v>
      </c>
      <c r="B7479" t="s">
        <v>27</v>
      </c>
      <c r="C7479" s="2">
        <f>HYPERLINK("https://cao.dolgi.msk.ru/account/1080020435/", 1080020435)</f>
        <v>1080020435</v>
      </c>
      <c r="D7479" t="s">
        <v>15</v>
      </c>
      <c r="G7479" t="s">
        <v>14</v>
      </c>
    </row>
    <row r="7480" spans="1:9" hidden="1" x14ac:dyDescent="0.25">
      <c r="A7480" t="s">
        <v>6194</v>
      </c>
      <c r="B7480" t="s">
        <v>29</v>
      </c>
      <c r="C7480" s="2">
        <f>HYPERLINK("https://cao.dolgi.msk.ru/account/1080020451/", 1080020451)</f>
        <v>1080020451</v>
      </c>
      <c r="D7480" t="s">
        <v>15</v>
      </c>
      <c r="E7480">
        <v>-4904.0200000000004</v>
      </c>
      <c r="F7480">
        <v>-2.27</v>
      </c>
      <c r="G7480" t="s">
        <v>12</v>
      </c>
    </row>
    <row r="7481" spans="1:9" hidden="1" x14ac:dyDescent="0.25">
      <c r="A7481" t="s">
        <v>6194</v>
      </c>
      <c r="B7481" t="s">
        <v>31</v>
      </c>
      <c r="C7481" s="2">
        <f>HYPERLINK("https://cao.dolgi.msk.ru/account/1080326426/", 1080326426)</f>
        <v>1080326426</v>
      </c>
      <c r="D7481" t="s">
        <v>15</v>
      </c>
      <c r="E7481">
        <v>-6673.7</v>
      </c>
      <c r="F7481">
        <v>-1.05</v>
      </c>
      <c r="G7481" t="s">
        <v>12</v>
      </c>
    </row>
    <row r="7482" spans="1:9" hidden="1" x14ac:dyDescent="0.25">
      <c r="A7482" t="s">
        <v>6195</v>
      </c>
      <c r="B7482" t="s">
        <v>10</v>
      </c>
      <c r="C7482" s="2">
        <f>HYPERLINK("https://cao.dolgi.msk.ru/account/1080022748/", 1080022748)</f>
        <v>1080022748</v>
      </c>
      <c r="D7482" t="s">
        <v>6196</v>
      </c>
      <c r="E7482">
        <v>-16334.66</v>
      </c>
      <c r="F7482">
        <v>-1.99</v>
      </c>
      <c r="G7482" t="s">
        <v>12</v>
      </c>
      <c r="I7482" t="s">
        <v>13</v>
      </c>
    </row>
    <row r="7483" spans="1:9" hidden="1" x14ac:dyDescent="0.25">
      <c r="A7483" t="s">
        <v>6195</v>
      </c>
      <c r="B7483" t="s">
        <v>16</v>
      </c>
      <c r="C7483" s="2">
        <f>HYPERLINK("https://cao.dolgi.msk.ru/account/1080022756/", 1080022756)</f>
        <v>1080022756</v>
      </c>
      <c r="D7483" t="s">
        <v>6197</v>
      </c>
      <c r="E7483">
        <v>-20319.27</v>
      </c>
      <c r="F7483">
        <v>-3.37</v>
      </c>
      <c r="G7483" t="s">
        <v>12</v>
      </c>
      <c r="I7483" t="s">
        <v>13</v>
      </c>
    </row>
    <row r="7484" spans="1:9" hidden="1" x14ac:dyDescent="0.25">
      <c r="A7484" t="s">
        <v>6195</v>
      </c>
      <c r="B7484" t="s">
        <v>18</v>
      </c>
      <c r="C7484" s="2">
        <f>HYPERLINK("https://cao.dolgi.msk.ru/account/1080022764/", 1080022764)</f>
        <v>1080022764</v>
      </c>
      <c r="D7484" t="s">
        <v>62</v>
      </c>
      <c r="E7484">
        <v>-16883.259999999998</v>
      </c>
      <c r="F7484">
        <v>-4.95</v>
      </c>
      <c r="G7484" t="s">
        <v>12</v>
      </c>
      <c r="I7484" t="s">
        <v>13</v>
      </c>
    </row>
    <row r="7485" spans="1:9" hidden="1" x14ac:dyDescent="0.25">
      <c r="A7485" t="s">
        <v>6195</v>
      </c>
      <c r="B7485" t="s">
        <v>20</v>
      </c>
      <c r="C7485" s="2">
        <f>HYPERLINK("https://cao.dolgi.msk.ru/account/1080022772/", 1080022772)</f>
        <v>1080022772</v>
      </c>
      <c r="D7485" t="s">
        <v>6198</v>
      </c>
      <c r="E7485">
        <v>-5429.96</v>
      </c>
      <c r="F7485">
        <v>-0.91</v>
      </c>
      <c r="G7485" t="s">
        <v>12</v>
      </c>
      <c r="I7485" t="s">
        <v>13</v>
      </c>
    </row>
    <row r="7486" spans="1:9" x14ac:dyDescent="0.25">
      <c r="A7486" t="s">
        <v>6195</v>
      </c>
      <c r="B7486" t="s">
        <v>21</v>
      </c>
      <c r="C7486" s="2">
        <f>HYPERLINK("https://cao.dolgi.msk.ru/account/1080022799/", 1080022799)</f>
        <v>1080022799</v>
      </c>
      <c r="D7486" t="s">
        <v>6199</v>
      </c>
      <c r="E7486">
        <v>169514.58</v>
      </c>
      <c r="F7486">
        <v>36.42</v>
      </c>
      <c r="G7486" t="s">
        <v>12</v>
      </c>
      <c r="I7486" t="s">
        <v>13</v>
      </c>
    </row>
    <row r="7487" spans="1:9" hidden="1" x14ac:dyDescent="0.25">
      <c r="A7487" t="s">
        <v>6195</v>
      </c>
      <c r="B7487" t="s">
        <v>22</v>
      </c>
      <c r="C7487" s="2">
        <f>HYPERLINK("https://cao.dolgi.msk.ru/account/1080022801/", 1080022801)</f>
        <v>1080022801</v>
      </c>
      <c r="D7487" t="s">
        <v>6200</v>
      </c>
      <c r="E7487">
        <v>-4425.6499999999996</v>
      </c>
      <c r="F7487">
        <v>-1.06</v>
      </c>
      <c r="G7487" t="s">
        <v>12</v>
      </c>
      <c r="I7487" t="s">
        <v>13</v>
      </c>
    </row>
    <row r="7488" spans="1:9" hidden="1" x14ac:dyDescent="0.25">
      <c r="A7488" t="s">
        <v>6195</v>
      </c>
      <c r="B7488" t="s">
        <v>23</v>
      </c>
      <c r="C7488" s="2">
        <f>HYPERLINK("https://cao.dolgi.msk.ru/account/1080022828/", 1080022828)</f>
        <v>1080022828</v>
      </c>
      <c r="D7488" t="s">
        <v>6200</v>
      </c>
      <c r="E7488">
        <v>-7361.2</v>
      </c>
      <c r="F7488">
        <v>-0.91</v>
      </c>
      <c r="G7488" t="s">
        <v>12</v>
      </c>
      <c r="I7488" t="s">
        <v>13</v>
      </c>
    </row>
    <row r="7489" spans="1:9" hidden="1" x14ac:dyDescent="0.25">
      <c r="A7489" t="s">
        <v>6195</v>
      </c>
      <c r="B7489" t="s">
        <v>24</v>
      </c>
      <c r="C7489" s="2">
        <f>HYPERLINK("https://cao.dolgi.msk.ru/account/1080022836/", 1080022836)</f>
        <v>1080022836</v>
      </c>
      <c r="D7489" t="s">
        <v>6201</v>
      </c>
      <c r="E7489">
        <v>-0.1</v>
      </c>
      <c r="F7489">
        <v>0</v>
      </c>
      <c r="G7489" t="s">
        <v>12</v>
      </c>
      <c r="I7489" t="s">
        <v>13</v>
      </c>
    </row>
    <row r="7490" spans="1:9" hidden="1" x14ac:dyDescent="0.25">
      <c r="A7490" t="s">
        <v>6195</v>
      </c>
      <c r="B7490" t="s">
        <v>27</v>
      </c>
      <c r="C7490" s="2">
        <f>HYPERLINK("https://cao.dolgi.msk.ru/account/1080022844/", 1080022844)</f>
        <v>1080022844</v>
      </c>
      <c r="D7490" t="s">
        <v>6202</v>
      </c>
      <c r="E7490">
        <v>-4107.37</v>
      </c>
      <c r="F7490">
        <v>-1.08</v>
      </c>
      <c r="G7490" t="s">
        <v>12</v>
      </c>
      <c r="I7490" t="s">
        <v>13</v>
      </c>
    </row>
    <row r="7491" spans="1:9" hidden="1" x14ac:dyDescent="0.25">
      <c r="A7491" t="s">
        <v>6195</v>
      </c>
      <c r="B7491" t="s">
        <v>29</v>
      </c>
      <c r="C7491" s="2">
        <f>HYPERLINK("https://cao.dolgi.msk.ru/account/1080022852/", 1080022852)</f>
        <v>1080022852</v>
      </c>
      <c r="D7491" t="s">
        <v>6203</v>
      </c>
      <c r="E7491">
        <v>-1.08</v>
      </c>
      <c r="F7491">
        <v>0</v>
      </c>
      <c r="G7491" t="s">
        <v>12</v>
      </c>
      <c r="I7491" t="s">
        <v>13</v>
      </c>
    </row>
    <row r="7492" spans="1:9" hidden="1" x14ac:dyDescent="0.25">
      <c r="A7492" t="s">
        <v>6195</v>
      </c>
      <c r="B7492" t="s">
        <v>31</v>
      </c>
      <c r="C7492" s="2">
        <f>HYPERLINK("https://cao.dolgi.msk.ru/account/1080022879/", 1080022879)</f>
        <v>1080022879</v>
      </c>
      <c r="D7492" t="s">
        <v>6204</v>
      </c>
      <c r="E7492">
        <v>-9742.6</v>
      </c>
      <c r="F7492">
        <v>-0.91</v>
      </c>
      <c r="G7492" t="s">
        <v>12</v>
      </c>
      <c r="I7492" t="s">
        <v>13</v>
      </c>
    </row>
    <row r="7493" spans="1:9" hidden="1" x14ac:dyDescent="0.25">
      <c r="A7493" t="s">
        <v>6195</v>
      </c>
      <c r="B7493" t="s">
        <v>33</v>
      </c>
      <c r="C7493" s="2">
        <f>HYPERLINK("https://cao.dolgi.msk.ru/account/1080022887/", 1080022887)</f>
        <v>1080022887</v>
      </c>
      <c r="D7493" t="s">
        <v>6205</v>
      </c>
      <c r="E7493">
        <v>0</v>
      </c>
      <c r="F7493">
        <v>0</v>
      </c>
      <c r="G7493" t="s">
        <v>12</v>
      </c>
      <c r="I7493" t="s">
        <v>13</v>
      </c>
    </row>
    <row r="7494" spans="1:9" hidden="1" x14ac:dyDescent="0.25">
      <c r="A7494" t="s">
        <v>6195</v>
      </c>
      <c r="B7494" t="s">
        <v>34</v>
      </c>
      <c r="C7494" s="2">
        <f>HYPERLINK("https://cao.dolgi.msk.ru/account/1080022895/", 1080022895)</f>
        <v>1080022895</v>
      </c>
      <c r="D7494" t="s">
        <v>6206</v>
      </c>
      <c r="E7494">
        <v>-6471.65</v>
      </c>
      <c r="F7494">
        <v>-1.03</v>
      </c>
      <c r="G7494" t="s">
        <v>12</v>
      </c>
      <c r="I7494" t="s">
        <v>13</v>
      </c>
    </row>
    <row r="7495" spans="1:9" hidden="1" x14ac:dyDescent="0.25">
      <c r="A7495" t="s">
        <v>6195</v>
      </c>
      <c r="B7495" t="s">
        <v>36</v>
      </c>
      <c r="C7495" s="2">
        <f>HYPERLINK("https://cao.dolgi.msk.ru/account/1080022908/", 1080022908)</f>
        <v>1080022908</v>
      </c>
      <c r="D7495" t="s">
        <v>6207</v>
      </c>
      <c r="E7495">
        <v>609.1</v>
      </c>
      <c r="F7495">
        <v>0.1</v>
      </c>
      <c r="G7495" t="s">
        <v>12</v>
      </c>
      <c r="I7495" t="s">
        <v>13</v>
      </c>
    </row>
    <row r="7496" spans="1:9" hidden="1" x14ac:dyDescent="0.25">
      <c r="A7496" t="s">
        <v>6195</v>
      </c>
      <c r="B7496" t="s">
        <v>38</v>
      </c>
      <c r="C7496" s="2">
        <f>HYPERLINK("https://cao.dolgi.msk.ru/account/1080022916/", 1080022916)</f>
        <v>1080022916</v>
      </c>
      <c r="D7496" t="s">
        <v>6208</v>
      </c>
      <c r="E7496">
        <v>-3330.1</v>
      </c>
      <c r="F7496">
        <v>-1.04</v>
      </c>
      <c r="G7496" t="s">
        <v>12</v>
      </c>
      <c r="I7496" t="s">
        <v>13</v>
      </c>
    </row>
    <row r="7497" spans="1:9" hidden="1" x14ac:dyDescent="0.25">
      <c r="A7497" t="s">
        <v>6195</v>
      </c>
      <c r="B7497" t="s">
        <v>39</v>
      </c>
      <c r="C7497" s="2">
        <f>HYPERLINK("https://cao.dolgi.msk.ru/account/1080022924/", 1080022924)</f>
        <v>1080022924</v>
      </c>
      <c r="D7497" t="s">
        <v>6209</v>
      </c>
      <c r="E7497">
        <v>-7248.64</v>
      </c>
      <c r="F7497">
        <v>-1.08</v>
      </c>
      <c r="G7497" t="s">
        <v>12</v>
      </c>
      <c r="I7497" t="s">
        <v>13</v>
      </c>
    </row>
    <row r="7498" spans="1:9" hidden="1" x14ac:dyDescent="0.25">
      <c r="A7498" t="s">
        <v>6195</v>
      </c>
      <c r="B7498" t="s">
        <v>40</v>
      </c>
      <c r="C7498" s="2">
        <f>HYPERLINK("https://cao.dolgi.msk.ru/account/1080022932/", 1080022932)</f>
        <v>1080022932</v>
      </c>
      <c r="D7498" t="s">
        <v>6210</v>
      </c>
      <c r="E7498">
        <v>-6853.01</v>
      </c>
      <c r="F7498">
        <v>-1.1399999999999999</v>
      </c>
      <c r="G7498" t="s">
        <v>12</v>
      </c>
      <c r="I7498" t="s">
        <v>13</v>
      </c>
    </row>
    <row r="7499" spans="1:9" x14ac:dyDescent="0.25">
      <c r="A7499" t="s">
        <v>6195</v>
      </c>
      <c r="B7499" t="s">
        <v>41</v>
      </c>
      <c r="C7499" s="2">
        <f>HYPERLINK("https://cao.dolgi.msk.ru/account/1080022959/", 1080022959)</f>
        <v>1080022959</v>
      </c>
      <c r="D7499" t="s">
        <v>6211</v>
      </c>
      <c r="E7499">
        <v>17619.009999999998</v>
      </c>
      <c r="F7499">
        <v>3.16</v>
      </c>
      <c r="G7499" t="s">
        <v>12</v>
      </c>
      <c r="I7499" t="s">
        <v>13</v>
      </c>
    </row>
    <row r="7500" spans="1:9" hidden="1" x14ac:dyDescent="0.25">
      <c r="A7500" t="s">
        <v>6195</v>
      </c>
      <c r="B7500" t="s">
        <v>42</v>
      </c>
      <c r="C7500" s="2">
        <f>HYPERLINK("https://cao.dolgi.msk.ru/account/1080022967/", 1080022967)</f>
        <v>1080022967</v>
      </c>
      <c r="D7500" t="s">
        <v>6212</v>
      </c>
      <c r="E7500">
        <v>-3977.94</v>
      </c>
      <c r="F7500">
        <v>-1.05</v>
      </c>
      <c r="G7500" t="s">
        <v>12</v>
      </c>
      <c r="I7500" t="s">
        <v>13</v>
      </c>
    </row>
    <row r="7501" spans="1:9" hidden="1" x14ac:dyDescent="0.25">
      <c r="A7501" t="s">
        <v>6195</v>
      </c>
      <c r="B7501" t="s">
        <v>42</v>
      </c>
      <c r="C7501" s="2">
        <f>HYPERLINK("https://cao.dolgi.msk.ru/account/1083272427/", 1083272427)</f>
        <v>1083272427</v>
      </c>
      <c r="D7501" t="s">
        <v>15</v>
      </c>
      <c r="E7501">
        <v>-4613.97</v>
      </c>
      <c r="F7501">
        <v>-1.02</v>
      </c>
      <c r="G7501" t="s">
        <v>12</v>
      </c>
      <c r="I7501" t="s">
        <v>13</v>
      </c>
    </row>
    <row r="7502" spans="1:9" hidden="1" x14ac:dyDescent="0.25">
      <c r="A7502" t="s">
        <v>6195</v>
      </c>
      <c r="B7502" t="s">
        <v>44</v>
      </c>
      <c r="C7502" s="2">
        <f>HYPERLINK("https://cao.dolgi.msk.ru/account/1080022975/", 1080022975)</f>
        <v>1080022975</v>
      </c>
      <c r="D7502" t="s">
        <v>6213</v>
      </c>
      <c r="E7502">
        <v>-3822.2</v>
      </c>
      <c r="F7502">
        <v>-1.05</v>
      </c>
      <c r="G7502" t="s">
        <v>12</v>
      </c>
      <c r="I7502" t="s">
        <v>13</v>
      </c>
    </row>
    <row r="7503" spans="1:9" hidden="1" x14ac:dyDescent="0.25">
      <c r="A7503" t="s">
        <v>6195</v>
      </c>
      <c r="B7503" t="s">
        <v>66</v>
      </c>
      <c r="C7503" s="2">
        <f>HYPERLINK("https://cao.dolgi.msk.ru/account/1080022983/", 1080022983)</f>
        <v>1080022983</v>
      </c>
      <c r="D7503" t="s">
        <v>6214</v>
      </c>
      <c r="E7503">
        <v>-2957.89</v>
      </c>
      <c r="F7503">
        <v>-1.07</v>
      </c>
      <c r="G7503" t="s">
        <v>12</v>
      </c>
      <c r="I7503" t="s">
        <v>13</v>
      </c>
    </row>
    <row r="7504" spans="1:9" hidden="1" x14ac:dyDescent="0.25">
      <c r="A7504" t="s">
        <v>6195</v>
      </c>
      <c r="B7504" t="s">
        <v>68</v>
      </c>
      <c r="C7504" s="2">
        <f>HYPERLINK("https://cao.dolgi.msk.ru/account/1080022991/", 1080022991)</f>
        <v>1080022991</v>
      </c>
      <c r="D7504" t="s">
        <v>6215</v>
      </c>
      <c r="E7504">
        <v>-420.66</v>
      </c>
      <c r="F7504">
        <v>-0.05</v>
      </c>
      <c r="G7504" t="s">
        <v>12</v>
      </c>
      <c r="I7504" t="s">
        <v>13</v>
      </c>
    </row>
    <row r="7505" spans="1:9" hidden="1" x14ac:dyDescent="0.25">
      <c r="A7505" t="s">
        <v>6195</v>
      </c>
      <c r="B7505" t="s">
        <v>70</v>
      </c>
      <c r="C7505" s="2">
        <f>HYPERLINK("https://cao.dolgi.msk.ru/account/1080023003/", 1080023003)</f>
        <v>1080023003</v>
      </c>
      <c r="D7505" t="s">
        <v>62</v>
      </c>
      <c r="E7505">
        <v>-6252.94</v>
      </c>
      <c r="F7505">
        <v>-1.1100000000000001</v>
      </c>
      <c r="G7505" t="s">
        <v>12</v>
      </c>
      <c r="I7505" t="s">
        <v>13</v>
      </c>
    </row>
    <row r="7506" spans="1:9" hidden="1" x14ac:dyDescent="0.25">
      <c r="A7506" t="s">
        <v>6195</v>
      </c>
      <c r="B7506" t="s">
        <v>72</v>
      </c>
      <c r="C7506" s="2">
        <f>HYPERLINK("https://cao.dolgi.msk.ru/account/1080023011/", 1080023011)</f>
        <v>1080023011</v>
      </c>
      <c r="D7506" t="s">
        <v>15</v>
      </c>
      <c r="E7506">
        <v>-195.31</v>
      </c>
      <c r="F7506">
        <v>-0.04</v>
      </c>
      <c r="G7506" t="s">
        <v>12</v>
      </c>
      <c r="I7506" t="s">
        <v>13</v>
      </c>
    </row>
    <row r="7507" spans="1:9" hidden="1" x14ac:dyDescent="0.25">
      <c r="A7507" t="s">
        <v>6195</v>
      </c>
      <c r="B7507" t="s">
        <v>74</v>
      </c>
      <c r="C7507" s="2">
        <f>HYPERLINK("https://cao.dolgi.msk.ru/account/1080023038/", 1080023038)</f>
        <v>1080023038</v>
      </c>
      <c r="D7507" t="s">
        <v>6216</v>
      </c>
      <c r="E7507">
        <v>-7509.72</v>
      </c>
      <c r="F7507">
        <v>-1.26</v>
      </c>
      <c r="G7507" t="s">
        <v>12</v>
      </c>
      <c r="I7507" t="s">
        <v>13</v>
      </c>
    </row>
    <row r="7508" spans="1:9" hidden="1" x14ac:dyDescent="0.25">
      <c r="A7508" t="s">
        <v>6195</v>
      </c>
      <c r="B7508" t="s">
        <v>76</v>
      </c>
      <c r="C7508" s="2">
        <f>HYPERLINK("https://cao.dolgi.msk.ru/account/1080023353/", 1080023353)</f>
        <v>1080023353</v>
      </c>
      <c r="D7508" t="s">
        <v>6217</v>
      </c>
      <c r="E7508">
        <v>-3455.46</v>
      </c>
      <c r="F7508">
        <v>-1.07</v>
      </c>
      <c r="G7508" t="s">
        <v>12</v>
      </c>
      <c r="I7508" t="s">
        <v>13</v>
      </c>
    </row>
    <row r="7509" spans="1:9" hidden="1" x14ac:dyDescent="0.25">
      <c r="A7509" t="s">
        <v>6195</v>
      </c>
      <c r="B7509" t="s">
        <v>76</v>
      </c>
      <c r="C7509" s="2">
        <f>HYPERLINK("https://cao.dolgi.msk.ru/account/1083321911/", 1083321911)</f>
        <v>1083321911</v>
      </c>
      <c r="D7509" t="s">
        <v>15</v>
      </c>
      <c r="E7509">
        <v>-3455.46</v>
      </c>
      <c r="F7509">
        <v>-1.07</v>
      </c>
      <c r="G7509" t="s">
        <v>12</v>
      </c>
      <c r="I7509" t="s">
        <v>13</v>
      </c>
    </row>
    <row r="7510" spans="1:9" hidden="1" x14ac:dyDescent="0.25">
      <c r="A7510" t="s">
        <v>6195</v>
      </c>
      <c r="B7510" t="s">
        <v>78</v>
      </c>
      <c r="C7510" s="2">
        <f>HYPERLINK("https://cao.dolgi.msk.ru/account/1080023046/", 1080023046)</f>
        <v>1080023046</v>
      </c>
      <c r="D7510" t="s">
        <v>6218</v>
      </c>
      <c r="E7510">
        <v>0</v>
      </c>
      <c r="F7510">
        <v>0</v>
      </c>
      <c r="G7510" t="s">
        <v>12</v>
      </c>
      <c r="I7510" t="s">
        <v>13</v>
      </c>
    </row>
    <row r="7511" spans="1:9" hidden="1" x14ac:dyDescent="0.25">
      <c r="A7511" t="s">
        <v>6195</v>
      </c>
      <c r="B7511" t="s">
        <v>80</v>
      </c>
      <c r="C7511" s="2">
        <f>HYPERLINK("https://cao.dolgi.msk.ru/account/1080023054/", 1080023054)</f>
        <v>1080023054</v>
      </c>
      <c r="D7511" t="s">
        <v>6219</v>
      </c>
      <c r="E7511">
        <v>-10138.59</v>
      </c>
      <c r="F7511">
        <v>-1.03</v>
      </c>
      <c r="G7511" t="s">
        <v>12</v>
      </c>
      <c r="I7511" t="s">
        <v>13</v>
      </c>
    </row>
    <row r="7512" spans="1:9" hidden="1" x14ac:dyDescent="0.25">
      <c r="A7512" t="s">
        <v>6195</v>
      </c>
      <c r="B7512" t="s">
        <v>80</v>
      </c>
      <c r="C7512" s="2">
        <f>HYPERLINK("https://cao.dolgi.msk.ru/account/1083271061/", 1083271061)</f>
        <v>1083271061</v>
      </c>
      <c r="D7512" t="s">
        <v>15</v>
      </c>
      <c r="E7512">
        <v>69.13</v>
      </c>
      <c r="G7512" t="s">
        <v>14</v>
      </c>
      <c r="I7512" t="s">
        <v>13</v>
      </c>
    </row>
    <row r="7513" spans="1:9" hidden="1" x14ac:dyDescent="0.25">
      <c r="A7513" t="s">
        <v>6195</v>
      </c>
      <c r="B7513" t="s">
        <v>80</v>
      </c>
      <c r="C7513" s="2">
        <f>HYPERLINK("https://cao.dolgi.msk.ru/account/1083271088/", 1083271088)</f>
        <v>1083271088</v>
      </c>
      <c r="D7513" t="s">
        <v>15</v>
      </c>
      <c r="E7513">
        <v>138.26</v>
      </c>
      <c r="G7513" t="s">
        <v>14</v>
      </c>
      <c r="I7513" t="s">
        <v>13</v>
      </c>
    </row>
    <row r="7514" spans="1:9" hidden="1" x14ac:dyDescent="0.25">
      <c r="A7514" t="s">
        <v>6195</v>
      </c>
      <c r="B7514" t="s">
        <v>82</v>
      </c>
      <c r="C7514" s="2">
        <f>HYPERLINK("https://cao.dolgi.msk.ru/account/1080023062/", 1080023062)</f>
        <v>1080023062</v>
      </c>
      <c r="D7514" t="s">
        <v>6220</v>
      </c>
      <c r="E7514">
        <v>-6680.34</v>
      </c>
      <c r="F7514">
        <v>-1.05</v>
      </c>
      <c r="G7514" t="s">
        <v>12</v>
      </c>
      <c r="I7514" t="s">
        <v>13</v>
      </c>
    </row>
    <row r="7515" spans="1:9" hidden="1" x14ac:dyDescent="0.25">
      <c r="A7515" t="s">
        <v>6195</v>
      </c>
      <c r="B7515" t="s">
        <v>84</v>
      </c>
      <c r="C7515" s="2">
        <f>HYPERLINK("https://cao.dolgi.msk.ru/account/1080023089/", 1080023089)</f>
        <v>1080023089</v>
      </c>
      <c r="D7515" t="s">
        <v>6221</v>
      </c>
      <c r="E7515">
        <v>-6479.3</v>
      </c>
      <c r="F7515">
        <v>-1.2</v>
      </c>
      <c r="G7515" t="s">
        <v>12</v>
      </c>
      <c r="I7515" t="s">
        <v>13</v>
      </c>
    </row>
    <row r="7516" spans="1:9" hidden="1" x14ac:dyDescent="0.25">
      <c r="A7516" t="s">
        <v>6195</v>
      </c>
      <c r="B7516" t="s">
        <v>86</v>
      </c>
      <c r="C7516" s="2">
        <f>HYPERLINK("https://cao.dolgi.msk.ru/account/1080023097/", 1080023097)</f>
        <v>1080023097</v>
      </c>
      <c r="D7516" t="s">
        <v>6222</v>
      </c>
      <c r="E7516">
        <v>-4748.3900000000003</v>
      </c>
      <c r="F7516">
        <v>-1.1399999999999999</v>
      </c>
      <c r="G7516" t="s">
        <v>12</v>
      </c>
      <c r="H7516" t="s">
        <v>7</v>
      </c>
      <c r="I7516" t="s">
        <v>13</v>
      </c>
    </row>
    <row r="7517" spans="1:9" hidden="1" x14ac:dyDescent="0.25">
      <c r="A7517" t="s">
        <v>6195</v>
      </c>
      <c r="B7517" t="s">
        <v>86</v>
      </c>
      <c r="C7517" s="2">
        <f>HYPERLINK("https://cao.dolgi.msk.ru/account/1080023118/", 1080023118)</f>
        <v>1080023118</v>
      </c>
      <c r="D7517" t="s">
        <v>6223</v>
      </c>
      <c r="E7517">
        <v>-2639.02</v>
      </c>
      <c r="F7517">
        <v>-1.22</v>
      </c>
      <c r="G7517" t="s">
        <v>12</v>
      </c>
      <c r="H7517" t="s">
        <v>7</v>
      </c>
      <c r="I7517" t="s">
        <v>13</v>
      </c>
    </row>
    <row r="7518" spans="1:9" hidden="1" x14ac:dyDescent="0.25">
      <c r="A7518" t="s">
        <v>6195</v>
      </c>
      <c r="B7518" t="s">
        <v>86</v>
      </c>
      <c r="C7518" s="2">
        <f>HYPERLINK("https://cao.dolgi.msk.ru/account/1080326282/", 1080326282)</f>
        <v>1080326282</v>
      </c>
      <c r="D7518" t="s">
        <v>15</v>
      </c>
      <c r="E7518">
        <v>-5449.49</v>
      </c>
      <c r="F7518">
        <v>-5.03</v>
      </c>
      <c r="G7518" t="s">
        <v>12</v>
      </c>
      <c r="H7518" t="s">
        <v>7</v>
      </c>
      <c r="I7518" t="s">
        <v>13</v>
      </c>
    </row>
    <row r="7519" spans="1:9" hidden="1" x14ac:dyDescent="0.25">
      <c r="A7519" t="s">
        <v>6195</v>
      </c>
      <c r="B7519" t="s">
        <v>88</v>
      </c>
      <c r="C7519" s="2">
        <f>HYPERLINK("https://cao.dolgi.msk.ru/account/1080023126/", 1080023126)</f>
        <v>1080023126</v>
      </c>
      <c r="D7519" t="s">
        <v>6224</v>
      </c>
      <c r="E7519">
        <v>-16.25</v>
      </c>
      <c r="F7519">
        <v>0</v>
      </c>
      <c r="G7519" t="s">
        <v>12</v>
      </c>
      <c r="I7519" t="s">
        <v>13</v>
      </c>
    </row>
    <row r="7520" spans="1:9" x14ac:dyDescent="0.25">
      <c r="A7520" t="s">
        <v>6195</v>
      </c>
      <c r="B7520" t="s">
        <v>90</v>
      </c>
      <c r="C7520" s="2">
        <f>HYPERLINK("https://cao.dolgi.msk.ru/account/1080023134/", 1080023134)</f>
        <v>1080023134</v>
      </c>
      <c r="D7520" t="s">
        <v>6225</v>
      </c>
      <c r="E7520">
        <v>5053</v>
      </c>
      <c r="F7520">
        <v>1.01</v>
      </c>
      <c r="G7520" t="s">
        <v>12</v>
      </c>
      <c r="I7520" t="s">
        <v>13</v>
      </c>
    </row>
    <row r="7521" spans="1:9" hidden="1" x14ac:dyDescent="0.25">
      <c r="A7521" t="s">
        <v>6195</v>
      </c>
      <c r="B7521" t="s">
        <v>92</v>
      </c>
      <c r="C7521" s="2">
        <f>HYPERLINK("https://cao.dolgi.msk.ru/account/1080023142/", 1080023142)</f>
        <v>1080023142</v>
      </c>
      <c r="D7521" t="s">
        <v>6226</v>
      </c>
      <c r="E7521">
        <v>-5231.21</v>
      </c>
      <c r="F7521">
        <v>-0.98</v>
      </c>
      <c r="G7521" t="s">
        <v>12</v>
      </c>
      <c r="I7521" t="s">
        <v>13</v>
      </c>
    </row>
    <row r="7522" spans="1:9" hidden="1" x14ac:dyDescent="0.25">
      <c r="A7522" t="s">
        <v>6195</v>
      </c>
      <c r="B7522" t="s">
        <v>94</v>
      </c>
      <c r="C7522" s="2">
        <f>HYPERLINK("https://cao.dolgi.msk.ru/account/1080023169/", 1080023169)</f>
        <v>1080023169</v>
      </c>
      <c r="D7522" t="s">
        <v>6227</v>
      </c>
      <c r="E7522">
        <v>-7045.52</v>
      </c>
      <c r="F7522">
        <v>-1.1000000000000001</v>
      </c>
      <c r="G7522" t="s">
        <v>12</v>
      </c>
      <c r="I7522" t="s">
        <v>13</v>
      </c>
    </row>
    <row r="7523" spans="1:9" hidden="1" x14ac:dyDescent="0.25">
      <c r="A7523" t="s">
        <v>6195</v>
      </c>
      <c r="B7523" t="s">
        <v>96</v>
      </c>
      <c r="C7523" s="2">
        <f>HYPERLINK("https://cao.dolgi.msk.ru/account/1080023177/", 1080023177)</f>
        <v>1080023177</v>
      </c>
      <c r="D7523" t="s">
        <v>6228</v>
      </c>
      <c r="E7523">
        <v>-112.09</v>
      </c>
      <c r="F7523">
        <v>-0.01</v>
      </c>
      <c r="G7523" t="s">
        <v>12</v>
      </c>
      <c r="I7523" t="s">
        <v>13</v>
      </c>
    </row>
    <row r="7524" spans="1:9" hidden="1" x14ac:dyDescent="0.25">
      <c r="A7524" t="s">
        <v>6195</v>
      </c>
      <c r="B7524" t="s">
        <v>98</v>
      </c>
      <c r="C7524" s="2">
        <f>HYPERLINK("https://cao.dolgi.msk.ru/account/1080023185/", 1080023185)</f>
        <v>1080023185</v>
      </c>
      <c r="D7524" t="s">
        <v>6229</v>
      </c>
      <c r="E7524">
        <v>-11590.57</v>
      </c>
      <c r="F7524">
        <v>-1.26</v>
      </c>
      <c r="G7524" t="s">
        <v>12</v>
      </c>
      <c r="I7524" t="s">
        <v>13</v>
      </c>
    </row>
    <row r="7525" spans="1:9" hidden="1" x14ac:dyDescent="0.25">
      <c r="A7525" t="s">
        <v>6195</v>
      </c>
      <c r="B7525" t="s">
        <v>100</v>
      </c>
      <c r="C7525" s="2">
        <f>HYPERLINK("https://cao.dolgi.msk.ru/account/1080023193/", 1080023193)</f>
        <v>1080023193</v>
      </c>
      <c r="D7525" t="s">
        <v>6230</v>
      </c>
      <c r="E7525">
        <v>-240.69</v>
      </c>
      <c r="F7525">
        <v>-0.03</v>
      </c>
      <c r="G7525" t="s">
        <v>12</v>
      </c>
      <c r="I7525" t="s">
        <v>13</v>
      </c>
    </row>
    <row r="7526" spans="1:9" hidden="1" x14ac:dyDescent="0.25">
      <c r="A7526" t="s">
        <v>6195</v>
      </c>
      <c r="B7526" t="s">
        <v>102</v>
      </c>
      <c r="C7526" s="2">
        <f>HYPERLINK("https://cao.dolgi.msk.ru/account/1080023206/", 1080023206)</f>
        <v>1080023206</v>
      </c>
      <c r="D7526" t="s">
        <v>6231</v>
      </c>
      <c r="E7526">
        <v>-0.17</v>
      </c>
      <c r="F7526">
        <v>0</v>
      </c>
      <c r="G7526" t="s">
        <v>12</v>
      </c>
      <c r="I7526" t="s">
        <v>13</v>
      </c>
    </row>
    <row r="7527" spans="1:9" hidden="1" x14ac:dyDescent="0.25">
      <c r="A7527" t="s">
        <v>6195</v>
      </c>
      <c r="B7527" t="s">
        <v>104</v>
      </c>
      <c r="C7527" s="2">
        <f>HYPERLINK("https://cao.dolgi.msk.ru/account/1080023214/", 1080023214)</f>
        <v>1080023214</v>
      </c>
      <c r="D7527" t="s">
        <v>6232</v>
      </c>
      <c r="E7527">
        <v>-10387.57</v>
      </c>
      <c r="F7527">
        <v>-1.01</v>
      </c>
      <c r="G7527" t="s">
        <v>12</v>
      </c>
      <c r="I7527" t="s">
        <v>13</v>
      </c>
    </row>
    <row r="7528" spans="1:9" hidden="1" x14ac:dyDescent="0.25">
      <c r="A7528" t="s">
        <v>6195</v>
      </c>
      <c r="B7528" t="s">
        <v>106</v>
      </c>
      <c r="C7528" s="2">
        <f>HYPERLINK("https://cao.dolgi.msk.ru/account/1080023222/", 1080023222)</f>
        <v>1080023222</v>
      </c>
      <c r="D7528" t="s">
        <v>6233</v>
      </c>
      <c r="E7528">
        <v>-499.3</v>
      </c>
      <c r="F7528">
        <v>-0.08</v>
      </c>
      <c r="G7528" t="s">
        <v>12</v>
      </c>
      <c r="I7528" t="s">
        <v>13</v>
      </c>
    </row>
    <row r="7529" spans="1:9" hidden="1" x14ac:dyDescent="0.25">
      <c r="A7529" t="s">
        <v>6195</v>
      </c>
      <c r="B7529" t="s">
        <v>108</v>
      </c>
      <c r="C7529" s="2">
        <f>HYPERLINK("https://cao.dolgi.msk.ru/account/1080023249/", 1080023249)</f>
        <v>1080023249</v>
      </c>
      <c r="D7529" t="s">
        <v>6234</v>
      </c>
      <c r="E7529">
        <v>-5882.69</v>
      </c>
      <c r="F7529">
        <v>-1.02</v>
      </c>
      <c r="G7529" t="s">
        <v>12</v>
      </c>
      <c r="I7529" t="s">
        <v>13</v>
      </c>
    </row>
    <row r="7530" spans="1:9" hidden="1" x14ac:dyDescent="0.25">
      <c r="A7530" t="s">
        <v>6195</v>
      </c>
      <c r="B7530" t="s">
        <v>110</v>
      </c>
      <c r="C7530" s="2">
        <f>HYPERLINK("https://cao.dolgi.msk.ru/account/1080023257/", 1080023257)</f>
        <v>1080023257</v>
      </c>
      <c r="D7530" t="s">
        <v>6235</v>
      </c>
      <c r="E7530">
        <v>-7944.82</v>
      </c>
      <c r="F7530">
        <v>-0.98</v>
      </c>
      <c r="G7530" t="s">
        <v>12</v>
      </c>
      <c r="I7530" t="s">
        <v>13</v>
      </c>
    </row>
    <row r="7531" spans="1:9" hidden="1" x14ac:dyDescent="0.25">
      <c r="A7531" t="s">
        <v>6195</v>
      </c>
      <c r="B7531" t="s">
        <v>112</v>
      </c>
      <c r="C7531" s="2">
        <f>HYPERLINK("https://cao.dolgi.msk.ru/account/1080023265/", 1080023265)</f>
        <v>1080023265</v>
      </c>
      <c r="D7531" t="s">
        <v>6236</v>
      </c>
      <c r="E7531">
        <v>-5014.1000000000004</v>
      </c>
      <c r="F7531">
        <v>-1.06</v>
      </c>
      <c r="G7531" t="s">
        <v>12</v>
      </c>
      <c r="I7531" t="s">
        <v>13</v>
      </c>
    </row>
    <row r="7532" spans="1:9" hidden="1" x14ac:dyDescent="0.25">
      <c r="A7532" t="s">
        <v>6195</v>
      </c>
      <c r="B7532" t="s">
        <v>114</v>
      </c>
      <c r="C7532" s="2">
        <f>HYPERLINK("https://cao.dolgi.msk.ru/account/1080023273/", 1080023273)</f>
        <v>1080023273</v>
      </c>
      <c r="D7532" t="s">
        <v>6237</v>
      </c>
      <c r="E7532">
        <v>-5329.89</v>
      </c>
      <c r="F7532">
        <v>-0.99</v>
      </c>
      <c r="G7532" t="s">
        <v>12</v>
      </c>
      <c r="I7532" t="s">
        <v>13</v>
      </c>
    </row>
    <row r="7533" spans="1:9" hidden="1" x14ac:dyDescent="0.25">
      <c r="A7533" t="s">
        <v>6195</v>
      </c>
      <c r="B7533" t="s">
        <v>116</v>
      </c>
      <c r="C7533" s="2">
        <f>HYPERLINK("https://cao.dolgi.msk.ru/account/1080023281/", 1080023281)</f>
        <v>1080023281</v>
      </c>
      <c r="D7533" t="s">
        <v>6238</v>
      </c>
      <c r="E7533">
        <v>-9.64</v>
      </c>
      <c r="F7533">
        <v>0</v>
      </c>
      <c r="G7533" t="s">
        <v>12</v>
      </c>
      <c r="I7533" t="s">
        <v>13</v>
      </c>
    </row>
    <row r="7534" spans="1:9" hidden="1" x14ac:dyDescent="0.25">
      <c r="A7534" t="s">
        <v>6195</v>
      </c>
      <c r="B7534" t="s">
        <v>118</v>
      </c>
      <c r="C7534" s="2">
        <f>HYPERLINK("https://cao.dolgi.msk.ru/account/1080023302/", 1080023302)</f>
        <v>1080023302</v>
      </c>
      <c r="D7534" t="s">
        <v>6239</v>
      </c>
      <c r="E7534">
        <v>-1355.29</v>
      </c>
      <c r="F7534">
        <v>-0.17</v>
      </c>
      <c r="G7534" t="s">
        <v>12</v>
      </c>
      <c r="I7534" t="s">
        <v>13</v>
      </c>
    </row>
    <row r="7535" spans="1:9" hidden="1" x14ac:dyDescent="0.25">
      <c r="A7535" t="s">
        <v>6195</v>
      </c>
      <c r="B7535" t="s">
        <v>120</v>
      </c>
      <c r="C7535" s="2">
        <f>HYPERLINK("https://cao.dolgi.msk.ru/account/1080023329/", 1080023329)</f>
        <v>1080023329</v>
      </c>
      <c r="D7535" t="s">
        <v>6240</v>
      </c>
      <c r="E7535">
        <v>-6446.39</v>
      </c>
      <c r="F7535">
        <v>-1.05</v>
      </c>
      <c r="G7535" t="s">
        <v>12</v>
      </c>
      <c r="I7535" t="s">
        <v>13</v>
      </c>
    </row>
    <row r="7536" spans="1:9" x14ac:dyDescent="0.25">
      <c r="A7536" t="s">
        <v>6195</v>
      </c>
      <c r="B7536" t="s">
        <v>122</v>
      </c>
      <c r="C7536" s="2">
        <f>HYPERLINK("https://cao.dolgi.msk.ru/account/1080023337/", 1080023337)</f>
        <v>1080023337</v>
      </c>
      <c r="D7536" t="s">
        <v>6241</v>
      </c>
      <c r="E7536">
        <v>42608.69</v>
      </c>
      <c r="F7536">
        <v>13.78</v>
      </c>
      <c r="G7536" t="s">
        <v>12</v>
      </c>
      <c r="I7536" t="s">
        <v>13</v>
      </c>
    </row>
    <row r="7537" spans="1:9" x14ac:dyDescent="0.25">
      <c r="A7537" t="s">
        <v>6195</v>
      </c>
      <c r="B7537" t="s">
        <v>122</v>
      </c>
      <c r="C7537" s="2">
        <f>HYPERLINK("https://cao.dolgi.msk.ru/account/1080322986/", 1080322986)</f>
        <v>1080322986</v>
      </c>
      <c r="D7537" t="s">
        <v>6241</v>
      </c>
      <c r="E7537">
        <v>15219.44</v>
      </c>
      <c r="F7537">
        <v>75.08</v>
      </c>
      <c r="G7537" t="s">
        <v>12</v>
      </c>
      <c r="I7537" t="s">
        <v>13</v>
      </c>
    </row>
    <row r="7538" spans="1:9" x14ac:dyDescent="0.25">
      <c r="A7538" t="s">
        <v>6195</v>
      </c>
      <c r="B7538" t="s">
        <v>122</v>
      </c>
      <c r="C7538" s="2">
        <f>HYPERLINK("https://cao.dolgi.msk.ru/account/1080325511/", 1080325511)</f>
        <v>1080325511</v>
      </c>
      <c r="D7538" t="s">
        <v>15</v>
      </c>
      <c r="E7538">
        <v>5985.21</v>
      </c>
      <c r="F7538">
        <v>14.76</v>
      </c>
      <c r="G7538" t="s">
        <v>12</v>
      </c>
      <c r="I7538" t="s">
        <v>13</v>
      </c>
    </row>
    <row r="7539" spans="1:9" x14ac:dyDescent="0.25">
      <c r="A7539" t="s">
        <v>6195</v>
      </c>
      <c r="B7539" t="s">
        <v>122</v>
      </c>
      <c r="C7539" s="2">
        <f>HYPERLINK("https://cao.dolgi.msk.ru/account/1080326258/", 1080326258)</f>
        <v>1080326258</v>
      </c>
      <c r="D7539" t="s">
        <v>6241</v>
      </c>
      <c r="E7539">
        <v>8945.09</v>
      </c>
      <c r="F7539">
        <v>119.84</v>
      </c>
      <c r="G7539" t="s">
        <v>12</v>
      </c>
      <c r="I7539" t="s">
        <v>13</v>
      </c>
    </row>
    <row r="7540" spans="1:9" x14ac:dyDescent="0.25">
      <c r="A7540" t="s">
        <v>6195</v>
      </c>
      <c r="B7540" t="s">
        <v>122</v>
      </c>
      <c r="C7540" s="2">
        <f>HYPERLINK("https://cao.dolgi.msk.ru/account/1080326311/", 1080326311)</f>
        <v>1080326311</v>
      </c>
      <c r="D7540" t="s">
        <v>6241</v>
      </c>
      <c r="E7540">
        <v>7104.29</v>
      </c>
      <c r="F7540">
        <v>35.04</v>
      </c>
      <c r="G7540" t="s">
        <v>12</v>
      </c>
      <c r="I7540" t="s">
        <v>13</v>
      </c>
    </row>
    <row r="7541" spans="1:9" x14ac:dyDescent="0.25">
      <c r="A7541" t="s">
        <v>6195</v>
      </c>
      <c r="B7541" t="s">
        <v>122</v>
      </c>
      <c r="C7541" s="2">
        <f>HYPERLINK("https://cao.dolgi.msk.ru/account/1083270464/", 1083270464)</f>
        <v>1083270464</v>
      </c>
      <c r="D7541" t="s">
        <v>15</v>
      </c>
      <c r="E7541">
        <v>16547.939999999999</v>
      </c>
      <c r="F7541">
        <v>81.63</v>
      </c>
      <c r="G7541" t="s">
        <v>12</v>
      </c>
      <c r="I7541" t="s">
        <v>13</v>
      </c>
    </row>
    <row r="7542" spans="1:9" x14ac:dyDescent="0.25">
      <c r="A7542" t="s">
        <v>6195</v>
      </c>
      <c r="B7542" t="s">
        <v>122</v>
      </c>
      <c r="C7542" s="2">
        <f>HYPERLINK("https://cao.dolgi.msk.ru/account/1083270472/", 1083270472)</f>
        <v>1083270472</v>
      </c>
      <c r="D7542" t="s">
        <v>15</v>
      </c>
      <c r="E7542">
        <v>1764.15</v>
      </c>
      <c r="F7542">
        <v>47.3</v>
      </c>
      <c r="G7542" t="s">
        <v>12</v>
      </c>
      <c r="I7542" t="s">
        <v>13</v>
      </c>
    </row>
    <row r="7543" spans="1:9" x14ac:dyDescent="0.25">
      <c r="A7543" t="s">
        <v>6195</v>
      </c>
      <c r="B7543" t="s">
        <v>122</v>
      </c>
      <c r="C7543" s="2">
        <f>HYPERLINK("https://cao.dolgi.msk.ru/account/1083270499/", 1083270499)</f>
        <v>1083270499</v>
      </c>
      <c r="D7543" t="s">
        <v>15</v>
      </c>
      <c r="E7543">
        <v>1764.15</v>
      </c>
      <c r="F7543">
        <v>47.3</v>
      </c>
      <c r="G7543" t="s">
        <v>12</v>
      </c>
      <c r="I7543" t="s">
        <v>13</v>
      </c>
    </row>
    <row r="7544" spans="1:9" x14ac:dyDescent="0.25">
      <c r="A7544" t="s">
        <v>6195</v>
      </c>
      <c r="B7544" t="s">
        <v>122</v>
      </c>
      <c r="C7544" s="2">
        <f>HYPERLINK("https://cao.dolgi.msk.ru/account/1083270501/", 1083270501)</f>
        <v>1083270501</v>
      </c>
      <c r="D7544" t="s">
        <v>15</v>
      </c>
      <c r="E7544">
        <v>882.54</v>
      </c>
      <c r="F7544">
        <v>47.27</v>
      </c>
      <c r="G7544" t="s">
        <v>12</v>
      </c>
      <c r="I7544" t="s">
        <v>13</v>
      </c>
    </row>
    <row r="7545" spans="1:9" x14ac:dyDescent="0.25">
      <c r="A7545" t="s">
        <v>6195</v>
      </c>
      <c r="B7545" t="s">
        <v>122</v>
      </c>
      <c r="C7545" s="2">
        <f>HYPERLINK("https://cao.dolgi.msk.ru/account/1083270528/", 1083270528)</f>
        <v>1083270528</v>
      </c>
      <c r="D7545" t="s">
        <v>15</v>
      </c>
      <c r="E7545">
        <v>882.54</v>
      </c>
      <c r="F7545">
        <v>47.27</v>
      </c>
      <c r="G7545" t="s">
        <v>12</v>
      </c>
      <c r="I7545" t="s">
        <v>13</v>
      </c>
    </row>
    <row r="7546" spans="1:9" x14ac:dyDescent="0.25">
      <c r="A7546" t="s">
        <v>6195</v>
      </c>
      <c r="B7546" t="s">
        <v>122</v>
      </c>
      <c r="C7546" s="2">
        <f>HYPERLINK("https://cao.dolgi.msk.ru/account/1083270536/", 1083270536)</f>
        <v>1083270536</v>
      </c>
      <c r="D7546" t="s">
        <v>15</v>
      </c>
      <c r="E7546">
        <v>882.54</v>
      </c>
      <c r="F7546">
        <v>47.27</v>
      </c>
      <c r="G7546" t="s">
        <v>12</v>
      </c>
      <c r="I7546" t="s">
        <v>13</v>
      </c>
    </row>
    <row r="7547" spans="1:9" x14ac:dyDescent="0.25">
      <c r="A7547" t="s">
        <v>6195</v>
      </c>
      <c r="B7547" t="s">
        <v>122</v>
      </c>
      <c r="C7547" s="2">
        <f>HYPERLINK("https://cao.dolgi.msk.ru/account/1083270544/", 1083270544)</f>
        <v>1083270544</v>
      </c>
      <c r="D7547" t="s">
        <v>15</v>
      </c>
      <c r="E7547">
        <v>882.54</v>
      </c>
      <c r="F7547">
        <v>47.27</v>
      </c>
      <c r="G7547" t="s">
        <v>12</v>
      </c>
      <c r="I7547" t="s">
        <v>13</v>
      </c>
    </row>
    <row r="7548" spans="1:9" x14ac:dyDescent="0.25">
      <c r="A7548" t="s">
        <v>6195</v>
      </c>
      <c r="B7548" t="s">
        <v>122</v>
      </c>
      <c r="C7548" s="2">
        <f>HYPERLINK("https://cao.dolgi.msk.ru/account/1089123721/", 1089123721)</f>
        <v>1089123721</v>
      </c>
      <c r="D7548" t="s">
        <v>6242</v>
      </c>
      <c r="E7548">
        <v>30223.599999999999</v>
      </c>
      <c r="F7548">
        <v>42.88</v>
      </c>
      <c r="G7548" t="s">
        <v>12</v>
      </c>
      <c r="I7548" t="s">
        <v>13</v>
      </c>
    </row>
    <row r="7549" spans="1:9" hidden="1" x14ac:dyDescent="0.25">
      <c r="A7549" t="s">
        <v>6195</v>
      </c>
      <c r="B7549" t="s">
        <v>122</v>
      </c>
      <c r="C7549" s="2">
        <f>HYPERLINK("https://cao.dolgi.msk.ru/account/1089125225/", 1089125225)</f>
        <v>1089125225</v>
      </c>
      <c r="D7549" t="s">
        <v>15</v>
      </c>
      <c r="E7549">
        <v>0</v>
      </c>
      <c r="G7549" t="s">
        <v>14</v>
      </c>
      <c r="I7549" t="s">
        <v>13</v>
      </c>
    </row>
    <row r="7550" spans="1:9" hidden="1" x14ac:dyDescent="0.25">
      <c r="A7550" t="s">
        <v>6195</v>
      </c>
      <c r="B7550" t="s">
        <v>122</v>
      </c>
      <c r="C7550" s="2">
        <f>HYPERLINK("https://cao.dolgi.msk.ru/account/1089133284/", 1089133284)</f>
        <v>1089133284</v>
      </c>
      <c r="D7550" t="s">
        <v>6243</v>
      </c>
      <c r="E7550">
        <v>-327.39999999999998</v>
      </c>
      <c r="F7550">
        <v>-4.3899999999999997</v>
      </c>
      <c r="G7550" t="s">
        <v>12</v>
      </c>
      <c r="I7550" t="s">
        <v>13</v>
      </c>
    </row>
    <row r="7551" spans="1:9" x14ac:dyDescent="0.25">
      <c r="A7551" t="s">
        <v>6195</v>
      </c>
      <c r="B7551" t="s">
        <v>122</v>
      </c>
      <c r="C7551" s="2">
        <f>HYPERLINK("https://cao.dolgi.msk.ru/account/1089133604/", 1089133604)</f>
        <v>1089133604</v>
      </c>
      <c r="D7551" t="s">
        <v>15</v>
      </c>
      <c r="E7551">
        <v>16855.419999999998</v>
      </c>
      <c r="F7551">
        <v>60.77</v>
      </c>
      <c r="G7551" t="s">
        <v>12</v>
      </c>
      <c r="I7551" t="s">
        <v>13</v>
      </c>
    </row>
    <row r="7552" spans="1:9" x14ac:dyDescent="0.25">
      <c r="A7552" t="s">
        <v>6195</v>
      </c>
      <c r="B7552" t="s">
        <v>124</v>
      </c>
      <c r="C7552" s="2">
        <f>HYPERLINK("https://cao.dolgi.msk.ru/account/1080023345/", 1080023345)</f>
        <v>1080023345</v>
      </c>
      <c r="D7552" t="s">
        <v>6244</v>
      </c>
      <c r="E7552">
        <v>76281.37</v>
      </c>
      <c r="F7552">
        <v>5.93</v>
      </c>
      <c r="G7552" t="s">
        <v>12</v>
      </c>
      <c r="I7552" t="s">
        <v>13</v>
      </c>
    </row>
    <row r="7553" spans="1:9" hidden="1" x14ac:dyDescent="0.25">
      <c r="A7553" t="s">
        <v>6245</v>
      </c>
      <c r="B7553" t="s">
        <v>10</v>
      </c>
      <c r="C7553" s="2">
        <f>HYPERLINK("https://cao.dolgi.msk.ru/account/1080023724/", 1080023724)</f>
        <v>1080023724</v>
      </c>
      <c r="D7553" t="s">
        <v>6246</v>
      </c>
      <c r="E7553">
        <v>-1975.62</v>
      </c>
      <c r="F7553">
        <v>-1.01</v>
      </c>
      <c r="G7553" t="s">
        <v>12</v>
      </c>
      <c r="H7553" t="s">
        <v>7</v>
      </c>
      <c r="I7553" t="s">
        <v>13</v>
      </c>
    </row>
    <row r="7554" spans="1:9" hidden="1" x14ac:dyDescent="0.25">
      <c r="A7554" t="s">
        <v>6245</v>
      </c>
      <c r="B7554" t="s">
        <v>16</v>
      </c>
      <c r="C7554" s="2">
        <f>HYPERLINK("https://cao.dolgi.msk.ru/account/1080023732/", 1080023732)</f>
        <v>1080023732</v>
      </c>
      <c r="D7554" t="s">
        <v>6247</v>
      </c>
      <c r="E7554">
        <v>77.16</v>
      </c>
      <c r="F7554">
        <v>0.01</v>
      </c>
      <c r="G7554" t="s">
        <v>12</v>
      </c>
      <c r="H7554" t="s">
        <v>7</v>
      </c>
      <c r="I7554" t="s">
        <v>13</v>
      </c>
    </row>
    <row r="7555" spans="1:9" hidden="1" x14ac:dyDescent="0.25">
      <c r="A7555" t="s">
        <v>6245</v>
      </c>
      <c r="B7555" t="s">
        <v>16</v>
      </c>
      <c r="C7555" s="2">
        <f>HYPERLINK("https://cao.dolgi.msk.ru/account/1080023767/", 1080023767)</f>
        <v>1080023767</v>
      </c>
      <c r="D7555" t="s">
        <v>15</v>
      </c>
      <c r="E7555">
        <v>2236.04</v>
      </c>
      <c r="F7555">
        <v>0.82</v>
      </c>
      <c r="G7555" t="s">
        <v>12</v>
      </c>
      <c r="H7555" t="s">
        <v>7</v>
      </c>
      <c r="I7555" t="s">
        <v>13</v>
      </c>
    </row>
    <row r="7556" spans="1:9" hidden="1" x14ac:dyDescent="0.25">
      <c r="A7556" t="s">
        <v>6245</v>
      </c>
      <c r="B7556" t="s">
        <v>234</v>
      </c>
      <c r="C7556" s="2">
        <f>HYPERLINK("https://cao.dolgi.msk.ru/account/1080023759/", 1080023759)</f>
        <v>1080023759</v>
      </c>
      <c r="D7556" t="s">
        <v>15</v>
      </c>
      <c r="G7556" t="s">
        <v>14</v>
      </c>
      <c r="I7556" t="s">
        <v>13</v>
      </c>
    </row>
    <row r="7557" spans="1:9" hidden="1" x14ac:dyDescent="0.25">
      <c r="A7557" t="s">
        <v>6245</v>
      </c>
      <c r="B7557" t="s">
        <v>18</v>
      </c>
      <c r="C7557" s="2">
        <f>HYPERLINK("https://cao.dolgi.msk.ru/account/1080023775/", 1080023775)</f>
        <v>1080023775</v>
      </c>
      <c r="D7557" t="s">
        <v>15</v>
      </c>
      <c r="E7557">
        <v>0</v>
      </c>
      <c r="G7557" t="s">
        <v>14</v>
      </c>
      <c r="H7557" t="s">
        <v>7</v>
      </c>
      <c r="I7557" t="s">
        <v>13</v>
      </c>
    </row>
    <row r="7558" spans="1:9" x14ac:dyDescent="0.25">
      <c r="A7558" t="s">
        <v>6245</v>
      </c>
      <c r="B7558" t="s">
        <v>18</v>
      </c>
      <c r="C7558" s="2">
        <f>HYPERLINK("https://cao.dolgi.msk.ru/account/1083283708/", 1083283708)</f>
        <v>1083283708</v>
      </c>
      <c r="D7558" t="s">
        <v>15</v>
      </c>
      <c r="E7558">
        <v>202327.21</v>
      </c>
      <c r="F7558">
        <v>11.42</v>
      </c>
      <c r="G7558" t="s">
        <v>12</v>
      </c>
      <c r="H7558" t="s">
        <v>7</v>
      </c>
      <c r="I7558" t="s">
        <v>13</v>
      </c>
    </row>
    <row r="7559" spans="1:9" x14ac:dyDescent="0.25">
      <c r="A7559" t="s">
        <v>6245</v>
      </c>
      <c r="B7559" t="s">
        <v>237</v>
      </c>
      <c r="C7559" s="2">
        <f>HYPERLINK("https://cao.dolgi.msk.ru/account/1083283716/", 1083283716)</f>
        <v>1083283716</v>
      </c>
      <c r="D7559" t="s">
        <v>15</v>
      </c>
      <c r="E7559">
        <v>110053.07</v>
      </c>
      <c r="F7559">
        <v>8.6999999999999993</v>
      </c>
      <c r="G7559" t="s">
        <v>12</v>
      </c>
      <c r="I7559" t="s">
        <v>13</v>
      </c>
    </row>
    <row r="7560" spans="1:9" hidden="1" x14ac:dyDescent="0.25">
      <c r="A7560" t="s">
        <v>6248</v>
      </c>
      <c r="B7560" t="s">
        <v>20</v>
      </c>
      <c r="C7560" s="2">
        <f>HYPERLINK("https://cao.dolgi.msk.ru/account/1080000055/", 1080000055)</f>
        <v>1080000055</v>
      </c>
      <c r="D7560" t="s">
        <v>6249</v>
      </c>
      <c r="E7560">
        <v>-4117.41</v>
      </c>
      <c r="F7560">
        <v>-1.04</v>
      </c>
      <c r="G7560" t="s">
        <v>12</v>
      </c>
      <c r="I7560" t="s">
        <v>13</v>
      </c>
    </row>
    <row r="7561" spans="1:9" x14ac:dyDescent="0.25">
      <c r="A7561" t="s">
        <v>6248</v>
      </c>
      <c r="B7561" t="s">
        <v>21</v>
      </c>
      <c r="C7561" s="2">
        <f>HYPERLINK("https://cao.dolgi.msk.ru/account/1080000063/", 1080000063)</f>
        <v>1080000063</v>
      </c>
      <c r="D7561" t="s">
        <v>6250</v>
      </c>
      <c r="E7561">
        <v>4460.33</v>
      </c>
      <c r="F7561">
        <v>1.23</v>
      </c>
      <c r="G7561" t="s">
        <v>12</v>
      </c>
      <c r="H7561" t="s">
        <v>7</v>
      </c>
      <c r="I7561" t="s">
        <v>13</v>
      </c>
    </row>
    <row r="7562" spans="1:9" hidden="1" x14ac:dyDescent="0.25">
      <c r="A7562" t="s">
        <v>6248</v>
      </c>
      <c r="B7562" t="s">
        <v>21</v>
      </c>
      <c r="C7562" s="2">
        <f>HYPERLINK("https://cao.dolgi.msk.ru/account/1080000071/", 1080000071)</f>
        <v>1080000071</v>
      </c>
      <c r="D7562" t="s">
        <v>15</v>
      </c>
      <c r="E7562">
        <v>-6259.38</v>
      </c>
      <c r="F7562">
        <v>-1</v>
      </c>
      <c r="G7562" t="s">
        <v>12</v>
      </c>
      <c r="H7562" t="s">
        <v>7</v>
      </c>
      <c r="I7562" t="s">
        <v>13</v>
      </c>
    </row>
    <row r="7563" spans="1:9" hidden="1" x14ac:dyDescent="0.25">
      <c r="A7563" t="s">
        <v>6248</v>
      </c>
      <c r="B7563" t="s">
        <v>22</v>
      </c>
      <c r="C7563" s="2">
        <f>HYPERLINK("https://cao.dolgi.msk.ru/account/1080000098/", 1080000098)</f>
        <v>1080000098</v>
      </c>
      <c r="D7563" t="s">
        <v>15</v>
      </c>
      <c r="E7563">
        <v>-10260.540000000001</v>
      </c>
      <c r="F7563">
        <v>-1.75</v>
      </c>
      <c r="G7563" t="s">
        <v>12</v>
      </c>
      <c r="I7563" t="s">
        <v>13</v>
      </c>
    </row>
    <row r="7564" spans="1:9" hidden="1" x14ac:dyDescent="0.25">
      <c r="A7564" t="s">
        <v>6248</v>
      </c>
      <c r="B7564" t="s">
        <v>22</v>
      </c>
      <c r="C7564" s="2">
        <f>HYPERLINK("https://cao.dolgi.msk.ru/account/1080000119/", 1080000119)</f>
        <v>1080000119</v>
      </c>
      <c r="D7564" t="s">
        <v>15</v>
      </c>
      <c r="G7564" t="s">
        <v>14</v>
      </c>
      <c r="I7564" t="s">
        <v>13</v>
      </c>
    </row>
    <row r="7565" spans="1:9" hidden="1" x14ac:dyDescent="0.25">
      <c r="A7565" t="s">
        <v>6248</v>
      </c>
      <c r="B7565" t="s">
        <v>23</v>
      </c>
      <c r="C7565" s="2">
        <f>HYPERLINK("https://cao.dolgi.msk.ru/account/1080000127/", 1080000127)</f>
        <v>1080000127</v>
      </c>
      <c r="D7565" t="s">
        <v>6251</v>
      </c>
      <c r="E7565">
        <v>-2233.2199999999998</v>
      </c>
      <c r="F7565">
        <v>-0.42</v>
      </c>
      <c r="G7565" t="s">
        <v>12</v>
      </c>
      <c r="I7565" t="s">
        <v>13</v>
      </c>
    </row>
    <row r="7566" spans="1:9" hidden="1" x14ac:dyDescent="0.25">
      <c r="A7566" t="s">
        <v>6248</v>
      </c>
      <c r="B7566" t="s">
        <v>24</v>
      </c>
      <c r="C7566" s="2">
        <f>HYPERLINK("https://cao.dolgi.msk.ru/account/1080000135/", 1080000135)</f>
        <v>1080000135</v>
      </c>
      <c r="D7566" t="s">
        <v>6252</v>
      </c>
      <c r="E7566">
        <v>-4184.49</v>
      </c>
      <c r="F7566">
        <v>-1.02</v>
      </c>
      <c r="G7566" t="s">
        <v>12</v>
      </c>
      <c r="I7566" t="s">
        <v>13</v>
      </c>
    </row>
    <row r="7567" spans="1:9" hidden="1" x14ac:dyDescent="0.25">
      <c r="A7567" t="s">
        <v>6248</v>
      </c>
      <c r="B7567" t="s">
        <v>27</v>
      </c>
      <c r="C7567" s="2">
        <f>HYPERLINK("https://cao.dolgi.msk.ru/account/1080000143/", 1080000143)</f>
        <v>1080000143</v>
      </c>
      <c r="D7567" t="s">
        <v>942</v>
      </c>
      <c r="E7567">
        <v>-6907.36</v>
      </c>
      <c r="F7567">
        <v>-1.1000000000000001</v>
      </c>
      <c r="G7567" t="s">
        <v>12</v>
      </c>
      <c r="I7567" t="s">
        <v>13</v>
      </c>
    </row>
    <row r="7568" spans="1:9" hidden="1" x14ac:dyDescent="0.25">
      <c r="A7568" t="s">
        <v>6248</v>
      </c>
      <c r="B7568" t="s">
        <v>29</v>
      </c>
      <c r="C7568" s="2">
        <f>HYPERLINK("https://cao.dolgi.msk.ru/account/1080000151/", 1080000151)</f>
        <v>1080000151</v>
      </c>
      <c r="D7568" t="s">
        <v>6253</v>
      </c>
      <c r="E7568">
        <v>-11058.41</v>
      </c>
      <c r="F7568">
        <v>-1.5</v>
      </c>
      <c r="G7568" t="s">
        <v>12</v>
      </c>
      <c r="I7568" t="s">
        <v>13</v>
      </c>
    </row>
    <row r="7569" spans="1:9" hidden="1" x14ac:dyDescent="0.25">
      <c r="A7569" t="s">
        <v>6248</v>
      </c>
      <c r="B7569" t="s">
        <v>31</v>
      </c>
      <c r="C7569" s="2">
        <f>HYPERLINK("https://cao.dolgi.msk.ru/account/1080000186/", 1080000186)</f>
        <v>1080000186</v>
      </c>
      <c r="D7569" t="s">
        <v>6254</v>
      </c>
      <c r="E7569">
        <v>-4617.58</v>
      </c>
      <c r="F7569">
        <v>-1.03</v>
      </c>
      <c r="G7569" t="s">
        <v>12</v>
      </c>
      <c r="I7569" t="s">
        <v>13</v>
      </c>
    </row>
    <row r="7570" spans="1:9" hidden="1" x14ac:dyDescent="0.25">
      <c r="A7570" t="s">
        <v>6248</v>
      </c>
      <c r="B7570" t="s">
        <v>33</v>
      </c>
      <c r="C7570" s="2">
        <f>HYPERLINK("https://cao.dolgi.msk.ru/account/1080000194/", 1080000194)</f>
        <v>1080000194</v>
      </c>
      <c r="D7570" t="s">
        <v>6255</v>
      </c>
      <c r="E7570">
        <v>241.35</v>
      </c>
      <c r="F7570">
        <v>0.04</v>
      </c>
      <c r="G7570" t="s">
        <v>12</v>
      </c>
      <c r="I7570" t="s">
        <v>13</v>
      </c>
    </row>
    <row r="7571" spans="1:9" hidden="1" x14ac:dyDescent="0.25">
      <c r="A7571" t="s">
        <v>6248</v>
      </c>
      <c r="B7571" t="s">
        <v>33</v>
      </c>
      <c r="C7571" s="2">
        <f>HYPERLINK("https://cao.dolgi.msk.ru/account/1080000207/", 1080000207)</f>
        <v>1080000207</v>
      </c>
      <c r="D7571" t="s">
        <v>62</v>
      </c>
      <c r="E7571">
        <v>0</v>
      </c>
      <c r="G7571" t="s">
        <v>14</v>
      </c>
      <c r="I7571" t="s">
        <v>13</v>
      </c>
    </row>
    <row r="7572" spans="1:9" hidden="1" x14ac:dyDescent="0.25">
      <c r="A7572" t="s">
        <v>6248</v>
      </c>
      <c r="B7572" t="s">
        <v>34</v>
      </c>
      <c r="C7572" s="2">
        <f>HYPERLINK("https://cao.dolgi.msk.ru/account/1080000215/", 1080000215)</f>
        <v>1080000215</v>
      </c>
      <c r="D7572" t="s">
        <v>62</v>
      </c>
      <c r="E7572">
        <v>-5793.4</v>
      </c>
      <c r="F7572">
        <v>-1.08</v>
      </c>
      <c r="G7572" t="s">
        <v>12</v>
      </c>
      <c r="I7572" t="s">
        <v>13</v>
      </c>
    </row>
    <row r="7573" spans="1:9" hidden="1" x14ac:dyDescent="0.25">
      <c r="A7573" t="s">
        <v>6248</v>
      </c>
      <c r="B7573" t="s">
        <v>36</v>
      </c>
      <c r="C7573" s="2">
        <f>HYPERLINK("https://cao.dolgi.msk.ru/account/1080000223/", 1080000223)</f>
        <v>1080000223</v>
      </c>
      <c r="D7573" t="s">
        <v>6256</v>
      </c>
      <c r="E7573">
        <v>-2630.84</v>
      </c>
      <c r="F7573">
        <v>-0.49</v>
      </c>
      <c r="G7573" t="s">
        <v>12</v>
      </c>
      <c r="I7573" t="s">
        <v>13</v>
      </c>
    </row>
    <row r="7574" spans="1:9" hidden="1" x14ac:dyDescent="0.25">
      <c r="A7574" t="s">
        <v>6248</v>
      </c>
      <c r="B7574" t="s">
        <v>38</v>
      </c>
      <c r="C7574" s="2">
        <f>HYPERLINK("https://cao.dolgi.msk.ru/account/1080000231/", 1080000231)</f>
        <v>1080000231</v>
      </c>
      <c r="D7574" t="s">
        <v>6257</v>
      </c>
      <c r="E7574">
        <v>-5971.06</v>
      </c>
      <c r="F7574">
        <v>-2.77</v>
      </c>
      <c r="G7574" t="s">
        <v>12</v>
      </c>
      <c r="H7574" t="s">
        <v>7</v>
      </c>
      <c r="I7574" t="s">
        <v>13</v>
      </c>
    </row>
    <row r="7575" spans="1:9" x14ac:dyDescent="0.25">
      <c r="A7575" t="s">
        <v>6248</v>
      </c>
      <c r="B7575" t="s">
        <v>38</v>
      </c>
      <c r="C7575" s="2">
        <f>HYPERLINK("https://cao.dolgi.msk.ru/account/1080010763/", 1080010763)</f>
        <v>1080010763</v>
      </c>
      <c r="D7575" t="s">
        <v>6258</v>
      </c>
      <c r="E7575">
        <v>16597.419999999998</v>
      </c>
      <c r="F7575">
        <v>2.65</v>
      </c>
      <c r="G7575" t="s">
        <v>12</v>
      </c>
      <c r="H7575" t="s">
        <v>7</v>
      </c>
      <c r="I7575" t="s">
        <v>13</v>
      </c>
    </row>
    <row r="7576" spans="1:9" hidden="1" x14ac:dyDescent="0.25">
      <c r="A7576" t="s">
        <v>6259</v>
      </c>
      <c r="B7576" t="s">
        <v>10</v>
      </c>
      <c r="C7576" s="2">
        <f>HYPERLINK("https://cao.dolgi.msk.ru/account/1080310002/", 1080310002)</f>
        <v>1080310002</v>
      </c>
      <c r="D7576" t="s">
        <v>6260</v>
      </c>
      <c r="E7576">
        <v>2755.65</v>
      </c>
      <c r="F7576">
        <v>0.98</v>
      </c>
      <c r="G7576" t="s">
        <v>12</v>
      </c>
      <c r="I7576" t="s">
        <v>1050</v>
      </c>
    </row>
    <row r="7577" spans="1:9" hidden="1" x14ac:dyDescent="0.25">
      <c r="A7577" t="s">
        <v>6259</v>
      </c>
      <c r="B7577" t="s">
        <v>16</v>
      </c>
      <c r="C7577" s="2">
        <f>HYPERLINK("https://cao.dolgi.msk.ru/account/1080310029/", 1080310029)</f>
        <v>1080310029</v>
      </c>
      <c r="D7577" t="s">
        <v>6261</v>
      </c>
      <c r="E7577">
        <v>-5320.8</v>
      </c>
      <c r="F7577">
        <v>-1.34</v>
      </c>
      <c r="G7577" t="s">
        <v>12</v>
      </c>
      <c r="I7577" t="s">
        <v>1050</v>
      </c>
    </row>
    <row r="7578" spans="1:9" hidden="1" x14ac:dyDescent="0.25">
      <c r="A7578" t="s">
        <v>6259</v>
      </c>
      <c r="B7578" t="s">
        <v>18</v>
      </c>
      <c r="C7578" s="2">
        <f>HYPERLINK("https://cao.dolgi.msk.ru/account/1080310037/", 1080310037)</f>
        <v>1080310037</v>
      </c>
      <c r="D7578" t="s">
        <v>6262</v>
      </c>
      <c r="E7578">
        <v>-5429.14</v>
      </c>
      <c r="F7578">
        <v>-3.54</v>
      </c>
      <c r="G7578" t="s">
        <v>12</v>
      </c>
      <c r="I7578" t="s">
        <v>1050</v>
      </c>
    </row>
    <row r="7579" spans="1:9" hidden="1" x14ac:dyDescent="0.25">
      <c r="A7579" t="s">
        <v>6259</v>
      </c>
      <c r="B7579" t="s">
        <v>20</v>
      </c>
      <c r="C7579" s="2">
        <f>HYPERLINK("https://cao.dolgi.msk.ru/account/1080310053/", 1080310053)</f>
        <v>1080310053</v>
      </c>
      <c r="D7579" t="s">
        <v>6263</v>
      </c>
      <c r="E7579">
        <v>-260.11</v>
      </c>
      <c r="F7579">
        <v>-0.05</v>
      </c>
      <c r="G7579" t="s">
        <v>12</v>
      </c>
      <c r="I7579" t="s">
        <v>1050</v>
      </c>
    </row>
    <row r="7580" spans="1:9" hidden="1" x14ac:dyDescent="0.25">
      <c r="A7580" t="s">
        <v>6259</v>
      </c>
      <c r="B7580" t="s">
        <v>21</v>
      </c>
      <c r="C7580" s="2">
        <f>HYPERLINK("https://cao.dolgi.msk.ru/account/1080310061/", 1080310061)</f>
        <v>1080310061</v>
      </c>
      <c r="D7580" t="s">
        <v>6264</v>
      </c>
      <c r="E7580">
        <v>-4519.97</v>
      </c>
      <c r="F7580">
        <v>-1.1499999999999999</v>
      </c>
      <c r="G7580" t="s">
        <v>12</v>
      </c>
      <c r="I7580" t="s">
        <v>1050</v>
      </c>
    </row>
    <row r="7581" spans="1:9" hidden="1" x14ac:dyDescent="0.25">
      <c r="A7581" t="s">
        <v>6259</v>
      </c>
      <c r="B7581" t="s">
        <v>22</v>
      </c>
      <c r="C7581" s="2">
        <f>HYPERLINK("https://cao.dolgi.msk.ru/account/1080310088/", 1080310088)</f>
        <v>1080310088</v>
      </c>
      <c r="D7581" t="s">
        <v>6265</v>
      </c>
      <c r="E7581">
        <v>-7022.69</v>
      </c>
      <c r="F7581">
        <v>-1.0900000000000001</v>
      </c>
      <c r="G7581" t="s">
        <v>12</v>
      </c>
      <c r="I7581" t="s">
        <v>1050</v>
      </c>
    </row>
    <row r="7582" spans="1:9" hidden="1" x14ac:dyDescent="0.25">
      <c r="A7582" t="s">
        <v>6259</v>
      </c>
      <c r="B7582" t="s">
        <v>23</v>
      </c>
      <c r="C7582" s="2">
        <f>HYPERLINK("https://cao.dolgi.msk.ru/account/1080310096/", 1080310096)</f>
        <v>1080310096</v>
      </c>
      <c r="D7582" t="s">
        <v>6266</v>
      </c>
      <c r="E7582">
        <v>-7838.57</v>
      </c>
      <c r="F7582">
        <v>-1.1399999999999999</v>
      </c>
      <c r="G7582" t="s">
        <v>12</v>
      </c>
      <c r="I7582" t="s">
        <v>1050</v>
      </c>
    </row>
    <row r="7583" spans="1:9" hidden="1" x14ac:dyDescent="0.25">
      <c r="A7583" t="s">
        <v>6259</v>
      </c>
      <c r="B7583" t="s">
        <v>24</v>
      </c>
      <c r="C7583" s="2">
        <f>HYPERLINK("https://cao.dolgi.msk.ru/account/1080310109/", 1080310109)</f>
        <v>1080310109</v>
      </c>
      <c r="D7583" t="s">
        <v>6267</v>
      </c>
      <c r="E7583">
        <v>-306.55</v>
      </c>
      <c r="F7583">
        <v>-0.05</v>
      </c>
      <c r="G7583" t="s">
        <v>12</v>
      </c>
      <c r="I7583" t="s">
        <v>1050</v>
      </c>
    </row>
    <row r="7584" spans="1:9" hidden="1" x14ac:dyDescent="0.25">
      <c r="A7584" t="s">
        <v>6259</v>
      </c>
      <c r="B7584" t="s">
        <v>27</v>
      </c>
      <c r="C7584" s="2">
        <f>HYPERLINK("https://cao.dolgi.msk.ru/account/1080310117/", 1080310117)</f>
        <v>1080310117</v>
      </c>
      <c r="D7584" t="s">
        <v>6268</v>
      </c>
      <c r="E7584">
        <v>15.9</v>
      </c>
      <c r="F7584">
        <v>0.01</v>
      </c>
      <c r="G7584" t="s">
        <v>12</v>
      </c>
      <c r="I7584" t="s">
        <v>1050</v>
      </c>
    </row>
    <row r="7585" spans="1:9" hidden="1" x14ac:dyDescent="0.25">
      <c r="A7585" t="s">
        <v>6259</v>
      </c>
      <c r="B7585" t="s">
        <v>29</v>
      </c>
      <c r="C7585" s="2">
        <f>HYPERLINK("https://cao.dolgi.msk.ru/account/1080310125/", 1080310125)</f>
        <v>1080310125</v>
      </c>
      <c r="D7585" t="s">
        <v>6269</v>
      </c>
      <c r="E7585">
        <v>0</v>
      </c>
      <c r="F7585">
        <v>0</v>
      </c>
      <c r="G7585" t="s">
        <v>12</v>
      </c>
      <c r="I7585" t="s">
        <v>1050</v>
      </c>
    </row>
    <row r="7586" spans="1:9" hidden="1" x14ac:dyDescent="0.25">
      <c r="A7586" t="s">
        <v>6259</v>
      </c>
      <c r="B7586" t="s">
        <v>31</v>
      </c>
      <c r="C7586" s="2">
        <f>HYPERLINK("https://cao.dolgi.msk.ru/account/1080310133/", 1080310133)</f>
        <v>1080310133</v>
      </c>
      <c r="D7586" t="s">
        <v>6270</v>
      </c>
      <c r="E7586">
        <v>-6675.11</v>
      </c>
      <c r="F7586">
        <v>-1.17</v>
      </c>
      <c r="G7586" t="s">
        <v>12</v>
      </c>
      <c r="I7586" t="s">
        <v>1050</v>
      </c>
    </row>
    <row r="7587" spans="1:9" hidden="1" x14ac:dyDescent="0.25">
      <c r="A7587" t="s">
        <v>6259</v>
      </c>
      <c r="B7587" t="s">
        <v>33</v>
      </c>
      <c r="C7587" s="2">
        <f>HYPERLINK("https://cao.dolgi.msk.ru/account/1080310141/", 1080310141)</f>
        <v>1080310141</v>
      </c>
      <c r="D7587" t="s">
        <v>6271</v>
      </c>
      <c r="E7587">
        <v>-7365.96</v>
      </c>
      <c r="F7587">
        <v>-1.1000000000000001</v>
      </c>
      <c r="G7587" t="s">
        <v>12</v>
      </c>
      <c r="I7587" t="s">
        <v>1050</v>
      </c>
    </row>
    <row r="7588" spans="1:9" hidden="1" x14ac:dyDescent="0.25">
      <c r="A7588" t="s">
        <v>6259</v>
      </c>
      <c r="B7588" t="s">
        <v>34</v>
      </c>
      <c r="C7588" s="2">
        <f>HYPERLINK("https://cao.dolgi.msk.ru/account/1080310168/", 1080310168)</f>
        <v>1080310168</v>
      </c>
      <c r="D7588" t="s">
        <v>6272</v>
      </c>
      <c r="E7588">
        <v>-2576.44</v>
      </c>
      <c r="F7588">
        <v>-1.07</v>
      </c>
      <c r="G7588" t="s">
        <v>12</v>
      </c>
      <c r="I7588" t="s">
        <v>1050</v>
      </c>
    </row>
    <row r="7589" spans="1:9" hidden="1" x14ac:dyDescent="0.25">
      <c r="A7589" t="s">
        <v>6259</v>
      </c>
      <c r="B7589" t="s">
        <v>36</v>
      </c>
      <c r="C7589" s="2">
        <f>HYPERLINK("https://cao.dolgi.msk.ru/account/1080310176/", 1080310176)</f>
        <v>1080310176</v>
      </c>
      <c r="D7589" t="s">
        <v>6273</v>
      </c>
      <c r="E7589">
        <v>-6220.65</v>
      </c>
      <c r="F7589">
        <v>-1.17</v>
      </c>
      <c r="G7589" t="s">
        <v>12</v>
      </c>
      <c r="I7589" t="s">
        <v>1050</v>
      </c>
    </row>
    <row r="7590" spans="1:9" hidden="1" x14ac:dyDescent="0.25">
      <c r="A7590" t="s">
        <v>6259</v>
      </c>
      <c r="B7590" t="s">
        <v>38</v>
      </c>
      <c r="C7590" s="2">
        <f>HYPERLINK("https://cao.dolgi.msk.ru/account/1080310184/", 1080310184)</f>
        <v>1080310184</v>
      </c>
      <c r="D7590" t="s">
        <v>6274</v>
      </c>
      <c r="E7590">
        <v>-2106.33</v>
      </c>
      <c r="F7590">
        <v>-0.4</v>
      </c>
      <c r="G7590" t="s">
        <v>12</v>
      </c>
      <c r="I7590" t="s">
        <v>1050</v>
      </c>
    </row>
    <row r="7591" spans="1:9" hidden="1" x14ac:dyDescent="0.25">
      <c r="A7591" t="s">
        <v>6259</v>
      </c>
      <c r="B7591" t="s">
        <v>39</v>
      </c>
      <c r="C7591" s="2">
        <f>HYPERLINK("https://cao.dolgi.msk.ru/account/1080310192/", 1080310192)</f>
        <v>1080310192</v>
      </c>
      <c r="D7591" t="s">
        <v>6275</v>
      </c>
      <c r="E7591">
        <v>-720.15</v>
      </c>
      <c r="F7591">
        <v>-0.12</v>
      </c>
      <c r="G7591" t="s">
        <v>12</v>
      </c>
      <c r="I7591" t="s">
        <v>1050</v>
      </c>
    </row>
    <row r="7592" spans="1:9" x14ac:dyDescent="0.25">
      <c r="A7592" t="s">
        <v>6259</v>
      </c>
      <c r="B7592" t="s">
        <v>40</v>
      </c>
      <c r="C7592" s="2">
        <f>HYPERLINK("https://cao.dolgi.msk.ru/account/1080310205/", 1080310205)</f>
        <v>1080310205</v>
      </c>
      <c r="D7592" t="s">
        <v>6276</v>
      </c>
      <c r="E7592">
        <v>189490.18</v>
      </c>
      <c r="F7592">
        <v>45.71</v>
      </c>
      <c r="G7592" t="s">
        <v>12</v>
      </c>
      <c r="I7592" t="s">
        <v>1050</v>
      </c>
    </row>
    <row r="7593" spans="1:9" hidden="1" x14ac:dyDescent="0.25">
      <c r="A7593" t="s">
        <v>6259</v>
      </c>
      <c r="B7593" t="s">
        <v>41</v>
      </c>
      <c r="C7593" s="2">
        <f>HYPERLINK("https://cao.dolgi.msk.ru/account/1080310213/", 1080310213)</f>
        <v>1080310213</v>
      </c>
      <c r="D7593" t="s">
        <v>6277</v>
      </c>
      <c r="E7593">
        <v>-6189.92</v>
      </c>
      <c r="F7593">
        <v>-1.1100000000000001</v>
      </c>
      <c r="G7593" t="s">
        <v>12</v>
      </c>
      <c r="I7593" t="s">
        <v>1050</v>
      </c>
    </row>
    <row r="7594" spans="1:9" hidden="1" x14ac:dyDescent="0.25">
      <c r="A7594" t="s">
        <v>6259</v>
      </c>
      <c r="B7594" t="s">
        <v>42</v>
      </c>
      <c r="C7594" s="2">
        <f>HYPERLINK("https://cao.dolgi.msk.ru/account/1080310221/", 1080310221)</f>
        <v>1080310221</v>
      </c>
      <c r="D7594" t="s">
        <v>6278</v>
      </c>
      <c r="E7594">
        <v>-19.399999999999999</v>
      </c>
      <c r="F7594">
        <v>0</v>
      </c>
      <c r="G7594" t="s">
        <v>12</v>
      </c>
      <c r="I7594" t="s">
        <v>1050</v>
      </c>
    </row>
    <row r="7595" spans="1:9" hidden="1" x14ac:dyDescent="0.25">
      <c r="A7595" t="s">
        <v>6259</v>
      </c>
      <c r="B7595" t="s">
        <v>44</v>
      </c>
      <c r="C7595" s="2">
        <f>HYPERLINK("https://cao.dolgi.msk.ru/account/1080310248/", 1080310248)</f>
        <v>1080310248</v>
      </c>
      <c r="D7595" t="s">
        <v>6279</v>
      </c>
      <c r="E7595">
        <v>-4737.22</v>
      </c>
      <c r="F7595">
        <v>-1.18</v>
      </c>
      <c r="G7595" t="s">
        <v>12</v>
      </c>
      <c r="I7595" t="s">
        <v>1050</v>
      </c>
    </row>
    <row r="7596" spans="1:9" hidden="1" x14ac:dyDescent="0.25">
      <c r="A7596" t="s">
        <v>6259</v>
      </c>
      <c r="B7596" t="s">
        <v>66</v>
      </c>
      <c r="C7596" s="2">
        <f>HYPERLINK("https://cao.dolgi.msk.ru/account/1080310256/", 1080310256)</f>
        <v>1080310256</v>
      </c>
      <c r="D7596" t="s">
        <v>6280</v>
      </c>
      <c r="E7596">
        <v>-4708.12</v>
      </c>
      <c r="F7596">
        <v>-1.25</v>
      </c>
      <c r="G7596" t="s">
        <v>12</v>
      </c>
      <c r="I7596" t="s">
        <v>1050</v>
      </c>
    </row>
    <row r="7597" spans="1:9" hidden="1" x14ac:dyDescent="0.25">
      <c r="A7597" t="s">
        <v>6259</v>
      </c>
      <c r="B7597" t="s">
        <v>68</v>
      </c>
      <c r="C7597" s="2">
        <f>HYPERLINK("https://cao.dolgi.msk.ru/account/1080310264/", 1080310264)</f>
        <v>1080310264</v>
      </c>
      <c r="D7597" t="s">
        <v>6281</v>
      </c>
      <c r="E7597">
        <v>-59.47</v>
      </c>
      <c r="F7597">
        <v>-0.01</v>
      </c>
      <c r="G7597" t="s">
        <v>12</v>
      </c>
      <c r="I7597" t="s">
        <v>1050</v>
      </c>
    </row>
    <row r="7598" spans="1:9" hidden="1" x14ac:dyDescent="0.25">
      <c r="A7598" t="s">
        <v>6259</v>
      </c>
      <c r="B7598" t="s">
        <v>70</v>
      </c>
      <c r="C7598" s="2">
        <f>HYPERLINK("https://cao.dolgi.msk.ru/account/1080310272/", 1080310272)</f>
        <v>1080310272</v>
      </c>
      <c r="D7598" t="s">
        <v>6282</v>
      </c>
      <c r="E7598">
        <v>-2778.24</v>
      </c>
      <c r="F7598">
        <v>-1.2</v>
      </c>
      <c r="G7598" t="s">
        <v>12</v>
      </c>
      <c r="I7598" t="s">
        <v>1050</v>
      </c>
    </row>
    <row r="7599" spans="1:9" hidden="1" x14ac:dyDescent="0.25">
      <c r="A7599" t="s">
        <v>6259</v>
      </c>
      <c r="B7599" t="s">
        <v>72</v>
      </c>
      <c r="C7599" s="2">
        <f>HYPERLINK("https://cao.dolgi.msk.ru/account/1080310299/", 1080310299)</f>
        <v>1080310299</v>
      </c>
      <c r="D7599" t="s">
        <v>6283</v>
      </c>
      <c r="E7599">
        <v>-3977.19</v>
      </c>
      <c r="F7599">
        <v>-0.87</v>
      </c>
      <c r="G7599" t="s">
        <v>12</v>
      </c>
      <c r="I7599" t="s">
        <v>1050</v>
      </c>
    </row>
    <row r="7600" spans="1:9" hidden="1" x14ac:dyDescent="0.25">
      <c r="A7600" t="s">
        <v>6259</v>
      </c>
      <c r="B7600" t="s">
        <v>74</v>
      </c>
      <c r="C7600" s="2">
        <f>HYPERLINK("https://cao.dolgi.msk.ru/account/1080310301/", 1080310301)</f>
        <v>1080310301</v>
      </c>
      <c r="D7600" t="s">
        <v>6284</v>
      </c>
      <c r="E7600">
        <v>39.85</v>
      </c>
      <c r="F7600">
        <v>0.01</v>
      </c>
      <c r="G7600" t="s">
        <v>12</v>
      </c>
      <c r="I7600" t="s">
        <v>1050</v>
      </c>
    </row>
    <row r="7601" spans="1:9" hidden="1" x14ac:dyDescent="0.25">
      <c r="A7601" t="s">
        <v>6259</v>
      </c>
      <c r="B7601" t="s">
        <v>76</v>
      </c>
      <c r="C7601" s="2">
        <f>HYPERLINK("https://cao.dolgi.msk.ru/account/1080310328/", 1080310328)</f>
        <v>1080310328</v>
      </c>
      <c r="D7601" t="s">
        <v>6285</v>
      </c>
      <c r="E7601">
        <v>-4982.55</v>
      </c>
      <c r="F7601">
        <v>-1.22</v>
      </c>
      <c r="G7601" t="s">
        <v>12</v>
      </c>
      <c r="I7601" t="s">
        <v>1050</v>
      </c>
    </row>
    <row r="7602" spans="1:9" x14ac:dyDescent="0.25">
      <c r="A7602" t="s">
        <v>6259</v>
      </c>
      <c r="B7602" t="s">
        <v>78</v>
      </c>
      <c r="C7602" s="2">
        <f>HYPERLINK("https://cao.dolgi.msk.ru/account/1080310336/", 1080310336)</f>
        <v>1080310336</v>
      </c>
      <c r="D7602" t="s">
        <v>6286</v>
      </c>
      <c r="E7602">
        <v>176347.36</v>
      </c>
      <c r="F7602">
        <v>32.36</v>
      </c>
      <c r="G7602" t="s">
        <v>12</v>
      </c>
      <c r="I7602" t="s">
        <v>1050</v>
      </c>
    </row>
    <row r="7603" spans="1:9" hidden="1" x14ac:dyDescent="0.25">
      <c r="A7603" t="s">
        <v>6259</v>
      </c>
      <c r="B7603" t="s">
        <v>80</v>
      </c>
      <c r="C7603" s="2">
        <f>HYPERLINK("https://cao.dolgi.msk.ru/account/1080310344/", 1080310344)</f>
        <v>1080310344</v>
      </c>
      <c r="D7603" t="s">
        <v>6287</v>
      </c>
      <c r="E7603">
        <v>-777.58</v>
      </c>
      <c r="F7603">
        <v>-0.14000000000000001</v>
      </c>
      <c r="G7603" t="s">
        <v>12</v>
      </c>
      <c r="I7603" t="s">
        <v>1050</v>
      </c>
    </row>
    <row r="7604" spans="1:9" hidden="1" x14ac:dyDescent="0.25">
      <c r="A7604" t="s">
        <v>6259</v>
      </c>
      <c r="B7604" t="s">
        <v>82</v>
      </c>
      <c r="C7604" s="2">
        <f>HYPERLINK("https://cao.dolgi.msk.ru/account/1080310352/", 1080310352)</f>
        <v>1080310352</v>
      </c>
      <c r="D7604" t="s">
        <v>6288</v>
      </c>
      <c r="E7604">
        <v>-4039.65</v>
      </c>
      <c r="F7604">
        <v>-1.2</v>
      </c>
      <c r="G7604" t="s">
        <v>12</v>
      </c>
      <c r="I7604" t="s">
        <v>1050</v>
      </c>
    </row>
    <row r="7605" spans="1:9" hidden="1" x14ac:dyDescent="0.25">
      <c r="A7605" t="s">
        <v>6259</v>
      </c>
      <c r="B7605" t="s">
        <v>84</v>
      </c>
      <c r="C7605" s="2">
        <f>HYPERLINK("https://cao.dolgi.msk.ru/account/1080310379/", 1080310379)</f>
        <v>1080310379</v>
      </c>
      <c r="D7605" t="s">
        <v>6289</v>
      </c>
      <c r="E7605">
        <v>-5466.07</v>
      </c>
      <c r="F7605">
        <v>-1.23</v>
      </c>
      <c r="G7605" t="s">
        <v>12</v>
      </c>
      <c r="I7605" t="s">
        <v>1050</v>
      </c>
    </row>
    <row r="7606" spans="1:9" hidden="1" x14ac:dyDescent="0.25">
      <c r="A7606" t="s">
        <v>6259</v>
      </c>
      <c r="B7606" t="s">
        <v>86</v>
      </c>
      <c r="C7606" s="2">
        <f>HYPERLINK("https://cao.dolgi.msk.ru/account/1080310387/", 1080310387)</f>
        <v>1080310387</v>
      </c>
      <c r="D7606" t="s">
        <v>4623</v>
      </c>
      <c r="E7606">
        <v>-6074.48</v>
      </c>
      <c r="F7606">
        <v>-1.18</v>
      </c>
      <c r="G7606" t="s">
        <v>12</v>
      </c>
      <c r="I7606" t="s">
        <v>1050</v>
      </c>
    </row>
    <row r="7607" spans="1:9" hidden="1" x14ac:dyDescent="0.25">
      <c r="A7607" t="s">
        <v>6259</v>
      </c>
      <c r="B7607" t="s">
        <v>88</v>
      </c>
      <c r="C7607" s="2">
        <f>HYPERLINK("https://cao.dolgi.msk.ru/account/1080310395/", 1080310395)</f>
        <v>1080310395</v>
      </c>
      <c r="D7607" t="s">
        <v>6290</v>
      </c>
      <c r="E7607">
        <v>-5094.03</v>
      </c>
      <c r="F7607">
        <v>-1.1399999999999999</v>
      </c>
      <c r="G7607" t="s">
        <v>12</v>
      </c>
      <c r="I7607" t="s">
        <v>1050</v>
      </c>
    </row>
    <row r="7608" spans="1:9" hidden="1" x14ac:dyDescent="0.25">
      <c r="A7608" t="s">
        <v>6259</v>
      </c>
      <c r="B7608" t="s">
        <v>90</v>
      </c>
      <c r="C7608" s="2">
        <f>HYPERLINK("https://cao.dolgi.msk.ru/account/1080310408/", 1080310408)</f>
        <v>1080310408</v>
      </c>
      <c r="D7608" t="s">
        <v>6291</v>
      </c>
      <c r="E7608">
        <v>-2193.73</v>
      </c>
      <c r="F7608">
        <v>-1.1599999999999999</v>
      </c>
      <c r="G7608" t="s">
        <v>12</v>
      </c>
      <c r="I7608" t="s">
        <v>1050</v>
      </c>
    </row>
    <row r="7609" spans="1:9" hidden="1" x14ac:dyDescent="0.25">
      <c r="A7609" t="s">
        <v>6259</v>
      </c>
      <c r="B7609" t="s">
        <v>92</v>
      </c>
      <c r="C7609" s="2">
        <f>HYPERLINK("https://cao.dolgi.msk.ru/account/1080310416/", 1080310416)</f>
        <v>1080310416</v>
      </c>
      <c r="D7609" t="s">
        <v>6292</v>
      </c>
      <c r="E7609">
        <v>-5556.46</v>
      </c>
      <c r="F7609">
        <v>-1.18</v>
      </c>
      <c r="G7609" t="s">
        <v>12</v>
      </c>
      <c r="I7609" t="s">
        <v>1050</v>
      </c>
    </row>
    <row r="7610" spans="1:9" hidden="1" x14ac:dyDescent="0.25">
      <c r="A7610" t="s">
        <v>6259</v>
      </c>
      <c r="B7610" t="s">
        <v>94</v>
      </c>
      <c r="C7610" s="2">
        <f>HYPERLINK("https://cao.dolgi.msk.ru/account/1080310424/", 1080310424)</f>
        <v>1080310424</v>
      </c>
      <c r="D7610" t="s">
        <v>6293</v>
      </c>
      <c r="E7610">
        <v>-3736.33</v>
      </c>
      <c r="F7610">
        <v>-1.2</v>
      </c>
      <c r="G7610" t="s">
        <v>12</v>
      </c>
      <c r="I7610" t="s">
        <v>1050</v>
      </c>
    </row>
    <row r="7611" spans="1:9" hidden="1" x14ac:dyDescent="0.25">
      <c r="A7611" t="s">
        <v>6259</v>
      </c>
      <c r="B7611" t="s">
        <v>96</v>
      </c>
      <c r="C7611" s="2">
        <f>HYPERLINK("https://cao.dolgi.msk.ru/account/1080310432/", 1080310432)</f>
        <v>1080310432</v>
      </c>
      <c r="D7611" t="s">
        <v>6294</v>
      </c>
      <c r="E7611">
        <v>-10233.719999999999</v>
      </c>
      <c r="F7611">
        <v>-1.1399999999999999</v>
      </c>
      <c r="G7611" t="s">
        <v>12</v>
      </c>
      <c r="I7611" t="s">
        <v>1050</v>
      </c>
    </row>
    <row r="7612" spans="1:9" hidden="1" x14ac:dyDescent="0.25">
      <c r="A7612" t="s">
        <v>6259</v>
      </c>
      <c r="B7612" t="s">
        <v>96</v>
      </c>
      <c r="C7612" s="2">
        <f>HYPERLINK("https://cao.dolgi.msk.ru/account/1089123254/", 1089123254)</f>
        <v>1089123254</v>
      </c>
      <c r="D7612" t="s">
        <v>6295</v>
      </c>
      <c r="E7612">
        <v>-611.91999999999996</v>
      </c>
      <c r="G7612" t="s">
        <v>14</v>
      </c>
      <c r="I7612" t="s">
        <v>1050</v>
      </c>
    </row>
    <row r="7613" spans="1:9" hidden="1" x14ac:dyDescent="0.25">
      <c r="A7613" t="s">
        <v>6259</v>
      </c>
      <c r="B7613" t="s">
        <v>98</v>
      </c>
      <c r="C7613" s="2">
        <f>HYPERLINK("https://cao.dolgi.msk.ru/account/1080310459/", 1080310459)</f>
        <v>1080310459</v>
      </c>
      <c r="D7613" t="s">
        <v>6296</v>
      </c>
      <c r="E7613">
        <v>-2516.96</v>
      </c>
      <c r="F7613">
        <v>-0.91</v>
      </c>
      <c r="G7613" t="s">
        <v>12</v>
      </c>
      <c r="I7613" t="s">
        <v>1050</v>
      </c>
    </row>
    <row r="7614" spans="1:9" hidden="1" x14ac:dyDescent="0.25">
      <c r="A7614" t="s">
        <v>6259</v>
      </c>
      <c r="B7614" t="s">
        <v>100</v>
      </c>
      <c r="C7614" s="2">
        <f>HYPERLINK("https://cao.dolgi.msk.ru/account/1080310467/", 1080310467)</f>
        <v>1080310467</v>
      </c>
      <c r="D7614" t="s">
        <v>6297</v>
      </c>
      <c r="E7614">
        <v>-7425.4</v>
      </c>
      <c r="F7614">
        <v>-1.5</v>
      </c>
      <c r="G7614" t="s">
        <v>12</v>
      </c>
      <c r="I7614" t="s">
        <v>1050</v>
      </c>
    </row>
    <row r="7615" spans="1:9" hidden="1" x14ac:dyDescent="0.25">
      <c r="A7615" t="s">
        <v>6259</v>
      </c>
      <c r="B7615" t="s">
        <v>102</v>
      </c>
      <c r="C7615" s="2">
        <f>HYPERLINK("https://cao.dolgi.msk.ru/account/1080310475/", 1080310475)</f>
        <v>1080310475</v>
      </c>
      <c r="D7615" t="s">
        <v>6298</v>
      </c>
      <c r="E7615">
        <v>-4459.22</v>
      </c>
      <c r="F7615">
        <v>-1.1299999999999999</v>
      </c>
      <c r="G7615" t="s">
        <v>12</v>
      </c>
      <c r="I7615" t="s">
        <v>1050</v>
      </c>
    </row>
    <row r="7616" spans="1:9" hidden="1" x14ac:dyDescent="0.25">
      <c r="A7616" t="s">
        <v>6259</v>
      </c>
      <c r="B7616" t="s">
        <v>104</v>
      </c>
      <c r="C7616" s="2">
        <f>HYPERLINK("https://cao.dolgi.msk.ru/account/1080310483/", 1080310483)</f>
        <v>1080310483</v>
      </c>
      <c r="D7616" t="s">
        <v>6299</v>
      </c>
      <c r="E7616">
        <v>-30</v>
      </c>
      <c r="F7616">
        <v>-0.01</v>
      </c>
      <c r="G7616" t="s">
        <v>12</v>
      </c>
      <c r="I7616" t="s">
        <v>1050</v>
      </c>
    </row>
    <row r="7617" spans="1:9" hidden="1" x14ac:dyDescent="0.25">
      <c r="A7617" t="s">
        <v>6259</v>
      </c>
      <c r="B7617" t="s">
        <v>106</v>
      </c>
      <c r="C7617" s="2">
        <f>HYPERLINK("https://cao.dolgi.msk.ru/account/1080310491/", 1080310491)</f>
        <v>1080310491</v>
      </c>
      <c r="D7617" t="s">
        <v>6300</v>
      </c>
      <c r="E7617">
        <v>-12979.62</v>
      </c>
      <c r="F7617">
        <v>-3.97</v>
      </c>
      <c r="G7617" t="s">
        <v>12</v>
      </c>
      <c r="I7617" t="s">
        <v>1050</v>
      </c>
    </row>
    <row r="7618" spans="1:9" hidden="1" x14ac:dyDescent="0.25">
      <c r="A7618" t="s">
        <v>6259</v>
      </c>
      <c r="B7618" t="s">
        <v>108</v>
      </c>
      <c r="C7618" s="2">
        <f>HYPERLINK("https://cao.dolgi.msk.ru/account/1080310504/", 1080310504)</f>
        <v>1080310504</v>
      </c>
      <c r="D7618" t="s">
        <v>6301</v>
      </c>
      <c r="E7618">
        <v>38.799999999999997</v>
      </c>
      <c r="F7618">
        <v>0.01</v>
      </c>
      <c r="G7618" t="s">
        <v>12</v>
      </c>
      <c r="I7618" t="s">
        <v>1050</v>
      </c>
    </row>
    <row r="7619" spans="1:9" hidden="1" x14ac:dyDescent="0.25">
      <c r="A7619" t="s">
        <v>6259</v>
      </c>
      <c r="B7619" t="s">
        <v>110</v>
      </c>
      <c r="C7619" s="2">
        <f>HYPERLINK("https://cao.dolgi.msk.ru/account/1080310512/", 1080310512)</f>
        <v>1080310512</v>
      </c>
      <c r="D7619" t="s">
        <v>6302</v>
      </c>
      <c r="E7619">
        <v>-7972.06</v>
      </c>
      <c r="F7619">
        <v>-1.3</v>
      </c>
      <c r="G7619" t="s">
        <v>12</v>
      </c>
      <c r="I7619" t="s">
        <v>1050</v>
      </c>
    </row>
    <row r="7620" spans="1:9" hidden="1" x14ac:dyDescent="0.25">
      <c r="A7620" t="s">
        <v>6259</v>
      </c>
      <c r="B7620" t="s">
        <v>112</v>
      </c>
      <c r="C7620" s="2">
        <f>HYPERLINK("https://cao.dolgi.msk.ru/account/1080310539/", 1080310539)</f>
        <v>1080310539</v>
      </c>
      <c r="D7620" t="s">
        <v>6303</v>
      </c>
      <c r="E7620">
        <v>-7010.97</v>
      </c>
      <c r="F7620">
        <v>-1.23</v>
      </c>
      <c r="G7620" t="s">
        <v>12</v>
      </c>
      <c r="I7620" t="s">
        <v>1050</v>
      </c>
    </row>
    <row r="7621" spans="1:9" hidden="1" x14ac:dyDescent="0.25">
      <c r="A7621" t="s">
        <v>6259</v>
      </c>
      <c r="B7621" t="s">
        <v>114</v>
      </c>
      <c r="C7621" s="2">
        <f>HYPERLINK("https://cao.dolgi.msk.ru/account/1080310547/", 1080310547)</f>
        <v>1080310547</v>
      </c>
      <c r="D7621" t="s">
        <v>6304</v>
      </c>
      <c r="E7621">
        <v>-2325.38</v>
      </c>
      <c r="F7621">
        <v>-1.26</v>
      </c>
      <c r="G7621" t="s">
        <v>12</v>
      </c>
      <c r="I7621" t="s">
        <v>1050</v>
      </c>
    </row>
    <row r="7622" spans="1:9" hidden="1" x14ac:dyDescent="0.25">
      <c r="A7622" t="s">
        <v>6259</v>
      </c>
      <c r="B7622" t="s">
        <v>116</v>
      </c>
      <c r="C7622" s="2">
        <f>HYPERLINK("https://cao.dolgi.msk.ru/account/1080310555/", 1080310555)</f>
        <v>1080310555</v>
      </c>
      <c r="D7622" t="s">
        <v>6305</v>
      </c>
      <c r="E7622">
        <v>-4005.53</v>
      </c>
      <c r="F7622">
        <v>-1.17</v>
      </c>
      <c r="G7622" t="s">
        <v>12</v>
      </c>
      <c r="I7622" t="s">
        <v>1050</v>
      </c>
    </row>
    <row r="7623" spans="1:9" hidden="1" x14ac:dyDescent="0.25">
      <c r="A7623" t="s">
        <v>6259</v>
      </c>
      <c r="B7623" t="s">
        <v>118</v>
      </c>
      <c r="C7623" s="2">
        <f>HYPERLINK("https://cao.dolgi.msk.ru/account/1080310563/", 1080310563)</f>
        <v>1080310563</v>
      </c>
      <c r="D7623" t="s">
        <v>6306</v>
      </c>
      <c r="E7623">
        <v>-5359.01</v>
      </c>
      <c r="F7623">
        <v>-1.22</v>
      </c>
      <c r="G7623" t="s">
        <v>12</v>
      </c>
      <c r="I7623" t="s">
        <v>1050</v>
      </c>
    </row>
    <row r="7624" spans="1:9" hidden="1" x14ac:dyDescent="0.25">
      <c r="A7624" t="s">
        <v>6259</v>
      </c>
      <c r="B7624" t="s">
        <v>120</v>
      </c>
      <c r="C7624" s="2">
        <f>HYPERLINK("https://cao.dolgi.msk.ru/account/1080310571/", 1080310571)</f>
        <v>1080310571</v>
      </c>
      <c r="D7624" t="s">
        <v>6307</v>
      </c>
      <c r="E7624">
        <v>-1975.88</v>
      </c>
      <c r="F7624">
        <v>-1.33</v>
      </c>
      <c r="G7624" t="s">
        <v>12</v>
      </c>
      <c r="I7624" t="s">
        <v>1050</v>
      </c>
    </row>
    <row r="7625" spans="1:9" hidden="1" x14ac:dyDescent="0.25">
      <c r="A7625" t="s">
        <v>6259</v>
      </c>
      <c r="B7625" t="s">
        <v>122</v>
      </c>
      <c r="C7625" s="2">
        <f>HYPERLINK("https://cao.dolgi.msk.ru/account/1080310598/", 1080310598)</f>
        <v>1080310598</v>
      </c>
      <c r="D7625" t="s">
        <v>6308</v>
      </c>
      <c r="E7625">
        <v>-7850.61</v>
      </c>
      <c r="F7625">
        <v>-2.41</v>
      </c>
      <c r="G7625" t="s">
        <v>12</v>
      </c>
      <c r="I7625" t="s">
        <v>1050</v>
      </c>
    </row>
    <row r="7626" spans="1:9" hidden="1" x14ac:dyDescent="0.25">
      <c r="A7626" t="s">
        <v>6259</v>
      </c>
      <c r="B7626" t="s">
        <v>124</v>
      </c>
      <c r="C7626" s="2">
        <f>HYPERLINK("https://cao.dolgi.msk.ru/account/1080310619/", 1080310619)</f>
        <v>1080310619</v>
      </c>
      <c r="D7626" t="s">
        <v>6309</v>
      </c>
      <c r="E7626">
        <v>-3182.66</v>
      </c>
      <c r="F7626">
        <v>-1.4</v>
      </c>
      <c r="G7626" t="s">
        <v>12</v>
      </c>
      <c r="I7626" t="s">
        <v>1050</v>
      </c>
    </row>
    <row r="7627" spans="1:9" hidden="1" x14ac:dyDescent="0.25">
      <c r="A7627" t="s">
        <v>6259</v>
      </c>
      <c r="B7627" t="s">
        <v>126</v>
      </c>
      <c r="C7627" s="2">
        <f>HYPERLINK("https://cao.dolgi.msk.ru/account/1080310627/", 1080310627)</f>
        <v>1080310627</v>
      </c>
      <c r="D7627" t="s">
        <v>6310</v>
      </c>
      <c r="E7627">
        <v>-6093.69</v>
      </c>
      <c r="F7627">
        <v>-1.22</v>
      </c>
      <c r="G7627" t="s">
        <v>12</v>
      </c>
      <c r="I7627" t="s">
        <v>1050</v>
      </c>
    </row>
    <row r="7628" spans="1:9" hidden="1" x14ac:dyDescent="0.25">
      <c r="A7628" t="s">
        <v>6259</v>
      </c>
      <c r="B7628" t="s">
        <v>128</v>
      </c>
      <c r="C7628" s="2">
        <f>HYPERLINK("https://cao.dolgi.msk.ru/account/1080310635/", 1080310635)</f>
        <v>1080310635</v>
      </c>
      <c r="D7628" t="s">
        <v>6311</v>
      </c>
      <c r="E7628">
        <v>0</v>
      </c>
      <c r="F7628">
        <v>0</v>
      </c>
      <c r="G7628" t="s">
        <v>12</v>
      </c>
      <c r="I7628" t="s">
        <v>1050</v>
      </c>
    </row>
    <row r="7629" spans="1:9" hidden="1" x14ac:dyDescent="0.25">
      <c r="A7629" t="s">
        <v>6259</v>
      </c>
      <c r="B7629" t="s">
        <v>130</v>
      </c>
      <c r="C7629" s="2">
        <f>HYPERLINK("https://cao.dolgi.msk.ru/account/1080310643/", 1080310643)</f>
        <v>1080310643</v>
      </c>
      <c r="D7629" t="s">
        <v>6312</v>
      </c>
      <c r="E7629">
        <v>-2984.6</v>
      </c>
      <c r="F7629">
        <v>-1.17</v>
      </c>
      <c r="G7629" t="s">
        <v>12</v>
      </c>
      <c r="I7629" t="s">
        <v>1050</v>
      </c>
    </row>
    <row r="7630" spans="1:9" hidden="1" x14ac:dyDescent="0.25">
      <c r="A7630" t="s">
        <v>6259</v>
      </c>
      <c r="B7630" t="s">
        <v>132</v>
      </c>
      <c r="C7630" s="2">
        <f>HYPERLINK("https://cao.dolgi.msk.ru/account/1080310651/", 1080310651)</f>
        <v>1080310651</v>
      </c>
      <c r="D7630" t="s">
        <v>6313</v>
      </c>
      <c r="E7630">
        <v>-7029.77</v>
      </c>
      <c r="F7630">
        <v>-1.07</v>
      </c>
      <c r="G7630" t="s">
        <v>12</v>
      </c>
      <c r="I7630" t="s">
        <v>1050</v>
      </c>
    </row>
    <row r="7631" spans="1:9" hidden="1" x14ac:dyDescent="0.25">
      <c r="A7631" t="s">
        <v>6259</v>
      </c>
      <c r="B7631" t="s">
        <v>133</v>
      </c>
      <c r="C7631" s="2">
        <f>HYPERLINK("https://cao.dolgi.msk.ru/account/1080310678/", 1080310678)</f>
        <v>1080310678</v>
      </c>
      <c r="D7631" t="s">
        <v>6314</v>
      </c>
      <c r="E7631">
        <v>-4168.37</v>
      </c>
      <c r="F7631">
        <v>-1.24</v>
      </c>
      <c r="G7631" t="s">
        <v>12</v>
      </c>
      <c r="I7631" t="s">
        <v>1050</v>
      </c>
    </row>
    <row r="7632" spans="1:9" hidden="1" x14ac:dyDescent="0.25">
      <c r="A7632" t="s">
        <v>6259</v>
      </c>
      <c r="B7632" t="s">
        <v>135</v>
      </c>
      <c r="C7632" s="2">
        <f>HYPERLINK("https://cao.dolgi.msk.ru/account/1080310686/", 1080310686)</f>
        <v>1080310686</v>
      </c>
      <c r="D7632" t="s">
        <v>6315</v>
      </c>
      <c r="E7632">
        <v>-4583.6899999999996</v>
      </c>
      <c r="F7632">
        <v>-1.1599999999999999</v>
      </c>
      <c r="G7632" t="s">
        <v>12</v>
      </c>
      <c r="I7632" t="s">
        <v>1050</v>
      </c>
    </row>
    <row r="7633" spans="1:9" hidden="1" x14ac:dyDescent="0.25">
      <c r="A7633" t="s">
        <v>6259</v>
      </c>
      <c r="B7633" t="s">
        <v>137</v>
      </c>
      <c r="C7633" s="2">
        <f>HYPERLINK("https://cao.dolgi.msk.ru/account/1080310694/", 1080310694)</f>
        <v>1080310694</v>
      </c>
      <c r="D7633" t="s">
        <v>6316</v>
      </c>
      <c r="E7633">
        <v>-4814.43</v>
      </c>
      <c r="F7633">
        <v>-1.2</v>
      </c>
      <c r="G7633" t="s">
        <v>12</v>
      </c>
      <c r="I7633" t="s">
        <v>1050</v>
      </c>
    </row>
    <row r="7634" spans="1:9" hidden="1" x14ac:dyDescent="0.25">
      <c r="A7634" t="s">
        <v>6259</v>
      </c>
      <c r="B7634" t="s">
        <v>139</v>
      </c>
      <c r="C7634" s="2">
        <f>HYPERLINK("https://cao.dolgi.msk.ru/account/1080310707/", 1080310707)</f>
        <v>1080310707</v>
      </c>
      <c r="D7634" t="s">
        <v>6317</v>
      </c>
      <c r="E7634">
        <v>223.46</v>
      </c>
      <c r="F7634">
        <v>0.03</v>
      </c>
      <c r="G7634" t="s">
        <v>12</v>
      </c>
      <c r="I7634" t="s">
        <v>1050</v>
      </c>
    </row>
    <row r="7635" spans="1:9" hidden="1" x14ac:dyDescent="0.25">
      <c r="A7635" t="s">
        <v>6259</v>
      </c>
      <c r="B7635" t="s">
        <v>141</v>
      </c>
      <c r="C7635" s="2">
        <f>HYPERLINK("https://cao.dolgi.msk.ru/account/1080314222/", 1080314222)</f>
        <v>1080314222</v>
      </c>
      <c r="D7635" t="s">
        <v>6318</v>
      </c>
      <c r="E7635">
        <v>-4174.7700000000004</v>
      </c>
      <c r="F7635">
        <v>-1.1000000000000001</v>
      </c>
      <c r="G7635" t="s">
        <v>12</v>
      </c>
      <c r="I7635" t="s">
        <v>1050</v>
      </c>
    </row>
    <row r="7636" spans="1:9" hidden="1" x14ac:dyDescent="0.25">
      <c r="A7636" t="s">
        <v>6259</v>
      </c>
      <c r="B7636" t="s">
        <v>143</v>
      </c>
      <c r="C7636" s="2">
        <f>HYPERLINK("https://cao.dolgi.msk.ru/account/1080310715/", 1080310715)</f>
        <v>1080310715</v>
      </c>
      <c r="D7636" t="s">
        <v>6319</v>
      </c>
      <c r="E7636">
        <v>0</v>
      </c>
      <c r="F7636">
        <v>0</v>
      </c>
      <c r="G7636" t="s">
        <v>12</v>
      </c>
      <c r="I7636" t="s">
        <v>1050</v>
      </c>
    </row>
    <row r="7637" spans="1:9" hidden="1" x14ac:dyDescent="0.25">
      <c r="A7637" t="s">
        <v>6259</v>
      </c>
      <c r="B7637" t="s">
        <v>145</v>
      </c>
      <c r="C7637" s="2">
        <f>HYPERLINK("https://cao.dolgi.msk.ru/account/1080310723/", 1080310723)</f>
        <v>1080310723</v>
      </c>
      <c r="D7637" t="s">
        <v>6320</v>
      </c>
      <c r="E7637">
        <v>-171.03</v>
      </c>
      <c r="F7637">
        <v>-0.04</v>
      </c>
      <c r="G7637" t="s">
        <v>12</v>
      </c>
      <c r="I7637" t="s">
        <v>1050</v>
      </c>
    </row>
    <row r="7638" spans="1:9" hidden="1" x14ac:dyDescent="0.25">
      <c r="A7638" t="s">
        <v>6259</v>
      </c>
      <c r="B7638" t="s">
        <v>147</v>
      </c>
      <c r="C7638" s="2">
        <f>HYPERLINK("https://cao.dolgi.msk.ru/account/1080310731/", 1080310731)</f>
        <v>1080310731</v>
      </c>
      <c r="D7638" t="s">
        <v>6321</v>
      </c>
      <c r="E7638">
        <v>-2016.94</v>
      </c>
      <c r="F7638">
        <v>-1.24</v>
      </c>
      <c r="G7638" t="s">
        <v>12</v>
      </c>
      <c r="I7638" t="s">
        <v>1050</v>
      </c>
    </row>
    <row r="7639" spans="1:9" hidden="1" x14ac:dyDescent="0.25">
      <c r="A7639" t="s">
        <v>6259</v>
      </c>
      <c r="B7639" t="s">
        <v>147</v>
      </c>
      <c r="C7639" s="2">
        <f>HYPERLINK("https://cao.dolgi.msk.ru/account/1083387515/", 1083387515)</f>
        <v>1083387515</v>
      </c>
      <c r="D7639" t="s">
        <v>15</v>
      </c>
      <c r="E7639">
        <v>-358.31</v>
      </c>
      <c r="F7639">
        <v>-0.28000000000000003</v>
      </c>
      <c r="G7639" t="s">
        <v>12</v>
      </c>
      <c r="I7639" t="s">
        <v>1050</v>
      </c>
    </row>
    <row r="7640" spans="1:9" hidden="1" x14ac:dyDescent="0.25">
      <c r="A7640" t="s">
        <v>6259</v>
      </c>
      <c r="B7640" t="s">
        <v>147</v>
      </c>
      <c r="C7640" s="2">
        <f>HYPERLINK("https://cao.dolgi.msk.ru/account/1089130083/", 1089130083)</f>
        <v>1089130083</v>
      </c>
      <c r="D7640" t="s">
        <v>15</v>
      </c>
      <c r="E7640">
        <v>648.72</v>
      </c>
      <c r="F7640">
        <v>0.98</v>
      </c>
      <c r="G7640" t="s">
        <v>12</v>
      </c>
      <c r="I7640" t="s">
        <v>1050</v>
      </c>
    </row>
    <row r="7641" spans="1:9" hidden="1" x14ac:dyDescent="0.25">
      <c r="A7641" t="s">
        <v>6259</v>
      </c>
      <c r="B7641" t="s">
        <v>149</v>
      </c>
      <c r="C7641" s="2">
        <f>HYPERLINK("https://cao.dolgi.msk.ru/account/1080310758/", 1080310758)</f>
        <v>1080310758</v>
      </c>
      <c r="D7641" t="s">
        <v>6322</v>
      </c>
      <c r="E7641">
        <v>-3833.63</v>
      </c>
      <c r="F7641">
        <v>-1.03</v>
      </c>
      <c r="G7641" t="s">
        <v>12</v>
      </c>
      <c r="I7641" t="s">
        <v>1050</v>
      </c>
    </row>
    <row r="7642" spans="1:9" hidden="1" x14ac:dyDescent="0.25">
      <c r="A7642" t="s">
        <v>6259</v>
      </c>
      <c r="B7642" t="s">
        <v>151</v>
      </c>
      <c r="C7642" s="2">
        <f>HYPERLINK("https://cao.dolgi.msk.ru/account/1080310766/", 1080310766)</f>
        <v>1080310766</v>
      </c>
      <c r="D7642" t="s">
        <v>6323</v>
      </c>
      <c r="E7642">
        <v>-2138.13</v>
      </c>
      <c r="F7642">
        <v>-1.17</v>
      </c>
      <c r="G7642" t="s">
        <v>12</v>
      </c>
      <c r="I7642" t="s">
        <v>1050</v>
      </c>
    </row>
    <row r="7643" spans="1:9" hidden="1" x14ac:dyDescent="0.25">
      <c r="A7643" t="s">
        <v>6259</v>
      </c>
      <c r="B7643" t="s">
        <v>153</v>
      </c>
      <c r="C7643" s="2">
        <f>HYPERLINK("https://cao.dolgi.msk.ru/account/1080310774/", 1080310774)</f>
        <v>1080310774</v>
      </c>
      <c r="D7643" t="s">
        <v>6324</v>
      </c>
      <c r="E7643">
        <v>-5427.91</v>
      </c>
      <c r="F7643">
        <v>-1.47</v>
      </c>
      <c r="G7643" t="s">
        <v>12</v>
      </c>
      <c r="I7643" t="s">
        <v>1050</v>
      </c>
    </row>
    <row r="7644" spans="1:9" x14ac:dyDescent="0.25">
      <c r="A7644" t="s">
        <v>6259</v>
      </c>
      <c r="B7644" t="s">
        <v>155</v>
      </c>
      <c r="C7644" s="2">
        <f>HYPERLINK("https://cao.dolgi.msk.ru/account/1080310782/", 1080310782)</f>
        <v>1080310782</v>
      </c>
      <c r="D7644" t="s">
        <v>6325</v>
      </c>
      <c r="E7644">
        <v>7646.81</v>
      </c>
      <c r="F7644">
        <v>1.86</v>
      </c>
      <c r="G7644" t="s">
        <v>12</v>
      </c>
      <c r="I7644" t="s">
        <v>1050</v>
      </c>
    </row>
    <row r="7645" spans="1:9" hidden="1" x14ac:dyDescent="0.25">
      <c r="A7645" t="s">
        <v>6259</v>
      </c>
      <c r="B7645" t="s">
        <v>157</v>
      </c>
      <c r="C7645" s="2">
        <f>HYPERLINK("https://cao.dolgi.msk.ru/account/1080310803/", 1080310803)</f>
        <v>1080310803</v>
      </c>
      <c r="D7645" t="s">
        <v>6326</v>
      </c>
      <c r="E7645">
        <v>-4638.25</v>
      </c>
      <c r="F7645">
        <v>-1.07</v>
      </c>
      <c r="G7645" t="s">
        <v>12</v>
      </c>
      <c r="I7645" t="s">
        <v>1050</v>
      </c>
    </row>
    <row r="7646" spans="1:9" hidden="1" x14ac:dyDescent="0.25">
      <c r="A7646" t="s">
        <v>6259</v>
      </c>
      <c r="B7646" t="s">
        <v>159</v>
      </c>
      <c r="C7646" s="2">
        <f>HYPERLINK("https://cao.dolgi.msk.ru/account/1080310811/", 1080310811)</f>
        <v>1080310811</v>
      </c>
      <c r="D7646" t="s">
        <v>6327</v>
      </c>
      <c r="E7646">
        <v>-7122.56</v>
      </c>
      <c r="F7646">
        <v>-1.24</v>
      </c>
      <c r="G7646" t="s">
        <v>12</v>
      </c>
      <c r="I7646" t="s">
        <v>1050</v>
      </c>
    </row>
    <row r="7647" spans="1:9" hidden="1" x14ac:dyDescent="0.25">
      <c r="A7647" t="s">
        <v>6259</v>
      </c>
      <c r="B7647" t="s">
        <v>161</v>
      </c>
      <c r="C7647" s="2">
        <f>HYPERLINK("https://cao.dolgi.msk.ru/account/1080310838/", 1080310838)</f>
        <v>1080310838</v>
      </c>
      <c r="D7647" t="s">
        <v>6328</v>
      </c>
      <c r="E7647">
        <v>-2823.16</v>
      </c>
      <c r="F7647">
        <v>-1.1200000000000001</v>
      </c>
      <c r="G7647" t="s">
        <v>12</v>
      </c>
      <c r="I7647" t="s">
        <v>1050</v>
      </c>
    </row>
    <row r="7648" spans="1:9" hidden="1" x14ac:dyDescent="0.25">
      <c r="A7648" t="s">
        <v>6259</v>
      </c>
      <c r="B7648" t="s">
        <v>163</v>
      </c>
      <c r="C7648" s="2">
        <f>HYPERLINK("https://cao.dolgi.msk.ru/account/1080310846/", 1080310846)</f>
        <v>1080310846</v>
      </c>
      <c r="D7648" t="s">
        <v>6329</v>
      </c>
      <c r="E7648">
        <v>-2925.12</v>
      </c>
      <c r="F7648">
        <v>-1.19</v>
      </c>
      <c r="G7648" t="s">
        <v>12</v>
      </c>
      <c r="I7648" t="s">
        <v>1050</v>
      </c>
    </row>
    <row r="7649" spans="1:9" hidden="1" x14ac:dyDescent="0.25">
      <c r="A7649" t="s">
        <v>6259</v>
      </c>
      <c r="B7649" t="s">
        <v>571</v>
      </c>
      <c r="C7649" s="2">
        <f>HYPERLINK("https://cao.dolgi.msk.ru/account/1080310854/", 1080310854)</f>
        <v>1080310854</v>
      </c>
      <c r="D7649" t="s">
        <v>6330</v>
      </c>
      <c r="E7649">
        <v>0</v>
      </c>
      <c r="F7649">
        <v>0</v>
      </c>
      <c r="G7649" t="s">
        <v>12</v>
      </c>
      <c r="I7649" t="s">
        <v>1050</v>
      </c>
    </row>
    <row r="7650" spans="1:9" hidden="1" x14ac:dyDescent="0.25">
      <c r="A7650" t="s">
        <v>6259</v>
      </c>
      <c r="B7650" t="s">
        <v>682</v>
      </c>
      <c r="C7650" s="2">
        <f>HYPERLINK("https://cao.dolgi.msk.ru/account/1080310862/", 1080310862)</f>
        <v>1080310862</v>
      </c>
      <c r="D7650" t="s">
        <v>6331</v>
      </c>
      <c r="E7650">
        <v>-5263.85</v>
      </c>
      <c r="F7650">
        <v>-1.24</v>
      </c>
      <c r="G7650" t="s">
        <v>12</v>
      </c>
      <c r="I7650" t="s">
        <v>1050</v>
      </c>
    </row>
    <row r="7651" spans="1:9" hidden="1" x14ac:dyDescent="0.25">
      <c r="A7651" t="s">
        <v>6259</v>
      </c>
      <c r="B7651" t="s">
        <v>578</v>
      </c>
      <c r="C7651" s="2">
        <f>HYPERLINK("https://cao.dolgi.msk.ru/account/1080310889/", 1080310889)</f>
        <v>1080310889</v>
      </c>
      <c r="D7651" t="s">
        <v>6332</v>
      </c>
      <c r="E7651">
        <v>-3817.86</v>
      </c>
      <c r="F7651">
        <v>-1.21</v>
      </c>
      <c r="G7651" t="s">
        <v>12</v>
      </c>
      <c r="I7651" t="s">
        <v>1050</v>
      </c>
    </row>
    <row r="7652" spans="1:9" hidden="1" x14ac:dyDescent="0.25">
      <c r="A7652" t="s">
        <v>6259</v>
      </c>
      <c r="B7652" t="s">
        <v>580</v>
      </c>
      <c r="C7652" s="2">
        <f>HYPERLINK("https://cao.dolgi.msk.ru/account/1080310897/", 1080310897)</f>
        <v>1080310897</v>
      </c>
      <c r="D7652" t="s">
        <v>6333</v>
      </c>
      <c r="E7652">
        <v>-7002.47</v>
      </c>
      <c r="F7652">
        <v>-1.1100000000000001</v>
      </c>
      <c r="G7652" t="s">
        <v>12</v>
      </c>
      <c r="I7652" t="s">
        <v>1050</v>
      </c>
    </row>
    <row r="7653" spans="1:9" hidden="1" x14ac:dyDescent="0.25">
      <c r="A7653" t="s">
        <v>6259</v>
      </c>
      <c r="B7653" t="s">
        <v>686</v>
      </c>
      <c r="C7653" s="2">
        <f>HYPERLINK("https://cao.dolgi.msk.ru/account/1080310918/", 1080310918)</f>
        <v>1080310918</v>
      </c>
      <c r="D7653" t="s">
        <v>6334</v>
      </c>
      <c r="E7653">
        <v>-6259.99</v>
      </c>
      <c r="F7653">
        <v>-1.24</v>
      </c>
      <c r="G7653" t="s">
        <v>12</v>
      </c>
      <c r="I7653" t="s">
        <v>1050</v>
      </c>
    </row>
    <row r="7654" spans="1:9" hidden="1" x14ac:dyDescent="0.25">
      <c r="A7654" t="s">
        <v>6259</v>
      </c>
      <c r="B7654" t="s">
        <v>582</v>
      </c>
      <c r="C7654" s="2">
        <f>HYPERLINK("https://cao.dolgi.msk.ru/account/1080310926/", 1080310926)</f>
        <v>1080310926</v>
      </c>
      <c r="D7654" t="s">
        <v>6335</v>
      </c>
      <c r="E7654">
        <v>-5997.79</v>
      </c>
      <c r="F7654">
        <v>-1.23</v>
      </c>
      <c r="G7654" t="s">
        <v>12</v>
      </c>
      <c r="I7654" t="s">
        <v>1050</v>
      </c>
    </row>
    <row r="7655" spans="1:9" hidden="1" x14ac:dyDescent="0.25">
      <c r="A7655" t="s">
        <v>6259</v>
      </c>
      <c r="B7655" t="s">
        <v>584</v>
      </c>
      <c r="C7655" s="2">
        <f>HYPERLINK("https://cao.dolgi.msk.ru/account/1080310934/", 1080310934)</f>
        <v>1080310934</v>
      </c>
      <c r="D7655" t="s">
        <v>6336</v>
      </c>
      <c r="E7655">
        <v>-342.99</v>
      </c>
      <c r="F7655">
        <v>-0.17</v>
      </c>
      <c r="G7655" t="s">
        <v>12</v>
      </c>
      <c r="I7655" t="s">
        <v>1050</v>
      </c>
    </row>
    <row r="7656" spans="1:9" hidden="1" x14ac:dyDescent="0.25">
      <c r="A7656" t="s">
        <v>6259</v>
      </c>
      <c r="B7656" t="s">
        <v>586</v>
      </c>
      <c r="C7656" s="2">
        <f>HYPERLINK("https://cao.dolgi.msk.ru/account/1080310942/", 1080310942)</f>
        <v>1080310942</v>
      </c>
      <c r="D7656" t="s">
        <v>6337</v>
      </c>
      <c r="E7656">
        <v>-5780.88</v>
      </c>
      <c r="F7656">
        <v>-0.73</v>
      </c>
      <c r="G7656" t="s">
        <v>12</v>
      </c>
      <c r="I7656" t="s">
        <v>1050</v>
      </c>
    </row>
    <row r="7657" spans="1:9" hidden="1" x14ac:dyDescent="0.25">
      <c r="A7657" t="s">
        <v>6259</v>
      </c>
      <c r="B7657" t="s">
        <v>588</v>
      </c>
      <c r="C7657" s="2">
        <f>HYPERLINK("https://cao.dolgi.msk.ru/account/1080310969/", 1080310969)</f>
        <v>1080310969</v>
      </c>
      <c r="D7657" t="s">
        <v>6338</v>
      </c>
      <c r="E7657">
        <v>-6366.41</v>
      </c>
      <c r="F7657">
        <v>-1.1200000000000001</v>
      </c>
      <c r="G7657" t="s">
        <v>12</v>
      </c>
      <c r="I7657" t="s">
        <v>1050</v>
      </c>
    </row>
    <row r="7658" spans="1:9" hidden="1" x14ac:dyDescent="0.25">
      <c r="A7658" t="s">
        <v>6259</v>
      </c>
      <c r="B7658" t="s">
        <v>590</v>
      </c>
      <c r="C7658" s="2">
        <f>HYPERLINK("https://cao.dolgi.msk.ru/account/1080310977/", 1080310977)</f>
        <v>1080310977</v>
      </c>
      <c r="D7658" t="s">
        <v>6339</v>
      </c>
      <c r="E7658">
        <v>-2144.73</v>
      </c>
      <c r="F7658">
        <v>-1.18</v>
      </c>
      <c r="G7658" t="s">
        <v>12</v>
      </c>
      <c r="I7658" t="s">
        <v>1050</v>
      </c>
    </row>
    <row r="7659" spans="1:9" hidden="1" x14ac:dyDescent="0.25">
      <c r="A7659" t="s">
        <v>6259</v>
      </c>
      <c r="B7659" t="s">
        <v>693</v>
      </c>
      <c r="C7659" s="2">
        <f>HYPERLINK("https://cao.dolgi.msk.ru/account/1080310985/", 1080310985)</f>
        <v>1080310985</v>
      </c>
      <c r="D7659" t="s">
        <v>6340</v>
      </c>
      <c r="E7659">
        <v>-18144.71</v>
      </c>
      <c r="F7659">
        <v>-3.89</v>
      </c>
      <c r="G7659" t="s">
        <v>12</v>
      </c>
      <c r="I7659" t="s">
        <v>1050</v>
      </c>
    </row>
    <row r="7660" spans="1:9" hidden="1" x14ac:dyDescent="0.25">
      <c r="A7660" t="s">
        <v>6259</v>
      </c>
      <c r="B7660" t="s">
        <v>694</v>
      </c>
      <c r="C7660" s="2">
        <f>HYPERLINK("https://cao.dolgi.msk.ru/account/1080310993/", 1080310993)</f>
        <v>1080310993</v>
      </c>
      <c r="D7660" t="s">
        <v>6341</v>
      </c>
      <c r="E7660">
        <v>125</v>
      </c>
      <c r="F7660">
        <v>0.03</v>
      </c>
      <c r="G7660" t="s">
        <v>12</v>
      </c>
      <c r="I7660" t="s">
        <v>1050</v>
      </c>
    </row>
    <row r="7661" spans="1:9" hidden="1" x14ac:dyDescent="0.25">
      <c r="A7661" t="s">
        <v>6259</v>
      </c>
      <c r="B7661" t="s">
        <v>696</v>
      </c>
      <c r="C7661" s="2">
        <f>HYPERLINK("https://cao.dolgi.msk.ru/account/1080311005/", 1080311005)</f>
        <v>1080311005</v>
      </c>
      <c r="D7661" t="s">
        <v>6342</v>
      </c>
      <c r="E7661">
        <v>7262.35</v>
      </c>
      <c r="F7661">
        <v>0.99</v>
      </c>
      <c r="G7661" t="s">
        <v>12</v>
      </c>
      <c r="I7661" t="s">
        <v>1050</v>
      </c>
    </row>
    <row r="7662" spans="1:9" hidden="1" x14ac:dyDescent="0.25">
      <c r="A7662" t="s">
        <v>6259</v>
      </c>
      <c r="B7662" t="s">
        <v>698</v>
      </c>
      <c r="C7662" s="2">
        <f>HYPERLINK("https://cao.dolgi.msk.ru/account/1080311013/", 1080311013)</f>
        <v>1080311013</v>
      </c>
      <c r="D7662" t="s">
        <v>6343</v>
      </c>
      <c r="E7662">
        <v>-7812.78</v>
      </c>
      <c r="F7662">
        <v>-1.22</v>
      </c>
      <c r="G7662" t="s">
        <v>12</v>
      </c>
      <c r="I7662" t="s">
        <v>1050</v>
      </c>
    </row>
    <row r="7663" spans="1:9" hidden="1" x14ac:dyDescent="0.25">
      <c r="A7663" t="s">
        <v>6259</v>
      </c>
      <c r="B7663" t="s">
        <v>700</v>
      </c>
      <c r="C7663" s="2">
        <f>HYPERLINK("https://cao.dolgi.msk.ru/account/1080311021/", 1080311021)</f>
        <v>1080311021</v>
      </c>
      <c r="D7663" t="s">
        <v>6344</v>
      </c>
      <c r="E7663">
        <v>-4175.99</v>
      </c>
      <c r="F7663">
        <v>-1.17</v>
      </c>
      <c r="G7663" t="s">
        <v>12</v>
      </c>
      <c r="I7663" t="s">
        <v>1050</v>
      </c>
    </row>
    <row r="7664" spans="1:9" hidden="1" x14ac:dyDescent="0.25">
      <c r="A7664" t="s">
        <v>6259</v>
      </c>
      <c r="B7664" t="s">
        <v>702</v>
      </c>
      <c r="C7664" s="2">
        <f>HYPERLINK("https://cao.dolgi.msk.ru/account/1080311048/", 1080311048)</f>
        <v>1080311048</v>
      </c>
      <c r="D7664" t="s">
        <v>6345</v>
      </c>
      <c r="E7664">
        <v>-4696.47</v>
      </c>
      <c r="F7664">
        <v>-0.42</v>
      </c>
      <c r="G7664" t="s">
        <v>12</v>
      </c>
      <c r="I7664" t="s">
        <v>1050</v>
      </c>
    </row>
    <row r="7665" spans="1:9" hidden="1" x14ac:dyDescent="0.25">
      <c r="A7665" t="s">
        <v>6259</v>
      </c>
      <c r="B7665" t="s">
        <v>703</v>
      </c>
      <c r="C7665" s="2">
        <f>HYPERLINK("https://cao.dolgi.msk.ru/account/1080311056/", 1080311056)</f>
        <v>1080311056</v>
      </c>
      <c r="D7665" t="s">
        <v>6346</v>
      </c>
      <c r="E7665">
        <v>-1351.7</v>
      </c>
      <c r="F7665">
        <v>-0.23</v>
      </c>
      <c r="G7665" t="s">
        <v>12</v>
      </c>
      <c r="I7665" t="s">
        <v>1050</v>
      </c>
    </row>
    <row r="7666" spans="1:9" hidden="1" x14ac:dyDescent="0.25">
      <c r="A7666" t="s">
        <v>6259</v>
      </c>
      <c r="B7666" t="s">
        <v>705</v>
      </c>
      <c r="C7666" s="2">
        <f>HYPERLINK("https://cao.dolgi.msk.ru/account/1080314214/", 1080314214)</f>
        <v>1080314214</v>
      </c>
      <c r="D7666" t="s">
        <v>6347</v>
      </c>
      <c r="E7666">
        <v>4812.57</v>
      </c>
      <c r="F7666">
        <v>0.85</v>
      </c>
      <c r="G7666" t="s">
        <v>12</v>
      </c>
      <c r="I7666" t="s">
        <v>1050</v>
      </c>
    </row>
    <row r="7667" spans="1:9" hidden="1" x14ac:dyDescent="0.25">
      <c r="A7667" t="s">
        <v>6259</v>
      </c>
      <c r="B7667" t="s">
        <v>707</v>
      </c>
      <c r="C7667" s="2">
        <f>HYPERLINK("https://cao.dolgi.msk.ru/account/1080311064/", 1080311064)</f>
        <v>1080311064</v>
      </c>
      <c r="D7667" t="s">
        <v>6348</v>
      </c>
      <c r="E7667">
        <v>-256.35000000000002</v>
      </c>
      <c r="F7667">
        <v>-0.1</v>
      </c>
      <c r="G7667" t="s">
        <v>12</v>
      </c>
      <c r="I7667" t="s">
        <v>1050</v>
      </c>
    </row>
    <row r="7668" spans="1:9" hidden="1" x14ac:dyDescent="0.25">
      <c r="A7668" t="s">
        <v>6259</v>
      </c>
      <c r="B7668" t="s">
        <v>709</v>
      </c>
      <c r="C7668" s="2">
        <f>HYPERLINK("https://cao.dolgi.msk.ru/account/1080311072/", 1080311072)</f>
        <v>1080311072</v>
      </c>
      <c r="D7668" t="s">
        <v>6349</v>
      </c>
      <c r="E7668">
        <v>-6668.19</v>
      </c>
      <c r="F7668">
        <v>-1.1000000000000001</v>
      </c>
      <c r="G7668" t="s">
        <v>12</v>
      </c>
      <c r="I7668" t="s">
        <v>1050</v>
      </c>
    </row>
    <row r="7669" spans="1:9" hidden="1" x14ac:dyDescent="0.25">
      <c r="A7669" t="s">
        <v>6259</v>
      </c>
      <c r="B7669" t="s">
        <v>711</v>
      </c>
      <c r="C7669" s="2">
        <f>HYPERLINK("https://cao.dolgi.msk.ru/account/1080311099/", 1080311099)</f>
        <v>1080311099</v>
      </c>
      <c r="D7669" t="s">
        <v>6350</v>
      </c>
      <c r="E7669">
        <v>-3416.7</v>
      </c>
      <c r="F7669">
        <v>-1.1599999999999999</v>
      </c>
      <c r="G7669" t="s">
        <v>12</v>
      </c>
      <c r="I7669" t="s">
        <v>1050</v>
      </c>
    </row>
    <row r="7670" spans="1:9" hidden="1" x14ac:dyDescent="0.25">
      <c r="A7670" t="s">
        <v>6259</v>
      </c>
      <c r="B7670" t="s">
        <v>713</v>
      </c>
      <c r="C7670" s="2">
        <f>HYPERLINK("https://cao.dolgi.msk.ru/account/1080311101/", 1080311101)</f>
        <v>1080311101</v>
      </c>
      <c r="D7670" t="s">
        <v>6351</v>
      </c>
      <c r="E7670">
        <v>69.099999999999994</v>
      </c>
      <c r="F7670">
        <v>0.01</v>
      </c>
      <c r="G7670" t="s">
        <v>12</v>
      </c>
      <c r="I7670" t="s">
        <v>1050</v>
      </c>
    </row>
    <row r="7671" spans="1:9" hidden="1" x14ac:dyDescent="0.25">
      <c r="A7671" t="s">
        <v>6259</v>
      </c>
      <c r="B7671" t="s">
        <v>528</v>
      </c>
      <c r="C7671" s="2">
        <f>HYPERLINK("https://cao.dolgi.msk.ru/account/1080311128/", 1080311128)</f>
        <v>1080311128</v>
      </c>
      <c r="D7671" t="s">
        <v>6352</v>
      </c>
      <c r="E7671">
        <v>543.07000000000005</v>
      </c>
      <c r="F7671">
        <v>0.12</v>
      </c>
      <c r="G7671" t="s">
        <v>12</v>
      </c>
      <c r="I7671" t="s">
        <v>1050</v>
      </c>
    </row>
    <row r="7672" spans="1:9" hidden="1" x14ac:dyDescent="0.25">
      <c r="A7672" t="s">
        <v>6259</v>
      </c>
      <c r="B7672" t="s">
        <v>532</v>
      </c>
      <c r="C7672" s="2">
        <f>HYPERLINK("https://cao.dolgi.msk.ru/account/1080311144/", 1080311144)</f>
        <v>1080311144</v>
      </c>
      <c r="D7672" t="s">
        <v>6353</v>
      </c>
      <c r="E7672">
        <v>-2523.59</v>
      </c>
      <c r="F7672">
        <v>-0.47</v>
      </c>
      <c r="G7672" t="s">
        <v>12</v>
      </c>
      <c r="I7672" t="s">
        <v>1050</v>
      </c>
    </row>
    <row r="7673" spans="1:9" hidden="1" x14ac:dyDescent="0.25">
      <c r="A7673" t="s">
        <v>6259</v>
      </c>
      <c r="B7673" t="s">
        <v>534</v>
      </c>
      <c r="C7673" s="2">
        <f>HYPERLINK("https://cao.dolgi.msk.ru/account/1080311152/", 1080311152)</f>
        <v>1080311152</v>
      </c>
      <c r="D7673" t="s">
        <v>6354</v>
      </c>
      <c r="E7673">
        <v>-144.41</v>
      </c>
      <c r="F7673">
        <v>-0.04</v>
      </c>
      <c r="G7673" t="s">
        <v>12</v>
      </c>
      <c r="I7673" t="s">
        <v>1050</v>
      </c>
    </row>
    <row r="7674" spans="1:9" hidden="1" x14ac:dyDescent="0.25">
      <c r="A7674" t="s">
        <v>6259</v>
      </c>
      <c r="B7674" t="s">
        <v>536</v>
      </c>
      <c r="C7674" s="2">
        <f>HYPERLINK("https://cao.dolgi.msk.ru/account/1080311179/", 1080311179)</f>
        <v>1080311179</v>
      </c>
      <c r="D7674" t="s">
        <v>6355</v>
      </c>
      <c r="E7674">
        <v>-3785.91</v>
      </c>
      <c r="F7674">
        <v>-0.89</v>
      </c>
      <c r="G7674" t="s">
        <v>12</v>
      </c>
      <c r="I7674" t="s">
        <v>1050</v>
      </c>
    </row>
    <row r="7675" spans="1:9" hidden="1" x14ac:dyDescent="0.25">
      <c r="A7675" t="s">
        <v>6259</v>
      </c>
      <c r="B7675" t="s">
        <v>538</v>
      </c>
      <c r="C7675" s="2">
        <f>HYPERLINK("https://cao.dolgi.msk.ru/account/1080311187/", 1080311187)</f>
        <v>1080311187</v>
      </c>
      <c r="D7675" t="s">
        <v>6356</v>
      </c>
      <c r="E7675">
        <v>-3153.59</v>
      </c>
      <c r="F7675">
        <v>-1.18</v>
      </c>
      <c r="G7675" t="s">
        <v>12</v>
      </c>
      <c r="I7675" t="s">
        <v>1050</v>
      </c>
    </row>
    <row r="7676" spans="1:9" hidden="1" x14ac:dyDescent="0.25">
      <c r="A7676" t="s">
        <v>6259</v>
      </c>
      <c r="B7676" t="s">
        <v>539</v>
      </c>
      <c r="C7676" s="2">
        <f>HYPERLINK("https://cao.dolgi.msk.ru/account/1080311195/", 1080311195)</f>
        <v>1080311195</v>
      </c>
      <c r="D7676" t="s">
        <v>6357</v>
      </c>
      <c r="E7676">
        <v>-5480.06</v>
      </c>
      <c r="F7676">
        <v>-1.19</v>
      </c>
      <c r="G7676" t="s">
        <v>12</v>
      </c>
      <c r="I7676" t="s">
        <v>1050</v>
      </c>
    </row>
    <row r="7677" spans="1:9" hidden="1" x14ac:dyDescent="0.25">
      <c r="A7677" t="s">
        <v>6259</v>
      </c>
      <c r="B7677" t="s">
        <v>541</v>
      </c>
      <c r="C7677" s="2">
        <f>HYPERLINK("https://cao.dolgi.msk.ru/account/1080311208/", 1080311208)</f>
        <v>1080311208</v>
      </c>
      <c r="D7677" t="s">
        <v>6358</v>
      </c>
      <c r="E7677">
        <v>-5516.06</v>
      </c>
      <c r="F7677">
        <v>-1.1599999999999999</v>
      </c>
      <c r="G7677" t="s">
        <v>12</v>
      </c>
      <c r="I7677" t="s">
        <v>1050</v>
      </c>
    </row>
    <row r="7678" spans="1:9" hidden="1" x14ac:dyDescent="0.25">
      <c r="A7678" t="s">
        <v>6259</v>
      </c>
      <c r="B7678" t="s">
        <v>543</v>
      </c>
      <c r="C7678" s="2">
        <f>HYPERLINK("https://cao.dolgi.msk.ru/account/1080311216/", 1080311216)</f>
        <v>1080311216</v>
      </c>
      <c r="D7678" t="s">
        <v>6359</v>
      </c>
      <c r="E7678">
        <v>-5178.3</v>
      </c>
      <c r="F7678">
        <v>-1.1200000000000001</v>
      </c>
      <c r="G7678" t="s">
        <v>12</v>
      </c>
      <c r="I7678" t="s">
        <v>1050</v>
      </c>
    </row>
    <row r="7679" spans="1:9" hidden="1" x14ac:dyDescent="0.25">
      <c r="A7679" t="s">
        <v>6259</v>
      </c>
      <c r="B7679" t="s">
        <v>545</v>
      </c>
      <c r="C7679" s="2">
        <f>HYPERLINK("https://cao.dolgi.msk.ru/account/1080311224/", 1080311224)</f>
        <v>1080311224</v>
      </c>
      <c r="D7679" t="s">
        <v>6360</v>
      </c>
      <c r="E7679">
        <v>-9318.01</v>
      </c>
      <c r="F7679">
        <v>-1.2</v>
      </c>
      <c r="G7679" t="s">
        <v>12</v>
      </c>
      <c r="I7679" t="s">
        <v>1050</v>
      </c>
    </row>
    <row r="7680" spans="1:9" hidden="1" x14ac:dyDescent="0.25">
      <c r="A7680" t="s">
        <v>6259</v>
      </c>
      <c r="B7680" t="s">
        <v>546</v>
      </c>
      <c r="C7680" s="2">
        <f>HYPERLINK("https://cao.dolgi.msk.ru/account/1080311232/", 1080311232)</f>
        <v>1080311232</v>
      </c>
      <c r="D7680" t="s">
        <v>6361</v>
      </c>
      <c r="E7680">
        <v>-7485.5</v>
      </c>
      <c r="F7680">
        <v>-1.1299999999999999</v>
      </c>
      <c r="G7680" t="s">
        <v>12</v>
      </c>
      <c r="I7680" t="s">
        <v>1050</v>
      </c>
    </row>
    <row r="7681" spans="1:9" x14ac:dyDescent="0.25">
      <c r="A7681" t="s">
        <v>6259</v>
      </c>
      <c r="B7681" t="s">
        <v>548</v>
      </c>
      <c r="C7681" s="2">
        <f>HYPERLINK("https://cao.dolgi.msk.ru/account/1080311259/", 1080311259)</f>
        <v>1080311259</v>
      </c>
      <c r="D7681" t="s">
        <v>6362</v>
      </c>
      <c r="E7681">
        <v>52688.61</v>
      </c>
      <c r="F7681">
        <v>11.23</v>
      </c>
      <c r="G7681" t="s">
        <v>12</v>
      </c>
      <c r="I7681" t="s">
        <v>1050</v>
      </c>
    </row>
    <row r="7682" spans="1:9" hidden="1" x14ac:dyDescent="0.25">
      <c r="A7682" t="s">
        <v>6259</v>
      </c>
      <c r="B7682" t="s">
        <v>727</v>
      </c>
      <c r="C7682" s="2">
        <f>HYPERLINK("https://cao.dolgi.msk.ru/account/1080311267/", 1080311267)</f>
        <v>1080311267</v>
      </c>
      <c r="D7682" t="s">
        <v>6363</v>
      </c>
      <c r="E7682">
        <v>-6716.75</v>
      </c>
      <c r="F7682">
        <v>-1.1000000000000001</v>
      </c>
      <c r="G7682" t="s">
        <v>12</v>
      </c>
      <c r="I7682" t="s">
        <v>1050</v>
      </c>
    </row>
    <row r="7683" spans="1:9" hidden="1" x14ac:dyDescent="0.25">
      <c r="A7683" t="s">
        <v>6259</v>
      </c>
      <c r="B7683" t="s">
        <v>551</v>
      </c>
      <c r="C7683" s="2">
        <f>HYPERLINK("https://cao.dolgi.msk.ru/account/1080311275/", 1080311275)</f>
        <v>1080311275</v>
      </c>
      <c r="D7683" t="s">
        <v>6364</v>
      </c>
      <c r="E7683">
        <v>0</v>
      </c>
      <c r="F7683">
        <v>0</v>
      </c>
      <c r="G7683" t="s">
        <v>12</v>
      </c>
      <c r="I7683" t="s">
        <v>1050</v>
      </c>
    </row>
    <row r="7684" spans="1:9" hidden="1" x14ac:dyDescent="0.25">
      <c r="A7684" t="s">
        <v>6259</v>
      </c>
      <c r="B7684" t="s">
        <v>730</v>
      </c>
      <c r="C7684" s="2">
        <f>HYPERLINK("https://cao.dolgi.msk.ru/account/1080311283/", 1080311283)</f>
        <v>1080311283</v>
      </c>
      <c r="D7684" t="s">
        <v>6365</v>
      </c>
      <c r="E7684">
        <v>0</v>
      </c>
      <c r="F7684">
        <v>0</v>
      </c>
      <c r="G7684" t="s">
        <v>12</v>
      </c>
      <c r="I7684" t="s">
        <v>1050</v>
      </c>
    </row>
    <row r="7685" spans="1:9" hidden="1" x14ac:dyDescent="0.25">
      <c r="A7685" t="s">
        <v>6259</v>
      </c>
      <c r="B7685" t="s">
        <v>732</v>
      </c>
      <c r="C7685" s="2">
        <f>HYPERLINK("https://cao.dolgi.msk.ru/account/1080311291/", 1080311291)</f>
        <v>1080311291</v>
      </c>
      <c r="D7685" t="s">
        <v>6366</v>
      </c>
      <c r="E7685">
        <v>-4726.28</v>
      </c>
      <c r="F7685">
        <v>-1.18</v>
      </c>
      <c r="G7685" t="s">
        <v>12</v>
      </c>
      <c r="I7685" t="s">
        <v>1050</v>
      </c>
    </row>
    <row r="7686" spans="1:9" hidden="1" x14ac:dyDescent="0.25">
      <c r="A7686" t="s">
        <v>6259</v>
      </c>
      <c r="B7686" t="s">
        <v>553</v>
      </c>
      <c r="C7686" s="2">
        <f>HYPERLINK("https://cao.dolgi.msk.ru/account/1080311304/", 1080311304)</f>
        <v>1080311304</v>
      </c>
      <c r="D7686" t="s">
        <v>6367</v>
      </c>
      <c r="E7686">
        <v>-15.9</v>
      </c>
      <c r="F7686">
        <v>0</v>
      </c>
      <c r="G7686" t="s">
        <v>12</v>
      </c>
      <c r="I7686" t="s">
        <v>1050</v>
      </c>
    </row>
    <row r="7687" spans="1:9" hidden="1" x14ac:dyDescent="0.25">
      <c r="A7687" t="s">
        <v>6259</v>
      </c>
      <c r="B7687" t="s">
        <v>555</v>
      </c>
      <c r="C7687" s="2">
        <f>HYPERLINK("https://cao.dolgi.msk.ru/account/1080311312/", 1080311312)</f>
        <v>1080311312</v>
      </c>
      <c r="D7687" t="s">
        <v>6368</v>
      </c>
      <c r="E7687">
        <v>-5605.68</v>
      </c>
      <c r="F7687">
        <v>-1.22</v>
      </c>
      <c r="G7687" t="s">
        <v>12</v>
      </c>
      <c r="I7687" t="s">
        <v>1050</v>
      </c>
    </row>
    <row r="7688" spans="1:9" hidden="1" x14ac:dyDescent="0.25">
      <c r="A7688" t="s">
        <v>6259</v>
      </c>
      <c r="B7688" t="s">
        <v>736</v>
      </c>
      <c r="C7688" s="2">
        <f>HYPERLINK("https://cao.dolgi.msk.ru/account/1080311339/", 1080311339)</f>
        <v>1080311339</v>
      </c>
      <c r="D7688" t="s">
        <v>6369</v>
      </c>
      <c r="E7688">
        <v>-5334.76</v>
      </c>
      <c r="F7688">
        <v>-1.33</v>
      </c>
      <c r="G7688" t="s">
        <v>12</v>
      </c>
      <c r="I7688" t="s">
        <v>1050</v>
      </c>
    </row>
    <row r="7689" spans="1:9" hidden="1" x14ac:dyDescent="0.25">
      <c r="A7689" t="s">
        <v>6259</v>
      </c>
      <c r="B7689" t="s">
        <v>738</v>
      </c>
      <c r="C7689" s="2">
        <f>HYPERLINK("https://cao.dolgi.msk.ru/account/1080311347/", 1080311347)</f>
        <v>1080311347</v>
      </c>
      <c r="D7689" t="s">
        <v>6370</v>
      </c>
      <c r="E7689">
        <v>-4484.9799999999996</v>
      </c>
      <c r="F7689">
        <v>-1.21</v>
      </c>
      <c r="G7689" t="s">
        <v>12</v>
      </c>
      <c r="I7689" t="s">
        <v>1050</v>
      </c>
    </row>
    <row r="7690" spans="1:9" hidden="1" x14ac:dyDescent="0.25">
      <c r="A7690" t="s">
        <v>6259</v>
      </c>
      <c r="B7690" t="s">
        <v>740</v>
      </c>
      <c r="C7690" s="2">
        <f>HYPERLINK("https://cao.dolgi.msk.ru/account/1080311355/", 1080311355)</f>
        <v>1080311355</v>
      </c>
      <c r="D7690" t="s">
        <v>6371</v>
      </c>
      <c r="E7690">
        <v>-6115.43</v>
      </c>
      <c r="F7690">
        <v>-1.79</v>
      </c>
      <c r="G7690" t="s">
        <v>12</v>
      </c>
      <c r="I7690" t="s">
        <v>1050</v>
      </c>
    </row>
    <row r="7691" spans="1:9" hidden="1" x14ac:dyDescent="0.25">
      <c r="A7691" t="s">
        <v>6259</v>
      </c>
      <c r="B7691" t="s">
        <v>742</v>
      </c>
      <c r="C7691" s="2">
        <f>HYPERLINK("https://cao.dolgi.msk.ru/account/1080311363/", 1080311363)</f>
        <v>1080311363</v>
      </c>
      <c r="D7691" t="s">
        <v>6372</v>
      </c>
      <c r="E7691">
        <v>299.32</v>
      </c>
      <c r="F7691">
        <v>0.04</v>
      </c>
      <c r="G7691" t="s">
        <v>12</v>
      </c>
      <c r="I7691" t="s">
        <v>1050</v>
      </c>
    </row>
    <row r="7692" spans="1:9" hidden="1" x14ac:dyDescent="0.25">
      <c r="A7692" t="s">
        <v>6259</v>
      </c>
      <c r="B7692" t="s">
        <v>557</v>
      </c>
      <c r="C7692" s="2">
        <f>HYPERLINK("https://cao.dolgi.msk.ru/account/1080311371/", 1080311371)</f>
        <v>1080311371</v>
      </c>
      <c r="D7692" t="s">
        <v>6373</v>
      </c>
      <c r="E7692">
        <v>-3530.35</v>
      </c>
      <c r="F7692">
        <v>-1.2</v>
      </c>
      <c r="G7692" t="s">
        <v>12</v>
      </c>
      <c r="I7692" t="s">
        <v>1050</v>
      </c>
    </row>
    <row r="7693" spans="1:9" hidden="1" x14ac:dyDescent="0.25">
      <c r="A7693" t="s">
        <v>6259</v>
      </c>
      <c r="B7693" t="s">
        <v>558</v>
      </c>
      <c r="C7693" s="2">
        <f>HYPERLINK("https://cao.dolgi.msk.ru/account/1080311398/", 1080311398)</f>
        <v>1080311398</v>
      </c>
      <c r="D7693" t="s">
        <v>6374</v>
      </c>
      <c r="E7693">
        <v>-10169.98</v>
      </c>
      <c r="F7693">
        <v>-1.7</v>
      </c>
      <c r="G7693" t="s">
        <v>12</v>
      </c>
      <c r="I7693" t="s">
        <v>1050</v>
      </c>
    </row>
    <row r="7694" spans="1:9" hidden="1" x14ac:dyDescent="0.25">
      <c r="A7694" t="s">
        <v>6259</v>
      </c>
      <c r="B7694" t="s">
        <v>746</v>
      </c>
      <c r="C7694" s="2">
        <f>HYPERLINK("https://cao.dolgi.msk.ru/account/1080311419/", 1080311419)</f>
        <v>1080311419</v>
      </c>
      <c r="D7694" t="s">
        <v>6375</v>
      </c>
      <c r="E7694">
        <v>3529.51</v>
      </c>
      <c r="F7694">
        <v>1</v>
      </c>
      <c r="G7694" t="s">
        <v>12</v>
      </c>
      <c r="I7694" t="s">
        <v>1050</v>
      </c>
    </row>
    <row r="7695" spans="1:9" hidden="1" x14ac:dyDescent="0.25">
      <c r="A7695" t="s">
        <v>6259</v>
      </c>
      <c r="B7695" t="s">
        <v>748</v>
      </c>
      <c r="C7695" s="2">
        <f>HYPERLINK("https://cao.dolgi.msk.ru/account/1080311427/", 1080311427)</f>
        <v>1080311427</v>
      </c>
      <c r="D7695" t="s">
        <v>6376</v>
      </c>
      <c r="E7695">
        <v>-5604.24</v>
      </c>
      <c r="F7695">
        <v>-1.23</v>
      </c>
      <c r="G7695" t="s">
        <v>12</v>
      </c>
      <c r="I7695" t="s">
        <v>1050</v>
      </c>
    </row>
    <row r="7696" spans="1:9" x14ac:dyDescent="0.25">
      <c r="A7696" t="s">
        <v>6259</v>
      </c>
      <c r="B7696" t="s">
        <v>750</v>
      </c>
      <c r="C7696" s="2">
        <f>HYPERLINK("https://cao.dolgi.msk.ru/account/1080311435/", 1080311435)</f>
        <v>1080311435</v>
      </c>
      <c r="D7696" t="s">
        <v>6377</v>
      </c>
      <c r="E7696">
        <v>39660.86</v>
      </c>
      <c r="F7696">
        <v>12.17</v>
      </c>
      <c r="G7696" t="s">
        <v>12</v>
      </c>
      <c r="I7696" t="s">
        <v>1050</v>
      </c>
    </row>
    <row r="7697" spans="1:9" x14ac:dyDescent="0.25">
      <c r="A7697" t="s">
        <v>6259</v>
      </c>
      <c r="B7697" t="s">
        <v>750</v>
      </c>
      <c r="C7697" s="2">
        <f>HYPERLINK("https://cao.dolgi.msk.ru/account/1080322345/", 1080322345)</f>
        <v>1080322345</v>
      </c>
      <c r="D7697" t="s">
        <v>6377</v>
      </c>
      <c r="E7697">
        <v>91494.19</v>
      </c>
      <c r="F7697">
        <v>28.07</v>
      </c>
      <c r="G7697" t="s">
        <v>12</v>
      </c>
      <c r="I7697" t="s">
        <v>1050</v>
      </c>
    </row>
    <row r="7698" spans="1:9" hidden="1" x14ac:dyDescent="0.25">
      <c r="A7698" t="s">
        <v>6259</v>
      </c>
      <c r="B7698" t="s">
        <v>752</v>
      </c>
      <c r="C7698" s="2">
        <f>HYPERLINK("https://cao.dolgi.msk.ru/account/1080311443/", 1080311443)</f>
        <v>1080311443</v>
      </c>
      <c r="D7698" t="s">
        <v>6378</v>
      </c>
      <c r="E7698">
        <v>4080.2</v>
      </c>
      <c r="F7698">
        <v>0.97</v>
      </c>
      <c r="G7698" t="s">
        <v>12</v>
      </c>
      <c r="I7698" t="s">
        <v>1050</v>
      </c>
    </row>
    <row r="7699" spans="1:9" hidden="1" x14ac:dyDescent="0.25">
      <c r="A7699" t="s">
        <v>6259</v>
      </c>
      <c r="B7699" t="s">
        <v>754</v>
      </c>
      <c r="C7699" s="2">
        <f>HYPERLINK("https://cao.dolgi.msk.ru/account/1080311451/", 1080311451)</f>
        <v>1080311451</v>
      </c>
      <c r="D7699" t="s">
        <v>6379</v>
      </c>
      <c r="E7699">
        <v>-4189.68</v>
      </c>
      <c r="F7699">
        <v>-1.02</v>
      </c>
      <c r="G7699" t="s">
        <v>12</v>
      </c>
      <c r="I7699" t="s">
        <v>1050</v>
      </c>
    </row>
    <row r="7700" spans="1:9" hidden="1" x14ac:dyDescent="0.25">
      <c r="A7700" t="s">
        <v>6259</v>
      </c>
      <c r="B7700" t="s">
        <v>756</v>
      </c>
      <c r="C7700" s="2">
        <f>HYPERLINK("https://cao.dolgi.msk.ru/account/1080311478/", 1080311478)</f>
        <v>1080311478</v>
      </c>
      <c r="D7700" t="s">
        <v>6380</v>
      </c>
      <c r="E7700">
        <v>1388.56</v>
      </c>
      <c r="F7700">
        <v>0.25</v>
      </c>
      <c r="G7700" t="s">
        <v>12</v>
      </c>
      <c r="I7700" t="s">
        <v>1050</v>
      </c>
    </row>
    <row r="7701" spans="1:9" hidden="1" x14ac:dyDescent="0.25">
      <c r="A7701" t="s">
        <v>6259</v>
      </c>
      <c r="B7701" t="s">
        <v>758</v>
      </c>
      <c r="C7701" s="2">
        <f>HYPERLINK("https://cao.dolgi.msk.ru/account/1080311486/", 1080311486)</f>
        <v>1080311486</v>
      </c>
      <c r="D7701" t="s">
        <v>6381</v>
      </c>
      <c r="E7701">
        <v>-4814.9799999999996</v>
      </c>
      <c r="F7701">
        <v>-1.32</v>
      </c>
      <c r="G7701" t="s">
        <v>12</v>
      </c>
      <c r="I7701" t="s">
        <v>1050</v>
      </c>
    </row>
    <row r="7702" spans="1:9" hidden="1" x14ac:dyDescent="0.25">
      <c r="A7702" t="s">
        <v>6259</v>
      </c>
      <c r="B7702" t="s">
        <v>760</v>
      </c>
      <c r="C7702" s="2">
        <f>HYPERLINK("https://cao.dolgi.msk.ru/account/1080311494/", 1080311494)</f>
        <v>1080311494</v>
      </c>
      <c r="D7702" t="s">
        <v>6382</v>
      </c>
      <c r="E7702">
        <v>23.27</v>
      </c>
      <c r="F7702">
        <v>0</v>
      </c>
      <c r="G7702" t="s">
        <v>12</v>
      </c>
      <c r="I7702" t="s">
        <v>1050</v>
      </c>
    </row>
    <row r="7703" spans="1:9" hidden="1" x14ac:dyDescent="0.25">
      <c r="A7703" t="s">
        <v>6259</v>
      </c>
      <c r="B7703" t="s">
        <v>762</v>
      </c>
      <c r="C7703" s="2">
        <f>HYPERLINK("https://cao.dolgi.msk.ru/account/1080311507/", 1080311507)</f>
        <v>1080311507</v>
      </c>
      <c r="D7703" t="s">
        <v>6383</v>
      </c>
      <c r="E7703">
        <v>-9340.9</v>
      </c>
      <c r="F7703">
        <v>-2.98</v>
      </c>
      <c r="G7703" t="s">
        <v>12</v>
      </c>
      <c r="I7703" t="s">
        <v>1050</v>
      </c>
    </row>
    <row r="7704" spans="1:9" hidden="1" x14ac:dyDescent="0.25">
      <c r="A7704" t="s">
        <v>6259</v>
      </c>
      <c r="B7704" t="s">
        <v>764</v>
      </c>
      <c r="C7704" s="2">
        <f>HYPERLINK("https://cao.dolgi.msk.ru/account/1080311515/", 1080311515)</f>
        <v>1080311515</v>
      </c>
      <c r="D7704" t="s">
        <v>6384</v>
      </c>
      <c r="E7704">
        <v>-2866.7</v>
      </c>
      <c r="F7704">
        <v>-1.23</v>
      </c>
      <c r="G7704" t="s">
        <v>12</v>
      </c>
      <c r="I7704" t="s">
        <v>1050</v>
      </c>
    </row>
    <row r="7705" spans="1:9" hidden="1" x14ac:dyDescent="0.25">
      <c r="A7705" t="s">
        <v>6259</v>
      </c>
      <c r="B7705" t="s">
        <v>766</v>
      </c>
      <c r="C7705" s="2">
        <f>HYPERLINK("https://cao.dolgi.msk.ru/account/1080311523/", 1080311523)</f>
        <v>1080311523</v>
      </c>
      <c r="D7705" t="s">
        <v>6385</v>
      </c>
      <c r="E7705">
        <v>-6756.57</v>
      </c>
      <c r="F7705">
        <v>-1.25</v>
      </c>
      <c r="G7705" t="s">
        <v>12</v>
      </c>
      <c r="I7705" t="s">
        <v>1050</v>
      </c>
    </row>
    <row r="7706" spans="1:9" hidden="1" x14ac:dyDescent="0.25">
      <c r="A7706" t="s">
        <v>6259</v>
      </c>
      <c r="B7706" t="s">
        <v>768</v>
      </c>
      <c r="C7706" s="2">
        <f>HYPERLINK("https://cao.dolgi.msk.ru/account/1080311531/", 1080311531)</f>
        <v>1080311531</v>
      </c>
      <c r="D7706" t="s">
        <v>6386</v>
      </c>
      <c r="E7706">
        <v>-3513.62</v>
      </c>
      <c r="F7706">
        <v>-1.31</v>
      </c>
      <c r="G7706" t="s">
        <v>12</v>
      </c>
      <c r="I7706" t="s">
        <v>1050</v>
      </c>
    </row>
    <row r="7707" spans="1:9" hidden="1" x14ac:dyDescent="0.25">
      <c r="A7707" t="s">
        <v>6259</v>
      </c>
      <c r="B7707" t="s">
        <v>770</v>
      </c>
      <c r="C7707" s="2">
        <f>HYPERLINK("https://cao.dolgi.msk.ru/account/1080311558/", 1080311558)</f>
        <v>1080311558</v>
      </c>
      <c r="D7707" t="s">
        <v>6387</v>
      </c>
      <c r="E7707">
        <v>-58.44</v>
      </c>
      <c r="F7707">
        <v>-0.01</v>
      </c>
      <c r="G7707" t="s">
        <v>12</v>
      </c>
      <c r="I7707" t="s">
        <v>1050</v>
      </c>
    </row>
    <row r="7708" spans="1:9" hidden="1" x14ac:dyDescent="0.25">
      <c r="A7708" t="s">
        <v>6259</v>
      </c>
      <c r="B7708" t="s">
        <v>772</v>
      </c>
      <c r="C7708" s="2">
        <f>HYPERLINK("https://cao.dolgi.msk.ru/account/1080311566/", 1080311566)</f>
        <v>1080311566</v>
      </c>
      <c r="D7708" t="s">
        <v>6387</v>
      </c>
      <c r="E7708">
        <v>-4863.3</v>
      </c>
      <c r="F7708">
        <v>-1.26</v>
      </c>
      <c r="G7708" t="s">
        <v>12</v>
      </c>
      <c r="I7708" t="s">
        <v>1050</v>
      </c>
    </row>
    <row r="7709" spans="1:9" hidden="1" x14ac:dyDescent="0.25">
      <c r="A7709" t="s">
        <v>6259</v>
      </c>
      <c r="B7709" t="s">
        <v>774</v>
      </c>
      <c r="C7709" s="2">
        <f>HYPERLINK("https://cao.dolgi.msk.ru/account/1080311574/", 1080311574)</f>
        <v>1080311574</v>
      </c>
      <c r="D7709" t="s">
        <v>6388</v>
      </c>
      <c r="E7709">
        <v>-4709.55</v>
      </c>
      <c r="F7709">
        <v>-1.1200000000000001</v>
      </c>
      <c r="G7709" t="s">
        <v>12</v>
      </c>
      <c r="I7709" t="s">
        <v>1050</v>
      </c>
    </row>
    <row r="7710" spans="1:9" hidden="1" x14ac:dyDescent="0.25">
      <c r="A7710" t="s">
        <v>6259</v>
      </c>
      <c r="B7710" t="s">
        <v>776</v>
      </c>
      <c r="C7710" s="2">
        <f>HYPERLINK("https://cao.dolgi.msk.ru/account/1080311582/", 1080311582)</f>
        <v>1080311582</v>
      </c>
      <c r="D7710" t="s">
        <v>6389</v>
      </c>
      <c r="E7710">
        <v>-1148.6600000000001</v>
      </c>
      <c r="F7710">
        <v>-0.41</v>
      </c>
      <c r="G7710" t="s">
        <v>12</v>
      </c>
      <c r="I7710" t="s">
        <v>1050</v>
      </c>
    </row>
    <row r="7711" spans="1:9" hidden="1" x14ac:dyDescent="0.25">
      <c r="A7711" t="s">
        <v>6259</v>
      </c>
      <c r="B7711" t="s">
        <v>776</v>
      </c>
      <c r="C7711" s="2">
        <f>HYPERLINK("https://cao.dolgi.msk.ru/account/1080326872/", 1080326872)</f>
        <v>1080326872</v>
      </c>
      <c r="D7711" t="s">
        <v>6389</v>
      </c>
      <c r="E7711">
        <v>0</v>
      </c>
      <c r="F7711">
        <v>0</v>
      </c>
      <c r="G7711" t="s">
        <v>12</v>
      </c>
      <c r="I7711" t="s">
        <v>1050</v>
      </c>
    </row>
    <row r="7712" spans="1:9" hidden="1" x14ac:dyDescent="0.25">
      <c r="A7712" t="s">
        <v>6259</v>
      </c>
      <c r="B7712" t="s">
        <v>778</v>
      </c>
      <c r="C7712" s="2">
        <f>HYPERLINK("https://cao.dolgi.msk.ru/account/1080311603/", 1080311603)</f>
        <v>1080311603</v>
      </c>
      <c r="D7712" t="s">
        <v>6390</v>
      </c>
      <c r="E7712">
        <v>-3632.77</v>
      </c>
      <c r="F7712">
        <v>-1.33</v>
      </c>
      <c r="G7712" t="s">
        <v>12</v>
      </c>
      <c r="I7712" t="s">
        <v>1050</v>
      </c>
    </row>
    <row r="7713" spans="1:9" hidden="1" x14ac:dyDescent="0.25">
      <c r="A7713" t="s">
        <v>6259</v>
      </c>
      <c r="B7713" t="s">
        <v>780</v>
      </c>
      <c r="C7713" s="2">
        <f>HYPERLINK("https://cao.dolgi.msk.ru/account/1080311611/", 1080311611)</f>
        <v>1080311611</v>
      </c>
      <c r="D7713" t="s">
        <v>6391</v>
      </c>
      <c r="E7713">
        <v>-7841.53</v>
      </c>
      <c r="F7713">
        <v>-1.1100000000000001</v>
      </c>
      <c r="G7713" t="s">
        <v>12</v>
      </c>
      <c r="I7713" t="s">
        <v>1050</v>
      </c>
    </row>
    <row r="7714" spans="1:9" hidden="1" x14ac:dyDescent="0.25">
      <c r="A7714" t="s">
        <v>6259</v>
      </c>
      <c r="B7714" t="s">
        <v>781</v>
      </c>
      <c r="C7714" s="2">
        <f>HYPERLINK("https://cao.dolgi.msk.ru/account/1080311638/", 1080311638)</f>
        <v>1080311638</v>
      </c>
      <c r="D7714" t="s">
        <v>6392</v>
      </c>
      <c r="E7714">
        <v>-2868.69</v>
      </c>
      <c r="F7714">
        <v>-1.18</v>
      </c>
      <c r="G7714" t="s">
        <v>12</v>
      </c>
      <c r="I7714" t="s">
        <v>1050</v>
      </c>
    </row>
    <row r="7715" spans="1:9" x14ac:dyDescent="0.25">
      <c r="A7715" t="s">
        <v>6259</v>
      </c>
      <c r="B7715" t="s">
        <v>782</v>
      </c>
      <c r="C7715" s="2">
        <f>HYPERLINK("https://cao.dolgi.msk.ru/account/1080311646/", 1080311646)</f>
        <v>1080311646</v>
      </c>
      <c r="D7715" t="s">
        <v>6393</v>
      </c>
      <c r="E7715">
        <v>54368.57</v>
      </c>
      <c r="F7715">
        <v>18.64</v>
      </c>
      <c r="G7715" t="s">
        <v>12</v>
      </c>
      <c r="I7715" t="s">
        <v>1050</v>
      </c>
    </row>
    <row r="7716" spans="1:9" hidden="1" x14ac:dyDescent="0.25">
      <c r="A7716" t="s">
        <v>6259</v>
      </c>
      <c r="B7716" t="s">
        <v>784</v>
      </c>
      <c r="C7716" s="2">
        <f>HYPERLINK("https://cao.dolgi.msk.ru/account/1080311654/", 1080311654)</f>
        <v>1080311654</v>
      </c>
      <c r="D7716" t="s">
        <v>6394</v>
      </c>
      <c r="E7716">
        <v>-60.1</v>
      </c>
      <c r="F7716">
        <v>-0.01</v>
      </c>
      <c r="G7716" t="s">
        <v>12</v>
      </c>
      <c r="I7716" t="s">
        <v>1050</v>
      </c>
    </row>
    <row r="7717" spans="1:9" hidden="1" x14ac:dyDescent="0.25">
      <c r="A7717" t="s">
        <v>6259</v>
      </c>
      <c r="B7717" t="s">
        <v>786</v>
      </c>
      <c r="C7717" s="2">
        <f>HYPERLINK("https://cao.dolgi.msk.ru/account/1080311662/", 1080311662)</f>
        <v>1080311662</v>
      </c>
      <c r="D7717" t="s">
        <v>6395</v>
      </c>
      <c r="E7717">
        <v>-4338.75</v>
      </c>
      <c r="F7717">
        <v>-1.21</v>
      </c>
      <c r="G7717" t="s">
        <v>12</v>
      </c>
      <c r="I7717" t="s">
        <v>1050</v>
      </c>
    </row>
    <row r="7718" spans="1:9" hidden="1" x14ac:dyDescent="0.25">
      <c r="A7718" t="s">
        <v>6259</v>
      </c>
      <c r="B7718" t="s">
        <v>788</v>
      </c>
      <c r="C7718" s="2">
        <f>HYPERLINK("https://cao.dolgi.msk.ru/account/1080311689/", 1080311689)</f>
        <v>1080311689</v>
      </c>
      <c r="D7718" t="s">
        <v>6396</v>
      </c>
      <c r="E7718">
        <v>-4484.18</v>
      </c>
      <c r="F7718">
        <v>-1.0900000000000001</v>
      </c>
      <c r="G7718" t="s">
        <v>12</v>
      </c>
      <c r="I7718" t="s">
        <v>1050</v>
      </c>
    </row>
    <row r="7719" spans="1:9" hidden="1" x14ac:dyDescent="0.25">
      <c r="A7719" t="s">
        <v>6259</v>
      </c>
      <c r="B7719" t="s">
        <v>789</v>
      </c>
      <c r="C7719" s="2">
        <f>HYPERLINK("https://cao.dolgi.msk.ru/account/1080311697/", 1080311697)</f>
        <v>1080311697</v>
      </c>
      <c r="D7719" t="s">
        <v>6397</v>
      </c>
      <c r="E7719">
        <v>-7720.52</v>
      </c>
      <c r="F7719">
        <v>-1.75</v>
      </c>
      <c r="G7719" t="s">
        <v>12</v>
      </c>
      <c r="I7719" t="s">
        <v>1050</v>
      </c>
    </row>
    <row r="7720" spans="1:9" x14ac:dyDescent="0.25">
      <c r="A7720" t="s">
        <v>6259</v>
      </c>
      <c r="B7720" t="s">
        <v>790</v>
      </c>
      <c r="C7720" s="2">
        <f>HYPERLINK("https://cao.dolgi.msk.ru/account/1080311718/", 1080311718)</f>
        <v>1080311718</v>
      </c>
      <c r="D7720" t="s">
        <v>6398</v>
      </c>
      <c r="E7720">
        <v>6533.89</v>
      </c>
      <c r="F7720">
        <v>1.93</v>
      </c>
      <c r="G7720" t="s">
        <v>12</v>
      </c>
      <c r="I7720" t="s">
        <v>1050</v>
      </c>
    </row>
    <row r="7721" spans="1:9" hidden="1" x14ac:dyDescent="0.25">
      <c r="A7721" t="s">
        <v>6259</v>
      </c>
      <c r="B7721" t="s">
        <v>792</v>
      </c>
      <c r="C7721" s="2">
        <f>HYPERLINK("https://cao.dolgi.msk.ru/account/1080311726/", 1080311726)</f>
        <v>1080311726</v>
      </c>
      <c r="D7721" t="s">
        <v>6399</v>
      </c>
      <c r="E7721">
        <v>-4732.1000000000004</v>
      </c>
      <c r="F7721">
        <v>-1.1200000000000001</v>
      </c>
      <c r="G7721" t="s">
        <v>12</v>
      </c>
      <c r="I7721" t="s">
        <v>1050</v>
      </c>
    </row>
    <row r="7722" spans="1:9" hidden="1" x14ac:dyDescent="0.25">
      <c r="A7722" t="s">
        <v>6259</v>
      </c>
      <c r="B7722" t="s">
        <v>794</v>
      </c>
      <c r="C7722" s="2">
        <f>HYPERLINK("https://cao.dolgi.msk.ru/account/1080311734/", 1080311734)</f>
        <v>1080311734</v>
      </c>
      <c r="D7722" t="s">
        <v>6400</v>
      </c>
      <c r="E7722">
        <v>0</v>
      </c>
      <c r="F7722">
        <v>0</v>
      </c>
      <c r="G7722" t="s">
        <v>12</v>
      </c>
      <c r="I7722" t="s">
        <v>1050</v>
      </c>
    </row>
    <row r="7723" spans="1:9" hidden="1" x14ac:dyDescent="0.25">
      <c r="A7723" t="s">
        <v>6259</v>
      </c>
      <c r="B7723" t="s">
        <v>796</v>
      </c>
      <c r="C7723" s="2">
        <f>HYPERLINK("https://cao.dolgi.msk.ru/account/1080311742/", 1080311742)</f>
        <v>1080311742</v>
      </c>
      <c r="D7723" t="s">
        <v>6401</v>
      </c>
      <c r="E7723">
        <v>230.81</v>
      </c>
      <c r="G7723" t="s">
        <v>14</v>
      </c>
      <c r="I7723" t="s">
        <v>1050</v>
      </c>
    </row>
    <row r="7724" spans="1:9" hidden="1" x14ac:dyDescent="0.25">
      <c r="A7724" t="s">
        <v>6259</v>
      </c>
      <c r="B7724" t="s">
        <v>796</v>
      </c>
      <c r="C7724" s="2">
        <f>HYPERLINK("https://cao.dolgi.msk.ru/account/1080311769/", 1080311769)</f>
        <v>1080311769</v>
      </c>
      <c r="D7724" t="s">
        <v>6402</v>
      </c>
      <c r="E7724">
        <v>-333.51</v>
      </c>
      <c r="F7724">
        <v>-0.1</v>
      </c>
      <c r="G7724" t="s">
        <v>12</v>
      </c>
      <c r="I7724" t="s">
        <v>1050</v>
      </c>
    </row>
    <row r="7725" spans="1:9" hidden="1" x14ac:dyDescent="0.25">
      <c r="A7725" t="s">
        <v>6259</v>
      </c>
      <c r="B7725" t="s">
        <v>798</v>
      </c>
      <c r="C7725" s="2">
        <f>HYPERLINK("https://cao.dolgi.msk.ru/account/1080311777/", 1080311777)</f>
        <v>1080311777</v>
      </c>
      <c r="D7725" t="s">
        <v>6403</v>
      </c>
      <c r="E7725">
        <v>-2353.56</v>
      </c>
      <c r="F7725">
        <v>-1.65</v>
      </c>
      <c r="G7725" t="s">
        <v>12</v>
      </c>
      <c r="I7725" t="s">
        <v>1050</v>
      </c>
    </row>
    <row r="7726" spans="1:9" hidden="1" x14ac:dyDescent="0.25">
      <c r="A7726" t="s">
        <v>6259</v>
      </c>
      <c r="B7726" t="s">
        <v>800</v>
      </c>
      <c r="C7726" s="2">
        <f>HYPERLINK("https://cao.dolgi.msk.ru/account/1080311793/", 1080311793)</f>
        <v>1080311793</v>
      </c>
      <c r="D7726" t="s">
        <v>6404</v>
      </c>
      <c r="E7726">
        <v>-5441.73</v>
      </c>
      <c r="F7726">
        <v>-1.35</v>
      </c>
      <c r="G7726" t="s">
        <v>12</v>
      </c>
      <c r="I7726" t="s">
        <v>1050</v>
      </c>
    </row>
    <row r="7727" spans="1:9" hidden="1" x14ac:dyDescent="0.25">
      <c r="A7727" t="s">
        <v>6259</v>
      </c>
      <c r="B7727" t="s">
        <v>802</v>
      </c>
      <c r="C7727" s="2">
        <f>HYPERLINK("https://cao.dolgi.msk.ru/account/1080311806/", 1080311806)</f>
        <v>1080311806</v>
      </c>
      <c r="D7727" t="s">
        <v>6405</v>
      </c>
      <c r="E7727">
        <v>-5144.99</v>
      </c>
      <c r="F7727">
        <v>-1.1200000000000001</v>
      </c>
      <c r="G7727" t="s">
        <v>12</v>
      </c>
      <c r="I7727" t="s">
        <v>1050</v>
      </c>
    </row>
    <row r="7728" spans="1:9" hidden="1" x14ac:dyDescent="0.25">
      <c r="A7728" t="s">
        <v>6259</v>
      </c>
      <c r="B7728" t="s">
        <v>804</v>
      </c>
      <c r="C7728" s="2">
        <f>HYPERLINK("https://cao.dolgi.msk.ru/account/1080311814/", 1080311814)</f>
        <v>1080311814</v>
      </c>
      <c r="D7728" t="s">
        <v>6406</v>
      </c>
      <c r="E7728">
        <v>-10217.34</v>
      </c>
      <c r="F7728">
        <v>-1.1399999999999999</v>
      </c>
      <c r="G7728" t="s">
        <v>12</v>
      </c>
      <c r="I7728" t="s">
        <v>1050</v>
      </c>
    </row>
    <row r="7729" spans="1:9" hidden="1" x14ac:dyDescent="0.25">
      <c r="A7729" t="s">
        <v>6259</v>
      </c>
      <c r="B7729" t="s">
        <v>806</v>
      </c>
      <c r="C7729" s="2">
        <f>HYPERLINK("https://cao.dolgi.msk.ru/account/1080311822/", 1080311822)</f>
        <v>1080311822</v>
      </c>
      <c r="D7729" t="s">
        <v>5183</v>
      </c>
      <c r="E7729">
        <v>-4421.42</v>
      </c>
      <c r="F7729">
        <v>-1.1000000000000001</v>
      </c>
      <c r="G7729" t="s">
        <v>12</v>
      </c>
      <c r="I7729" t="s">
        <v>1050</v>
      </c>
    </row>
    <row r="7730" spans="1:9" hidden="1" x14ac:dyDescent="0.25">
      <c r="A7730" t="s">
        <v>6259</v>
      </c>
      <c r="B7730" t="s">
        <v>808</v>
      </c>
      <c r="C7730" s="2">
        <f>HYPERLINK("https://cao.dolgi.msk.ru/account/1080311849/", 1080311849)</f>
        <v>1080311849</v>
      </c>
      <c r="D7730" t="s">
        <v>1414</v>
      </c>
      <c r="E7730">
        <v>-6456.94</v>
      </c>
      <c r="F7730">
        <v>-1.25</v>
      </c>
      <c r="G7730" t="s">
        <v>12</v>
      </c>
      <c r="I7730" t="s">
        <v>1050</v>
      </c>
    </row>
    <row r="7731" spans="1:9" hidden="1" x14ac:dyDescent="0.25">
      <c r="A7731" t="s">
        <v>6259</v>
      </c>
      <c r="B7731" t="s">
        <v>810</v>
      </c>
      <c r="C7731" s="2">
        <f>HYPERLINK("https://cao.dolgi.msk.ru/account/1080311857/", 1080311857)</f>
        <v>1080311857</v>
      </c>
      <c r="D7731" t="s">
        <v>6407</v>
      </c>
      <c r="E7731">
        <v>-5253.04</v>
      </c>
      <c r="F7731">
        <v>-1.31</v>
      </c>
      <c r="G7731" t="s">
        <v>12</v>
      </c>
      <c r="I7731" t="s">
        <v>1050</v>
      </c>
    </row>
    <row r="7732" spans="1:9" hidden="1" x14ac:dyDescent="0.25">
      <c r="A7732" t="s">
        <v>6259</v>
      </c>
      <c r="B7732" t="s">
        <v>812</v>
      </c>
      <c r="C7732" s="2">
        <f>HYPERLINK("https://cao.dolgi.msk.ru/account/1080311865/", 1080311865)</f>
        <v>1080311865</v>
      </c>
      <c r="D7732" t="s">
        <v>6408</v>
      </c>
      <c r="E7732">
        <v>96.56</v>
      </c>
      <c r="F7732">
        <v>0.02</v>
      </c>
      <c r="G7732" t="s">
        <v>12</v>
      </c>
      <c r="I7732" t="s">
        <v>1050</v>
      </c>
    </row>
    <row r="7733" spans="1:9" hidden="1" x14ac:dyDescent="0.25">
      <c r="A7733" t="s">
        <v>6259</v>
      </c>
      <c r="B7733" t="s">
        <v>814</v>
      </c>
      <c r="C7733" s="2">
        <f>HYPERLINK("https://cao.dolgi.msk.ru/account/1080311873/", 1080311873)</f>
        <v>1080311873</v>
      </c>
      <c r="D7733" t="s">
        <v>6409</v>
      </c>
      <c r="E7733">
        <v>-3560.73</v>
      </c>
      <c r="F7733">
        <v>-1.24</v>
      </c>
      <c r="G7733" t="s">
        <v>12</v>
      </c>
      <c r="I7733" t="s">
        <v>1050</v>
      </c>
    </row>
    <row r="7734" spans="1:9" hidden="1" x14ac:dyDescent="0.25">
      <c r="A7734" t="s">
        <v>6259</v>
      </c>
      <c r="B7734" t="s">
        <v>816</v>
      </c>
      <c r="C7734" s="2">
        <f>HYPERLINK("https://cao.dolgi.msk.ru/account/1080311881/", 1080311881)</f>
        <v>1080311881</v>
      </c>
      <c r="D7734" t="s">
        <v>6410</v>
      </c>
      <c r="E7734">
        <v>-4993.55</v>
      </c>
      <c r="F7734">
        <v>-1.28</v>
      </c>
      <c r="G7734" t="s">
        <v>12</v>
      </c>
      <c r="I7734" t="s">
        <v>1050</v>
      </c>
    </row>
    <row r="7735" spans="1:9" hidden="1" x14ac:dyDescent="0.25">
      <c r="A7735" t="s">
        <v>6259</v>
      </c>
      <c r="B7735" t="s">
        <v>818</v>
      </c>
      <c r="C7735" s="2">
        <f>HYPERLINK("https://cao.dolgi.msk.ru/account/1080311902/", 1080311902)</f>
        <v>1080311902</v>
      </c>
      <c r="D7735" t="s">
        <v>6411</v>
      </c>
      <c r="E7735">
        <v>-5.66</v>
      </c>
      <c r="F7735">
        <v>0</v>
      </c>
      <c r="G7735" t="s">
        <v>12</v>
      </c>
      <c r="I7735" t="s">
        <v>1050</v>
      </c>
    </row>
    <row r="7736" spans="1:9" hidden="1" x14ac:dyDescent="0.25">
      <c r="A7736" t="s">
        <v>6259</v>
      </c>
      <c r="B7736" t="s">
        <v>820</v>
      </c>
      <c r="C7736" s="2">
        <f>HYPERLINK("https://cao.dolgi.msk.ru/account/1080311929/", 1080311929)</f>
        <v>1080311929</v>
      </c>
      <c r="D7736" t="s">
        <v>6412</v>
      </c>
      <c r="E7736">
        <v>202.51</v>
      </c>
      <c r="F7736">
        <v>0.03</v>
      </c>
      <c r="G7736" t="s">
        <v>12</v>
      </c>
      <c r="I7736" t="s">
        <v>1050</v>
      </c>
    </row>
    <row r="7737" spans="1:9" hidden="1" x14ac:dyDescent="0.25">
      <c r="A7737" t="s">
        <v>6259</v>
      </c>
      <c r="B7737" t="s">
        <v>822</v>
      </c>
      <c r="C7737" s="2">
        <f>HYPERLINK("https://cao.dolgi.msk.ru/account/1080311937/", 1080311937)</f>
        <v>1080311937</v>
      </c>
      <c r="D7737" t="s">
        <v>6413</v>
      </c>
      <c r="E7737">
        <v>-4529.93</v>
      </c>
      <c r="F7737">
        <v>-1.2</v>
      </c>
      <c r="G7737" t="s">
        <v>12</v>
      </c>
      <c r="I7737" t="s">
        <v>1050</v>
      </c>
    </row>
    <row r="7738" spans="1:9" hidden="1" x14ac:dyDescent="0.25">
      <c r="A7738" t="s">
        <v>6259</v>
      </c>
      <c r="B7738" t="s">
        <v>824</v>
      </c>
      <c r="C7738" s="2">
        <f>HYPERLINK("https://cao.dolgi.msk.ru/account/1080311945/", 1080311945)</f>
        <v>1080311945</v>
      </c>
      <c r="D7738" t="s">
        <v>6414</v>
      </c>
      <c r="E7738">
        <v>-5867.39</v>
      </c>
      <c r="F7738">
        <v>-1.25</v>
      </c>
      <c r="G7738" t="s">
        <v>12</v>
      </c>
      <c r="I7738" t="s">
        <v>1050</v>
      </c>
    </row>
    <row r="7739" spans="1:9" hidden="1" x14ac:dyDescent="0.25">
      <c r="A7739" t="s">
        <v>6259</v>
      </c>
      <c r="B7739" t="s">
        <v>826</v>
      </c>
      <c r="C7739" s="2">
        <f>HYPERLINK("https://cao.dolgi.msk.ru/account/1080311953/", 1080311953)</f>
        <v>1080311953</v>
      </c>
      <c r="D7739" t="s">
        <v>6415</v>
      </c>
      <c r="E7739">
        <v>-4900.47</v>
      </c>
      <c r="F7739">
        <v>-1.1399999999999999</v>
      </c>
      <c r="G7739" t="s">
        <v>12</v>
      </c>
      <c r="I7739" t="s">
        <v>1050</v>
      </c>
    </row>
    <row r="7740" spans="1:9" hidden="1" x14ac:dyDescent="0.25">
      <c r="A7740" t="s">
        <v>6259</v>
      </c>
      <c r="B7740" t="s">
        <v>828</v>
      </c>
      <c r="C7740" s="2">
        <f>HYPERLINK("https://cao.dolgi.msk.ru/account/1080311961/", 1080311961)</f>
        <v>1080311961</v>
      </c>
      <c r="D7740" t="s">
        <v>6416</v>
      </c>
      <c r="E7740">
        <v>-5462.49</v>
      </c>
      <c r="F7740">
        <v>-1.85</v>
      </c>
      <c r="G7740" t="s">
        <v>12</v>
      </c>
      <c r="I7740" t="s">
        <v>1050</v>
      </c>
    </row>
    <row r="7741" spans="1:9" hidden="1" x14ac:dyDescent="0.25">
      <c r="A7741" t="s">
        <v>6259</v>
      </c>
      <c r="B7741" t="s">
        <v>830</v>
      </c>
      <c r="C7741" s="2">
        <f>HYPERLINK("https://cao.dolgi.msk.ru/account/1080311988/", 1080311988)</f>
        <v>1080311988</v>
      </c>
      <c r="D7741" t="s">
        <v>6417</v>
      </c>
      <c r="E7741">
        <v>0</v>
      </c>
      <c r="F7741">
        <v>0</v>
      </c>
      <c r="G7741" t="s">
        <v>12</v>
      </c>
      <c r="I7741" t="s">
        <v>1050</v>
      </c>
    </row>
    <row r="7742" spans="1:9" hidden="1" x14ac:dyDescent="0.25">
      <c r="A7742" t="s">
        <v>6259</v>
      </c>
      <c r="B7742" t="s">
        <v>831</v>
      </c>
      <c r="C7742" s="2">
        <f>HYPERLINK("https://cao.dolgi.msk.ru/account/1080311996/", 1080311996)</f>
        <v>1080311996</v>
      </c>
      <c r="D7742" t="s">
        <v>6418</v>
      </c>
      <c r="E7742">
        <v>0</v>
      </c>
      <c r="F7742">
        <v>0</v>
      </c>
      <c r="G7742" t="s">
        <v>12</v>
      </c>
      <c r="I7742" t="s">
        <v>1050</v>
      </c>
    </row>
    <row r="7743" spans="1:9" hidden="1" x14ac:dyDescent="0.25">
      <c r="A7743" t="s">
        <v>6259</v>
      </c>
      <c r="B7743" t="s">
        <v>833</v>
      </c>
      <c r="C7743" s="2">
        <f>HYPERLINK("https://cao.dolgi.msk.ru/account/1080312008/", 1080312008)</f>
        <v>1080312008</v>
      </c>
      <c r="D7743" t="s">
        <v>6419</v>
      </c>
      <c r="E7743">
        <v>-4675.68</v>
      </c>
      <c r="F7743">
        <v>-1.1599999999999999</v>
      </c>
      <c r="G7743" t="s">
        <v>12</v>
      </c>
      <c r="I7743" t="s">
        <v>1050</v>
      </c>
    </row>
    <row r="7744" spans="1:9" hidden="1" x14ac:dyDescent="0.25">
      <c r="A7744" t="s">
        <v>6259</v>
      </c>
      <c r="B7744" t="s">
        <v>835</v>
      </c>
      <c r="C7744" s="2">
        <f>HYPERLINK("https://cao.dolgi.msk.ru/account/1080312016/", 1080312016)</f>
        <v>1080312016</v>
      </c>
      <c r="D7744" t="s">
        <v>6420</v>
      </c>
      <c r="E7744">
        <v>-8384.01</v>
      </c>
      <c r="F7744">
        <v>-1.23</v>
      </c>
      <c r="G7744" t="s">
        <v>12</v>
      </c>
      <c r="I7744" t="s">
        <v>1050</v>
      </c>
    </row>
    <row r="7745" spans="1:9" hidden="1" x14ac:dyDescent="0.25">
      <c r="A7745" t="s">
        <v>6259</v>
      </c>
      <c r="B7745" t="s">
        <v>837</v>
      </c>
      <c r="C7745" s="2">
        <f>HYPERLINK("https://cao.dolgi.msk.ru/account/1080312024/", 1080312024)</f>
        <v>1080312024</v>
      </c>
      <c r="D7745" t="s">
        <v>6421</v>
      </c>
      <c r="E7745">
        <v>-5338.62</v>
      </c>
      <c r="F7745">
        <v>-1.2</v>
      </c>
      <c r="G7745" t="s">
        <v>12</v>
      </c>
      <c r="I7745" t="s">
        <v>1050</v>
      </c>
    </row>
    <row r="7746" spans="1:9" hidden="1" x14ac:dyDescent="0.25">
      <c r="A7746" t="s">
        <v>6259</v>
      </c>
      <c r="B7746" t="s">
        <v>838</v>
      </c>
      <c r="C7746" s="2">
        <f>HYPERLINK("https://cao.dolgi.msk.ru/account/1080312032/", 1080312032)</f>
        <v>1080312032</v>
      </c>
      <c r="D7746" t="s">
        <v>6422</v>
      </c>
      <c r="E7746">
        <v>-1394.59</v>
      </c>
      <c r="F7746">
        <v>-1.1299999999999999</v>
      </c>
      <c r="G7746" t="s">
        <v>12</v>
      </c>
      <c r="I7746" t="s">
        <v>1050</v>
      </c>
    </row>
    <row r="7747" spans="1:9" hidden="1" x14ac:dyDescent="0.25">
      <c r="A7747" t="s">
        <v>6259</v>
      </c>
      <c r="B7747" t="s">
        <v>838</v>
      </c>
      <c r="C7747" s="2">
        <f>HYPERLINK("https://cao.dolgi.msk.ru/account/1083270907/", 1083270907)</f>
        <v>1083270907</v>
      </c>
      <c r="D7747" t="s">
        <v>6423</v>
      </c>
      <c r="E7747">
        <v>0</v>
      </c>
      <c r="F7747">
        <v>0</v>
      </c>
      <c r="G7747" t="s">
        <v>12</v>
      </c>
      <c r="I7747" t="s">
        <v>1050</v>
      </c>
    </row>
    <row r="7748" spans="1:9" hidden="1" x14ac:dyDescent="0.25">
      <c r="A7748" t="s">
        <v>6259</v>
      </c>
      <c r="B7748" t="s">
        <v>840</v>
      </c>
      <c r="C7748" s="2">
        <f>HYPERLINK("https://cao.dolgi.msk.ru/account/1080312059/", 1080312059)</f>
        <v>1080312059</v>
      </c>
      <c r="D7748" t="s">
        <v>6424</v>
      </c>
      <c r="E7748">
        <v>-7910.34</v>
      </c>
      <c r="F7748">
        <v>-1.26</v>
      </c>
      <c r="G7748" t="s">
        <v>12</v>
      </c>
      <c r="I7748" t="s">
        <v>1050</v>
      </c>
    </row>
    <row r="7749" spans="1:9" x14ac:dyDescent="0.25">
      <c r="A7749" t="s">
        <v>6259</v>
      </c>
      <c r="B7749" t="s">
        <v>842</v>
      </c>
      <c r="C7749" s="2">
        <f>HYPERLINK("https://cao.dolgi.msk.ru/account/1080312067/", 1080312067)</f>
        <v>1080312067</v>
      </c>
      <c r="D7749" t="s">
        <v>6425</v>
      </c>
      <c r="E7749">
        <v>105641.75</v>
      </c>
      <c r="F7749">
        <v>8.07</v>
      </c>
      <c r="G7749" t="s">
        <v>12</v>
      </c>
      <c r="I7749" t="s">
        <v>1050</v>
      </c>
    </row>
    <row r="7750" spans="1:9" hidden="1" x14ac:dyDescent="0.25">
      <c r="A7750" t="s">
        <v>6259</v>
      </c>
      <c r="B7750" t="s">
        <v>844</v>
      </c>
      <c r="C7750" s="2">
        <f>HYPERLINK("https://cao.dolgi.msk.ru/account/1080312075/", 1080312075)</f>
        <v>1080312075</v>
      </c>
      <c r="D7750" t="s">
        <v>6426</v>
      </c>
      <c r="E7750">
        <v>-19.399999999999999</v>
      </c>
      <c r="F7750">
        <v>0</v>
      </c>
      <c r="G7750" t="s">
        <v>12</v>
      </c>
      <c r="I7750" t="s">
        <v>1050</v>
      </c>
    </row>
    <row r="7751" spans="1:9" hidden="1" x14ac:dyDescent="0.25">
      <c r="A7751" t="s">
        <v>6259</v>
      </c>
      <c r="B7751" t="s">
        <v>846</v>
      </c>
      <c r="C7751" s="2">
        <f>HYPERLINK("https://cao.dolgi.msk.ru/account/1080312083/", 1080312083)</f>
        <v>1080312083</v>
      </c>
      <c r="D7751" t="s">
        <v>6427</v>
      </c>
      <c r="E7751">
        <v>855.26</v>
      </c>
      <c r="F7751">
        <v>0.23</v>
      </c>
      <c r="G7751" t="s">
        <v>12</v>
      </c>
      <c r="I7751" t="s">
        <v>1050</v>
      </c>
    </row>
    <row r="7752" spans="1:9" hidden="1" x14ac:dyDescent="0.25">
      <c r="A7752" t="s">
        <v>6259</v>
      </c>
      <c r="B7752" t="s">
        <v>846</v>
      </c>
      <c r="C7752" s="2">
        <f>HYPERLINK("https://cao.dolgi.msk.ru/account/1080323786/", 1080323786)</f>
        <v>1080323786</v>
      </c>
      <c r="D7752" t="s">
        <v>6427</v>
      </c>
      <c r="E7752">
        <v>639.84</v>
      </c>
      <c r="F7752">
        <v>0.23</v>
      </c>
      <c r="G7752" t="s">
        <v>12</v>
      </c>
      <c r="I7752" t="s">
        <v>1050</v>
      </c>
    </row>
    <row r="7753" spans="1:9" hidden="1" x14ac:dyDescent="0.25">
      <c r="A7753" t="s">
        <v>6259</v>
      </c>
      <c r="B7753" t="s">
        <v>846</v>
      </c>
      <c r="C7753" s="2">
        <f>HYPERLINK("https://cao.dolgi.msk.ru/account/1080323794/", 1080323794)</f>
        <v>1080323794</v>
      </c>
      <c r="D7753" t="s">
        <v>15</v>
      </c>
      <c r="G7753" t="s">
        <v>14</v>
      </c>
      <c r="I7753" t="s">
        <v>1050</v>
      </c>
    </row>
    <row r="7754" spans="1:9" hidden="1" x14ac:dyDescent="0.25">
      <c r="A7754" t="s">
        <v>6259</v>
      </c>
      <c r="B7754" t="s">
        <v>848</v>
      </c>
      <c r="C7754" s="2">
        <f>HYPERLINK("https://cao.dolgi.msk.ru/account/1080312091/", 1080312091)</f>
        <v>1080312091</v>
      </c>
      <c r="D7754" t="s">
        <v>6428</v>
      </c>
      <c r="E7754">
        <v>0</v>
      </c>
      <c r="F7754">
        <v>0</v>
      </c>
      <c r="G7754" t="s">
        <v>12</v>
      </c>
      <c r="I7754" t="s">
        <v>1050</v>
      </c>
    </row>
    <row r="7755" spans="1:9" hidden="1" x14ac:dyDescent="0.25">
      <c r="A7755" t="s">
        <v>6259</v>
      </c>
      <c r="B7755" t="s">
        <v>850</v>
      </c>
      <c r="C7755" s="2">
        <f>HYPERLINK("https://cao.dolgi.msk.ru/account/1080312104/", 1080312104)</f>
        <v>1080312104</v>
      </c>
      <c r="D7755" t="s">
        <v>6429</v>
      </c>
      <c r="E7755">
        <v>-4285.57</v>
      </c>
      <c r="F7755">
        <v>-1.18</v>
      </c>
      <c r="G7755" t="s">
        <v>12</v>
      </c>
      <c r="I7755" t="s">
        <v>1050</v>
      </c>
    </row>
    <row r="7756" spans="1:9" hidden="1" x14ac:dyDescent="0.25">
      <c r="A7756" t="s">
        <v>6259</v>
      </c>
      <c r="B7756" t="s">
        <v>852</v>
      </c>
      <c r="C7756" s="2">
        <f>HYPERLINK("https://cao.dolgi.msk.ru/account/1080312729/", 1080312729)</f>
        <v>1080312729</v>
      </c>
      <c r="D7756" t="s">
        <v>6430</v>
      </c>
      <c r="E7756">
        <v>-6311.31</v>
      </c>
      <c r="F7756">
        <v>-1.24</v>
      </c>
      <c r="G7756" t="s">
        <v>12</v>
      </c>
      <c r="I7756" t="s">
        <v>1050</v>
      </c>
    </row>
    <row r="7757" spans="1:9" hidden="1" x14ac:dyDescent="0.25">
      <c r="A7757" t="s">
        <v>6259</v>
      </c>
      <c r="B7757" t="s">
        <v>854</v>
      </c>
      <c r="C7757" s="2">
        <f>HYPERLINK("https://cao.dolgi.msk.ru/account/1080312112/", 1080312112)</f>
        <v>1080312112</v>
      </c>
      <c r="D7757" t="s">
        <v>6431</v>
      </c>
      <c r="E7757">
        <v>-15.9</v>
      </c>
      <c r="F7757">
        <v>0</v>
      </c>
      <c r="G7757" t="s">
        <v>12</v>
      </c>
      <c r="I7757" t="s">
        <v>1050</v>
      </c>
    </row>
    <row r="7758" spans="1:9" hidden="1" x14ac:dyDescent="0.25">
      <c r="A7758" t="s">
        <v>6259</v>
      </c>
      <c r="B7758" t="s">
        <v>856</v>
      </c>
      <c r="C7758" s="2">
        <f>HYPERLINK("https://cao.dolgi.msk.ru/account/1080312139/", 1080312139)</f>
        <v>1080312139</v>
      </c>
      <c r="D7758" t="s">
        <v>6432</v>
      </c>
      <c r="E7758">
        <v>235.43</v>
      </c>
      <c r="F7758">
        <v>0.04</v>
      </c>
      <c r="G7758" t="s">
        <v>12</v>
      </c>
      <c r="I7758" t="s">
        <v>1050</v>
      </c>
    </row>
    <row r="7759" spans="1:9" hidden="1" x14ac:dyDescent="0.25">
      <c r="A7759" t="s">
        <v>6259</v>
      </c>
      <c r="B7759" t="s">
        <v>858</v>
      </c>
      <c r="C7759" s="2">
        <f>HYPERLINK("https://cao.dolgi.msk.ru/account/1080312147/", 1080312147)</f>
        <v>1080312147</v>
      </c>
      <c r="D7759" t="s">
        <v>6433</v>
      </c>
      <c r="E7759">
        <v>-3923.8</v>
      </c>
      <c r="F7759">
        <v>-1.29</v>
      </c>
      <c r="G7759" t="s">
        <v>12</v>
      </c>
      <c r="I7759" t="s">
        <v>1050</v>
      </c>
    </row>
    <row r="7760" spans="1:9" hidden="1" x14ac:dyDescent="0.25">
      <c r="A7760" t="s">
        <v>6259</v>
      </c>
      <c r="B7760" t="s">
        <v>860</v>
      </c>
      <c r="C7760" s="2">
        <f>HYPERLINK("https://cao.dolgi.msk.ru/account/1080312745/", 1080312745)</f>
        <v>1080312745</v>
      </c>
      <c r="D7760" t="s">
        <v>6434</v>
      </c>
      <c r="E7760">
        <v>1119.3499999999999</v>
      </c>
      <c r="F7760">
        <v>0.42</v>
      </c>
      <c r="G7760" t="s">
        <v>12</v>
      </c>
      <c r="I7760" t="s">
        <v>1050</v>
      </c>
    </row>
    <row r="7761" spans="1:9" hidden="1" x14ac:dyDescent="0.25">
      <c r="A7761" t="s">
        <v>6259</v>
      </c>
      <c r="B7761" t="s">
        <v>862</v>
      </c>
      <c r="C7761" s="2">
        <f>HYPERLINK("https://cao.dolgi.msk.ru/account/1080312155/", 1080312155)</f>
        <v>1080312155</v>
      </c>
      <c r="D7761" t="s">
        <v>6435</v>
      </c>
      <c r="E7761">
        <v>-4609.22</v>
      </c>
      <c r="F7761">
        <v>-1.1100000000000001</v>
      </c>
      <c r="G7761" t="s">
        <v>12</v>
      </c>
      <c r="I7761" t="s">
        <v>1050</v>
      </c>
    </row>
    <row r="7762" spans="1:9" hidden="1" x14ac:dyDescent="0.25">
      <c r="A7762" t="s">
        <v>6259</v>
      </c>
      <c r="B7762" t="s">
        <v>862</v>
      </c>
      <c r="C7762" s="2">
        <f>HYPERLINK("https://cao.dolgi.msk.ru/account/1083273657/", 1083273657)</f>
        <v>1083273657</v>
      </c>
      <c r="D7762" t="s">
        <v>6436</v>
      </c>
      <c r="E7762">
        <v>509.68</v>
      </c>
      <c r="G7762" t="s">
        <v>14</v>
      </c>
      <c r="I7762" t="s">
        <v>1050</v>
      </c>
    </row>
    <row r="7763" spans="1:9" hidden="1" x14ac:dyDescent="0.25">
      <c r="A7763" t="s">
        <v>6259</v>
      </c>
      <c r="B7763" t="s">
        <v>864</v>
      </c>
      <c r="C7763" s="2">
        <f>HYPERLINK("https://cao.dolgi.msk.ru/account/1080312163/", 1080312163)</f>
        <v>1080312163</v>
      </c>
      <c r="D7763" t="s">
        <v>6437</v>
      </c>
      <c r="E7763">
        <v>-634.6</v>
      </c>
      <c r="F7763">
        <v>-0.2</v>
      </c>
      <c r="G7763" t="s">
        <v>12</v>
      </c>
      <c r="I7763" t="s">
        <v>1050</v>
      </c>
    </row>
    <row r="7764" spans="1:9" x14ac:dyDescent="0.25">
      <c r="A7764" t="s">
        <v>6259</v>
      </c>
      <c r="B7764" t="s">
        <v>866</v>
      </c>
      <c r="C7764" s="2">
        <f>HYPERLINK("https://cao.dolgi.msk.ru/account/1080312171/", 1080312171)</f>
        <v>1080312171</v>
      </c>
      <c r="D7764" t="s">
        <v>6438</v>
      </c>
      <c r="E7764">
        <v>104450.5</v>
      </c>
      <c r="F7764">
        <v>15.26</v>
      </c>
      <c r="G7764" t="s">
        <v>12</v>
      </c>
      <c r="I7764" t="s">
        <v>1050</v>
      </c>
    </row>
    <row r="7765" spans="1:9" hidden="1" x14ac:dyDescent="0.25">
      <c r="A7765" t="s">
        <v>6259</v>
      </c>
      <c r="B7765" t="s">
        <v>866</v>
      </c>
      <c r="C7765" s="2">
        <f>HYPERLINK("https://cao.dolgi.msk.ru/account/1089123182/", 1089123182)</f>
        <v>1089123182</v>
      </c>
      <c r="D7765" t="s">
        <v>6438</v>
      </c>
      <c r="E7765">
        <v>-6670.71</v>
      </c>
      <c r="F7765">
        <v>-2.39</v>
      </c>
      <c r="G7765" t="s">
        <v>12</v>
      </c>
      <c r="I7765" t="s">
        <v>1050</v>
      </c>
    </row>
    <row r="7766" spans="1:9" hidden="1" x14ac:dyDescent="0.25">
      <c r="A7766" t="s">
        <v>6259</v>
      </c>
      <c r="B7766" t="s">
        <v>868</v>
      </c>
      <c r="C7766" s="2">
        <f>HYPERLINK("https://cao.dolgi.msk.ru/account/1080312198/", 1080312198)</f>
        <v>1080312198</v>
      </c>
      <c r="D7766" t="s">
        <v>6439</v>
      </c>
      <c r="E7766">
        <v>536.1</v>
      </c>
      <c r="F7766">
        <v>0.14000000000000001</v>
      </c>
      <c r="G7766" t="s">
        <v>12</v>
      </c>
      <c r="I7766" t="s">
        <v>1050</v>
      </c>
    </row>
    <row r="7767" spans="1:9" hidden="1" x14ac:dyDescent="0.25">
      <c r="A7767" t="s">
        <v>6259</v>
      </c>
      <c r="B7767" t="s">
        <v>870</v>
      </c>
      <c r="C7767" s="2">
        <f>HYPERLINK("https://cao.dolgi.msk.ru/account/1080312219/", 1080312219)</f>
        <v>1080312219</v>
      </c>
      <c r="D7767" t="s">
        <v>6440</v>
      </c>
      <c r="E7767">
        <v>0</v>
      </c>
      <c r="F7767">
        <v>0</v>
      </c>
      <c r="G7767" t="s">
        <v>12</v>
      </c>
      <c r="I7767" t="s">
        <v>1050</v>
      </c>
    </row>
    <row r="7768" spans="1:9" hidden="1" x14ac:dyDescent="0.25">
      <c r="A7768" t="s">
        <v>6259</v>
      </c>
      <c r="B7768" t="s">
        <v>872</v>
      </c>
      <c r="C7768" s="2">
        <f>HYPERLINK("https://cao.dolgi.msk.ru/account/1080312227/", 1080312227)</f>
        <v>1080312227</v>
      </c>
      <c r="D7768" t="s">
        <v>6441</v>
      </c>
      <c r="E7768">
        <v>-7455.71</v>
      </c>
      <c r="F7768">
        <v>-1.18</v>
      </c>
      <c r="G7768" t="s">
        <v>12</v>
      </c>
      <c r="I7768" t="s">
        <v>1050</v>
      </c>
    </row>
    <row r="7769" spans="1:9" hidden="1" x14ac:dyDescent="0.25">
      <c r="A7769" t="s">
        <v>6259</v>
      </c>
      <c r="B7769" t="s">
        <v>874</v>
      </c>
      <c r="C7769" s="2">
        <f>HYPERLINK("https://cao.dolgi.msk.ru/account/1080312235/", 1080312235)</f>
        <v>1080312235</v>
      </c>
      <c r="D7769" t="s">
        <v>6442</v>
      </c>
      <c r="E7769">
        <v>-7009.77</v>
      </c>
      <c r="F7769">
        <v>-1.86</v>
      </c>
      <c r="G7769" t="s">
        <v>12</v>
      </c>
      <c r="I7769" t="s">
        <v>1050</v>
      </c>
    </row>
    <row r="7770" spans="1:9" hidden="1" x14ac:dyDescent="0.25">
      <c r="A7770" t="s">
        <v>6259</v>
      </c>
      <c r="B7770" t="s">
        <v>875</v>
      </c>
      <c r="C7770" s="2">
        <f>HYPERLINK("https://cao.dolgi.msk.ru/account/1080312243/", 1080312243)</f>
        <v>1080312243</v>
      </c>
      <c r="D7770" t="s">
        <v>6443</v>
      </c>
      <c r="E7770">
        <v>15.9</v>
      </c>
      <c r="F7770">
        <v>0</v>
      </c>
      <c r="G7770" t="s">
        <v>12</v>
      </c>
      <c r="I7770" t="s">
        <v>1050</v>
      </c>
    </row>
    <row r="7771" spans="1:9" hidden="1" x14ac:dyDescent="0.25">
      <c r="A7771" t="s">
        <v>6259</v>
      </c>
      <c r="B7771" t="s">
        <v>877</v>
      </c>
      <c r="C7771" s="2">
        <f>HYPERLINK("https://cao.dolgi.msk.ru/account/1080312251/", 1080312251)</f>
        <v>1080312251</v>
      </c>
      <c r="D7771" t="s">
        <v>6444</v>
      </c>
      <c r="E7771">
        <v>0</v>
      </c>
      <c r="F7771">
        <v>0</v>
      </c>
      <c r="G7771" t="s">
        <v>12</v>
      </c>
      <c r="I7771" t="s">
        <v>1050</v>
      </c>
    </row>
    <row r="7772" spans="1:9" hidden="1" x14ac:dyDescent="0.25">
      <c r="A7772" t="s">
        <v>6259</v>
      </c>
      <c r="B7772" t="s">
        <v>879</v>
      </c>
      <c r="C7772" s="2">
        <f>HYPERLINK("https://cao.dolgi.msk.ru/account/1080312278/", 1080312278)</f>
        <v>1080312278</v>
      </c>
      <c r="D7772" t="s">
        <v>6445</v>
      </c>
      <c r="E7772">
        <v>0</v>
      </c>
      <c r="F7772">
        <v>0</v>
      </c>
      <c r="G7772" t="s">
        <v>12</v>
      </c>
      <c r="I7772" t="s">
        <v>1050</v>
      </c>
    </row>
    <row r="7773" spans="1:9" hidden="1" x14ac:dyDescent="0.25">
      <c r="A7773" t="s">
        <v>6259</v>
      </c>
      <c r="B7773" t="s">
        <v>881</v>
      </c>
      <c r="C7773" s="2">
        <f>HYPERLINK("https://cao.dolgi.msk.ru/account/1080312286/", 1080312286)</f>
        <v>1080312286</v>
      </c>
      <c r="D7773" t="s">
        <v>6446</v>
      </c>
      <c r="E7773">
        <v>-7442.09</v>
      </c>
      <c r="F7773">
        <v>-1.25</v>
      </c>
      <c r="G7773" t="s">
        <v>12</v>
      </c>
      <c r="I7773" t="s">
        <v>1050</v>
      </c>
    </row>
    <row r="7774" spans="1:9" hidden="1" x14ac:dyDescent="0.25">
      <c r="A7774" t="s">
        <v>6259</v>
      </c>
      <c r="B7774" t="s">
        <v>883</v>
      </c>
      <c r="C7774" s="2">
        <f>HYPERLINK("https://cao.dolgi.msk.ru/account/1080312294/", 1080312294)</f>
        <v>1080312294</v>
      </c>
      <c r="D7774" t="s">
        <v>6447</v>
      </c>
      <c r="E7774">
        <v>-4751.49</v>
      </c>
      <c r="F7774">
        <v>-1.1100000000000001</v>
      </c>
      <c r="G7774" t="s">
        <v>12</v>
      </c>
      <c r="I7774" t="s">
        <v>1050</v>
      </c>
    </row>
    <row r="7775" spans="1:9" hidden="1" x14ac:dyDescent="0.25">
      <c r="A7775" t="s">
        <v>6259</v>
      </c>
      <c r="B7775" t="s">
        <v>3443</v>
      </c>
      <c r="C7775" s="2">
        <f>HYPERLINK("https://cao.dolgi.msk.ru/account/1080312307/", 1080312307)</f>
        <v>1080312307</v>
      </c>
      <c r="D7775" t="s">
        <v>6448</v>
      </c>
      <c r="E7775">
        <v>-7997.87</v>
      </c>
      <c r="F7775">
        <v>-1.87</v>
      </c>
      <c r="G7775" t="s">
        <v>12</v>
      </c>
      <c r="I7775" t="s">
        <v>1050</v>
      </c>
    </row>
    <row r="7776" spans="1:9" hidden="1" x14ac:dyDescent="0.25">
      <c r="A7776" t="s">
        <v>6259</v>
      </c>
      <c r="B7776" t="s">
        <v>3445</v>
      </c>
      <c r="C7776" s="2">
        <f>HYPERLINK("https://cao.dolgi.msk.ru/account/1080312315/", 1080312315)</f>
        <v>1080312315</v>
      </c>
      <c r="D7776" t="s">
        <v>6449</v>
      </c>
      <c r="E7776">
        <v>-9109.68</v>
      </c>
      <c r="F7776">
        <v>-1.55</v>
      </c>
      <c r="G7776" t="s">
        <v>12</v>
      </c>
      <c r="I7776" t="s">
        <v>1050</v>
      </c>
    </row>
    <row r="7777" spans="1:9" hidden="1" x14ac:dyDescent="0.25">
      <c r="A7777" t="s">
        <v>6259</v>
      </c>
      <c r="B7777" t="s">
        <v>3447</v>
      </c>
      <c r="C7777" s="2">
        <f>HYPERLINK("https://cao.dolgi.msk.ru/account/1080312323/", 1080312323)</f>
        <v>1080312323</v>
      </c>
      <c r="D7777" t="s">
        <v>6450</v>
      </c>
      <c r="E7777">
        <v>-4270.82</v>
      </c>
      <c r="F7777">
        <v>-1.1599999999999999</v>
      </c>
      <c r="G7777" t="s">
        <v>12</v>
      </c>
      <c r="I7777" t="s">
        <v>1050</v>
      </c>
    </row>
    <row r="7778" spans="1:9" hidden="1" x14ac:dyDescent="0.25">
      <c r="A7778" t="s">
        <v>6259</v>
      </c>
      <c r="B7778" t="s">
        <v>3449</v>
      </c>
      <c r="C7778" s="2">
        <f>HYPERLINK("https://cao.dolgi.msk.ru/account/1080312331/", 1080312331)</f>
        <v>1080312331</v>
      </c>
      <c r="D7778" t="s">
        <v>6451</v>
      </c>
      <c r="E7778">
        <v>-10.68</v>
      </c>
      <c r="F7778">
        <v>0</v>
      </c>
      <c r="G7778" t="s">
        <v>12</v>
      </c>
      <c r="I7778" t="s">
        <v>1050</v>
      </c>
    </row>
    <row r="7779" spans="1:9" hidden="1" x14ac:dyDescent="0.25">
      <c r="A7779" t="s">
        <v>6259</v>
      </c>
      <c r="B7779" t="s">
        <v>3451</v>
      </c>
      <c r="C7779" s="2">
        <f>HYPERLINK("https://cao.dolgi.msk.ru/account/1080312358/", 1080312358)</f>
        <v>1080312358</v>
      </c>
      <c r="D7779" t="s">
        <v>6452</v>
      </c>
      <c r="E7779">
        <v>-27.05</v>
      </c>
      <c r="F7779">
        <v>-0.01</v>
      </c>
      <c r="G7779" t="s">
        <v>12</v>
      </c>
      <c r="I7779" t="s">
        <v>1050</v>
      </c>
    </row>
    <row r="7780" spans="1:9" hidden="1" x14ac:dyDescent="0.25">
      <c r="A7780" t="s">
        <v>6259</v>
      </c>
      <c r="B7780" t="s">
        <v>3452</v>
      </c>
      <c r="C7780" s="2">
        <f>HYPERLINK("https://cao.dolgi.msk.ru/account/1080312366/", 1080312366)</f>
        <v>1080312366</v>
      </c>
      <c r="D7780" t="s">
        <v>6453</v>
      </c>
      <c r="E7780">
        <v>-4732.17</v>
      </c>
      <c r="F7780">
        <v>-1.21</v>
      </c>
      <c r="G7780" t="s">
        <v>12</v>
      </c>
      <c r="I7780" t="s">
        <v>1050</v>
      </c>
    </row>
    <row r="7781" spans="1:9" hidden="1" x14ac:dyDescent="0.25">
      <c r="A7781" t="s">
        <v>6259</v>
      </c>
      <c r="B7781" t="s">
        <v>3454</v>
      </c>
      <c r="C7781" s="2">
        <f>HYPERLINK("https://cao.dolgi.msk.ru/account/1080312374/", 1080312374)</f>
        <v>1080312374</v>
      </c>
      <c r="D7781" t="s">
        <v>6454</v>
      </c>
      <c r="E7781">
        <v>-58.2</v>
      </c>
      <c r="F7781">
        <v>-0.01</v>
      </c>
      <c r="G7781" t="s">
        <v>12</v>
      </c>
      <c r="I7781" t="s">
        <v>1050</v>
      </c>
    </row>
    <row r="7782" spans="1:9" hidden="1" x14ac:dyDescent="0.25">
      <c r="A7782" t="s">
        <v>6259</v>
      </c>
      <c r="B7782" t="s">
        <v>3456</v>
      </c>
      <c r="C7782" s="2">
        <f>HYPERLINK("https://cao.dolgi.msk.ru/account/1080312737/", 1080312737)</f>
        <v>1080312737</v>
      </c>
      <c r="D7782" t="s">
        <v>6455</v>
      </c>
      <c r="E7782">
        <v>-4375.54</v>
      </c>
      <c r="F7782">
        <v>-2.02</v>
      </c>
      <c r="G7782" t="s">
        <v>12</v>
      </c>
      <c r="I7782" t="s">
        <v>1050</v>
      </c>
    </row>
    <row r="7783" spans="1:9" hidden="1" x14ac:dyDescent="0.25">
      <c r="A7783" t="s">
        <v>6259</v>
      </c>
      <c r="B7783" t="s">
        <v>3458</v>
      </c>
      <c r="C7783" s="2">
        <f>HYPERLINK("https://cao.dolgi.msk.ru/account/1080312382/", 1080312382)</f>
        <v>1080312382</v>
      </c>
      <c r="D7783" t="s">
        <v>6456</v>
      </c>
      <c r="E7783">
        <v>-5493.83</v>
      </c>
      <c r="F7783">
        <v>-1.1599999999999999</v>
      </c>
      <c r="G7783" t="s">
        <v>12</v>
      </c>
      <c r="I7783" t="s">
        <v>1050</v>
      </c>
    </row>
    <row r="7784" spans="1:9" hidden="1" x14ac:dyDescent="0.25">
      <c r="A7784" t="s">
        <v>6259</v>
      </c>
      <c r="B7784" t="s">
        <v>3460</v>
      </c>
      <c r="C7784" s="2">
        <f>HYPERLINK("https://cao.dolgi.msk.ru/account/1080312403/", 1080312403)</f>
        <v>1080312403</v>
      </c>
      <c r="D7784" t="s">
        <v>6457</v>
      </c>
      <c r="E7784">
        <v>-7495.93</v>
      </c>
      <c r="F7784">
        <v>-1.56</v>
      </c>
      <c r="G7784" t="s">
        <v>12</v>
      </c>
      <c r="I7784" t="s">
        <v>1050</v>
      </c>
    </row>
    <row r="7785" spans="1:9" hidden="1" x14ac:dyDescent="0.25">
      <c r="A7785" t="s">
        <v>6259</v>
      </c>
      <c r="B7785" t="s">
        <v>3462</v>
      </c>
      <c r="C7785" s="2">
        <f>HYPERLINK("https://cao.dolgi.msk.ru/account/1080312411/", 1080312411)</f>
        <v>1080312411</v>
      </c>
      <c r="D7785" t="s">
        <v>15</v>
      </c>
      <c r="E7785">
        <v>0</v>
      </c>
      <c r="F7785">
        <v>0</v>
      </c>
      <c r="G7785" t="s">
        <v>12</v>
      </c>
      <c r="I7785" t="s">
        <v>1050</v>
      </c>
    </row>
    <row r="7786" spans="1:9" hidden="1" x14ac:dyDescent="0.25">
      <c r="A7786" t="s">
        <v>6259</v>
      </c>
      <c r="B7786" t="s">
        <v>3463</v>
      </c>
      <c r="C7786" s="2">
        <f>HYPERLINK("https://cao.dolgi.msk.ru/account/1080312438/", 1080312438)</f>
        <v>1080312438</v>
      </c>
      <c r="D7786" t="s">
        <v>6458</v>
      </c>
      <c r="E7786">
        <v>-3110.12</v>
      </c>
      <c r="F7786">
        <v>-1.17</v>
      </c>
      <c r="G7786" t="s">
        <v>12</v>
      </c>
      <c r="I7786" t="s">
        <v>1050</v>
      </c>
    </row>
    <row r="7787" spans="1:9" hidden="1" x14ac:dyDescent="0.25">
      <c r="A7787" t="s">
        <v>6259</v>
      </c>
      <c r="B7787" t="s">
        <v>1791</v>
      </c>
      <c r="C7787" s="2">
        <f>HYPERLINK("https://cao.dolgi.msk.ru/account/1080312446/", 1080312446)</f>
        <v>1080312446</v>
      </c>
      <c r="D7787" t="s">
        <v>6459</v>
      </c>
      <c r="E7787">
        <v>-7755.55</v>
      </c>
      <c r="F7787">
        <v>-1.19</v>
      </c>
      <c r="G7787" t="s">
        <v>12</v>
      </c>
      <c r="I7787" t="s">
        <v>1050</v>
      </c>
    </row>
    <row r="7788" spans="1:9" hidden="1" x14ac:dyDescent="0.25">
      <c r="A7788" t="s">
        <v>6259</v>
      </c>
      <c r="B7788" t="s">
        <v>3466</v>
      </c>
      <c r="C7788" s="2">
        <f>HYPERLINK("https://cao.dolgi.msk.ru/account/1080312454/", 1080312454)</f>
        <v>1080312454</v>
      </c>
      <c r="D7788" t="s">
        <v>6460</v>
      </c>
      <c r="E7788">
        <v>93.99</v>
      </c>
      <c r="F7788">
        <v>0.02</v>
      </c>
      <c r="G7788" t="s">
        <v>12</v>
      </c>
      <c r="I7788" t="s">
        <v>1050</v>
      </c>
    </row>
    <row r="7789" spans="1:9" hidden="1" x14ac:dyDescent="0.25">
      <c r="A7789" t="s">
        <v>6259</v>
      </c>
      <c r="B7789" t="s">
        <v>1792</v>
      </c>
      <c r="C7789" s="2">
        <f>HYPERLINK("https://cao.dolgi.msk.ru/account/1080312462/", 1080312462)</f>
        <v>1080312462</v>
      </c>
      <c r="D7789" t="s">
        <v>6461</v>
      </c>
      <c r="E7789">
        <v>-8515.56</v>
      </c>
      <c r="F7789">
        <v>-1.19</v>
      </c>
      <c r="G7789" t="s">
        <v>12</v>
      </c>
      <c r="I7789" t="s">
        <v>1050</v>
      </c>
    </row>
    <row r="7790" spans="1:9" hidden="1" x14ac:dyDescent="0.25">
      <c r="A7790" t="s">
        <v>6259</v>
      </c>
      <c r="B7790" t="s">
        <v>3469</v>
      </c>
      <c r="C7790" s="2">
        <f>HYPERLINK("https://cao.dolgi.msk.ru/account/1080312489/", 1080312489)</f>
        <v>1080312489</v>
      </c>
      <c r="D7790" t="s">
        <v>6462</v>
      </c>
      <c r="E7790">
        <v>-3943.06</v>
      </c>
      <c r="F7790">
        <v>-1.23</v>
      </c>
      <c r="G7790" t="s">
        <v>12</v>
      </c>
      <c r="I7790" t="s">
        <v>1050</v>
      </c>
    </row>
    <row r="7791" spans="1:9" hidden="1" x14ac:dyDescent="0.25">
      <c r="A7791" t="s">
        <v>6259</v>
      </c>
      <c r="B7791" t="s">
        <v>1793</v>
      </c>
      <c r="C7791" s="2">
        <f>HYPERLINK("https://cao.dolgi.msk.ru/account/1080312497/", 1080312497)</f>
        <v>1080312497</v>
      </c>
      <c r="D7791" t="s">
        <v>6463</v>
      </c>
      <c r="E7791">
        <v>0</v>
      </c>
      <c r="F7791">
        <v>0</v>
      </c>
      <c r="G7791" t="s">
        <v>12</v>
      </c>
      <c r="I7791" t="s">
        <v>1050</v>
      </c>
    </row>
    <row r="7792" spans="1:9" hidden="1" x14ac:dyDescent="0.25">
      <c r="A7792" t="s">
        <v>6259</v>
      </c>
      <c r="B7792" t="s">
        <v>3472</v>
      </c>
      <c r="C7792" s="2">
        <f>HYPERLINK("https://cao.dolgi.msk.ru/account/1080312518/", 1080312518)</f>
        <v>1080312518</v>
      </c>
      <c r="D7792" t="s">
        <v>6464</v>
      </c>
      <c r="E7792">
        <v>-6211.22</v>
      </c>
      <c r="F7792">
        <v>-1.1100000000000001</v>
      </c>
      <c r="G7792" t="s">
        <v>12</v>
      </c>
      <c r="I7792" t="s">
        <v>1050</v>
      </c>
    </row>
    <row r="7793" spans="1:9" hidden="1" x14ac:dyDescent="0.25">
      <c r="A7793" t="s">
        <v>6259</v>
      </c>
      <c r="B7793" t="s">
        <v>3474</v>
      </c>
      <c r="C7793" s="2">
        <f>HYPERLINK("https://cao.dolgi.msk.ru/account/1080312526/", 1080312526)</f>
        <v>1080312526</v>
      </c>
      <c r="D7793" t="s">
        <v>6465</v>
      </c>
      <c r="E7793">
        <v>-4625.6899999999996</v>
      </c>
      <c r="F7793">
        <v>-1.21</v>
      </c>
      <c r="G7793" t="s">
        <v>12</v>
      </c>
      <c r="I7793" t="s">
        <v>1050</v>
      </c>
    </row>
    <row r="7794" spans="1:9" hidden="1" x14ac:dyDescent="0.25">
      <c r="A7794" t="s">
        <v>6259</v>
      </c>
      <c r="B7794" t="s">
        <v>1794</v>
      </c>
      <c r="C7794" s="2">
        <f>HYPERLINK("https://cao.dolgi.msk.ru/account/1080312534/", 1080312534)</f>
        <v>1080312534</v>
      </c>
      <c r="D7794" t="s">
        <v>6466</v>
      </c>
      <c r="E7794">
        <v>-5239.25</v>
      </c>
      <c r="F7794">
        <v>-1.1399999999999999</v>
      </c>
      <c r="G7794" t="s">
        <v>12</v>
      </c>
      <c r="I7794" t="s">
        <v>1050</v>
      </c>
    </row>
    <row r="7795" spans="1:9" hidden="1" x14ac:dyDescent="0.25">
      <c r="A7795" t="s">
        <v>6259</v>
      </c>
      <c r="B7795" t="s">
        <v>3477</v>
      </c>
      <c r="C7795" s="2">
        <f>HYPERLINK("https://cao.dolgi.msk.ru/account/1080312542/", 1080312542)</f>
        <v>1080312542</v>
      </c>
      <c r="D7795" t="s">
        <v>6467</v>
      </c>
      <c r="E7795">
        <v>-3523.86</v>
      </c>
      <c r="F7795">
        <v>-1.27</v>
      </c>
      <c r="G7795" t="s">
        <v>12</v>
      </c>
      <c r="I7795" t="s">
        <v>1050</v>
      </c>
    </row>
    <row r="7796" spans="1:9" hidden="1" x14ac:dyDescent="0.25">
      <c r="A7796" t="s">
        <v>6259</v>
      </c>
      <c r="B7796" t="s">
        <v>1795</v>
      </c>
      <c r="C7796" s="2">
        <f>HYPERLINK("https://cao.dolgi.msk.ru/account/1080312569/", 1080312569)</f>
        <v>1080312569</v>
      </c>
      <c r="D7796" t="s">
        <v>6468</v>
      </c>
      <c r="E7796">
        <v>-5880.4</v>
      </c>
      <c r="F7796">
        <v>-1.2</v>
      </c>
      <c r="G7796" t="s">
        <v>12</v>
      </c>
      <c r="I7796" t="s">
        <v>1050</v>
      </c>
    </row>
    <row r="7797" spans="1:9" hidden="1" x14ac:dyDescent="0.25">
      <c r="A7797" t="s">
        <v>6259</v>
      </c>
      <c r="B7797" t="s">
        <v>3480</v>
      </c>
      <c r="C7797" s="2">
        <f>HYPERLINK("https://cao.dolgi.msk.ru/account/1080312577/", 1080312577)</f>
        <v>1080312577</v>
      </c>
      <c r="D7797" t="s">
        <v>6469</v>
      </c>
      <c r="E7797">
        <v>-6024.26</v>
      </c>
      <c r="F7797">
        <v>-1.17</v>
      </c>
      <c r="G7797" t="s">
        <v>12</v>
      </c>
      <c r="I7797" t="s">
        <v>1050</v>
      </c>
    </row>
    <row r="7798" spans="1:9" hidden="1" x14ac:dyDescent="0.25">
      <c r="A7798" t="s">
        <v>6259</v>
      </c>
      <c r="B7798" t="s">
        <v>1797</v>
      </c>
      <c r="C7798" s="2">
        <f>HYPERLINK("https://cao.dolgi.msk.ru/account/1080312585/", 1080312585)</f>
        <v>1080312585</v>
      </c>
      <c r="D7798" t="s">
        <v>6470</v>
      </c>
      <c r="E7798">
        <v>-5302.26</v>
      </c>
      <c r="F7798">
        <v>-1.2</v>
      </c>
      <c r="G7798" t="s">
        <v>12</v>
      </c>
      <c r="I7798" t="s">
        <v>1050</v>
      </c>
    </row>
    <row r="7799" spans="1:9" hidden="1" x14ac:dyDescent="0.25">
      <c r="A7799" t="s">
        <v>6259</v>
      </c>
      <c r="B7799" t="s">
        <v>1798</v>
      </c>
      <c r="C7799" s="2">
        <f>HYPERLINK("https://cao.dolgi.msk.ru/account/1080312593/", 1080312593)</f>
        <v>1080312593</v>
      </c>
      <c r="D7799" t="s">
        <v>6471</v>
      </c>
      <c r="E7799">
        <v>-5036.7700000000004</v>
      </c>
      <c r="F7799">
        <v>-1.29</v>
      </c>
      <c r="G7799" t="s">
        <v>12</v>
      </c>
      <c r="I7799" t="s">
        <v>1050</v>
      </c>
    </row>
    <row r="7800" spans="1:9" hidden="1" x14ac:dyDescent="0.25">
      <c r="A7800" t="s">
        <v>6259</v>
      </c>
      <c r="B7800" t="s">
        <v>1800</v>
      </c>
      <c r="C7800" s="2">
        <f>HYPERLINK("https://cao.dolgi.msk.ru/account/1080312606/", 1080312606)</f>
        <v>1080312606</v>
      </c>
      <c r="D7800" t="s">
        <v>6472</v>
      </c>
      <c r="E7800">
        <v>1314.32</v>
      </c>
      <c r="F7800">
        <v>0.25</v>
      </c>
      <c r="G7800" t="s">
        <v>12</v>
      </c>
      <c r="I7800" t="s">
        <v>1050</v>
      </c>
    </row>
    <row r="7801" spans="1:9" hidden="1" x14ac:dyDescent="0.25">
      <c r="A7801" t="s">
        <v>6259</v>
      </c>
      <c r="B7801" t="s">
        <v>3484</v>
      </c>
      <c r="C7801" s="2">
        <f>HYPERLINK("https://cao.dolgi.msk.ru/account/1080312614/", 1080312614)</f>
        <v>1080312614</v>
      </c>
      <c r="D7801" t="s">
        <v>6473</v>
      </c>
      <c r="E7801">
        <v>-2712.87</v>
      </c>
      <c r="F7801">
        <v>-1.1599999999999999</v>
      </c>
      <c r="G7801" t="s">
        <v>12</v>
      </c>
      <c r="I7801" t="s">
        <v>1050</v>
      </c>
    </row>
    <row r="7802" spans="1:9" hidden="1" x14ac:dyDescent="0.25">
      <c r="A7802" t="s">
        <v>6259</v>
      </c>
      <c r="B7802" t="s">
        <v>3486</v>
      </c>
      <c r="C7802" s="2">
        <f>HYPERLINK("https://cao.dolgi.msk.ru/account/1080312622/", 1080312622)</f>
        <v>1080312622</v>
      </c>
      <c r="D7802" t="s">
        <v>6474</v>
      </c>
      <c r="E7802">
        <v>2303.89</v>
      </c>
      <c r="F7802">
        <v>0.48</v>
      </c>
      <c r="G7802" t="s">
        <v>12</v>
      </c>
      <c r="I7802" t="s">
        <v>1050</v>
      </c>
    </row>
    <row r="7803" spans="1:9" hidden="1" x14ac:dyDescent="0.25">
      <c r="A7803" t="s">
        <v>6259</v>
      </c>
      <c r="B7803" t="s">
        <v>3488</v>
      </c>
      <c r="C7803" s="2">
        <f>HYPERLINK("https://cao.dolgi.msk.ru/account/1080312649/", 1080312649)</f>
        <v>1080312649</v>
      </c>
      <c r="D7803" t="s">
        <v>6475</v>
      </c>
      <c r="E7803">
        <v>-4902.8599999999997</v>
      </c>
      <c r="F7803">
        <v>-1.25</v>
      </c>
      <c r="G7803" t="s">
        <v>12</v>
      </c>
      <c r="I7803" t="s">
        <v>1050</v>
      </c>
    </row>
    <row r="7804" spans="1:9" hidden="1" x14ac:dyDescent="0.25">
      <c r="A7804" t="s">
        <v>6259</v>
      </c>
      <c r="B7804" t="s">
        <v>1802</v>
      </c>
      <c r="C7804" s="2">
        <f>HYPERLINK("https://cao.dolgi.msk.ru/account/1080312657/", 1080312657)</f>
        <v>1080312657</v>
      </c>
      <c r="D7804" t="s">
        <v>6476</v>
      </c>
      <c r="E7804">
        <v>-6648.19</v>
      </c>
      <c r="F7804">
        <v>-1.21</v>
      </c>
      <c r="G7804" t="s">
        <v>12</v>
      </c>
      <c r="I7804" t="s">
        <v>1050</v>
      </c>
    </row>
    <row r="7805" spans="1:9" hidden="1" x14ac:dyDescent="0.25">
      <c r="A7805" t="s">
        <v>6259</v>
      </c>
      <c r="B7805" t="s">
        <v>1804</v>
      </c>
      <c r="C7805" s="2">
        <f>HYPERLINK("https://cao.dolgi.msk.ru/account/1080312665/", 1080312665)</f>
        <v>1080312665</v>
      </c>
      <c r="D7805" t="s">
        <v>6477</v>
      </c>
      <c r="E7805">
        <v>0</v>
      </c>
      <c r="F7805">
        <v>0</v>
      </c>
      <c r="G7805" t="s">
        <v>12</v>
      </c>
      <c r="I7805" t="s">
        <v>1050</v>
      </c>
    </row>
    <row r="7806" spans="1:9" hidden="1" x14ac:dyDescent="0.25">
      <c r="A7806" t="s">
        <v>6259</v>
      </c>
      <c r="B7806" t="s">
        <v>1805</v>
      </c>
      <c r="C7806" s="2">
        <f>HYPERLINK("https://cao.dolgi.msk.ru/account/1080312673/", 1080312673)</f>
        <v>1080312673</v>
      </c>
      <c r="D7806" t="s">
        <v>6478</v>
      </c>
      <c r="E7806">
        <v>2512.87</v>
      </c>
      <c r="F7806">
        <v>0.56999999999999995</v>
      </c>
      <c r="G7806" t="s">
        <v>12</v>
      </c>
      <c r="I7806" t="s">
        <v>1050</v>
      </c>
    </row>
    <row r="7807" spans="1:9" hidden="1" x14ac:dyDescent="0.25">
      <c r="A7807" t="s">
        <v>6259</v>
      </c>
      <c r="B7807" t="s">
        <v>1807</v>
      </c>
      <c r="C7807" s="2">
        <f>HYPERLINK("https://cao.dolgi.msk.ru/account/1080312681/", 1080312681)</f>
        <v>1080312681</v>
      </c>
      <c r="D7807" t="s">
        <v>6479</v>
      </c>
      <c r="E7807">
        <v>-6020.47</v>
      </c>
      <c r="F7807">
        <v>-1.21</v>
      </c>
      <c r="G7807" t="s">
        <v>12</v>
      </c>
      <c r="I7807" t="s">
        <v>1050</v>
      </c>
    </row>
    <row r="7808" spans="1:9" hidden="1" x14ac:dyDescent="0.25">
      <c r="A7808" t="s">
        <v>6259</v>
      </c>
      <c r="B7808" t="s">
        <v>6480</v>
      </c>
      <c r="C7808" s="2">
        <f>HYPERLINK("https://cao.dolgi.msk.ru/account/1080312702/", 1080312702)</f>
        <v>1080312702</v>
      </c>
      <c r="D7808" t="s">
        <v>6481</v>
      </c>
      <c r="E7808">
        <v>-9701.49</v>
      </c>
      <c r="F7808">
        <v>-1.21</v>
      </c>
      <c r="G7808" t="s">
        <v>12</v>
      </c>
      <c r="I7808" t="s">
        <v>1050</v>
      </c>
    </row>
    <row r="7809" spans="1:9" hidden="1" x14ac:dyDescent="0.25">
      <c r="A7809" t="s">
        <v>6482</v>
      </c>
      <c r="B7809" t="s">
        <v>10</v>
      </c>
      <c r="C7809" s="2">
        <f>HYPERLINK("https://cao.dolgi.msk.ru/account/1080319517/", 1080319517)</f>
        <v>1080319517</v>
      </c>
      <c r="D7809" t="s">
        <v>6483</v>
      </c>
      <c r="E7809">
        <v>-9555.94</v>
      </c>
      <c r="F7809">
        <v>-1.22</v>
      </c>
      <c r="G7809" t="s">
        <v>12</v>
      </c>
      <c r="I7809" t="s">
        <v>1050</v>
      </c>
    </row>
    <row r="7810" spans="1:9" hidden="1" x14ac:dyDescent="0.25">
      <c r="A7810" t="s">
        <v>6482</v>
      </c>
      <c r="B7810" t="s">
        <v>16</v>
      </c>
      <c r="C7810" s="2">
        <f>HYPERLINK("https://cao.dolgi.msk.ru/account/1080319525/", 1080319525)</f>
        <v>1080319525</v>
      </c>
      <c r="D7810" t="s">
        <v>6484</v>
      </c>
      <c r="E7810">
        <v>-11223.94</v>
      </c>
      <c r="F7810">
        <v>-1.23</v>
      </c>
      <c r="G7810" t="s">
        <v>12</v>
      </c>
      <c r="I7810" t="s">
        <v>1050</v>
      </c>
    </row>
    <row r="7811" spans="1:9" hidden="1" x14ac:dyDescent="0.25">
      <c r="A7811" t="s">
        <v>6482</v>
      </c>
      <c r="B7811" t="s">
        <v>20</v>
      </c>
      <c r="C7811" s="2">
        <f>HYPERLINK("https://cao.dolgi.msk.ru/account/1080319533/", 1080319533)</f>
        <v>1080319533</v>
      </c>
      <c r="D7811" t="s">
        <v>6485</v>
      </c>
      <c r="E7811">
        <v>0</v>
      </c>
      <c r="F7811">
        <v>0</v>
      </c>
      <c r="G7811" t="s">
        <v>12</v>
      </c>
      <c r="I7811" t="s">
        <v>1050</v>
      </c>
    </row>
    <row r="7812" spans="1:9" hidden="1" x14ac:dyDescent="0.25">
      <c r="A7812" t="s">
        <v>6482</v>
      </c>
      <c r="B7812" t="s">
        <v>22</v>
      </c>
      <c r="C7812" s="2">
        <f>HYPERLINK("https://cao.dolgi.msk.ru/account/1080319568/", 1080319568)</f>
        <v>1080319568</v>
      </c>
      <c r="D7812" t="s">
        <v>6486</v>
      </c>
      <c r="E7812">
        <v>-4049.23</v>
      </c>
      <c r="F7812">
        <v>-0.49</v>
      </c>
      <c r="G7812" t="s">
        <v>12</v>
      </c>
      <c r="I7812" t="s">
        <v>1050</v>
      </c>
    </row>
    <row r="7813" spans="1:9" hidden="1" x14ac:dyDescent="0.25">
      <c r="A7813" t="s">
        <v>6482</v>
      </c>
      <c r="B7813" t="s">
        <v>23</v>
      </c>
      <c r="C7813" s="2">
        <f>HYPERLINK("https://cao.dolgi.msk.ru/account/1080319576/", 1080319576)</f>
        <v>1080319576</v>
      </c>
      <c r="D7813" t="s">
        <v>6487</v>
      </c>
      <c r="E7813">
        <v>-12497.13</v>
      </c>
      <c r="F7813">
        <v>-1.1399999999999999</v>
      </c>
      <c r="G7813" t="s">
        <v>12</v>
      </c>
      <c r="I7813" t="s">
        <v>1050</v>
      </c>
    </row>
    <row r="7814" spans="1:9" hidden="1" x14ac:dyDescent="0.25">
      <c r="A7814" t="s">
        <v>6482</v>
      </c>
      <c r="B7814" t="s">
        <v>6488</v>
      </c>
      <c r="C7814" s="2">
        <f>HYPERLINK("https://cao.dolgi.msk.ru/account/1080319541/", 1080319541)</f>
        <v>1080319541</v>
      </c>
      <c r="D7814" t="s">
        <v>6489</v>
      </c>
      <c r="E7814">
        <v>27.21</v>
      </c>
      <c r="F7814">
        <v>0</v>
      </c>
      <c r="G7814" t="s">
        <v>12</v>
      </c>
      <c r="I7814" t="s">
        <v>1050</v>
      </c>
    </row>
    <row r="7815" spans="1:9" hidden="1" x14ac:dyDescent="0.25">
      <c r="A7815" t="s">
        <v>6490</v>
      </c>
      <c r="B7815" t="s">
        <v>145</v>
      </c>
      <c r="C7815" s="2">
        <f>HYPERLINK("https://cao.dolgi.msk.ru/account/1080307487/", 1080307487)</f>
        <v>1080307487</v>
      </c>
      <c r="D7815" t="s">
        <v>6491</v>
      </c>
      <c r="E7815">
        <v>5.6</v>
      </c>
      <c r="F7815">
        <v>0</v>
      </c>
      <c r="G7815" t="s">
        <v>12</v>
      </c>
      <c r="I7815" t="s">
        <v>1050</v>
      </c>
    </row>
    <row r="7816" spans="1:9" hidden="1" x14ac:dyDescent="0.25">
      <c r="A7816" t="s">
        <v>6490</v>
      </c>
      <c r="B7816" t="s">
        <v>147</v>
      </c>
      <c r="C7816" s="2">
        <f>HYPERLINK("https://cao.dolgi.msk.ru/account/1080307495/", 1080307495)</f>
        <v>1080307495</v>
      </c>
      <c r="D7816" t="s">
        <v>6492</v>
      </c>
      <c r="E7816">
        <v>-2907.67</v>
      </c>
      <c r="F7816">
        <v>-1.1499999999999999</v>
      </c>
      <c r="G7816" t="s">
        <v>12</v>
      </c>
      <c r="I7816" t="s">
        <v>1050</v>
      </c>
    </row>
    <row r="7817" spans="1:9" hidden="1" x14ac:dyDescent="0.25">
      <c r="A7817" t="s">
        <v>6490</v>
      </c>
      <c r="B7817" t="s">
        <v>149</v>
      </c>
      <c r="C7817" s="2">
        <f>HYPERLINK("https://cao.dolgi.msk.ru/account/1080307508/", 1080307508)</f>
        <v>1080307508</v>
      </c>
      <c r="D7817" t="s">
        <v>6493</v>
      </c>
      <c r="E7817">
        <v>-2326.41</v>
      </c>
      <c r="F7817">
        <v>-1.1399999999999999</v>
      </c>
      <c r="G7817" t="s">
        <v>12</v>
      </c>
      <c r="I7817" t="s">
        <v>1050</v>
      </c>
    </row>
    <row r="7818" spans="1:9" hidden="1" x14ac:dyDescent="0.25">
      <c r="A7818" t="s">
        <v>6490</v>
      </c>
      <c r="B7818" t="s">
        <v>151</v>
      </c>
      <c r="C7818" s="2">
        <f>HYPERLINK("https://cao.dolgi.msk.ru/account/1080307516/", 1080307516)</f>
        <v>1080307516</v>
      </c>
      <c r="D7818" t="s">
        <v>6494</v>
      </c>
      <c r="E7818">
        <v>-6283.52</v>
      </c>
      <c r="F7818">
        <v>-1.1200000000000001</v>
      </c>
      <c r="G7818" t="s">
        <v>12</v>
      </c>
      <c r="I7818" t="s">
        <v>1050</v>
      </c>
    </row>
    <row r="7819" spans="1:9" hidden="1" x14ac:dyDescent="0.25">
      <c r="A7819" t="s">
        <v>6490</v>
      </c>
      <c r="B7819" t="s">
        <v>153</v>
      </c>
      <c r="C7819" s="2">
        <f>HYPERLINK("https://cao.dolgi.msk.ru/account/1080307524/", 1080307524)</f>
        <v>1080307524</v>
      </c>
      <c r="D7819" t="s">
        <v>6495</v>
      </c>
      <c r="E7819">
        <v>0</v>
      </c>
      <c r="F7819">
        <v>0</v>
      </c>
      <c r="G7819" t="s">
        <v>12</v>
      </c>
      <c r="I7819" t="s">
        <v>1050</v>
      </c>
    </row>
    <row r="7820" spans="1:9" hidden="1" x14ac:dyDescent="0.25">
      <c r="A7820" t="s">
        <v>6490</v>
      </c>
      <c r="B7820" t="s">
        <v>155</v>
      </c>
      <c r="C7820" s="2">
        <f>HYPERLINK("https://cao.dolgi.msk.ru/account/1080307532/", 1080307532)</f>
        <v>1080307532</v>
      </c>
      <c r="D7820" t="s">
        <v>6496</v>
      </c>
      <c r="E7820">
        <v>22.99</v>
      </c>
      <c r="F7820">
        <v>0</v>
      </c>
      <c r="G7820" t="s">
        <v>12</v>
      </c>
      <c r="I7820" t="s">
        <v>1050</v>
      </c>
    </row>
    <row r="7821" spans="1:9" hidden="1" x14ac:dyDescent="0.25">
      <c r="A7821" t="s">
        <v>6490</v>
      </c>
      <c r="B7821" t="s">
        <v>157</v>
      </c>
      <c r="C7821" s="2">
        <f>HYPERLINK("https://cao.dolgi.msk.ru/account/1080307559/", 1080307559)</f>
        <v>1080307559</v>
      </c>
      <c r="D7821" t="s">
        <v>6497</v>
      </c>
      <c r="E7821">
        <v>0</v>
      </c>
      <c r="F7821">
        <v>0</v>
      </c>
      <c r="G7821" t="s">
        <v>12</v>
      </c>
      <c r="I7821" t="s">
        <v>1050</v>
      </c>
    </row>
    <row r="7822" spans="1:9" hidden="1" x14ac:dyDescent="0.25">
      <c r="A7822" t="s">
        <v>6490</v>
      </c>
      <c r="B7822" t="s">
        <v>159</v>
      </c>
      <c r="C7822" s="2">
        <f>HYPERLINK("https://cao.dolgi.msk.ru/account/1080307567/", 1080307567)</f>
        <v>1080307567</v>
      </c>
      <c r="D7822" t="s">
        <v>6498</v>
      </c>
      <c r="E7822">
        <v>-4078.55</v>
      </c>
      <c r="F7822">
        <v>-1.1599999999999999</v>
      </c>
      <c r="G7822" t="s">
        <v>12</v>
      </c>
      <c r="I7822" t="s">
        <v>1050</v>
      </c>
    </row>
    <row r="7823" spans="1:9" hidden="1" x14ac:dyDescent="0.25">
      <c r="A7823" t="s">
        <v>6490</v>
      </c>
      <c r="B7823" t="s">
        <v>161</v>
      </c>
      <c r="C7823" s="2">
        <f>HYPERLINK("https://cao.dolgi.msk.ru/account/1080307575/", 1080307575)</f>
        <v>1080307575</v>
      </c>
      <c r="D7823" t="s">
        <v>6499</v>
      </c>
      <c r="E7823">
        <v>-6526.21</v>
      </c>
      <c r="F7823">
        <v>-1.1200000000000001</v>
      </c>
      <c r="G7823" t="s">
        <v>12</v>
      </c>
      <c r="I7823" t="s">
        <v>1050</v>
      </c>
    </row>
    <row r="7824" spans="1:9" hidden="1" x14ac:dyDescent="0.25">
      <c r="A7824" t="s">
        <v>6490</v>
      </c>
      <c r="B7824" t="s">
        <v>163</v>
      </c>
      <c r="C7824" s="2">
        <f>HYPERLINK("https://cao.dolgi.msk.ru/account/1080307583/", 1080307583)</f>
        <v>1080307583</v>
      </c>
      <c r="D7824" t="s">
        <v>6500</v>
      </c>
      <c r="E7824">
        <v>-9768.09</v>
      </c>
      <c r="F7824">
        <v>-1.1499999999999999</v>
      </c>
      <c r="G7824" t="s">
        <v>12</v>
      </c>
      <c r="I7824" t="s">
        <v>1050</v>
      </c>
    </row>
    <row r="7825" spans="1:9" hidden="1" x14ac:dyDescent="0.25">
      <c r="A7825" t="s">
        <v>6490</v>
      </c>
      <c r="B7825" t="s">
        <v>571</v>
      </c>
      <c r="C7825" s="2">
        <f>HYPERLINK("https://cao.dolgi.msk.ru/account/1080307591/", 1080307591)</f>
        <v>1080307591</v>
      </c>
      <c r="D7825" t="s">
        <v>6501</v>
      </c>
      <c r="E7825">
        <v>-5620.9</v>
      </c>
      <c r="F7825">
        <v>-1.1100000000000001</v>
      </c>
      <c r="G7825" t="s">
        <v>12</v>
      </c>
      <c r="I7825" t="s">
        <v>1050</v>
      </c>
    </row>
    <row r="7826" spans="1:9" hidden="1" x14ac:dyDescent="0.25">
      <c r="A7826" t="s">
        <v>6490</v>
      </c>
      <c r="B7826" t="s">
        <v>682</v>
      </c>
      <c r="C7826" s="2">
        <f>HYPERLINK("https://cao.dolgi.msk.ru/account/1080307604/", 1080307604)</f>
        <v>1080307604</v>
      </c>
      <c r="D7826" t="s">
        <v>6502</v>
      </c>
      <c r="E7826">
        <v>-4969.0200000000004</v>
      </c>
      <c r="F7826">
        <v>-1.25</v>
      </c>
      <c r="G7826" t="s">
        <v>12</v>
      </c>
      <c r="I7826" t="s">
        <v>1050</v>
      </c>
    </row>
    <row r="7827" spans="1:9" hidden="1" x14ac:dyDescent="0.25">
      <c r="A7827" t="s">
        <v>6490</v>
      </c>
      <c r="B7827" t="s">
        <v>578</v>
      </c>
      <c r="C7827" s="2">
        <f>HYPERLINK("https://cao.dolgi.msk.ru/account/1080307612/", 1080307612)</f>
        <v>1080307612</v>
      </c>
      <c r="D7827" t="s">
        <v>6503</v>
      </c>
      <c r="E7827">
        <v>-5084.62</v>
      </c>
      <c r="F7827">
        <v>-1.34</v>
      </c>
      <c r="G7827" t="s">
        <v>12</v>
      </c>
      <c r="I7827" t="s">
        <v>1050</v>
      </c>
    </row>
    <row r="7828" spans="1:9" hidden="1" x14ac:dyDescent="0.25">
      <c r="A7828" t="s">
        <v>6490</v>
      </c>
      <c r="B7828" t="s">
        <v>580</v>
      </c>
      <c r="C7828" s="2">
        <f>HYPERLINK("https://cao.dolgi.msk.ru/account/1080307639/", 1080307639)</f>
        <v>1080307639</v>
      </c>
      <c r="D7828" t="s">
        <v>6504</v>
      </c>
      <c r="E7828">
        <v>-6256.84</v>
      </c>
      <c r="F7828">
        <v>-1.1299999999999999</v>
      </c>
      <c r="G7828" t="s">
        <v>12</v>
      </c>
      <c r="I7828" t="s">
        <v>1050</v>
      </c>
    </row>
    <row r="7829" spans="1:9" hidden="1" x14ac:dyDescent="0.25">
      <c r="A7829" t="s">
        <v>6490</v>
      </c>
      <c r="B7829" t="s">
        <v>686</v>
      </c>
      <c r="C7829" s="2">
        <f>HYPERLINK("https://cao.dolgi.msk.ru/account/1080307647/", 1080307647)</f>
        <v>1080307647</v>
      </c>
      <c r="D7829" t="s">
        <v>6505</v>
      </c>
      <c r="E7829">
        <v>-7218.27</v>
      </c>
      <c r="F7829">
        <v>-1.0900000000000001</v>
      </c>
      <c r="G7829" t="s">
        <v>12</v>
      </c>
      <c r="I7829" t="s">
        <v>1050</v>
      </c>
    </row>
    <row r="7830" spans="1:9" hidden="1" x14ac:dyDescent="0.25">
      <c r="A7830" t="s">
        <v>6490</v>
      </c>
      <c r="B7830" t="s">
        <v>582</v>
      </c>
      <c r="C7830" s="2">
        <f>HYPERLINK("https://cao.dolgi.msk.ru/account/1080307655/", 1080307655)</f>
        <v>1080307655</v>
      </c>
      <c r="D7830" t="s">
        <v>6506</v>
      </c>
      <c r="E7830">
        <v>-4372.1400000000003</v>
      </c>
      <c r="F7830">
        <v>-0.82</v>
      </c>
      <c r="G7830" t="s">
        <v>12</v>
      </c>
      <c r="I7830" t="s">
        <v>1050</v>
      </c>
    </row>
    <row r="7831" spans="1:9" hidden="1" x14ac:dyDescent="0.25">
      <c r="A7831" t="s">
        <v>6490</v>
      </c>
      <c r="B7831" t="s">
        <v>582</v>
      </c>
      <c r="C7831" s="2">
        <f>HYPERLINK("https://cao.dolgi.msk.ru/account/1080325685/", 1080325685)</f>
        <v>1080325685</v>
      </c>
      <c r="D7831" t="s">
        <v>15</v>
      </c>
      <c r="G7831" t="s">
        <v>14</v>
      </c>
      <c r="I7831" t="s">
        <v>1050</v>
      </c>
    </row>
    <row r="7832" spans="1:9" hidden="1" x14ac:dyDescent="0.25">
      <c r="A7832" t="s">
        <v>6490</v>
      </c>
      <c r="B7832" t="s">
        <v>584</v>
      </c>
      <c r="C7832" s="2">
        <f>HYPERLINK("https://cao.dolgi.msk.ru/account/1080307663/", 1080307663)</f>
        <v>1080307663</v>
      </c>
      <c r="D7832" t="s">
        <v>2291</v>
      </c>
      <c r="E7832">
        <v>-6377.3</v>
      </c>
      <c r="F7832">
        <v>-1.1200000000000001</v>
      </c>
      <c r="G7832" t="s">
        <v>12</v>
      </c>
      <c r="I7832" t="s">
        <v>1050</v>
      </c>
    </row>
    <row r="7833" spans="1:9" hidden="1" x14ac:dyDescent="0.25">
      <c r="A7833" t="s">
        <v>6490</v>
      </c>
      <c r="B7833" t="s">
        <v>586</v>
      </c>
      <c r="C7833" s="2">
        <f>HYPERLINK("https://cao.dolgi.msk.ru/account/1080307671/", 1080307671)</f>
        <v>1080307671</v>
      </c>
      <c r="D7833" t="s">
        <v>6507</v>
      </c>
      <c r="E7833">
        <v>-7141.8</v>
      </c>
      <c r="F7833">
        <v>-1.19</v>
      </c>
      <c r="G7833" t="s">
        <v>12</v>
      </c>
      <c r="I7833" t="s">
        <v>1050</v>
      </c>
    </row>
    <row r="7834" spans="1:9" hidden="1" x14ac:dyDescent="0.25">
      <c r="A7834" t="s">
        <v>6490</v>
      </c>
      <c r="B7834" t="s">
        <v>588</v>
      </c>
      <c r="C7834" s="2">
        <f>HYPERLINK("https://cao.dolgi.msk.ru/account/1080307698/", 1080307698)</f>
        <v>1080307698</v>
      </c>
      <c r="D7834" t="s">
        <v>6508</v>
      </c>
      <c r="E7834">
        <v>-557.28</v>
      </c>
      <c r="F7834">
        <v>-0.11</v>
      </c>
      <c r="G7834" t="s">
        <v>12</v>
      </c>
      <c r="I7834" t="s">
        <v>1050</v>
      </c>
    </row>
    <row r="7835" spans="1:9" hidden="1" x14ac:dyDescent="0.25">
      <c r="A7835" t="s">
        <v>6490</v>
      </c>
      <c r="B7835" t="s">
        <v>590</v>
      </c>
      <c r="C7835" s="2">
        <f>HYPERLINK("https://cao.dolgi.msk.ru/account/1080307719/", 1080307719)</f>
        <v>1080307719</v>
      </c>
      <c r="D7835" t="s">
        <v>6509</v>
      </c>
      <c r="E7835">
        <v>-8894.17</v>
      </c>
      <c r="F7835">
        <v>-1.53</v>
      </c>
      <c r="G7835" t="s">
        <v>12</v>
      </c>
      <c r="I7835" t="s">
        <v>1050</v>
      </c>
    </row>
    <row r="7836" spans="1:9" hidden="1" x14ac:dyDescent="0.25">
      <c r="A7836" t="s">
        <v>6490</v>
      </c>
      <c r="B7836" t="s">
        <v>590</v>
      </c>
      <c r="C7836" s="2">
        <f>HYPERLINK("https://cao.dolgi.msk.ru/account/1083274318/", 1083274318)</f>
        <v>1083274318</v>
      </c>
      <c r="D7836" t="s">
        <v>6509</v>
      </c>
      <c r="E7836">
        <v>0</v>
      </c>
      <c r="G7836" t="s">
        <v>14</v>
      </c>
      <c r="I7836" t="s">
        <v>1050</v>
      </c>
    </row>
    <row r="7837" spans="1:9" hidden="1" x14ac:dyDescent="0.25">
      <c r="A7837" t="s">
        <v>6490</v>
      </c>
      <c r="B7837" t="s">
        <v>693</v>
      </c>
      <c r="C7837" s="2">
        <f>HYPERLINK("https://cao.dolgi.msk.ru/account/1080307727/", 1080307727)</f>
        <v>1080307727</v>
      </c>
      <c r="D7837" t="s">
        <v>6510</v>
      </c>
      <c r="E7837">
        <v>10655.44</v>
      </c>
      <c r="F7837">
        <v>0.83</v>
      </c>
      <c r="G7837" t="s">
        <v>12</v>
      </c>
      <c r="I7837" t="s">
        <v>1050</v>
      </c>
    </row>
    <row r="7838" spans="1:9" hidden="1" x14ac:dyDescent="0.25">
      <c r="A7838" t="s">
        <v>6490</v>
      </c>
      <c r="B7838" t="s">
        <v>694</v>
      </c>
      <c r="C7838" s="2">
        <f>HYPERLINK("https://cao.dolgi.msk.ru/account/1080307735/", 1080307735)</f>
        <v>1080307735</v>
      </c>
      <c r="D7838" t="s">
        <v>6511</v>
      </c>
      <c r="E7838">
        <v>-4794.46</v>
      </c>
      <c r="F7838">
        <v>-1.1200000000000001</v>
      </c>
      <c r="G7838" t="s">
        <v>12</v>
      </c>
      <c r="I7838" t="s">
        <v>1050</v>
      </c>
    </row>
    <row r="7839" spans="1:9" hidden="1" x14ac:dyDescent="0.25">
      <c r="A7839" t="s">
        <v>6490</v>
      </c>
      <c r="B7839" t="s">
        <v>696</v>
      </c>
      <c r="C7839" s="2">
        <f>HYPERLINK("https://cao.dolgi.msk.ru/account/1080307743/", 1080307743)</f>
        <v>1080307743</v>
      </c>
      <c r="D7839" t="s">
        <v>6512</v>
      </c>
      <c r="E7839">
        <v>-6565.45</v>
      </c>
      <c r="F7839">
        <v>-1.1299999999999999</v>
      </c>
      <c r="G7839" t="s">
        <v>12</v>
      </c>
      <c r="I7839" t="s">
        <v>1050</v>
      </c>
    </row>
    <row r="7840" spans="1:9" hidden="1" x14ac:dyDescent="0.25">
      <c r="A7840" t="s">
        <v>6490</v>
      </c>
      <c r="B7840" t="s">
        <v>698</v>
      </c>
      <c r="C7840" s="2">
        <f>HYPERLINK("https://cao.dolgi.msk.ru/account/1080307751/", 1080307751)</f>
        <v>1080307751</v>
      </c>
      <c r="D7840" t="s">
        <v>6513</v>
      </c>
      <c r="E7840">
        <v>-6100.72</v>
      </c>
      <c r="F7840">
        <v>-1.1299999999999999</v>
      </c>
      <c r="G7840" t="s">
        <v>12</v>
      </c>
      <c r="I7840" t="s">
        <v>1050</v>
      </c>
    </row>
    <row r="7841" spans="1:9" hidden="1" x14ac:dyDescent="0.25">
      <c r="A7841" t="s">
        <v>6490</v>
      </c>
      <c r="B7841" t="s">
        <v>700</v>
      </c>
      <c r="C7841" s="2">
        <f>HYPERLINK("https://cao.dolgi.msk.ru/account/1080307778/", 1080307778)</f>
        <v>1080307778</v>
      </c>
      <c r="D7841" t="s">
        <v>6514</v>
      </c>
      <c r="E7841">
        <v>-7968.18</v>
      </c>
      <c r="F7841">
        <v>-1.0900000000000001</v>
      </c>
      <c r="G7841" t="s">
        <v>12</v>
      </c>
      <c r="I7841" t="s">
        <v>1050</v>
      </c>
    </row>
    <row r="7842" spans="1:9" hidden="1" x14ac:dyDescent="0.25">
      <c r="A7842" t="s">
        <v>6515</v>
      </c>
      <c r="B7842" t="s">
        <v>18</v>
      </c>
      <c r="C7842" s="2">
        <f>HYPERLINK("https://cao.dolgi.msk.ru/account/1080306775/", 1080306775)</f>
        <v>1080306775</v>
      </c>
      <c r="D7842" t="s">
        <v>6516</v>
      </c>
      <c r="E7842">
        <v>-93.12</v>
      </c>
      <c r="F7842">
        <v>-0.02</v>
      </c>
      <c r="G7842" t="s">
        <v>12</v>
      </c>
      <c r="I7842" t="s">
        <v>1050</v>
      </c>
    </row>
    <row r="7843" spans="1:9" hidden="1" x14ac:dyDescent="0.25">
      <c r="A7843" t="s">
        <v>6515</v>
      </c>
      <c r="B7843" t="s">
        <v>20</v>
      </c>
      <c r="C7843" s="2">
        <f>HYPERLINK("https://cao.dolgi.msk.ru/account/1080306783/", 1080306783)</f>
        <v>1080306783</v>
      </c>
      <c r="D7843" t="s">
        <v>6517</v>
      </c>
      <c r="E7843">
        <v>-7949.58</v>
      </c>
      <c r="F7843">
        <v>-1.19</v>
      </c>
      <c r="G7843" t="s">
        <v>12</v>
      </c>
      <c r="I7843" t="s">
        <v>1050</v>
      </c>
    </row>
    <row r="7844" spans="1:9" hidden="1" x14ac:dyDescent="0.25">
      <c r="A7844" t="s">
        <v>6515</v>
      </c>
      <c r="B7844" t="s">
        <v>21</v>
      </c>
      <c r="C7844" s="2">
        <f>HYPERLINK("https://cao.dolgi.msk.ru/account/1080306791/", 1080306791)</f>
        <v>1080306791</v>
      </c>
      <c r="D7844" t="s">
        <v>6518</v>
      </c>
      <c r="E7844">
        <v>-4204.2700000000004</v>
      </c>
      <c r="F7844">
        <v>-1.51</v>
      </c>
      <c r="G7844" t="s">
        <v>12</v>
      </c>
      <c r="H7844" t="s">
        <v>7</v>
      </c>
      <c r="I7844" t="s">
        <v>1050</v>
      </c>
    </row>
    <row r="7845" spans="1:9" hidden="1" x14ac:dyDescent="0.25">
      <c r="A7845" t="s">
        <v>6515</v>
      </c>
      <c r="B7845" t="s">
        <v>21</v>
      </c>
      <c r="C7845" s="2">
        <f>HYPERLINK("https://cao.dolgi.msk.ru/account/1080306804/", 1080306804)</f>
        <v>1080306804</v>
      </c>
      <c r="D7845" t="s">
        <v>6519</v>
      </c>
      <c r="E7845">
        <v>-12939.98</v>
      </c>
      <c r="F7845">
        <v>-1.63</v>
      </c>
      <c r="G7845" t="s">
        <v>12</v>
      </c>
      <c r="H7845" t="s">
        <v>7</v>
      </c>
      <c r="I7845" t="s">
        <v>1050</v>
      </c>
    </row>
    <row r="7846" spans="1:9" hidden="1" x14ac:dyDescent="0.25">
      <c r="A7846" t="s">
        <v>6515</v>
      </c>
      <c r="B7846" t="s">
        <v>22</v>
      </c>
      <c r="C7846" s="2">
        <f>HYPERLINK("https://cao.dolgi.msk.ru/account/1080306812/", 1080306812)</f>
        <v>1080306812</v>
      </c>
      <c r="D7846" t="s">
        <v>6520</v>
      </c>
      <c r="E7846">
        <v>-7431.25</v>
      </c>
      <c r="F7846">
        <v>-1.1000000000000001</v>
      </c>
      <c r="G7846" t="s">
        <v>12</v>
      </c>
      <c r="I7846" t="s">
        <v>1050</v>
      </c>
    </row>
    <row r="7847" spans="1:9" hidden="1" x14ac:dyDescent="0.25">
      <c r="A7847" t="s">
        <v>6515</v>
      </c>
      <c r="B7847" t="s">
        <v>23</v>
      </c>
      <c r="C7847" s="2">
        <f>HYPERLINK("https://cao.dolgi.msk.ru/account/1080306839/", 1080306839)</f>
        <v>1080306839</v>
      </c>
      <c r="D7847" t="s">
        <v>6521</v>
      </c>
      <c r="E7847">
        <v>-7622.3</v>
      </c>
      <c r="F7847">
        <v>-1.48</v>
      </c>
      <c r="G7847" t="s">
        <v>12</v>
      </c>
      <c r="I7847" t="s">
        <v>1050</v>
      </c>
    </row>
    <row r="7848" spans="1:9" hidden="1" x14ac:dyDescent="0.25">
      <c r="A7848" t="s">
        <v>6515</v>
      </c>
      <c r="B7848" t="s">
        <v>24</v>
      </c>
      <c r="C7848" s="2">
        <f>HYPERLINK("https://cao.dolgi.msk.ru/account/1080306847/", 1080306847)</f>
        <v>1080306847</v>
      </c>
      <c r="D7848" t="s">
        <v>6522</v>
      </c>
      <c r="E7848">
        <v>-7668.4</v>
      </c>
      <c r="F7848">
        <v>-1.1299999999999999</v>
      </c>
      <c r="G7848" t="s">
        <v>12</v>
      </c>
      <c r="I7848" t="s">
        <v>1050</v>
      </c>
    </row>
    <row r="7849" spans="1:9" hidden="1" x14ac:dyDescent="0.25">
      <c r="A7849" t="s">
        <v>6515</v>
      </c>
      <c r="B7849" t="s">
        <v>27</v>
      </c>
      <c r="C7849" s="2">
        <f>HYPERLINK("https://cao.dolgi.msk.ru/account/1080306855/", 1080306855)</f>
        <v>1080306855</v>
      </c>
      <c r="D7849" t="s">
        <v>6523</v>
      </c>
      <c r="E7849">
        <v>-3295.11</v>
      </c>
      <c r="F7849">
        <v>-1.24</v>
      </c>
      <c r="G7849" t="s">
        <v>12</v>
      </c>
      <c r="I7849" t="s">
        <v>1050</v>
      </c>
    </row>
    <row r="7850" spans="1:9" hidden="1" x14ac:dyDescent="0.25">
      <c r="A7850" t="s">
        <v>6515</v>
      </c>
      <c r="B7850" t="s">
        <v>29</v>
      </c>
      <c r="C7850" s="2">
        <f>HYPERLINK("https://cao.dolgi.msk.ru/account/1080306863/", 1080306863)</f>
        <v>1080306863</v>
      </c>
      <c r="D7850" t="s">
        <v>6524</v>
      </c>
      <c r="E7850">
        <v>-5295.13</v>
      </c>
      <c r="F7850">
        <v>-0.92</v>
      </c>
      <c r="G7850" t="s">
        <v>12</v>
      </c>
      <c r="I7850" t="s">
        <v>1050</v>
      </c>
    </row>
    <row r="7851" spans="1:9" hidden="1" x14ac:dyDescent="0.25">
      <c r="A7851" t="s">
        <v>6515</v>
      </c>
      <c r="B7851" t="s">
        <v>31</v>
      </c>
      <c r="C7851" s="2">
        <f>HYPERLINK("https://cao.dolgi.msk.ru/account/1080306871/", 1080306871)</f>
        <v>1080306871</v>
      </c>
      <c r="D7851" t="s">
        <v>6525</v>
      </c>
      <c r="E7851">
        <v>1071.69</v>
      </c>
      <c r="F7851">
        <v>0.19</v>
      </c>
      <c r="G7851" t="s">
        <v>12</v>
      </c>
      <c r="I7851" t="s">
        <v>1050</v>
      </c>
    </row>
    <row r="7852" spans="1:9" hidden="1" x14ac:dyDescent="0.25">
      <c r="A7852" t="s">
        <v>6515</v>
      </c>
      <c r="B7852" t="s">
        <v>33</v>
      </c>
      <c r="C7852" s="2">
        <f>HYPERLINK("https://cao.dolgi.msk.ru/account/1080306898/", 1080306898)</f>
        <v>1080306898</v>
      </c>
      <c r="D7852" t="s">
        <v>6526</v>
      </c>
      <c r="E7852">
        <v>0</v>
      </c>
      <c r="F7852">
        <v>0</v>
      </c>
      <c r="G7852" t="s">
        <v>12</v>
      </c>
      <c r="I7852" t="s">
        <v>1050</v>
      </c>
    </row>
    <row r="7853" spans="1:9" hidden="1" x14ac:dyDescent="0.25">
      <c r="A7853" t="s">
        <v>6515</v>
      </c>
      <c r="B7853" t="s">
        <v>34</v>
      </c>
      <c r="C7853" s="2">
        <f>HYPERLINK("https://cao.dolgi.msk.ru/account/1080306919/", 1080306919)</f>
        <v>1080306919</v>
      </c>
      <c r="D7853" t="s">
        <v>6527</v>
      </c>
      <c r="E7853">
        <v>-3655.59</v>
      </c>
      <c r="F7853">
        <v>-1.1499999999999999</v>
      </c>
      <c r="G7853" t="s">
        <v>12</v>
      </c>
      <c r="I7853" t="s">
        <v>1050</v>
      </c>
    </row>
    <row r="7854" spans="1:9" hidden="1" x14ac:dyDescent="0.25">
      <c r="A7854" t="s">
        <v>6515</v>
      </c>
      <c r="B7854" t="s">
        <v>36</v>
      </c>
      <c r="C7854" s="2">
        <f>HYPERLINK("https://cao.dolgi.msk.ru/account/1080306927/", 1080306927)</f>
        <v>1080306927</v>
      </c>
      <c r="D7854" t="s">
        <v>6528</v>
      </c>
      <c r="E7854">
        <v>-6428.29</v>
      </c>
      <c r="F7854">
        <v>-1.1399999999999999</v>
      </c>
      <c r="G7854" t="s">
        <v>12</v>
      </c>
      <c r="I7854" t="s">
        <v>1050</v>
      </c>
    </row>
    <row r="7855" spans="1:9" hidden="1" x14ac:dyDescent="0.25">
      <c r="A7855" t="s">
        <v>6515</v>
      </c>
      <c r="B7855" t="s">
        <v>38</v>
      </c>
      <c r="C7855" s="2">
        <f>HYPERLINK("https://cao.dolgi.msk.ru/account/1080306935/", 1080306935)</f>
        <v>1080306935</v>
      </c>
      <c r="D7855" t="s">
        <v>6529</v>
      </c>
      <c r="E7855">
        <v>-2667.88</v>
      </c>
      <c r="F7855">
        <v>-0.65</v>
      </c>
      <c r="G7855" t="s">
        <v>12</v>
      </c>
      <c r="H7855" t="s">
        <v>7</v>
      </c>
      <c r="I7855" t="s">
        <v>1050</v>
      </c>
    </row>
    <row r="7856" spans="1:9" hidden="1" x14ac:dyDescent="0.25">
      <c r="A7856" t="s">
        <v>6515</v>
      </c>
      <c r="B7856" t="s">
        <v>38</v>
      </c>
      <c r="C7856" s="2">
        <f>HYPERLINK("https://cao.dolgi.msk.ru/account/1080306943/", 1080306943)</f>
        <v>1080306943</v>
      </c>
      <c r="D7856" t="s">
        <v>6530</v>
      </c>
      <c r="E7856">
        <v>9.4</v>
      </c>
      <c r="F7856">
        <v>0</v>
      </c>
      <c r="G7856" t="s">
        <v>12</v>
      </c>
      <c r="H7856" t="s">
        <v>7</v>
      </c>
      <c r="I7856" t="s">
        <v>1050</v>
      </c>
    </row>
    <row r="7857" spans="1:9" hidden="1" x14ac:dyDescent="0.25">
      <c r="A7857" t="s">
        <v>6515</v>
      </c>
      <c r="B7857" t="s">
        <v>38</v>
      </c>
      <c r="C7857" s="2">
        <f>HYPERLINK("https://cao.dolgi.msk.ru/account/1080306951/", 1080306951)</f>
        <v>1080306951</v>
      </c>
      <c r="D7857" t="s">
        <v>6530</v>
      </c>
      <c r="E7857">
        <v>-13718.6</v>
      </c>
      <c r="F7857">
        <v>-4.5599999999999996</v>
      </c>
      <c r="G7857" t="s">
        <v>12</v>
      </c>
      <c r="H7857" t="s">
        <v>7</v>
      </c>
      <c r="I7857" t="s">
        <v>1050</v>
      </c>
    </row>
    <row r="7858" spans="1:9" hidden="1" x14ac:dyDescent="0.25">
      <c r="A7858" t="s">
        <v>6515</v>
      </c>
      <c r="B7858" t="s">
        <v>39</v>
      </c>
      <c r="C7858" s="2">
        <f>HYPERLINK("https://cao.dolgi.msk.ru/account/1080306978/", 1080306978)</f>
        <v>1080306978</v>
      </c>
      <c r="D7858" t="s">
        <v>6531</v>
      </c>
      <c r="E7858">
        <v>-2123.16</v>
      </c>
      <c r="F7858">
        <v>-0.94</v>
      </c>
      <c r="G7858" t="s">
        <v>12</v>
      </c>
      <c r="H7858" t="s">
        <v>7</v>
      </c>
      <c r="I7858" t="s">
        <v>1050</v>
      </c>
    </row>
    <row r="7859" spans="1:9" hidden="1" x14ac:dyDescent="0.25">
      <c r="A7859" t="s">
        <v>6515</v>
      </c>
      <c r="B7859" t="s">
        <v>39</v>
      </c>
      <c r="C7859" s="2">
        <f>HYPERLINK("https://cao.dolgi.msk.ru/account/1080306986/", 1080306986)</f>
        <v>1080306986</v>
      </c>
      <c r="D7859" t="s">
        <v>6531</v>
      </c>
      <c r="E7859">
        <v>-4037.27</v>
      </c>
      <c r="F7859">
        <v>-0.94</v>
      </c>
      <c r="G7859" t="s">
        <v>12</v>
      </c>
      <c r="H7859" t="s">
        <v>7</v>
      </c>
      <c r="I7859" t="s">
        <v>1050</v>
      </c>
    </row>
    <row r="7860" spans="1:9" hidden="1" x14ac:dyDescent="0.25">
      <c r="A7860" t="s">
        <v>6515</v>
      </c>
      <c r="B7860" t="s">
        <v>40</v>
      </c>
      <c r="C7860" s="2">
        <f>HYPERLINK("https://cao.dolgi.msk.ru/account/1080306994/", 1080306994)</f>
        <v>1080306994</v>
      </c>
      <c r="D7860" t="s">
        <v>6532</v>
      </c>
      <c r="E7860">
        <v>-6377.52</v>
      </c>
      <c r="F7860">
        <v>-1.02</v>
      </c>
      <c r="G7860" t="s">
        <v>12</v>
      </c>
      <c r="I7860" t="s">
        <v>1050</v>
      </c>
    </row>
    <row r="7861" spans="1:9" hidden="1" x14ac:dyDescent="0.25">
      <c r="A7861" t="s">
        <v>6515</v>
      </c>
      <c r="B7861" t="s">
        <v>41</v>
      </c>
      <c r="C7861" s="2">
        <f>HYPERLINK("https://cao.dolgi.msk.ru/account/1080307006/", 1080307006)</f>
        <v>1080307006</v>
      </c>
      <c r="D7861" t="s">
        <v>6533</v>
      </c>
      <c r="E7861">
        <v>-5580.57</v>
      </c>
      <c r="F7861">
        <v>-1.17</v>
      </c>
      <c r="G7861" t="s">
        <v>12</v>
      </c>
      <c r="I7861" t="s">
        <v>1050</v>
      </c>
    </row>
    <row r="7862" spans="1:9" hidden="1" x14ac:dyDescent="0.25">
      <c r="A7862" t="s">
        <v>6515</v>
      </c>
      <c r="B7862" t="s">
        <v>42</v>
      </c>
      <c r="C7862" s="2">
        <f>HYPERLINK("https://cao.dolgi.msk.ru/account/1080307014/", 1080307014)</f>
        <v>1080307014</v>
      </c>
      <c r="D7862" t="s">
        <v>6534</v>
      </c>
      <c r="E7862">
        <v>-4895.63</v>
      </c>
      <c r="F7862">
        <v>-1.23</v>
      </c>
      <c r="G7862" t="s">
        <v>12</v>
      </c>
      <c r="I7862" t="s">
        <v>1050</v>
      </c>
    </row>
    <row r="7863" spans="1:9" hidden="1" x14ac:dyDescent="0.25">
      <c r="A7863" t="s">
        <v>6515</v>
      </c>
      <c r="B7863" t="s">
        <v>44</v>
      </c>
      <c r="C7863" s="2">
        <f>HYPERLINK("https://cao.dolgi.msk.ru/account/1080307022/", 1080307022)</f>
        <v>1080307022</v>
      </c>
      <c r="D7863" t="s">
        <v>6535</v>
      </c>
      <c r="E7863">
        <v>-8869.73</v>
      </c>
      <c r="F7863">
        <v>-1.1200000000000001</v>
      </c>
      <c r="G7863" t="s">
        <v>12</v>
      </c>
      <c r="I7863" t="s">
        <v>1050</v>
      </c>
    </row>
    <row r="7864" spans="1:9" hidden="1" x14ac:dyDescent="0.25">
      <c r="A7864" t="s">
        <v>6515</v>
      </c>
      <c r="B7864" t="s">
        <v>44</v>
      </c>
      <c r="C7864" s="2">
        <f>HYPERLINK("https://cao.dolgi.msk.ru/account/1080307049/", 1080307049)</f>
        <v>1080307049</v>
      </c>
      <c r="D7864" t="s">
        <v>6535</v>
      </c>
      <c r="E7864">
        <v>575.64</v>
      </c>
      <c r="G7864" t="s">
        <v>14</v>
      </c>
      <c r="I7864" t="s">
        <v>1050</v>
      </c>
    </row>
    <row r="7865" spans="1:9" hidden="1" x14ac:dyDescent="0.25">
      <c r="A7865" t="s">
        <v>6515</v>
      </c>
      <c r="B7865" t="s">
        <v>66</v>
      </c>
      <c r="C7865" s="2">
        <f>HYPERLINK("https://cao.dolgi.msk.ru/account/1080307057/", 1080307057)</f>
        <v>1080307057</v>
      </c>
      <c r="D7865" t="s">
        <v>6536</v>
      </c>
      <c r="E7865">
        <v>-11233.01</v>
      </c>
      <c r="F7865">
        <v>-1.19</v>
      </c>
      <c r="G7865" t="s">
        <v>12</v>
      </c>
      <c r="I7865" t="s">
        <v>1050</v>
      </c>
    </row>
    <row r="7866" spans="1:9" hidden="1" x14ac:dyDescent="0.25">
      <c r="A7866" t="s">
        <v>6515</v>
      </c>
      <c r="B7866" t="s">
        <v>68</v>
      </c>
      <c r="C7866" s="2">
        <f>HYPERLINK("https://cao.dolgi.msk.ru/account/1080307065/", 1080307065)</f>
        <v>1080307065</v>
      </c>
      <c r="D7866" t="s">
        <v>6537</v>
      </c>
      <c r="E7866">
        <v>-16.489999999999998</v>
      </c>
      <c r="F7866">
        <v>-0.01</v>
      </c>
      <c r="G7866" t="s">
        <v>12</v>
      </c>
      <c r="I7866" t="s">
        <v>1050</v>
      </c>
    </row>
    <row r="7867" spans="1:9" x14ac:dyDescent="0.25">
      <c r="A7867" t="s">
        <v>6515</v>
      </c>
      <c r="B7867" t="s">
        <v>70</v>
      </c>
      <c r="C7867" s="2">
        <f>HYPERLINK("https://cao.dolgi.msk.ru/account/1080307073/", 1080307073)</f>
        <v>1080307073</v>
      </c>
      <c r="D7867" t="s">
        <v>6538</v>
      </c>
      <c r="E7867">
        <v>12962.54</v>
      </c>
      <c r="F7867">
        <v>1.77</v>
      </c>
      <c r="G7867" t="s">
        <v>12</v>
      </c>
      <c r="I7867" t="s">
        <v>1050</v>
      </c>
    </row>
    <row r="7868" spans="1:9" hidden="1" x14ac:dyDescent="0.25">
      <c r="A7868" t="s">
        <v>6515</v>
      </c>
      <c r="B7868" t="s">
        <v>74</v>
      </c>
      <c r="C7868" s="2">
        <f>HYPERLINK("https://cao.dolgi.msk.ru/account/1080307081/", 1080307081)</f>
        <v>1080307081</v>
      </c>
      <c r="D7868" t="s">
        <v>6539</v>
      </c>
      <c r="E7868">
        <v>-5171</v>
      </c>
      <c r="F7868">
        <v>-1.17</v>
      </c>
      <c r="G7868" t="s">
        <v>12</v>
      </c>
      <c r="I7868" t="s">
        <v>1050</v>
      </c>
    </row>
    <row r="7869" spans="1:9" hidden="1" x14ac:dyDescent="0.25">
      <c r="A7869" t="s">
        <v>6515</v>
      </c>
      <c r="B7869" t="s">
        <v>76</v>
      </c>
      <c r="C7869" s="2">
        <f>HYPERLINK("https://cao.dolgi.msk.ru/account/1080307102/", 1080307102)</f>
        <v>1080307102</v>
      </c>
      <c r="D7869" t="s">
        <v>6540</v>
      </c>
      <c r="E7869">
        <v>-6022.81</v>
      </c>
      <c r="F7869">
        <v>-1.31</v>
      </c>
      <c r="G7869" t="s">
        <v>12</v>
      </c>
      <c r="I7869" t="s">
        <v>1050</v>
      </c>
    </row>
    <row r="7870" spans="1:9" hidden="1" x14ac:dyDescent="0.25">
      <c r="A7870" t="s">
        <v>6515</v>
      </c>
      <c r="B7870" t="s">
        <v>78</v>
      </c>
      <c r="C7870" s="2">
        <f>HYPERLINK("https://cao.dolgi.msk.ru/account/1080307129/", 1080307129)</f>
        <v>1080307129</v>
      </c>
      <c r="D7870" t="s">
        <v>6541</v>
      </c>
      <c r="E7870">
        <v>-4132.57</v>
      </c>
      <c r="F7870">
        <v>-1.1399999999999999</v>
      </c>
      <c r="G7870" t="s">
        <v>12</v>
      </c>
      <c r="I7870" t="s">
        <v>1050</v>
      </c>
    </row>
    <row r="7871" spans="1:9" hidden="1" x14ac:dyDescent="0.25">
      <c r="A7871" t="s">
        <v>6515</v>
      </c>
      <c r="B7871" t="s">
        <v>80</v>
      </c>
      <c r="C7871" s="2">
        <f>HYPERLINK("https://cao.dolgi.msk.ru/account/1080307137/", 1080307137)</f>
        <v>1080307137</v>
      </c>
      <c r="D7871" t="s">
        <v>6542</v>
      </c>
      <c r="E7871">
        <v>-65.61</v>
      </c>
      <c r="F7871">
        <v>-0.01</v>
      </c>
      <c r="G7871" t="s">
        <v>12</v>
      </c>
      <c r="I7871" t="s">
        <v>1050</v>
      </c>
    </row>
    <row r="7872" spans="1:9" hidden="1" x14ac:dyDescent="0.25">
      <c r="A7872" t="s">
        <v>6515</v>
      </c>
      <c r="B7872" t="s">
        <v>82</v>
      </c>
      <c r="C7872" s="2">
        <f>HYPERLINK("https://cao.dolgi.msk.ru/account/1080307145/", 1080307145)</f>
        <v>1080307145</v>
      </c>
      <c r="D7872" t="s">
        <v>6543</v>
      </c>
      <c r="E7872">
        <v>-6931.31</v>
      </c>
      <c r="F7872">
        <v>-1.38</v>
      </c>
      <c r="G7872" t="s">
        <v>12</v>
      </c>
      <c r="I7872" t="s">
        <v>1050</v>
      </c>
    </row>
    <row r="7873" spans="1:9" hidden="1" x14ac:dyDescent="0.25">
      <c r="A7873" t="s">
        <v>6515</v>
      </c>
      <c r="B7873" t="s">
        <v>84</v>
      </c>
      <c r="C7873" s="2">
        <f>HYPERLINK("https://cao.dolgi.msk.ru/account/1080307153/", 1080307153)</f>
        <v>1080307153</v>
      </c>
      <c r="D7873" t="s">
        <v>6544</v>
      </c>
      <c r="E7873">
        <v>-42.04</v>
      </c>
      <c r="F7873">
        <v>-0.01</v>
      </c>
      <c r="G7873" t="s">
        <v>12</v>
      </c>
      <c r="I7873" t="s">
        <v>1050</v>
      </c>
    </row>
    <row r="7874" spans="1:9" hidden="1" x14ac:dyDescent="0.25">
      <c r="A7874" t="s">
        <v>6515</v>
      </c>
      <c r="B7874" t="s">
        <v>86</v>
      </c>
      <c r="C7874" s="2">
        <f>HYPERLINK("https://cao.dolgi.msk.ru/account/1080307161/", 1080307161)</f>
        <v>1080307161</v>
      </c>
      <c r="D7874" t="s">
        <v>6545</v>
      </c>
      <c r="E7874">
        <v>-3951.22</v>
      </c>
      <c r="F7874">
        <v>-1.1100000000000001</v>
      </c>
      <c r="G7874" t="s">
        <v>12</v>
      </c>
      <c r="I7874" t="s">
        <v>1050</v>
      </c>
    </row>
    <row r="7875" spans="1:9" hidden="1" x14ac:dyDescent="0.25">
      <c r="A7875" t="s">
        <v>6515</v>
      </c>
      <c r="B7875" t="s">
        <v>88</v>
      </c>
      <c r="C7875" s="2">
        <f>HYPERLINK("https://cao.dolgi.msk.ru/account/1080307188/", 1080307188)</f>
        <v>1080307188</v>
      </c>
      <c r="D7875" t="s">
        <v>6546</v>
      </c>
      <c r="E7875">
        <v>-9887.5300000000007</v>
      </c>
      <c r="F7875">
        <v>-1.38</v>
      </c>
      <c r="G7875" t="s">
        <v>12</v>
      </c>
      <c r="I7875" t="s">
        <v>1050</v>
      </c>
    </row>
    <row r="7876" spans="1:9" hidden="1" x14ac:dyDescent="0.25">
      <c r="A7876" t="s">
        <v>6515</v>
      </c>
      <c r="B7876" t="s">
        <v>90</v>
      </c>
      <c r="C7876" s="2">
        <f>HYPERLINK("https://cao.dolgi.msk.ru/account/1080307196/", 1080307196)</f>
        <v>1080307196</v>
      </c>
      <c r="D7876" t="s">
        <v>6547</v>
      </c>
      <c r="E7876">
        <v>31.46</v>
      </c>
      <c r="F7876">
        <v>0</v>
      </c>
      <c r="G7876" t="s">
        <v>12</v>
      </c>
      <c r="I7876" t="s">
        <v>1050</v>
      </c>
    </row>
    <row r="7877" spans="1:9" hidden="1" x14ac:dyDescent="0.25">
      <c r="A7877" t="s">
        <v>6515</v>
      </c>
      <c r="B7877" t="s">
        <v>92</v>
      </c>
      <c r="C7877" s="2">
        <f>HYPERLINK("https://cao.dolgi.msk.ru/account/1080307209/", 1080307209)</f>
        <v>1080307209</v>
      </c>
      <c r="D7877" t="s">
        <v>6548</v>
      </c>
      <c r="E7877">
        <v>-49.56</v>
      </c>
      <c r="F7877">
        <v>-0.01</v>
      </c>
      <c r="G7877" t="s">
        <v>12</v>
      </c>
      <c r="I7877" t="s">
        <v>1050</v>
      </c>
    </row>
    <row r="7878" spans="1:9" hidden="1" x14ac:dyDescent="0.25">
      <c r="A7878" t="s">
        <v>6515</v>
      </c>
      <c r="B7878" t="s">
        <v>94</v>
      </c>
      <c r="C7878" s="2">
        <f>HYPERLINK("https://cao.dolgi.msk.ru/account/1080307217/", 1080307217)</f>
        <v>1080307217</v>
      </c>
      <c r="D7878" t="s">
        <v>6549</v>
      </c>
      <c r="E7878">
        <v>-6598.2</v>
      </c>
      <c r="F7878">
        <v>-1.08</v>
      </c>
      <c r="G7878" t="s">
        <v>12</v>
      </c>
      <c r="I7878" t="s">
        <v>1050</v>
      </c>
    </row>
    <row r="7879" spans="1:9" hidden="1" x14ac:dyDescent="0.25">
      <c r="A7879" t="s">
        <v>6515</v>
      </c>
      <c r="B7879" t="s">
        <v>96</v>
      </c>
      <c r="C7879" s="2">
        <f>HYPERLINK("https://cao.dolgi.msk.ru/account/1080307225/", 1080307225)</f>
        <v>1080307225</v>
      </c>
      <c r="D7879" t="s">
        <v>6550</v>
      </c>
      <c r="E7879">
        <v>102.62</v>
      </c>
      <c r="F7879">
        <v>0.01</v>
      </c>
      <c r="G7879" t="s">
        <v>12</v>
      </c>
      <c r="I7879" t="s">
        <v>1050</v>
      </c>
    </row>
    <row r="7880" spans="1:9" hidden="1" x14ac:dyDescent="0.25">
      <c r="A7880" t="s">
        <v>6515</v>
      </c>
      <c r="B7880" t="s">
        <v>98</v>
      </c>
      <c r="C7880" s="2">
        <f>HYPERLINK("https://cao.dolgi.msk.ru/account/1080307233/", 1080307233)</f>
        <v>1080307233</v>
      </c>
      <c r="D7880" t="s">
        <v>6551</v>
      </c>
      <c r="E7880">
        <v>-19.399999999999999</v>
      </c>
      <c r="F7880">
        <v>-0.01</v>
      </c>
      <c r="G7880" t="s">
        <v>12</v>
      </c>
      <c r="I7880" t="s">
        <v>1050</v>
      </c>
    </row>
    <row r="7881" spans="1:9" hidden="1" x14ac:dyDescent="0.25">
      <c r="A7881" t="s">
        <v>6515</v>
      </c>
      <c r="B7881" t="s">
        <v>100</v>
      </c>
      <c r="C7881" s="2">
        <f>HYPERLINK("https://cao.dolgi.msk.ru/account/1080307241/", 1080307241)</f>
        <v>1080307241</v>
      </c>
      <c r="D7881" t="s">
        <v>6552</v>
      </c>
      <c r="E7881">
        <v>-4023.57</v>
      </c>
      <c r="F7881">
        <v>-1.29</v>
      </c>
      <c r="G7881" t="s">
        <v>12</v>
      </c>
      <c r="I7881" t="s">
        <v>1050</v>
      </c>
    </row>
    <row r="7882" spans="1:9" hidden="1" x14ac:dyDescent="0.25">
      <c r="A7882" t="s">
        <v>6515</v>
      </c>
      <c r="B7882" t="s">
        <v>102</v>
      </c>
      <c r="C7882" s="2">
        <f>HYPERLINK("https://cao.dolgi.msk.ru/account/1080307268/", 1080307268)</f>
        <v>1080307268</v>
      </c>
      <c r="D7882" t="s">
        <v>6553</v>
      </c>
      <c r="E7882">
        <v>0</v>
      </c>
      <c r="F7882">
        <v>0</v>
      </c>
      <c r="G7882" t="s">
        <v>12</v>
      </c>
      <c r="I7882" t="s">
        <v>1050</v>
      </c>
    </row>
    <row r="7883" spans="1:9" hidden="1" x14ac:dyDescent="0.25">
      <c r="A7883" t="s">
        <v>6515</v>
      </c>
      <c r="B7883" t="s">
        <v>104</v>
      </c>
      <c r="C7883" s="2">
        <f>HYPERLINK("https://cao.dolgi.msk.ru/account/1080307276/", 1080307276)</f>
        <v>1080307276</v>
      </c>
      <c r="D7883" t="s">
        <v>6554</v>
      </c>
      <c r="E7883">
        <v>8.84</v>
      </c>
      <c r="F7883">
        <v>0</v>
      </c>
      <c r="G7883" t="s">
        <v>12</v>
      </c>
      <c r="H7883" t="s">
        <v>7</v>
      </c>
      <c r="I7883" t="s">
        <v>1050</v>
      </c>
    </row>
    <row r="7884" spans="1:9" hidden="1" x14ac:dyDescent="0.25">
      <c r="A7884" t="s">
        <v>6515</v>
      </c>
      <c r="B7884" t="s">
        <v>104</v>
      </c>
      <c r="C7884" s="2">
        <f>HYPERLINK("https://cao.dolgi.msk.ru/account/1080307284/", 1080307284)</f>
        <v>1080307284</v>
      </c>
      <c r="D7884" t="s">
        <v>6554</v>
      </c>
      <c r="E7884">
        <v>-4282.54</v>
      </c>
      <c r="F7884">
        <v>-0.9</v>
      </c>
      <c r="G7884" t="s">
        <v>12</v>
      </c>
      <c r="H7884" t="s">
        <v>7</v>
      </c>
      <c r="I7884" t="s">
        <v>1050</v>
      </c>
    </row>
    <row r="7885" spans="1:9" hidden="1" x14ac:dyDescent="0.25">
      <c r="A7885" t="s">
        <v>6515</v>
      </c>
      <c r="B7885" t="s">
        <v>106</v>
      </c>
      <c r="C7885" s="2">
        <f>HYPERLINK("https://cao.dolgi.msk.ru/account/1080307292/", 1080307292)</f>
        <v>1080307292</v>
      </c>
      <c r="D7885" t="s">
        <v>6555</v>
      </c>
      <c r="E7885">
        <v>-19.399999999999999</v>
      </c>
      <c r="F7885">
        <v>0</v>
      </c>
      <c r="G7885" t="s">
        <v>12</v>
      </c>
      <c r="I7885" t="s">
        <v>1050</v>
      </c>
    </row>
    <row r="7886" spans="1:9" hidden="1" x14ac:dyDescent="0.25">
      <c r="A7886" t="s">
        <v>6515</v>
      </c>
      <c r="B7886" t="s">
        <v>108</v>
      </c>
      <c r="C7886" s="2">
        <f>HYPERLINK("https://cao.dolgi.msk.ru/account/1080307305/", 1080307305)</f>
        <v>1080307305</v>
      </c>
      <c r="D7886" t="s">
        <v>6556</v>
      </c>
      <c r="E7886">
        <v>-4777.5200000000004</v>
      </c>
      <c r="F7886">
        <v>-1.24</v>
      </c>
      <c r="G7886" t="s">
        <v>12</v>
      </c>
      <c r="I7886" t="s">
        <v>1050</v>
      </c>
    </row>
    <row r="7887" spans="1:9" hidden="1" x14ac:dyDescent="0.25">
      <c r="A7887" t="s">
        <v>6515</v>
      </c>
      <c r="B7887" t="s">
        <v>110</v>
      </c>
      <c r="C7887" s="2">
        <f>HYPERLINK("https://cao.dolgi.msk.ru/account/1080307313/", 1080307313)</f>
        <v>1080307313</v>
      </c>
      <c r="D7887" t="s">
        <v>6557</v>
      </c>
      <c r="E7887">
        <v>-4347.3599999999997</v>
      </c>
      <c r="F7887">
        <v>-1.33</v>
      </c>
      <c r="G7887" t="s">
        <v>12</v>
      </c>
      <c r="I7887" t="s">
        <v>1050</v>
      </c>
    </row>
    <row r="7888" spans="1:9" hidden="1" x14ac:dyDescent="0.25">
      <c r="A7888" t="s">
        <v>6515</v>
      </c>
      <c r="B7888" t="s">
        <v>112</v>
      </c>
      <c r="C7888" s="2">
        <f>HYPERLINK("https://cao.dolgi.msk.ru/account/1080307321/", 1080307321)</f>
        <v>1080307321</v>
      </c>
      <c r="D7888" t="s">
        <v>6558</v>
      </c>
      <c r="E7888">
        <v>-32152.36</v>
      </c>
      <c r="F7888">
        <v>-3.12</v>
      </c>
      <c r="G7888" t="s">
        <v>12</v>
      </c>
      <c r="I7888" t="s">
        <v>1050</v>
      </c>
    </row>
    <row r="7889" spans="1:9" hidden="1" x14ac:dyDescent="0.25">
      <c r="A7889" t="s">
        <v>6515</v>
      </c>
      <c r="B7889" t="s">
        <v>114</v>
      </c>
      <c r="C7889" s="2">
        <f>HYPERLINK("https://cao.dolgi.msk.ru/account/1080307348/", 1080307348)</f>
        <v>1080307348</v>
      </c>
      <c r="D7889" t="s">
        <v>6559</v>
      </c>
      <c r="E7889">
        <v>-6318.93</v>
      </c>
      <c r="F7889">
        <v>-1.27</v>
      </c>
      <c r="G7889" t="s">
        <v>12</v>
      </c>
      <c r="I7889" t="s">
        <v>1050</v>
      </c>
    </row>
    <row r="7890" spans="1:9" hidden="1" x14ac:dyDescent="0.25">
      <c r="A7890" t="s">
        <v>6515</v>
      </c>
      <c r="B7890" t="s">
        <v>116</v>
      </c>
      <c r="C7890" s="2">
        <f>HYPERLINK("https://cao.dolgi.msk.ru/account/1080307356/", 1080307356)</f>
        <v>1080307356</v>
      </c>
      <c r="D7890" t="s">
        <v>6560</v>
      </c>
      <c r="E7890">
        <v>-3146.4</v>
      </c>
      <c r="F7890">
        <v>-1.17</v>
      </c>
      <c r="G7890" t="s">
        <v>12</v>
      </c>
      <c r="I7890" t="s">
        <v>1050</v>
      </c>
    </row>
    <row r="7891" spans="1:9" hidden="1" x14ac:dyDescent="0.25">
      <c r="A7891" t="s">
        <v>6515</v>
      </c>
      <c r="B7891" t="s">
        <v>118</v>
      </c>
      <c r="C7891" s="2">
        <f>HYPERLINK("https://cao.dolgi.msk.ru/account/1080307364/", 1080307364)</f>
        <v>1080307364</v>
      </c>
      <c r="D7891" t="s">
        <v>6561</v>
      </c>
      <c r="E7891">
        <v>-4732.62</v>
      </c>
      <c r="F7891">
        <v>-1.63</v>
      </c>
      <c r="G7891" t="s">
        <v>12</v>
      </c>
      <c r="I7891" t="s">
        <v>1050</v>
      </c>
    </row>
    <row r="7892" spans="1:9" hidden="1" x14ac:dyDescent="0.25">
      <c r="A7892" t="s">
        <v>6515</v>
      </c>
      <c r="B7892" t="s">
        <v>122</v>
      </c>
      <c r="C7892" s="2">
        <f>HYPERLINK("https://cao.dolgi.msk.ru/account/1080307399/", 1080307399)</f>
        <v>1080307399</v>
      </c>
      <c r="D7892" t="s">
        <v>6562</v>
      </c>
      <c r="E7892">
        <v>-3655.7</v>
      </c>
      <c r="F7892">
        <v>-1.1100000000000001</v>
      </c>
      <c r="G7892" t="s">
        <v>12</v>
      </c>
      <c r="I7892" t="s">
        <v>1050</v>
      </c>
    </row>
    <row r="7893" spans="1:9" hidden="1" x14ac:dyDescent="0.25">
      <c r="A7893" t="s">
        <v>6515</v>
      </c>
      <c r="B7893" t="s">
        <v>122</v>
      </c>
      <c r="C7893" s="2">
        <f>HYPERLINK("https://cao.dolgi.msk.ru/account/1083270085/", 1083270085)</f>
        <v>1083270085</v>
      </c>
      <c r="D7893" t="s">
        <v>15</v>
      </c>
      <c r="E7893">
        <v>0</v>
      </c>
      <c r="G7893" t="s">
        <v>14</v>
      </c>
      <c r="I7893" t="s">
        <v>1050</v>
      </c>
    </row>
    <row r="7894" spans="1:9" hidden="1" x14ac:dyDescent="0.25">
      <c r="A7894" t="s">
        <v>6515</v>
      </c>
      <c r="B7894" t="s">
        <v>124</v>
      </c>
      <c r="C7894" s="2">
        <f>HYPERLINK("https://cao.dolgi.msk.ru/account/1080307401/", 1080307401)</f>
        <v>1080307401</v>
      </c>
      <c r="D7894" t="s">
        <v>6563</v>
      </c>
      <c r="E7894">
        <v>-5901.14</v>
      </c>
      <c r="F7894">
        <v>-1.17</v>
      </c>
      <c r="G7894" t="s">
        <v>12</v>
      </c>
      <c r="I7894" t="s">
        <v>1050</v>
      </c>
    </row>
    <row r="7895" spans="1:9" hidden="1" x14ac:dyDescent="0.25">
      <c r="A7895" t="s">
        <v>6515</v>
      </c>
      <c r="B7895" t="s">
        <v>126</v>
      </c>
      <c r="C7895" s="2">
        <f>HYPERLINK("https://cao.dolgi.msk.ru/account/1080307428/", 1080307428)</f>
        <v>1080307428</v>
      </c>
      <c r="D7895" t="s">
        <v>6564</v>
      </c>
      <c r="E7895">
        <v>-1659.13</v>
      </c>
      <c r="F7895">
        <v>-1.25</v>
      </c>
      <c r="G7895" t="s">
        <v>12</v>
      </c>
      <c r="I7895" t="s">
        <v>1050</v>
      </c>
    </row>
    <row r="7896" spans="1:9" hidden="1" x14ac:dyDescent="0.25">
      <c r="A7896" t="s">
        <v>6515</v>
      </c>
      <c r="B7896" t="s">
        <v>128</v>
      </c>
      <c r="C7896" s="2">
        <f>HYPERLINK("https://cao.dolgi.msk.ru/account/1080307436/", 1080307436)</f>
        <v>1080307436</v>
      </c>
      <c r="D7896" t="s">
        <v>6565</v>
      </c>
      <c r="E7896">
        <v>-8362.4500000000007</v>
      </c>
      <c r="F7896">
        <v>-1.46</v>
      </c>
      <c r="G7896" t="s">
        <v>12</v>
      </c>
      <c r="I7896" t="s">
        <v>1050</v>
      </c>
    </row>
    <row r="7897" spans="1:9" x14ac:dyDescent="0.25">
      <c r="A7897" t="s">
        <v>6515</v>
      </c>
      <c r="B7897" t="s">
        <v>130</v>
      </c>
      <c r="C7897" s="2">
        <f>HYPERLINK("https://cao.dolgi.msk.ru/account/1080307444/", 1080307444)</f>
        <v>1080307444</v>
      </c>
      <c r="D7897" t="s">
        <v>6566</v>
      </c>
      <c r="E7897">
        <v>14463.63</v>
      </c>
      <c r="F7897">
        <v>2.71</v>
      </c>
      <c r="G7897" t="s">
        <v>12</v>
      </c>
      <c r="I7897" t="s">
        <v>1050</v>
      </c>
    </row>
    <row r="7898" spans="1:9" hidden="1" x14ac:dyDescent="0.25">
      <c r="A7898" t="s">
        <v>6515</v>
      </c>
      <c r="B7898" t="s">
        <v>132</v>
      </c>
      <c r="C7898" s="2">
        <f>HYPERLINK("https://cao.dolgi.msk.ru/account/1080307452/", 1080307452)</f>
        <v>1080307452</v>
      </c>
      <c r="D7898" t="s">
        <v>6567</v>
      </c>
      <c r="E7898">
        <v>-3405.2</v>
      </c>
      <c r="F7898">
        <v>-0.9</v>
      </c>
      <c r="G7898" t="s">
        <v>12</v>
      </c>
      <c r="I7898" t="s">
        <v>1050</v>
      </c>
    </row>
    <row r="7899" spans="1:9" hidden="1" x14ac:dyDescent="0.25">
      <c r="A7899" t="s">
        <v>6515</v>
      </c>
      <c r="B7899" t="s">
        <v>133</v>
      </c>
      <c r="C7899" s="2">
        <f>HYPERLINK("https://cao.dolgi.msk.ru/account/1080307479/", 1080307479)</f>
        <v>1080307479</v>
      </c>
      <c r="D7899" t="s">
        <v>6568</v>
      </c>
      <c r="E7899">
        <v>-5288.16</v>
      </c>
      <c r="F7899">
        <v>-1.0900000000000001</v>
      </c>
      <c r="G7899" t="s">
        <v>12</v>
      </c>
      <c r="I7899" t="s">
        <v>1050</v>
      </c>
    </row>
    <row r="7900" spans="1:9" hidden="1" x14ac:dyDescent="0.25">
      <c r="A7900" t="s">
        <v>6569</v>
      </c>
      <c r="B7900" t="s">
        <v>10</v>
      </c>
      <c r="C7900" s="2">
        <f>HYPERLINK("https://cao.dolgi.msk.ru/account/1080304243/", 1080304243)</f>
        <v>1080304243</v>
      </c>
      <c r="D7900" t="s">
        <v>6570</v>
      </c>
      <c r="E7900">
        <v>91.26</v>
      </c>
      <c r="F7900">
        <v>0.05</v>
      </c>
      <c r="G7900" t="s">
        <v>12</v>
      </c>
      <c r="H7900" t="s">
        <v>7</v>
      </c>
      <c r="I7900" t="s">
        <v>1050</v>
      </c>
    </row>
    <row r="7901" spans="1:9" hidden="1" x14ac:dyDescent="0.25">
      <c r="A7901" t="s">
        <v>6569</v>
      </c>
      <c r="B7901" t="s">
        <v>10</v>
      </c>
      <c r="C7901" s="2">
        <f>HYPERLINK("https://cao.dolgi.msk.ru/account/1080304294/", 1080304294)</f>
        <v>1080304294</v>
      </c>
      <c r="D7901" t="s">
        <v>6571</v>
      </c>
      <c r="E7901">
        <v>-77.599999999999994</v>
      </c>
      <c r="F7901">
        <v>-0.03</v>
      </c>
      <c r="G7901" t="s">
        <v>12</v>
      </c>
      <c r="H7901" t="s">
        <v>7</v>
      </c>
      <c r="I7901" t="s">
        <v>1050</v>
      </c>
    </row>
    <row r="7902" spans="1:9" hidden="1" x14ac:dyDescent="0.25">
      <c r="A7902" t="s">
        <v>6569</v>
      </c>
      <c r="B7902" t="s">
        <v>16</v>
      </c>
      <c r="C7902" s="2">
        <f>HYPERLINK("https://cao.dolgi.msk.ru/account/1080304251/", 1080304251)</f>
        <v>1080304251</v>
      </c>
      <c r="D7902" t="s">
        <v>6572</v>
      </c>
      <c r="E7902">
        <v>-6543.63</v>
      </c>
      <c r="F7902">
        <v>-1.0900000000000001</v>
      </c>
      <c r="G7902" t="s">
        <v>12</v>
      </c>
      <c r="I7902" t="s">
        <v>1050</v>
      </c>
    </row>
    <row r="7903" spans="1:9" hidden="1" x14ac:dyDescent="0.25">
      <c r="A7903" t="s">
        <v>6569</v>
      </c>
      <c r="B7903" t="s">
        <v>18</v>
      </c>
      <c r="C7903" s="2">
        <f>HYPERLINK("https://cao.dolgi.msk.ru/account/1080304278/", 1080304278)</f>
        <v>1080304278</v>
      </c>
      <c r="D7903" t="s">
        <v>6573</v>
      </c>
      <c r="E7903">
        <v>-4914.1899999999996</v>
      </c>
      <c r="F7903">
        <v>-1.27</v>
      </c>
      <c r="G7903" t="s">
        <v>12</v>
      </c>
      <c r="I7903" t="s">
        <v>1050</v>
      </c>
    </row>
    <row r="7904" spans="1:9" hidden="1" x14ac:dyDescent="0.25">
      <c r="A7904" t="s">
        <v>6569</v>
      </c>
      <c r="B7904" t="s">
        <v>20</v>
      </c>
      <c r="C7904" s="2">
        <f>HYPERLINK("https://cao.dolgi.msk.ru/account/1080304286/", 1080304286)</f>
        <v>1080304286</v>
      </c>
      <c r="D7904" t="s">
        <v>6574</v>
      </c>
      <c r="E7904">
        <v>73.16</v>
      </c>
      <c r="F7904">
        <v>0.01</v>
      </c>
      <c r="G7904" t="s">
        <v>12</v>
      </c>
      <c r="I7904" t="s">
        <v>1050</v>
      </c>
    </row>
    <row r="7905" spans="1:9" hidden="1" x14ac:dyDescent="0.25">
      <c r="A7905" t="s">
        <v>6569</v>
      </c>
      <c r="B7905" t="s">
        <v>21</v>
      </c>
      <c r="C7905" s="2">
        <f>HYPERLINK("https://cao.dolgi.msk.ru/account/1080304307/", 1080304307)</f>
        <v>1080304307</v>
      </c>
      <c r="D7905" t="s">
        <v>6575</v>
      </c>
      <c r="E7905">
        <v>-7004.42</v>
      </c>
      <c r="F7905">
        <v>-1.1599999999999999</v>
      </c>
      <c r="G7905" t="s">
        <v>12</v>
      </c>
      <c r="I7905" t="s">
        <v>1050</v>
      </c>
    </row>
    <row r="7906" spans="1:9" hidden="1" x14ac:dyDescent="0.25">
      <c r="A7906" t="s">
        <v>6569</v>
      </c>
      <c r="B7906" t="s">
        <v>22</v>
      </c>
      <c r="C7906" s="2">
        <f>HYPERLINK("https://cao.dolgi.msk.ru/account/1080304315/", 1080304315)</f>
        <v>1080304315</v>
      </c>
      <c r="D7906" t="s">
        <v>6576</v>
      </c>
      <c r="E7906">
        <v>-5677.16</v>
      </c>
      <c r="F7906">
        <v>-1.0900000000000001</v>
      </c>
      <c r="G7906" t="s">
        <v>12</v>
      </c>
      <c r="I7906" t="s">
        <v>1050</v>
      </c>
    </row>
    <row r="7907" spans="1:9" hidden="1" x14ac:dyDescent="0.25">
      <c r="A7907" t="s">
        <v>6569</v>
      </c>
      <c r="B7907" t="s">
        <v>23</v>
      </c>
      <c r="C7907" s="2">
        <f>HYPERLINK("https://cao.dolgi.msk.ru/account/1080304323/", 1080304323)</f>
        <v>1080304323</v>
      </c>
      <c r="D7907" t="s">
        <v>6577</v>
      </c>
      <c r="E7907">
        <v>-6928.54</v>
      </c>
      <c r="F7907">
        <v>-1.08</v>
      </c>
      <c r="G7907" t="s">
        <v>12</v>
      </c>
      <c r="I7907" t="s">
        <v>1050</v>
      </c>
    </row>
    <row r="7908" spans="1:9" hidden="1" x14ac:dyDescent="0.25">
      <c r="A7908" t="s">
        <v>6569</v>
      </c>
      <c r="B7908" t="s">
        <v>24</v>
      </c>
      <c r="C7908" s="2">
        <f>HYPERLINK("https://cao.dolgi.msk.ru/account/1080304331/", 1080304331)</f>
        <v>1080304331</v>
      </c>
      <c r="D7908" t="s">
        <v>6578</v>
      </c>
      <c r="E7908">
        <v>-3587.63</v>
      </c>
      <c r="F7908">
        <v>-0.98</v>
      </c>
      <c r="G7908" t="s">
        <v>12</v>
      </c>
      <c r="I7908" t="s">
        <v>1050</v>
      </c>
    </row>
    <row r="7909" spans="1:9" hidden="1" x14ac:dyDescent="0.25">
      <c r="A7909" t="s">
        <v>6569</v>
      </c>
      <c r="B7909" t="s">
        <v>27</v>
      </c>
      <c r="C7909" s="2">
        <f>HYPERLINK("https://cao.dolgi.msk.ru/account/1080304358/", 1080304358)</f>
        <v>1080304358</v>
      </c>
      <c r="D7909" t="s">
        <v>6579</v>
      </c>
      <c r="E7909">
        <v>-6869.35</v>
      </c>
      <c r="F7909">
        <v>-1.26</v>
      </c>
      <c r="G7909" t="s">
        <v>12</v>
      </c>
      <c r="I7909" t="s">
        <v>1050</v>
      </c>
    </row>
    <row r="7910" spans="1:9" hidden="1" x14ac:dyDescent="0.25">
      <c r="A7910" t="s">
        <v>6569</v>
      </c>
      <c r="B7910" t="s">
        <v>29</v>
      </c>
      <c r="C7910" s="2">
        <f>HYPERLINK("https://cao.dolgi.msk.ru/account/1080304366/", 1080304366)</f>
        <v>1080304366</v>
      </c>
      <c r="D7910" t="s">
        <v>6580</v>
      </c>
      <c r="E7910">
        <v>-4970.57</v>
      </c>
      <c r="F7910">
        <v>-1</v>
      </c>
      <c r="G7910" t="s">
        <v>12</v>
      </c>
      <c r="I7910" t="s">
        <v>1050</v>
      </c>
    </row>
    <row r="7911" spans="1:9" hidden="1" x14ac:dyDescent="0.25">
      <c r="A7911" t="s">
        <v>6569</v>
      </c>
      <c r="B7911" t="s">
        <v>31</v>
      </c>
      <c r="C7911" s="2">
        <f>HYPERLINK("https://cao.dolgi.msk.ru/account/1080304374/", 1080304374)</f>
        <v>1080304374</v>
      </c>
      <c r="D7911" t="s">
        <v>6581</v>
      </c>
      <c r="E7911">
        <v>-5965.21</v>
      </c>
      <c r="F7911">
        <v>-1.08</v>
      </c>
      <c r="G7911" t="s">
        <v>12</v>
      </c>
      <c r="I7911" t="s">
        <v>1050</v>
      </c>
    </row>
    <row r="7912" spans="1:9" hidden="1" x14ac:dyDescent="0.25">
      <c r="A7912" t="s">
        <v>6569</v>
      </c>
      <c r="B7912" t="s">
        <v>33</v>
      </c>
      <c r="C7912" s="2">
        <f>HYPERLINK("https://cao.dolgi.msk.ru/account/1080304382/", 1080304382)</f>
        <v>1080304382</v>
      </c>
      <c r="D7912" t="s">
        <v>6582</v>
      </c>
      <c r="E7912">
        <v>-6393.75</v>
      </c>
      <c r="F7912">
        <v>-1.1100000000000001</v>
      </c>
      <c r="G7912" t="s">
        <v>12</v>
      </c>
      <c r="I7912" t="s">
        <v>1050</v>
      </c>
    </row>
    <row r="7913" spans="1:9" hidden="1" x14ac:dyDescent="0.25">
      <c r="A7913" t="s">
        <v>6569</v>
      </c>
      <c r="B7913" t="s">
        <v>34</v>
      </c>
      <c r="C7913" s="2">
        <f>HYPERLINK("https://cao.dolgi.msk.ru/account/1080304403/", 1080304403)</f>
        <v>1080304403</v>
      </c>
      <c r="D7913" t="s">
        <v>6583</v>
      </c>
      <c r="E7913">
        <v>-9256.09</v>
      </c>
      <c r="F7913">
        <v>-1.04</v>
      </c>
      <c r="G7913" t="s">
        <v>12</v>
      </c>
      <c r="I7913" t="s">
        <v>1050</v>
      </c>
    </row>
    <row r="7914" spans="1:9" hidden="1" x14ac:dyDescent="0.25">
      <c r="A7914" t="s">
        <v>6569</v>
      </c>
      <c r="B7914" t="s">
        <v>36</v>
      </c>
      <c r="C7914" s="2">
        <f>HYPERLINK("https://cao.dolgi.msk.ru/account/1080304411/", 1080304411)</f>
        <v>1080304411</v>
      </c>
      <c r="D7914" t="s">
        <v>6584</v>
      </c>
      <c r="E7914">
        <v>-1498.08</v>
      </c>
      <c r="F7914">
        <v>-0.3</v>
      </c>
      <c r="G7914" t="s">
        <v>12</v>
      </c>
      <c r="I7914" t="s">
        <v>1050</v>
      </c>
    </row>
    <row r="7915" spans="1:9" hidden="1" x14ac:dyDescent="0.25">
      <c r="A7915" t="s">
        <v>6569</v>
      </c>
      <c r="B7915" t="s">
        <v>38</v>
      </c>
      <c r="C7915" s="2">
        <f>HYPERLINK("https://cao.dolgi.msk.ru/account/1080304438/", 1080304438)</f>
        <v>1080304438</v>
      </c>
      <c r="D7915" t="s">
        <v>6585</v>
      </c>
      <c r="E7915">
        <v>-10223.41</v>
      </c>
      <c r="F7915">
        <v>-1.17</v>
      </c>
      <c r="G7915" t="s">
        <v>12</v>
      </c>
      <c r="I7915" t="s">
        <v>1050</v>
      </c>
    </row>
    <row r="7916" spans="1:9" hidden="1" x14ac:dyDescent="0.25">
      <c r="A7916" t="s">
        <v>6569</v>
      </c>
      <c r="B7916" t="s">
        <v>39</v>
      </c>
      <c r="C7916" s="2">
        <f>HYPERLINK("https://cao.dolgi.msk.ru/account/1080304446/", 1080304446)</f>
        <v>1080304446</v>
      </c>
      <c r="D7916" t="s">
        <v>6586</v>
      </c>
      <c r="E7916">
        <v>4383.6499999999996</v>
      </c>
      <c r="F7916">
        <v>0.49</v>
      </c>
      <c r="G7916" t="s">
        <v>12</v>
      </c>
      <c r="I7916" t="s">
        <v>1050</v>
      </c>
    </row>
    <row r="7917" spans="1:9" hidden="1" x14ac:dyDescent="0.25">
      <c r="A7917" t="s">
        <v>6569</v>
      </c>
      <c r="B7917" t="s">
        <v>40</v>
      </c>
      <c r="C7917" s="2">
        <f>HYPERLINK("https://cao.dolgi.msk.ru/account/1080304454/", 1080304454)</f>
        <v>1080304454</v>
      </c>
      <c r="D7917" t="s">
        <v>6587</v>
      </c>
      <c r="E7917">
        <v>-10401.51</v>
      </c>
      <c r="F7917">
        <v>-1.07</v>
      </c>
      <c r="G7917" t="s">
        <v>12</v>
      </c>
      <c r="I7917" t="s">
        <v>1050</v>
      </c>
    </row>
    <row r="7918" spans="1:9" hidden="1" x14ac:dyDescent="0.25">
      <c r="A7918" t="s">
        <v>6569</v>
      </c>
      <c r="B7918" t="s">
        <v>41</v>
      </c>
      <c r="C7918" s="2">
        <f>HYPERLINK("https://cao.dolgi.msk.ru/account/1080304462/", 1080304462)</f>
        <v>1080304462</v>
      </c>
      <c r="D7918" t="s">
        <v>6588</v>
      </c>
      <c r="E7918">
        <v>-7899.17</v>
      </c>
      <c r="F7918">
        <v>-1.07</v>
      </c>
      <c r="G7918" t="s">
        <v>12</v>
      </c>
      <c r="I7918" t="s">
        <v>1050</v>
      </c>
    </row>
    <row r="7919" spans="1:9" hidden="1" x14ac:dyDescent="0.25">
      <c r="A7919" t="s">
        <v>6569</v>
      </c>
      <c r="B7919" t="s">
        <v>42</v>
      </c>
      <c r="C7919" s="2">
        <f>HYPERLINK("https://cao.dolgi.msk.ru/account/1080304489/", 1080304489)</f>
        <v>1080304489</v>
      </c>
      <c r="D7919" t="s">
        <v>6589</v>
      </c>
      <c r="E7919">
        <v>-10640.11</v>
      </c>
      <c r="F7919">
        <v>-1.1100000000000001</v>
      </c>
      <c r="G7919" t="s">
        <v>12</v>
      </c>
      <c r="I7919" t="s">
        <v>1050</v>
      </c>
    </row>
    <row r="7920" spans="1:9" hidden="1" x14ac:dyDescent="0.25">
      <c r="A7920" t="s">
        <v>6569</v>
      </c>
      <c r="B7920" t="s">
        <v>44</v>
      </c>
      <c r="C7920" s="2">
        <f>HYPERLINK("https://cao.dolgi.msk.ru/account/1080304497/", 1080304497)</f>
        <v>1080304497</v>
      </c>
      <c r="D7920" t="s">
        <v>6590</v>
      </c>
      <c r="E7920">
        <v>0</v>
      </c>
      <c r="F7920">
        <v>0</v>
      </c>
      <c r="G7920" t="s">
        <v>12</v>
      </c>
      <c r="I7920" t="s">
        <v>1050</v>
      </c>
    </row>
    <row r="7921" spans="1:9" hidden="1" x14ac:dyDescent="0.25">
      <c r="A7921" t="s">
        <v>6569</v>
      </c>
      <c r="B7921" t="s">
        <v>66</v>
      </c>
      <c r="C7921" s="2">
        <f>HYPERLINK("https://cao.dolgi.msk.ru/account/1080304518/", 1080304518)</f>
        <v>1080304518</v>
      </c>
      <c r="D7921" t="s">
        <v>6591</v>
      </c>
      <c r="E7921">
        <v>-6212.45</v>
      </c>
      <c r="F7921">
        <v>-1.1599999999999999</v>
      </c>
      <c r="G7921" t="s">
        <v>12</v>
      </c>
      <c r="I7921" t="s">
        <v>1050</v>
      </c>
    </row>
    <row r="7922" spans="1:9" hidden="1" x14ac:dyDescent="0.25">
      <c r="A7922" t="s">
        <v>6569</v>
      </c>
      <c r="B7922" t="s">
        <v>68</v>
      </c>
      <c r="C7922" s="2">
        <f>HYPERLINK("https://cao.dolgi.msk.ru/account/1080304526/", 1080304526)</f>
        <v>1080304526</v>
      </c>
      <c r="D7922" t="s">
        <v>6592</v>
      </c>
      <c r="E7922">
        <v>-18228.77</v>
      </c>
      <c r="F7922">
        <v>-1.06</v>
      </c>
      <c r="G7922" t="s">
        <v>12</v>
      </c>
      <c r="I7922" t="s">
        <v>1050</v>
      </c>
    </row>
    <row r="7923" spans="1:9" hidden="1" x14ac:dyDescent="0.25">
      <c r="A7923" t="s">
        <v>6569</v>
      </c>
      <c r="B7923" t="s">
        <v>70</v>
      </c>
      <c r="C7923" s="2">
        <f>HYPERLINK("https://cao.dolgi.msk.ru/account/1080304534/", 1080304534)</f>
        <v>1080304534</v>
      </c>
      <c r="D7923" t="s">
        <v>6593</v>
      </c>
      <c r="E7923">
        <v>-10631.64</v>
      </c>
      <c r="F7923">
        <v>-1.1000000000000001</v>
      </c>
      <c r="G7923" t="s">
        <v>12</v>
      </c>
      <c r="I7923" t="s">
        <v>1050</v>
      </c>
    </row>
    <row r="7924" spans="1:9" hidden="1" x14ac:dyDescent="0.25">
      <c r="A7924" t="s">
        <v>6569</v>
      </c>
      <c r="B7924" t="s">
        <v>72</v>
      </c>
      <c r="C7924" s="2">
        <f>HYPERLINK("https://cao.dolgi.msk.ru/account/1080304542/", 1080304542)</f>
        <v>1080304542</v>
      </c>
      <c r="D7924" t="s">
        <v>6594</v>
      </c>
      <c r="E7924">
        <v>-9473.83</v>
      </c>
      <c r="F7924">
        <v>-1.0900000000000001</v>
      </c>
      <c r="G7924" t="s">
        <v>12</v>
      </c>
      <c r="I7924" t="s">
        <v>1050</v>
      </c>
    </row>
    <row r="7925" spans="1:9" hidden="1" x14ac:dyDescent="0.25">
      <c r="A7925" t="s">
        <v>6569</v>
      </c>
      <c r="B7925" t="s">
        <v>74</v>
      </c>
      <c r="C7925" s="2">
        <f>HYPERLINK("https://cao.dolgi.msk.ru/account/1080304569/", 1080304569)</f>
        <v>1080304569</v>
      </c>
      <c r="D7925" t="s">
        <v>6595</v>
      </c>
      <c r="E7925">
        <v>-3003.2</v>
      </c>
      <c r="F7925">
        <v>-1.17</v>
      </c>
      <c r="G7925" t="s">
        <v>12</v>
      </c>
      <c r="H7925" t="s">
        <v>7</v>
      </c>
      <c r="I7925" t="s">
        <v>1050</v>
      </c>
    </row>
    <row r="7926" spans="1:9" hidden="1" x14ac:dyDescent="0.25">
      <c r="A7926" t="s">
        <v>6569</v>
      </c>
      <c r="B7926" t="s">
        <v>74</v>
      </c>
      <c r="C7926" s="2">
        <f>HYPERLINK("https://cao.dolgi.msk.ru/account/1080304577/", 1080304577)</f>
        <v>1080304577</v>
      </c>
      <c r="D7926" t="s">
        <v>6596</v>
      </c>
      <c r="E7926">
        <v>-8194.91</v>
      </c>
      <c r="F7926">
        <v>-1.26</v>
      </c>
      <c r="G7926" t="s">
        <v>12</v>
      </c>
      <c r="H7926" t="s">
        <v>7</v>
      </c>
      <c r="I7926" t="s">
        <v>1050</v>
      </c>
    </row>
    <row r="7927" spans="1:9" hidden="1" x14ac:dyDescent="0.25">
      <c r="A7927" t="s">
        <v>6569</v>
      </c>
      <c r="B7927" t="s">
        <v>76</v>
      </c>
      <c r="C7927" s="2">
        <f>HYPERLINK("https://cao.dolgi.msk.ru/account/1080304585/", 1080304585)</f>
        <v>1080304585</v>
      </c>
      <c r="D7927" t="s">
        <v>6597</v>
      </c>
      <c r="E7927">
        <v>-3467.44</v>
      </c>
      <c r="F7927">
        <v>-0.35</v>
      </c>
      <c r="G7927" t="s">
        <v>12</v>
      </c>
      <c r="I7927" t="s">
        <v>1050</v>
      </c>
    </row>
    <row r="7928" spans="1:9" hidden="1" x14ac:dyDescent="0.25">
      <c r="A7928" t="s">
        <v>6569</v>
      </c>
      <c r="B7928" t="s">
        <v>78</v>
      </c>
      <c r="C7928" s="2">
        <f>HYPERLINK("https://cao.dolgi.msk.ru/account/1080304593/", 1080304593)</f>
        <v>1080304593</v>
      </c>
      <c r="D7928" t="s">
        <v>6598</v>
      </c>
      <c r="E7928">
        <v>-7672.11</v>
      </c>
      <c r="F7928">
        <v>-0.87</v>
      </c>
      <c r="G7928" t="s">
        <v>12</v>
      </c>
      <c r="I7928" t="s">
        <v>1050</v>
      </c>
    </row>
    <row r="7929" spans="1:9" hidden="1" x14ac:dyDescent="0.25">
      <c r="A7929" t="s">
        <v>6569</v>
      </c>
      <c r="B7929" t="s">
        <v>80</v>
      </c>
      <c r="C7929" s="2">
        <f>HYPERLINK("https://cao.dolgi.msk.ru/account/1080304606/", 1080304606)</f>
        <v>1080304606</v>
      </c>
      <c r="D7929" t="s">
        <v>6599</v>
      </c>
      <c r="E7929">
        <v>17663.29</v>
      </c>
      <c r="F7929">
        <v>1</v>
      </c>
      <c r="G7929" t="s">
        <v>12</v>
      </c>
      <c r="I7929" t="s">
        <v>1050</v>
      </c>
    </row>
    <row r="7930" spans="1:9" hidden="1" x14ac:dyDescent="0.25">
      <c r="A7930" t="s">
        <v>6569</v>
      </c>
      <c r="B7930" t="s">
        <v>82</v>
      </c>
      <c r="C7930" s="2">
        <f>HYPERLINK("https://cao.dolgi.msk.ru/account/1080304614/", 1080304614)</f>
        <v>1080304614</v>
      </c>
      <c r="D7930" t="s">
        <v>6600</v>
      </c>
      <c r="E7930">
        <v>0</v>
      </c>
      <c r="F7930">
        <v>0</v>
      </c>
      <c r="G7930" t="s">
        <v>12</v>
      </c>
      <c r="I7930" t="s">
        <v>1050</v>
      </c>
    </row>
    <row r="7931" spans="1:9" hidden="1" x14ac:dyDescent="0.25">
      <c r="A7931" t="s">
        <v>6569</v>
      </c>
      <c r="B7931" t="s">
        <v>84</v>
      </c>
      <c r="C7931" s="2">
        <f>HYPERLINK("https://cao.dolgi.msk.ru/account/1080304622/", 1080304622)</f>
        <v>1080304622</v>
      </c>
      <c r="D7931" t="s">
        <v>15</v>
      </c>
      <c r="E7931">
        <v>-9326.14</v>
      </c>
      <c r="F7931">
        <v>-1.31</v>
      </c>
      <c r="G7931" t="s">
        <v>12</v>
      </c>
      <c r="I7931" t="s">
        <v>1050</v>
      </c>
    </row>
    <row r="7932" spans="1:9" hidden="1" x14ac:dyDescent="0.25">
      <c r="A7932" t="s">
        <v>6569</v>
      </c>
      <c r="B7932" t="s">
        <v>86</v>
      </c>
      <c r="C7932" s="2">
        <f>HYPERLINK("https://cao.dolgi.msk.ru/account/1080304649/", 1080304649)</f>
        <v>1080304649</v>
      </c>
      <c r="D7932" t="s">
        <v>6601</v>
      </c>
      <c r="E7932">
        <v>3114.56</v>
      </c>
      <c r="F7932">
        <v>0.41</v>
      </c>
      <c r="G7932" t="s">
        <v>12</v>
      </c>
      <c r="I7932" t="s">
        <v>1050</v>
      </c>
    </row>
    <row r="7933" spans="1:9" hidden="1" x14ac:dyDescent="0.25">
      <c r="A7933" t="s">
        <v>6569</v>
      </c>
      <c r="B7933" t="s">
        <v>88</v>
      </c>
      <c r="C7933" s="2">
        <f>HYPERLINK("https://cao.dolgi.msk.ru/account/1080304657/", 1080304657)</f>
        <v>1080304657</v>
      </c>
      <c r="D7933" t="s">
        <v>6602</v>
      </c>
      <c r="E7933">
        <v>-9542.07</v>
      </c>
      <c r="F7933">
        <v>-1.05</v>
      </c>
      <c r="G7933" t="s">
        <v>12</v>
      </c>
      <c r="I7933" t="s">
        <v>1050</v>
      </c>
    </row>
    <row r="7934" spans="1:9" hidden="1" x14ac:dyDescent="0.25">
      <c r="A7934" t="s">
        <v>6569</v>
      </c>
      <c r="B7934" t="s">
        <v>90</v>
      </c>
      <c r="C7934" s="2">
        <f>HYPERLINK("https://cao.dolgi.msk.ru/account/1080304665/", 1080304665)</f>
        <v>1080304665</v>
      </c>
      <c r="D7934" t="s">
        <v>6603</v>
      </c>
      <c r="E7934">
        <v>-77.599999999999994</v>
      </c>
      <c r="F7934">
        <v>-0.01</v>
      </c>
      <c r="G7934" t="s">
        <v>12</v>
      </c>
      <c r="I7934" t="s">
        <v>1050</v>
      </c>
    </row>
    <row r="7935" spans="1:9" hidden="1" x14ac:dyDescent="0.25">
      <c r="A7935" t="s">
        <v>6569</v>
      </c>
      <c r="B7935" t="s">
        <v>92</v>
      </c>
      <c r="C7935" s="2">
        <f>HYPERLINK("https://cao.dolgi.msk.ru/account/1080304673/", 1080304673)</f>
        <v>1080304673</v>
      </c>
      <c r="D7935" t="s">
        <v>6604</v>
      </c>
      <c r="E7935">
        <v>8336.4</v>
      </c>
      <c r="F7935">
        <v>0.85</v>
      </c>
      <c r="G7935" t="s">
        <v>12</v>
      </c>
      <c r="I7935" t="s">
        <v>1050</v>
      </c>
    </row>
    <row r="7936" spans="1:9" hidden="1" x14ac:dyDescent="0.25">
      <c r="A7936" t="s">
        <v>6569</v>
      </c>
      <c r="B7936" t="s">
        <v>94</v>
      </c>
      <c r="C7936" s="2">
        <f>HYPERLINK("https://cao.dolgi.msk.ru/account/1080304681/", 1080304681)</f>
        <v>1080304681</v>
      </c>
      <c r="D7936" t="s">
        <v>6605</v>
      </c>
      <c r="E7936">
        <v>-4747.83</v>
      </c>
      <c r="F7936">
        <v>-0.73</v>
      </c>
      <c r="G7936" t="s">
        <v>12</v>
      </c>
      <c r="I7936" t="s">
        <v>1050</v>
      </c>
    </row>
    <row r="7937" spans="1:9" hidden="1" x14ac:dyDescent="0.25">
      <c r="A7937" t="s">
        <v>6569</v>
      </c>
      <c r="B7937" t="s">
        <v>96</v>
      </c>
      <c r="C7937" s="2">
        <f>HYPERLINK("https://cao.dolgi.msk.ru/account/1080304702/", 1080304702)</f>
        <v>1080304702</v>
      </c>
      <c r="D7937" t="s">
        <v>6606</v>
      </c>
      <c r="E7937">
        <v>-12410.12</v>
      </c>
      <c r="F7937">
        <v>-1.0900000000000001</v>
      </c>
      <c r="G7937" t="s">
        <v>12</v>
      </c>
      <c r="I7937" t="s">
        <v>1050</v>
      </c>
    </row>
    <row r="7938" spans="1:9" hidden="1" x14ac:dyDescent="0.25">
      <c r="A7938" t="s">
        <v>6569</v>
      </c>
      <c r="B7938" t="s">
        <v>98</v>
      </c>
      <c r="C7938" s="2">
        <f>HYPERLINK("https://cao.dolgi.msk.ru/account/1080304729/", 1080304729)</f>
        <v>1080304729</v>
      </c>
      <c r="D7938" t="s">
        <v>6607</v>
      </c>
      <c r="E7938">
        <v>-7528.82</v>
      </c>
      <c r="F7938">
        <v>-1.17</v>
      </c>
      <c r="G7938" t="s">
        <v>12</v>
      </c>
      <c r="I7938" t="s">
        <v>1050</v>
      </c>
    </row>
    <row r="7939" spans="1:9" hidden="1" x14ac:dyDescent="0.25">
      <c r="A7939" t="s">
        <v>6569</v>
      </c>
      <c r="B7939" t="s">
        <v>98</v>
      </c>
      <c r="C7939" s="2">
        <f>HYPERLINK("https://cao.dolgi.msk.ru/account/1083283855/", 1083283855)</f>
        <v>1083283855</v>
      </c>
      <c r="D7939" t="s">
        <v>15</v>
      </c>
      <c r="E7939">
        <v>0</v>
      </c>
      <c r="G7939" t="s">
        <v>14</v>
      </c>
      <c r="I7939" t="s">
        <v>1050</v>
      </c>
    </row>
    <row r="7940" spans="1:9" hidden="1" x14ac:dyDescent="0.25">
      <c r="A7940" t="s">
        <v>6569</v>
      </c>
      <c r="B7940" t="s">
        <v>100</v>
      </c>
      <c r="C7940" s="2">
        <f>HYPERLINK("https://cao.dolgi.msk.ru/account/1080304737/", 1080304737)</f>
        <v>1080304737</v>
      </c>
      <c r="D7940" t="s">
        <v>6608</v>
      </c>
      <c r="E7940">
        <v>-7074.25</v>
      </c>
      <c r="F7940">
        <v>-1.04</v>
      </c>
      <c r="G7940" t="s">
        <v>12</v>
      </c>
      <c r="I7940" t="s">
        <v>1050</v>
      </c>
    </row>
    <row r="7941" spans="1:9" hidden="1" x14ac:dyDescent="0.25">
      <c r="A7941" t="s">
        <v>6569</v>
      </c>
      <c r="B7941" t="s">
        <v>102</v>
      </c>
      <c r="C7941" s="2">
        <f>HYPERLINK("https://cao.dolgi.msk.ru/account/1080304745/", 1080304745)</f>
        <v>1080304745</v>
      </c>
      <c r="D7941" t="s">
        <v>6609</v>
      </c>
      <c r="E7941">
        <v>469.82</v>
      </c>
      <c r="F7941">
        <v>0.06</v>
      </c>
      <c r="G7941" t="s">
        <v>12</v>
      </c>
      <c r="I7941" t="s">
        <v>1050</v>
      </c>
    </row>
    <row r="7942" spans="1:9" hidden="1" x14ac:dyDescent="0.25">
      <c r="A7942" t="s">
        <v>6569</v>
      </c>
      <c r="B7942" t="s">
        <v>104</v>
      </c>
      <c r="C7942" s="2">
        <f>HYPERLINK("https://cao.dolgi.msk.ru/account/1080304753/", 1080304753)</f>
        <v>1080304753</v>
      </c>
      <c r="D7942" t="s">
        <v>6610</v>
      </c>
      <c r="E7942">
        <v>-108.79</v>
      </c>
      <c r="F7942">
        <v>-0.01</v>
      </c>
      <c r="G7942" t="s">
        <v>12</v>
      </c>
      <c r="I7942" t="s">
        <v>1050</v>
      </c>
    </row>
    <row r="7943" spans="1:9" hidden="1" x14ac:dyDescent="0.25">
      <c r="A7943" t="s">
        <v>6569</v>
      </c>
      <c r="B7943" t="s">
        <v>106</v>
      </c>
      <c r="C7943" s="2">
        <f>HYPERLINK("https://cao.dolgi.msk.ru/account/1080304761/", 1080304761)</f>
        <v>1080304761</v>
      </c>
      <c r="D7943" t="s">
        <v>15</v>
      </c>
      <c r="E7943">
        <v>0</v>
      </c>
      <c r="G7943" t="s">
        <v>14</v>
      </c>
      <c r="I7943" t="s">
        <v>1050</v>
      </c>
    </row>
    <row r="7944" spans="1:9" hidden="1" x14ac:dyDescent="0.25">
      <c r="A7944" t="s">
        <v>6569</v>
      </c>
      <c r="B7944" t="s">
        <v>106</v>
      </c>
      <c r="C7944" s="2">
        <f>HYPERLINK("https://cao.dolgi.msk.ru/account/1080304788/", 1080304788)</f>
        <v>1080304788</v>
      </c>
      <c r="D7944" t="s">
        <v>6611</v>
      </c>
      <c r="E7944">
        <v>0</v>
      </c>
      <c r="G7944" t="s">
        <v>14</v>
      </c>
      <c r="I7944" t="s">
        <v>1050</v>
      </c>
    </row>
    <row r="7945" spans="1:9" hidden="1" x14ac:dyDescent="0.25">
      <c r="A7945" t="s">
        <v>6569</v>
      </c>
      <c r="B7945" t="s">
        <v>106</v>
      </c>
      <c r="C7945" s="2">
        <f>HYPERLINK("https://cao.dolgi.msk.ru/account/1089118594/", 1089118594)</f>
        <v>1089118594</v>
      </c>
      <c r="D7945" t="s">
        <v>6611</v>
      </c>
      <c r="E7945">
        <v>4761.16</v>
      </c>
      <c r="F7945">
        <v>0.7</v>
      </c>
      <c r="G7945" t="s">
        <v>12</v>
      </c>
      <c r="I7945" t="s">
        <v>1050</v>
      </c>
    </row>
    <row r="7946" spans="1:9" hidden="1" x14ac:dyDescent="0.25">
      <c r="A7946" t="s">
        <v>6569</v>
      </c>
      <c r="B7946" t="s">
        <v>108</v>
      </c>
      <c r="C7946" s="2">
        <f>HYPERLINK("https://cao.dolgi.msk.ru/account/1080304796/", 1080304796)</f>
        <v>1080304796</v>
      </c>
      <c r="D7946" t="s">
        <v>6612</v>
      </c>
      <c r="E7946">
        <v>-13122.09</v>
      </c>
      <c r="F7946">
        <v>-1.0900000000000001</v>
      </c>
      <c r="G7946" t="s">
        <v>12</v>
      </c>
      <c r="I7946" t="s">
        <v>1050</v>
      </c>
    </row>
    <row r="7947" spans="1:9" hidden="1" x14ac:dyDescent="0.25">
      <c r="A7947" t="s">
        <v>6569</v>
      </c>
      <c r="B7947" t="s">
        <v>110</v>
      </c>
      <c r="C7947" s="2">
        <f>HYPERLINK("https://cao.dolgi.msk.ru/account/1080304809/", 1080304809)</f>
        <v>1080304809</v>
      </c>
      <c r="D7947" t="s">
        <v>6613</v>
      </c>
      <c r="E7947">
        <v>-8398.34</v>
      </c>
      <c r="F7947">
        <v>-1.0900000000000001</v>
      </c>
      <c r="G7947" t="s">
        <v>12</v>
      </c>
      <c r="I7947" t="s">
        <v>1050</v>
      </c>
    </row>
    <row r="7948" spans="1:9" hidden="1" x14ac:dyDescent="0.25">
      <c r="A7948" t="s">
        <v>6569</v>
      </c>
      <c r="B7948" t="s">
        <v>112</v>
      </c>
      <c r="C7948" s="2">
        <f>HYPERLINK("https://cao.dolgi.msk.ru/account/1080304817/", 1080304817)</f>
        <v>1080304817</v>
      </c>
      <c r="D7948" t="s">
        <v>6614</v>
      </c>
      <c r="E7948">
        <v>-9417.51</v>
      </c>
      <c r="F7948">
        <v>-1.5</v>
      </c>
      <c r="G7948" t="s">
        <v>12</v>
      </c>
      <c r="I7948" t="s">
        <v>1050</v>
      </c>
    </row>
    <row r="7949" spans="1:9" hidden="1" x14ac:dyDescent="0.25">
      <c r="A7949" t="s">
        <v>6569</v>
      </c>
      <c r="B7949" t="s">
        <v>114</v>
      </c>
      <c r="C7949" s="2">
        <f>HYPERLINK("https://cao.dolgi.msk.ru/account/1080304833/", 1080304833)</f>
        <v>1080304833</v>
      </c>
      <c r="D7949" t="s">
        <v>6615</v>
      </c>
      <c r="E7949">
        <v>7790.24</v>
      </c>
      <c r="F7949">
        <v>1</v>
      </c>
      <c r="G7949" t="s">
        <v>12</v>
      </c>
      <c r="I7949" t="s">
        <v>1050</v>
      </c>
    </row>
    <row r="7950" spans="1:9" hidden="1" x14ac:dyDescent="0.25">
      <c r="A7950" t="s">
        <v>6569</v>
      </c>
      <c r="B7950" t="s">
        <v>116</v>
      </c>
      <c r="C7950" s="2">
        <f>HYPERLINK("https://cao.dolgi.msk.ru/account/1080304876/", 1080304876)</f>
        <v>1080304876</v>
      </c>
      <c r="D7950" t="s">
        <v>6616</v>
      </c>
      <c r="E7950">
        <v>-4877.04</v>
      </c>
      <c r="F7950">
        <v>-1.0900000000000001</v>
      </c>
      <c r="G7950" t="s">
        <v>12</v>
      </c>
      <c r="I7950" t="s">
        <v>1050</v>
      </c>
    </row>
    <row r="7951" spans="1:9" hidden="1" x14ac:dyDescent="0.25">
      <c r="A7951" t="s">
        <v>6569</v>
      </c>
      <c r="B7951" t="s">
        <v>118</v>
      </c>
      <c r="C7951" s="2">
        <f>HYPERLINK("https://cao.dolgi.msk.ru/account/1080304884/", 1080304884)</f>
        <v>1080304884</v>
      </c>
      <c r="D7951" t="s">
        <v>6617</v>
      </c>
      <c r="E7951">
        <v>-5475.1</v>
      </c>
      <c r="F7951">
        <v>-1.06</v>
      </c>
      <c r="G7951" t="s">
        <v>12</v>
      </c>
      <c r="I7951" t="s">
        <v>1050</v>
      </c>
    </row>
    <row r="7952" spans="1:9" hidden="1" x14ac:dyDescent="0.25">
      <c r="A7952" t="s">
        <v>6569</v>
      </c>
      <c r="B7952" t="s">
        <v>120</v>
      </c>
      <c r="C7952" s="2">
        <f>HYPERLINK("https://cao.dolgi.msk.ru/account/1080304892/", 1080304892)</f>
        <v>1080304892</v>
      </c>
      <c r="D7952" t="s">
        <v>6618</v>
      </c>
      <c r="E7952">
        <v>-5537.24</v>
      </c>
      <c r="F7952">
        <v>-1.1599999999999999</v>
      </c>
      <c r="G7952" t="s">
        <v>12</v>
      </c>
      <c r="I7952" t="s">
        <v>1050</v>
      </c>
    </row>
    <row r="7953" spans="1:9" hidden="1" x14ac:dyDescent="0.25">
      <c r="A7953" t="s">
        <v>6569</v>
      </c>
      <c r="B7953" t="s">
        <v>122</v>
      </c>
      <c r="C7953" s="2">
        <f>HYPERLINK("https://cao.dolgi.msk.ru/account/1080304905/", 1080304905)</f>
        <v>1080304905</v>
      </c>
      <c r="D7953" t="s">
        <v>6619</v>
      </c>
      <c r="E7953">
        <v>-611.16999999999996</v>
      </c>
      <c r="F7953">
        <v>-0.17</v>
      </c>
      <c r="G7953" t="s">
        <v>12</v>
      </c>
      <c r="I7953" t="s">
        <v>1050</v>
      </c>
    </row>
    <row r="7954" spans="1:9" hidden="1" x14ac:dyDescent="0.25">
      <c r="A7954" t="s">
        <v>6569</v>
      </c>
      <c r="B7954" t="s">
        <v>124</v>
      </c>
      <c r="C7954" s="2">
        <f>HYPERLINK("https://cao.dolgi.msk.ru/account/1080304913/", 1080304913)</f>
        <v>1080304913</v>
      </c>
      <c r="D7954" t="s">
        <v>6620</v>
      </c>
      <c r="E7954">
        <v>6207.1</v>
      </c>
      <c r="F7954">
        <v>1</v>
      </c>
      <c r="G7954" t="s">
        <v>12</v>
      </c>
      <c r="I7954" t="s">
        <v>1050</v>
      </c>
    </row>
    <row r="7955" spans="1:9" hidden="1" x14ac:dyDescent="0.25">
      <c r="A7955" t="s">
        <v>6569</v>
      </c>
      <c r="B7955" t="s">
        <v>126</v>
      </c>
      <c r="C7955" s="2">
        <f>HYPERLINK("https://cao.dolgi.msk.ru/account/1080304921/", 1080304921)</f>
        <v>1080304921</v>
      </c>
      <c r="D7955" t="s">
        <v>6621</v>
      </c>
      <c r="E7955">
        <v>-11164.47</v>
      </c>
      <c r="F7955">
        <v>-1.3</v>
      </c>
      <c r="G7955" t="s">
        <v>12</v>
      </c>
      <c r="I7955" t="s">
        <v>1050</v>
      </c>
    </row>
    <row r="7956" spans="1:9" x14ac:dyDescent="0.25">
      <c r="A7956" t="s">
        <v>6569</v>
      </c>
      <c r="B7956" t="s">
        <v>128</v>
      </c>
      <c r="C7956" s="2">
        <f>HYPERLINK("https://cao.dolgi.msk.ru/account/1080304948/", 1080304948)</f>
        <v>1080304948</v>
      </c>
      <c r="D7956" t="s">
        <v>6622</v>
      </c>
      <c r="E7956">
        <v>19470.349999999999</v>
      </c>
      <c r="F7956">
        <v>1.97</v>
      </c>
      <c r="G7956" t="s">
        <v>12</v>
      </c>
      <c r="I7956" t="s">
        <v>1050</v>
      </c>
    </row>
    <row r="7957" spans="1:9" hidden="1" x14ac:dyDescent="0.25">
      <c r="A7957" t="s">
        <v>6569</v>
      </c>
      <c r="B7957" t="s">
        <v>130</v>
      </c>
      <c r="C7957" s="2">
        <f>HYPERLINK("https://cao.dolgi.msk.ru/account/1080304956/", 1080304956)</f>
        <v>1080304956</v>
      </c>
      <c r="D7957" t="s">
        <v>6623</v>
      </c>
      <c r="E7957">
        <v>-5588.37</v>
      </c>
      <c r="F7957">
        <v>-1</v>
      </c>
      <c r="G7957" t="s">
        <v>12</v>
      </c>
      <c r="I7957" t="s">
        <v>1050</v>
      </c>
    </row>
    <row r="7958" spans="1:9" hidden="1" x14ac:dyDescent="0.25">
      <c r="A7958" t="s">
        <v>6569</v>
      </c>
      <c r="B7958" t="s">
        <v>132</v>
      </c>
      <c r="C7958" s="2">
        <f>HYPERLINK("https://cao.dolgi.msk.ru/account/1080304964/", 1080304964)</f>
        <v>1080304964</v>
      </c>
      <c r="D7958" t="s">
        <v>6624</v>
      </c>
      <c r="E7958">
        <v>-5289.05</v>
      </c>
      <c r="F7958">
        <v>-1.06</v>
      </c>
      <c r="G7958" t="s">
        <v>12</v>
      </c>
      <c r="I7958" t="s">
        <v>1050</v>
      </c>
    </row>
    <row r="7959" spans="1:9" hidden="1" x14ac:dyDescent="0.25">
      <c r="A7959" t="s">
        <v>6569</v>
      </c>
      <c r="B7959" t="s">
        <v>133</v>
      </c>
      <c r="C7959" s="2">
        <f>HYPERLINK("https://cao.dolgi.msk.ru/account/1080304972/", 1080304972)</f>
        <v>1080304972</v>
      </c>
      <c r="D7959" t="s">
        <v>6625</v>
      </c>
      <c r="E7959">
        <v>-34.22</v>
      </c>
      <c r="F7959">
        <v>0</v>
      </c>
      <c r="G7959" t="s">
        <v>12</v>
      </c>
      <c r="I7959" t="s">
        <v>1050</v>
      </c>
    </row>
    <row r="7960" spans="1:9" hidden="1" x14ac:dyDescent="0.25">
      <c r="A7960" t="s">
        <v>6569</v>
      </c>
      <c r="B7960" t="s">
        <v>135</v>
      </c>
      <c r="C7960" s="2">
        <f>HYPERLINK("https://cao.dolgi.msk.ru/account/1080305019/", 1080305019)</f>
        <v>1080305019</v>
      </c>
      <c r="D7960" t="s">
        <v>15</v>
      </c>
      <c r="E7960">
        <v>-5386.38</v>
      </c>
      <c r="F7960">
        <v>-1.34</v>
      </c>
      <c r="G7960" t="s">
        <v>12</v>
      </c>
      <c r="I7960" t="s">
        <v>1050</v>
      </c>
    </row>
    <row r="7961" spans="1:9" hidden="1" x14ac:dyDescent="0.25">
      <c r="A7961" t="s">
        <v>6569</v>
      </c>
      <c r="B7961" t="s">
        <v>135</v>
      </c>
      <c r="C7961" s="2">
        <f>HYPERLINK("https://cao.dolgi.msk.ru/account/1080305027/", 1080305027)</f>
        <v>1080305027</v>
      </c>
      <c r="D7961" t="s">
        <v>6626</v>
      </c>
      <c r="E7961">
        <v>-2503.8200000000002</v>
      </c>
      <c r="F7961">
        <v>-1.23</v>
      </c>
      <c r="G7961" t="s">
        <v>12</v>
      </c>
      <c r="I7961" t="s">
        <v>1050</v>
      </c>
    </row>
    <row r="7962" spans="1:9" hidden="1" x14ac:dyDescent="0.25">
      <c r="A7962" t="s">
        <v>6569</v>
      </c>
      <c r="B7962" t="s">
        <v>137</v>
      </c>
      <c r="C7962" s="2">
        <f>HYPERLINK("https://cao.dolgi.msk.ru/account/1080305035/", 1080305035)</f>
        <v>1080305035</v>
      </c>
      <c r="D7962" t="s">
        <v>6627</v>
      </c>
      <c r="E7962">
        <v>-11414.12</v>
      </c>
      <c r="F7962">
        <v>-1.29</v>
      </c>
      <c r="G7962" t="s">
        <v>12</v>
      </c>
      <c r="I7962" t="s">
        <v>1050</v>
      </c>
    </row>
    <row r="7963" spans="1:9" hidden="1" x14ac:dyDescent="0.25">
      <c r="A7963" t="s">
        <v>6569</v>
      </c>
      <c r="B7963" t="s">
        <v>139</v>
      </c>
      <c r="C7963" s="2">
        <f>HYPERLINK("https://cao.dolgi.msk.ru/account/1080305043/", 1080305043)</f>
        <v>1080305043</v>
      </c>
      <c r="D7963" t="s">
        <v>6628</v>
      </c>
      <c r="E7963">
        <v>-13314.14</v>
      </c>
      <c r="F7963">
        <v>-1.92</v>
      </c>
      <c r="G7963" t="s">
        <v>12</v>
      </c>
      <c r="I7963" t="s">
        <v>1050</v>
      </c>
    </row>
    <row r="7964" spans="1:9" hidden="1" x14ac:dyDescent="0.25">
      <c r="A7964" t="s">
        <v>6569</v>
      </c>
      <c r="B7964" t="s">
        <v>141</v>
      </c>
      <c r="C7964" s="2">
        <f>HYPERLINK("https://cao.dolgi.msk.ru/account/1080305051/", 1080305051)</f>
        <v>1080305051</v>
      </c>
      <c r="D7964" t="s">
        <v>6629</v>
      </c>
      <c r="E7964">
        <v>-10314.17</v>
      </c>
      <c r="F7964">
        <v>-1.19</v>
      </c>
      <c r="G7964" t="s">
        <v>12</v>
      </c>
      <c r="I7964" t="s">
        <v>1050</v>
      </c>
    </row>
    <row r="7965" spans="1:9" hidden="1" x14ac:dyDescent="0.25">
      <c r="A7965" t="s">
        <v>6569</v>
      </c>
      <c r="B7965" t="s">
        <v>143</v>
      </c>
      <c r="C7965" s="2">
        <f>HYPERLINK("https://cao.dolgi.msk.ru/account/1080305086/", 1080305086)</f>
        <v>1080305086</v>
      </c>
      <c r="D7965" t="s">
        <v>6630</v>
      </c>
      <c r="E7965">
        <v>-5508.25</v>
      </c>
      <c r="F7965">
        <v>-1.04</v>
      </c>
      <c r="G7965" t="s">
        <v>12</v>
      </c>
      <c r="I7965" t="s">
        <v>1050</v>
      </c>
    </row>
    <row r="7966" spans="1:9" hidden="1" x14ac:dyDescent="0.25">
      <c r="A7966" t="s">
        <v>6569</v>
      </c>
      <c r="B7966" t="s">
        <v>145</v>
      </c>
      <c r="C7966" s="2">
        <f>HYPERLINK("https://cao.dolgi.msk.ru/account/1080305078/", 1080305078)</f>
        <v>1080305078</v>
      </c>
      <c r="D7966" t="s">
        <v>6631</v>
      </c>
      <c r="E7966">
        <v>-72.61</v>
      </c>
      <c r="G7966" t="s">
        <v>14</v>
      </c>
      <c r="I7966" t="s">
        <v>1050</v>
      </c>
    </row>
    <row r="7967" spans="1:9" hidden="1" x14ac:dyDescent="0.25">
      <c r="A7967" t="s">
        <v>6569</v>
      </c>
      <c r="B7967" t="s">
        <v>145</v>
      </c>
      <c r="C7967" s="2">
        <f>HYPERLINK("https://cao.dolgi.msk.ru/account/1080305094/", 1080305094)</f>
        <v>1080305094</v>
      </c>
      <c r="D7967" t="s">
        <v>6631</v>
      </c>
      <c r="E7967">
        <v>-0.72</v>
      </c>
      <c r="G7967" t="s">
        <v>14</v>
      </c>
      <c r="I7967" t="s">
        <v>1050</v>
      </c>
    </row>
    <row r="7968" spans="1:9" hidden="1" x14ac:dyDescent="0.25">
      <c r="A7968" t="s">
        <v>6569</v>
      </c>
      <c r="B7968" t="s">
        <v>145</v>
      </c>
      <c r="C7968" s="2">
        <f>HYPERLINK("https://cao.dolgi.msk.ru/account/1080305107/", 1080305107)</f>
        <v>1080305107</v>
      </c>
      <c r="D7968" t="s">
        <v>6632</v>
      </c>
      <c r="E7968">
        <v>471.77</v>
      </c>
      <c r="F7968">
        <v>7.0000000000000007E-2</v>
      </c>
      <c r="G7968" t="s">
        <v>12</v>
      </c>
      <c r="I7968" t="s">
        <v>1050</v>
      </c>
    </row>
    <row r="7969" spans="1:9" hidden="1" x14ac:dyDescent="0.25">
      <c r="A7969" t="s">
        <v>6569</v>
      </c>
      <c r="B7969" t="s">
        <v>147</v>
      </c>
      <c r="C7969" s="2">
        <f>HYPERLINK("https://cao.dolgi.msk.ru/account/1080305115/", 1080305115)</f>
        <v>1080305115</v>
      </c>
      <c r="D7969" t="s">
        <v>6633</v>
      </c>
      <c r="E7969">
        <v>-6138.55</v>
      </c>
      <c r="F7969">
        <v>-1.18</v>
      </c>
      <c r="G7969" t="s">
        <v>12</v>
      </c>
      <c r="I7969" t="s">
        <v>1050</v>
      </c>
    </row>
    <row r="7970" spans="1:9" hidden="1" x14ac:dyDescent="0.25">
      <c r="A7970" t="s">
        <v>6569</v>
      </c>
      <c r="B7970" t="s">
        <v>149</v>
      </c>
      <c r="C7970" s="2">
        <f>HYPERLINK("https://cao.dolgi.msk.ru/account/1080305123/", 1080305123)</f>
        <v>1080305123</v>
      </c>
      <c r="D7970" t="s">
        <v>6634</v>
      </c>
      <c r="E7970">
        <v>2399.83</v>
      </c>
      <c r="F7970">
        <v>0.32</v>
      </c>
      <c r="G7970" t="s">
        <v>12</v>
      </c>
      <c r="I7970" t="s">
        <v>1050</v>
      </c>
    </row>
    <row r="7971" spans="1:9" hidden="1" x14ac:dyDescent="0.25">
      <c r="A7971" t="s">
        <v>6569</v>
      </c>
      <c r="B7971" t="s">
        <v>151</v>
      </c>
      <c r="C7971" s="2">
        <f>HYPERLINK("https://cao.dolgi.msk.ru/account/1080305131/", 1080305131)</f>
        <v>1080305131</v>
      </c>
      <c r="D7971" t="s">
        <v>6635</v>
      </c>
      <c r="E7971">
        <v>-6950.1</v>
      </c>
      <c r="F7971">
        <v>-1</v>
      </c>
      <c r="G7971" t="s">
        <v>12</v>
      </c>
      <c r="I7971" t="s">
        <v>1050</v>
      </c>
    </row>
    <row r="7972" spans="1:9" hidden="1" x14ac:dyDescent="0.25">
      <c r="A7972" t="s">
        <v>6569</v>
      </c>
      <c r="B7972" t="s">
        <v>153</v>
      </c>
      <c r="C7972" s="2">
        <f>HYPERLINK("https://cao.dolgi.msk.ru/account/1080305158/", 1080305158)</f>
        <v>1080305158</v>
      </c>
      <c r="D7972" t="s">
        <v>6636</v>
      </c>
      <c r="E7972">
        <v>-9009.65</v>
      </c>
      <c r="F7972">
        <v>-1.1100000000000001</v>
      </c>
      <c r="G7972" t="s">
        <v>12</v>
      </c>
      <c r="I7972" t="s">
        <v>1050</v>
      </c>
    </row>
    <row r="7973" spans="1:9" hidden="1" x14ac:dyDescent="0.25">
      <c r="A7973" t="s">
        <v>6569</v>
      </c>
      <c r="B7973" t="s">
        <v>155</v>
      </c>
      <c r="C7973" s="2">
        <f>HYPERLINK("https://cao.dolgi.msk.ru/account/1080305166/", 1080305166)</f>
        <v>1080305166</v>
      </c>
      <c r="D7973" t="s">
        <v>6637</v>
      </c>
      <c r="E7973">
        <v>-6905.72</v>
      </c>
      <c r="F7973">
        <v>-1.02</v>
      </c>
      <c r="G7973" t="s">
        <v>12</v>
      </c>
      <c r="I7973" t="s">
        <v>1050</v>
      </c>
    </row>
    <row r="7974" spans="1:9" hidden="1" x14ac:dyDescent="0.25">
      <c r="A7974" t="s">
        <v>6569</v>
      </c>
      <c r="B7974" t="s">
        <v>157</v>
      </c>
      <c r="C7974" s="2">
        <f>HYPERLINK("https://cao.dolgi.msk.ru/account/1080305174/", 1080305174)</f>
        <v>1080305174</v>
      </c>
      <c r="D7974" t="s">
        <v>6638</v>
      </c>
      <c r="E7974">
        <v>-5549.53</v>
      </c>
      <c r="F7974">
        <v>-1</v>
      </c>
      <c r="G7974" t="s">
        <v>12</v>
      </c>
      <c r="I7974" t="s">
        <v>1050</v>
      </c>
    </row>
    <row r="7975" spans="1:9" hidden="1" x14ac:dyDescent="0.25">
      <c r="A7975" t="s">
        <v>6569</v>
      </c>
      <c r="B7975" t="s">
        <v>159</v>
      </c>
      <c r="C7975" s="2">
        <f>HYPERLINK("https://cao.dolgi.msk.ru/account/1080305182/", 1080305182)</f>
        <v>1080305182</v>
      </c>
      <c r="D7975" t="s">
        <v>6639</v>
      </c>
      <c r="E7975">
        <v>-5430.2</v>
      </c>
      <c r="F7975">
        <v>-0.83</v>
      </c>
      <c r="G7975" t="s">
        <v>12</v>
      </c>
      <c r="I7975" t="s">
        <v>1050</v>
      </c>
    </row>
    <row r="7976" spans="1:9" hidden="1" x14ac:dyDescent="0.25">
      <c r="A7976" t="s">
        <v>6569</v>
      </c>
      <c r="B7976" t="s">
        <v>161</v>
      </c>
      <c r="C7976" s="2">
        <f>HYPERLINK("https://cao.dolgi.msk.ru/account/1080305211/", 1080305211)</f>
        <v>1080305211</v>
      </c>
      <c r="D7976" t="s">
        <v>6640</v>
      </c>
      <c r="E7976">
        <v>-6517.3</v>
      </c>
      <c r="F7976">
        <v>-1.1599999999999999</v>
      </c>
      <c r="G7976" t="s">
        <v>12</v>
      </c>
      <c r="I7976" t="s">
        <v>1050</v>
      </c>
    </row>
    <row r="7977" spans="1:9" hidden="1" x14ac:dyDescent="0.25">
      <c r="A7977" t="s">
        <v>6569</v>
      </c>
      <c r="B7977" t="s">
        <v>163</v>
      </c>
      <c r="C7977" s="2">
        <f>HYPERLINK("https://cao.dolgi.msk.ru/account/1080305238/", 1080305238)</f>
        <v>1080305238</v>
      </c>
      <c r="D7977" t="s">
        <v>6641</v>
      </c>
      <c r="E7977">
        <v>-5355.38</v>
      </c>
      <c r="F7977">
        <v>-1.1100000000000001</v>
      </c>
      <c r="G7977" t="s">
        <v>12</v>
      </c>
      <c r="I7977" t="s">
        <v>1050</v>
      </c>
    </row>
    <row r="7978" spans="1:9" hidden="1" x14ac:dyDescent="0.25">
      <c r="A7978" t="s">
        <v>6569</v>
      </c>
      <c r="B7978" t="s">
        <v>571</v>
      </c>
      <c r="C7978" s="2">
        <f>HYPERLINK("https://cao.dolgi.msk.ru/account/1080305246/", 1080305246)</f>
        <v>1080305246</v>
      </c>
      <c r="D7978" t="s">
        <v>6642</v>
      </c>
      <c r="E7978">
        <v>-6700.68</v>
      </c>
      <c r="F7978">
        <v>-1.1100000000000001</v>
      </c>
      <c r="G7978" t="s">
        <v>12</v>
      </c>
      <c r="I7978" t="s">
        <v>1050</v>
      </c>
    </row>
    <row r="7979" spans="1:9" hidden="1" x14ac:dyDescent="0.25">
      <c r="A7979" t="s">
        <v>6569</v>
      </c>
      <c r="B7979" t="s">
        <v>682</v>
      </c>
      <c r="C7979" s="2">
        <f>HYPERLINK("https://cao.dolgi.msk.ru/account/1080305254/", 1080305254)</f>
        <v>1080305254</v>
      </c>
      <c r="D7979" t="s">
        <v>6643</v>
      </c>
      <c r="E7979">
        <v>-23040.33</v>
      </c>
      <c r="F7979">
        <v>-5.0199999999999996</v>
      </c>
      <c r="G7979" t="s">
        <v>12</v>
      </c>
      <c r="I7979" t="s">
        <v>1050</v>
      </c>
    </row>
    <row r="7980" spans="1:9" hidden="1" x14ac:dyDescent="0.25">
      <c r="A7980" t="s">
        <v>6569</v>
      </c>
      <c r="B7980" t="s">
        <v>578</v>
      </c>
      <c r="C7980" s="2">
        <f>HYPERLINK("https://cao.dolgi.msk.ru/account/1080305262/", 1080305262)</f>
        <v>1080305262</v>
      </c>
      <c r="D7980" t="s">
        <v>6644</v>
      </c>
      <c r="E7980">
        <v>195.19</v>
      </c>
      <c r="F7980">
        <v>0.03</v>
      </c>
      <c r="G7980" t="s">
        <v>12</v>
      </c>
      <c r="I7980" t="s">
        <v>1050</v>
      </c>
    </row>
    <row r="7981" spans="1:9" hidden="1" x14ac:dyDescent="0.25">
      <c r="A7981" t="s">
        <v>6569</v>
      </c>
      <c r="B7981" t="s">
        <v>580</v>
      </c>
      <c r="C7981" s="2">
        <f>HYPERLINK("https://cao.dolgi.msk.ru/account/1080305289/", 1080305289)</f>
        <v>1080305289</v>
      </c>
      <c r="D7981" t="s">
        <v>6645</v>
      </c>
      <c r="E7981">
        <v>3.9</v>
      </c>
      <c r="F7981">
        <v>0</v>
      </c>
      <c r="G7981" t="s">
        <v>12</v>
      </c>
      <c r="H7981" t="s">
        <v>7</v>
      </c>
      <c r="I7981" t="s">
        <v>1050</v>
      </c>
    </row>
    <row r="7982" spans="1:9" hidden="1" x14ac:dyDescent="0.25">
      <c r="A7982" t="s">
        <v>6569</v>
      </c>
      <c r="B7982" t="s">
        <v>580</v>
      </c>
      <c r="C7982" s="2">
        <f>HYPERLINK("https://cao.dolgi.msk.ru/account/1080305297/", 1080305297)</f>
        <v>1080305297</v>
      </c>
      <c r="D7982" t="s">
        <v>6646</v>
      </c>
      <c r="E7982">
        <v>-2653.68</v>
      </c>
      <c r="F7982">
        <v>-1.06</v>
      </c>
      <c r="G7982" t="s">
        <v>12</v>
      </c>
      <c r="H7982" t="s">
        <v>7</v>
      </c>
      <c r="I7982" t="s">
        <v>1050</v>
      </c>
    </row>
    <row r="7983" spans="1:9" hidden="1" x14ac:dyDescent="0.25">
      <c r="A7983" t="s">
        <v>6569</v>
      </c>
      <c r="B7983" t="s">
        <v>580</v>
      </c>
      <c r="C7983" s="2">
        <f>HYPERLINK("https://cao.dolgi.msk.ru/account/1080305326/", 1080305326)</f>
        <v>1080305326</v>
      </c>
      <c r="D7983" t="s">
        <v>6645</v>
      </c>
      <c r="E7983">
        <v>152.68</v>
      </c>
      <c r="F7983">
        <v>0.08</v>
      </c>
      <c r="G7983" t="s">
        <v>12</v>
      </c>
      <c r="H7983" t="s">
        <v>7</v>
      </c>
      <c r="I7983" t="s">
        <v>1050</v>
      </c>
    </row>
    <row r="7984" spans="1:9" hidden="1" x14ac:dyDescent="0.25">
      <c r="A7984" t="s">
        <v>6569</v>
      </c>
      <c r="B7984" t="s">
        <v>686</v>
      </c>
      <c r="C7984" s="2">
        <f>HYPERLINK("https://cao.dolgi.msk.ru/account/1080305318/", 1080305318)</f>
        <v>1080305318</v>
      </c>
      <c r="D7984" t="s">
        <v>6647</v>
      </c>
      <c r="E7984">
        <v>-11221.35</v>
      </c>
      <c r="F7984">
        <v>-1.06</v>
      </c>
      <c r="G7984" t="s">
        <v>12</v>
      </c>
      <c r="I7984" t="s">
        <v>1050</v>
      </c>
    </row>
    <row r="7985" spans="1:9" hidden="1" x14ac:dyDescent="0.25">
      <c r="A7985" t="s">
        <v>6569</v>
      </c>
      <c r="B7985" t="s">
        <v>582</v>
      </c>
      <c r="C7985" s="2">
        <f>HYPERLINK("https://cao.dolgi.msk.ru/account/1080305334/", 1080305334)</f>
        <v>1080305334</v>
      </c>
      <c r="D7985" t="s">
        <v>6648</v>
      </c>
      <c r="E7985">
        <v>-72.53</v>
      </c>
      <c r="F7985">
        <v>-0.01</v>
      </c>
      <c r="G7985" t="s">
        <v>12</v>
      </c>
      <c r="I7985" t="s">
        <v>1050</v>
      </c>
    </row>
    <row r="7986" spans="1:9" hidden="1" x14ac:dyDescent="0.25">
      <c r="A7986" t="s">
        <v>6569</v>
      </c>
      <c r="B7986" t="s">
        <v>584</v>
      </c>
      <c r="C7986" s="2">
        <f>HYPERLINK("https://cao.dolgi.msk.ru/account/1080305342/", 1080305342)</f>
        <v>1080305342</v>
      </c>
      <c r="D7986" t="s">
        <v>6649</v>
      </c>
      <c r="E7986">
        <v>-6424.6</v>
      </c>
      <c r="F7986">
        <v>-1.2</v>
      </c>
      <c r="G7986" t="s">
        <v>12</v>
      </c>
      <c r="I7986" t="s">
        <v>1050</v>
      </c>
    </row>
    <row r="7987" spans="1:9" hidden="1" x14ac:dyDescent="0.25">
      <c r="A7987" t="s">
        <v>6569</v>
      </c>
      <c r="B7987" t="s">
        <v>586</v>
      </c>
      <c r="C7987" s="2">
        <f>HYPERLINK("https://cao.dolgi.msk.ru/account/1080305369/", 1080305369)</f>
        <v>1080305369</v>
      </c>
      <c r="D7987" t="s">
        <v>6650</v>
      </c>
      <c r="E7987">
        <v>-4121.6099999999997</v>
      </c>
      <c r="F7987">
        <v>-1.02</v>
      </c>
      <c r="G7987" t="s">
        <v>12</v>
      </c>
      <c r="I7987" t="s">
        <v>1050</v>
      </c>
    </row>
    <row r="7988" spans="1:9" hidden="1" x14ac:dyDescent="0.25">
      <c r="A7988" t="s">
        <v>6569</v>
      </c>
      <c r="B7988" t="s">
        <v>588</v>
      </c>
      <c r="C7988" s="2">
        <f>HYPERLINK("https://cao.dolgi.msk.ru/account/1080305377/", 1080305377)</f>
        <v>1080305377</v>
      </c>
      <c r="D7988" t="s">
        <v>6651</v>
      </c>
      <c r="E7988">
        <v>-7999.98</v>
      </c>
      <c r="F7988">
        <v>-1.05</v>
      </c>
      <c r="G7988" t="s">
        <v>12</v>
      </c>
      <c r="I7988" t="s">
        <v>1050</v>
      </c>
    </row>
    <row r="7989" spans="1:9" hidden="1" x14ac:dyDescent="0.25">
      <c r="A7989" t="s">
        <v>6569</v>
      </c>
      <c r="B7989" t="s">
        <v>590</v>
      </c>
      <c r="C7989" s="2">
        <f>HYPERLINK("https://cao.dolgi.msk.ru/account/1080305385/", 1080305385)</f>
        <v>1080305385</v>
      </c>
      <c r="D7989" t="s">
        <v>6652</v>
      </c>
      <c r="E7989">
        <v>-4728.68</v>
      </c>
      <c r="F7989">
        <v>-1.71</v>
      </c>
      <c r="G7989" t="s">
        <v>12</v>
      </c>
      <c r="H7989" t="s">
        <v>7</v>
      </c>
      <c r="I7989" t="s">
        <v>1050</v>
      </c>
    </row>
    <row r="7990" spans="1:9" hidden="1" x14ac:dyDescent="0.25">
      <c r="A7990" t="s">
        <v>6569</v>
      </c>
      <c r="B7990" t="s">
        <v>590</v>
      </c>
      <c r="C7990" s="2">
        <f>HYPERLINK("https://cao.dolgi.msk.ru/account/1080305393/", 1080305393)</f>
        <v>1080305393</v>
      </c>
      <c r="D7990" t="s">
        <v>6652</v>
      </c>
      <c r="E7990">
        <v>-5561.2</v>
      </c>
      <c r="F7990">
        <v>-1.1200000000000001</v>
      </c>
      <c r="G7990" t="s">
        <v>12</v>
      </c>
      <c r="H7990" t="s">
        <v>7</v>
      </c>
      <c r="I7990" t="s">
        <v>1050</v>
      </c>
    </row>
    <row r="7991" spans="1:9" hidden="1" x14ac:dyDescent="0.25">
      <c r="A7991" t="s">
        <v>6569</v>
      </c>
      <c r="B7991" t="s">
        <v>693</v>
      </c>
      <c r="C7991" s="2">
        <f>HYPERLINK("https://cao.dolgi.msk.ru/account/1080305406/", 1080305406)</f>
        <v>1080305406</v>
      </c>
      <c r="D7991" t="s">
        <v>6653</v>
      </c>
      <c r="E7991">
        <v>-38.58</v>
      </c>
      <c r="F7991">
        <v>-0.01</v>
      </c>
      <c r="G7991" t="s">
        <v>12</v>
      </c>
      <c r="I7991" t="s">
        <v>1050</v>
      </c>
    </row>
    <row r="7992" spans="1:9" hidden="1" x14ac:dyDescent="0.25">
      <c r="A7992" t="s">
        <v>6569</v>
      </c>
      <c r="B7992" t="s">
        <v>694</v>
      </c>
      <c r="C7992" s="2">
        <f>HYPERLINK("https://cao.dolgi.msk.ru/account/1080305414/", 1080305414)</f>
        <v>1080305414</v>
      </c>
      <c r="D7992" t="s">
        <v>6654</v>
      </c>
      <c r="E7992">
        <v>-2824.35</v>
      </c>
      <c r="F7992">
        <v>-1.2</v>
      </c>
      <c r="G7992" t="s">
        <v>12</v>
      </c>
      <c r="I7992" t="s">
        <v>1050</v>
      </c>
    </row>
    <row r="7993" spans="1:9" hidden="1" x14ac:dyDescent="0.25">
      <c r="A7993" t="s">
        <v>6569</v>
      </c>
      <c r="B7993" t="s">
        <v>694</v>
      </c>
      <c r="C7993" s="2">
        <f>HYPERLINK("https://cao.dolgi.msk.ru/account/1083273868/", 1083273868)</f>
        <v>1083273868</v>
      </c>
      <c r="D7993" t="s">
        <v>6655</v>
      </c>
      <c r="E7993">
        <v>-4016.88</v>
      </c>
      <c r="F7993">
        <v>-1.27</v>
      </c>
      <c r="G7993" t="s">
        <v>12</v>
      </c>
      <c r="I7993" t="s">
        <v>1050</v>
      </c>
    </row>
    <row r="7994" spans="1:9" hidden="1" x14ac:dyDescent="0.25">
      <c r="A7994" t="s">
        <v>6569</v>
      </c>
      <c r="B7994" t="s">
        <v>696</v>
      </c>
      <c r="C7994" s="2">
        <f>HYPERLINK("https://cao.dolgi.msk.ru/account/1080305422/", 1080305422)</f>
        <v>1080305422</v>
      </c>
      <c r="D7994" t="s">
        <v>6656</v>
      </c>
      <c r="E7994">
        <v>-20.51</v>
      </c>
      <c r="F7994">
        <v>0</v>
      </c>
      <c r="G7994" t="s">
        <v>12</v>
      </c>
      <c r="I7994" t="s">
        <v>1050</v>
      </c>
    </row>
    <row r="7995" spans="1:9" hidden="1" x14ac:dyDescent="0.25">
      <c r="A7995" t="s">
        <v>6569</v>
      </c>
      <c r="B7995" t="s">
        <v>698</v>
      </c>
      <c r="C7995" s="2">
        <f>HYPERLINK("https://cao.dolgi.msk.ru/account/1080305449/", 1080305449)</f>
        <v>1080305449</v>
      </c>
      <c r="D7995" t="s">
        <v>6657</v>
      </c>
      <c r="E7995">
        <v>-5300.83</v>
      </c>
      <c r="F7995">
        <v>-1.0900000000000001</v>
      </c>
      <c r="G7995" t="s">
        <v>12</v>
      </c>
      <c r="I7995" t="s">
        <v>1050</v>
      </c>
    </row>
    <row r="7996" spans="1:9" hidden="1" x14ac:dyDescent="0.25">
      <c r="A7996" t="s">
        <v>6569</v>
      </c>
      <c r="B7996" t="s">
        <v>698</v>
      </c>
      <c r="C7996" s="2">
        <f>HYPERLINK("https://cao.dolgi.msk.ru/account/1089127255/", 1089127255)</f>
        <v>1089127255</v>
      </c>
      <c r="D7996" t="s">
        <v>6658</v>
      </c>
      <c r="E7996">
        <v>-2836.34</v>
      </c>
      <c r="F7996">
        <v>-1.1599999999999999</v>
      </c>
      <c r="G7996" t="s">
        <v>12</v>
      </c>
      <c r="I7996" t="s">
        <v>1050</v>
      </c>
    </row>
    <row r="7997" spans="1:9" hidden="1" x14ac:dyDescent="0.25">
      <c r="A7997" t="s">
        <v>6569</v>
      </c>
      <c r="B7997" t="s">
        <v>700</v>
      </c>
      <c r="C7997" s="2">
        <f>HYPERLINK("https://cao.dolgi.msk.ru/account/1080305457/", 1080305457)</f>
        <v>1080305457</v>
      </c>
      <c r="D7997" t="s">
        <v>6659</v>
      </c>
      <c r="E7997">
        <v>-7094.46</v>
      </c>
      <c r="F7997">
        <v>-0.89</v>
      </c>
      <c r="G7997" t="s">
        <v>12</v>
      </c>
      <c r="I7997" t="s">
        <v>1050</v>
      </c>
    </row>
    <row r="7998" spans="1:9" hidden="1" x14ac:dyDescent="0.25">
      <c r="A7998" t="s">
        <v>6569</v>
      </c>
      <c r="B7998" t="s">
        <v>702</v>
      </c>
      <c r="C7998" s="2">
        <f>HYPERLINK("https://cao.dolgi.msk.ru/account/1080305465/", 1080305465)</f>
        <v>1080305465</v>
      </c>
      <c r="D7998" t="s">
        <v>6660</v>
      </c>
      <c r="E7998">
        <v>-7835.08</v>
      </c>
      <c r="F7998">
        <v>-1.1200000000000001</v>
      </c>
      <c r="G7998" t="s">
        <v>12</v>
      </c>
      <c r="I7998" t="s">
        <v>1050</v>
      </c>
    </row>
    <row r="7999" spans="1:9" hidden="1" x14ac:dyDescent="0.25">
      <c r="A7999" t="s">
        <v>6569</v>
      </c>
      <c r="B7999" t="s">
        <v>703</v>
      </c>
      <c r="C7999" s="2">
        <f>HYPERLINK("https://cao.dolgi.msk.ru/account/1080305473/", 1080305473)</f>
        <v>1080305473</v>
      </c>
      <c r="D7999" t="s">
        <v>6661</v>
      </c>
      <c r="E7999">
        <v>-4391.3599999999997</v>
      </c>
      <c r="F7999">
        <v>-0.77</v>
      </c>
      <c r="G7999" t="s">
        <v>12</v>
      </c>
      <c r="I7999" t="s">
        <v>1050</v>
      </c>
    </row>
    <row r="8000" spans="1:9" hidden="1" x14ac:dyDescent="0.25">
      <c r="A8000" t="s">
        <v>6569</v>
      </c>
      <c r="B8000" t="s">
        <v>705</v>
      </c>
      <c r="C8000" s="2">
        <f>HYPERLINK("https://cao.dolgi.msk.ru/account/1080305481/", 1080305481)</f>
        <v>1080305481</v>
      </c>
      <c r="D8000" t="s">
        <v>6662</v>
      </c>
      <c r="E8000">
        <v>-3611.32</v>
      </c>
      <c r="F8000">
        <v>-1.03</v>
      </c>
      <c r="G8000" t="s">
        <v>12</v>
      </c>
      <c r="I8000" t="s">
        <v>1050</v>
      </c>
    </row>
    <row r="8001" spans="1:9" hidden="1" x14ac:dyDescent="0.25">
      <c r="A8001" t="s">
        <v>6569</v>
      </c>
      <c r="B8001" t="s">
        <v>707</v>
      </c>
      <c r="C8001" s="2">
        <f>HYPERLINK("https://cao.dolgi.msk.ru/account/1080305502/", 1080305502)</f>
        <v>1080305502</v>
      </c>
      <c r="D8001" t="s">
        <v>6663</v>
      </c>
      <c r="E8001">
        <v>-10279.950000000001</v>
      </c>
      <c r="F8001">
        <v>-1.08</v>
      </c>
      <c r="G8001" t="s">
        <v>12</v>
      </c>
      <c r="I8001" t="s">
        <v>1050</v>
      </c>
    </row>
    <row r="8002" spans="1:9" hidden="1" x14ac:dyDescent="0.25">
      <c r="A8002" t="s">
        <v>6569</v>
      </c>
      <c r="B8002" t="s">
        <v>709</v>
      </c>
      <c r="C8002" s="2">
        <f>HYPERLINK("https://cao.dolgi.msk.ru/account/1080305529/", 1080305529)</f>
        <v>1080305529</v>
      </c>
      <c r="D8002" t="s">
        <v>6664</v>
      </c>
      <c r="E8002">
        <v>-8025.87</v>
      </c>
      <c r="F8002">
        <v>-0.94</v>
      </c>
      <c r="G8002" t="s">
        <v>12</v>
      </c>
      <c r="I8002" t="s">
        <v>1050</v>
      </c>
    </row>
    <row r="8003" spans="1:9" hidden="1" x14ac:dyDescent="0.25">
      <c r="A8003" t="s">
        <v>6569</v>
      </c>
      <c r="B8003" t="s">
        <v>711</v>
      </c>
      <c r="C8003" s="2">
        <f>HYPERLINK("https://cao.dolgi.msk.ru/account/1080305537/", 1080305537)</f>
        <v>1080305537</v>
      </c>
      <c r="D8003" t="s">
        <v>6665</v>
      </c>
      <c r="E8003">
        <v>-8357.75</v>
      </c>
      <c r="F8003">
        <v>-1.1299999999999999</v>
      </c>
      <c r="G8003" t="s">
        <v>12</v>
      </c>
      <c r="I8003" t="s">
        <v>1050</v>
      </c>
    </row>
    <row r="8004" spans="1:9" hidden="1" x14ac:dyDescent="0.25">
      <c r="A8004" t="s">
        <v>6569</v>
      </c>
      <c r="B8004" t="s">
        <v>713</v>
      </c>
      <c r="C8004" s="2">
        <f>HYPERLINK("https://cao.dolgi.msk.ru/account/1080305545/", 1080305545)</f>
        <v>1080305545</v>
      </c>
      <c r="D8004" t="s">
        <v>6666</v>
      </c>
      <c r="E8004">
        <v>-16887.419999999998</v>
      </c>
      <c r="F8004">
        <v>-2.17</v>
      </c>
      <c r="G8004" t="s">
        <v>12</v>
      </c>
      <c r="I8004" t="s">
        <v>1050</v>
      </c>
    </row>
    <row r="8005" spans="1:9" hidden="1" x14ac:dyDescent="0.25">
      <c r="A8005" t="s">
        <v>6569</v>
      </c>
      <c r="B8005" t="s">
        <v>528</v>
      </c>
      <c r="C8005" s="2">
        <f>HYPERLINK("https://cao.dolgi.msk.ru/account/1080305553/", 1080305553)</f>
        <v>1080305553</v>
      </c>
      <c r="D8005" t="s">
        <v>6667</v>
      </c>
      <c r="E8005">
        <v>-6683.39</v>
      </c>
      <c r="F8005">
        <v>-1.05</v>
      </c>
      <c r="G8005" t="s">
        <v>12</v>
      </c>
      <c r="I8005" t="s">
        <v>1050</v>
      </c>
    </row>
    <row r="8006" spans="1:9" hidden="1" x14ac:dyDescent="0.25">
      <c r="A8006" t="s">
        <v>6569</v>
      </c>
      <c r="B8006" t="s">
        <v>530</v>
      </c>
      <c r="C8006" s="2">
        <f>HYPERLINK("https://cao.dolgi.msk.ru/account/1080305561/", 1080305561)</f>
        <v>1080305561</v>
      </c>
      <c r="D8006" t="s">
        <v>6668</v>
      </c>
      <c r="E8006">
        <v>-7355.47</v>
      </c>
      <c r="F8006">
        <v>-1.03</v>
      </c>
      <c r="G8006" t="s">
        <v>12</v>
      </c>
      <c r="I8006" t="s">
        <v>1050</v>
      </c>
    </row>
    <row r="8007" spans="1:9" hidden="1" x14ac:dyDescent="0.25">
      <c r="A8007" t="s">
        <v>6569</v>
      </c>
      <c r="B8007" t="s">
        <v>532</v>
      </c>
      <c r="C8007" s="2">
        <f>HYPERLINK("https://cao.dolgi.msk.ru/account/1080305588/", 1080305588)</f>
        <v>1080305588</v>
      </c>
      <c r="D8007" t="s">
        <v>6669</v>
      </c>
      <c r="E8007">
        <v>-11082.45</v>
      </c>
      <c r="F8007">
        <v>-1.21</v>
      </c>
      <c r="G8007" t="s">
        <v>12</v>
      </c>
      <c r="I8007" t="s">
        <v>1050</v>
      </c>
    </row>
    <row r="8008" spans="1:9" hidden="1" x14ac:dyDescent="0.25">
      <c r="A8008" t="s">
        <v>6569</v>
      </c>
      <c r="B8008" t="s">
        <v>534</v>
      </c>
      <c r="C8008" s="2">
        <f>HYPERLINK("https://cao.dolgi.msk.ru/account/1080305596/", 1080305596)</f>
        <v>1080305596</v>
      </c>
      <c r="D8008" t="s">
        <v>6670</v>
      </c>
      <c r="E8008">
        <v>-7826.82</v>
      </c>
      <c r="F8008">
        <v>-1.05</v>
      </c>
      <c r="G8008" t="s">
        <v>12</v>
      </c>
      <c r="I8008" t="s">
        <v>1050</v>
      </c>
    </row>
    <row r="8009" spans="1:9" hidden="1" x14ac:dyDescent="0.25">
      <c r="A8009" t="s">
        <v>6569</v>
      </c>
      <c r="B8009" t="s">
        <v>536</v>
      </c>
      <c r="C8009" s="2">
        <f>HYPERLINK("https://cao.dolgi.msk.ru/account/1080305609/", 1080305609)</f>
        <v>1080305609</v>
      </c>
      <c r="D8009" t="s">
        <v>6671</v>
      </c>
      <c r="E8009">
        <v>-18535.16</v>
      </c>
      <c r="F8009">
        <v>-1.08</v>
      </c>
      <c r="G8009" t="s">
        <v>12</v>
      </c>
      <c r="I8009" t="s">
        <v>1050</v>
      </c>
    </row>
    <row r="8010" spans="1:9" hidden="1" x14ac:dyDescent="0.25">
      <c r="A8010" t="s">
        <v>6569</v>
      </c>
      <c r="B8010" t="s">
        <v>538</v>
      </c>
      <c r="C8010" s="2">
        <f>HYPERLINK("https://cao.dolgi.msk.ru/account/1080305617/", 1080305617)</f>
        <v>1080305617</v>
      </c>
      <c r="D8010" t="s">
        <v>6672</v>
      </c>
      <c r="E8010">
        <v>20.11</v>
      </c>
      <c r="F8010">
        <v>0</v>
      </c>
      <c r="G8010" t="s">
        <v>12</v>
      </c>
      <c r="I8010" t="s">
        <v>1050</v>
      </c>
    </row>
    <row r="8011" spans="1:9" hidden="1" x14ac:dyDescent="0.25">
      <c r="A8011" t="s">
        <v>6569</v>
      </c>
      <c r="B8011" t="s">
        <v>539</v>
      </c>
      <c r="C8011" s="2">
        <f>HYPERLINK("https://cao.dolgi.msk.ru/account/1080305625/", 1080305625)</f>
        <v>1080305625</v>
      </c>
      <c r="D8011" t="s">
        <v>6673</v>
      </c>
      <c r="E8011">
        <v>-14895.33</v>
      </c>
      <c r="F8011">
        <v>-1.07</v>
      </c>
      <c r="G8011" t="s">
        <v>12</v>
      </c>
      <c r="I8011" t="s">
        <v>1050</v>
      </c>
    </row>
    <row r="8012" spans="1:9" hidden="1" x14ac:dyDescent="0.25">
      <c r="A8012" t="s">
        <v>6569</v>
      </c>
      <c r="B8012" t="s">
        <v>541</v>
      </c>
      <c r="C8012" s="2">
        <f>HYPERLINK("https://cao.dolgi.msk.ru/account/1080305633/", 1080305633)</f>
        <v>1080305633</v>
      </c>
      <c r="D8012" t="s">
        <v>6674</v>
      </c>
      <c r="E8012">
        <v>-8211.2000000000007</v>
      </c>
      <c r="F8012">
        <v>-1.1100000000000001</v>
      </c>
      <c r="G8012" t="s">
        <v>12</v>
      </c>
      <c r="I8012" t="s">
        <v>1050</v>
      </c>
    </row>
    <row r="8013" spans="1:9" hidden="1" x14ac:dyDescent="0.25">
      <c r="A8013" t="s">
        <v>6569</v>
      </c>
      <c r="B8013" t="s">
        <v>543</v>
      </c>
      <c r="C8013" s="2">
        <f>HYPERLINK("https://cao.dolgi.msk.ru/account/1080305641/", 1080305641)</f>
        <v>1080305641</v>
      </c>
      <c r="D8013" t="s">
        <v>6675</v>
      </c>
      <c r="E8013">
        <v>-6254.19</v>
      </c>
      <c r="F8013">
        <v>-0.9</v>
      </c>
      <c r="G8013" t="s">
        <v>12</v>
      </c>
      <c r="I8013" t="s">
        <v>1050</v>
      </c>
    </row>
    <row r="8014" spans="1:9" hidden="1" x14ac:dyDescent="0.25">
      <c r="A8014" t="s">
        <v>6569</v>
      </c>
      <c r="B8014" t="s">
        <v>545</v>
      </c>
      <c r="C8014" s="2">
        <f>HYPERLINK("https://cao.dolgi.msk.ru/account/1080305668/", 1080305668)</f>
        <v>1080305668</v>
      </c>
      <c r="D8014" t="s">
        <v>6676</v>
      </c>
      <c r="E8014">
        <v>-10698.63</v>
      </c>
      <c r="F8014">
        <v>-1.07</v>
      </c>
      <c r="G8014" t="s">
        <v>12</v>
      </c>
      <c r="I8014" t="s">
        <v>1050</v>
      </c>
    </row>
    <row r="8015" spans="1:9" hidden="1" x14ac:dyDescent="0.25">
      <c r="A8015" t="s">
        <v>6569</v>
      </c>
      <c r="B8015" t="s">
        <v>546</v>
      </c>
      <c r="C8015" s="2">
        <f>HYPERLINK("https://cao.dolgi.msk.ru/account/1080305676/", 1080305676)</f>
        <v>1080305676</v>
      </c>
      <c r="D8015" t="s">
        <v>6677</v>
      </c>
      <c r="E8015">
        <v>-7635.49</v>
      </c>
      <c r="F8015">
        <v>-1.3</v>
      </c>
      <c r="G8015" t="s">
        <v>12</v>
      </c>
      <c r="I8015" t="s">
        <v>1050</v>
      </c>
    </row>
    <row r="8016" spans="1:9" hidden="1" x14ac:dyDescent="0.25">
      <c r="A8016" t="s">
        <v>6569</v>
      </c>
      <c r="B8016" t="s">
        <v>548</v>
      </c>
      <c r="C8016" s="2">
        <f>HYPERLINK("https://cao.dolgi.msk.ru/account/1080305684/", 1080305684)</f>
        <v>1080305684</v>
      </c>
      <c r="D8016" t="s">
        <v>6678</v>
      </c>
      <c r="E8016">
        <v>-19004.71</v>
      </c>
      <c r="F8016">
        <v>-2.04</v>
      </c>
      <c r="G8016" t="s">
        <v>12</v>
      </c>
      <c r="I8016" t="s">
        <v>1050</v>
      </c>
    </row>
    <row r="8017" spans="1:9" hidden="1" x14ac:dyDescent="0.25">
      <c r="A8017" t="s">
        <v>6569</v>
      </c>
      <c r="B8017" t="s">
        <v>727</v>
      </c>
      <c r="C8017" s="2">
        <f>HYPERLINK("https://cao.dolgi.msk.ru/account/1080305692/", 1080305692)</f>
        <v>1080305692</v>
      </c>
      <c r="D8017" t="s">
        <v>6679</v>
      </c>
      <c r="E8017">
        <v>-5587.51</v>
      </c>
      <c r="F8017">
        <v>-0.95</v>
      </c>
      <c r="G8017" t="s">
        <v>12</v>
      </c>
      <c r="I8017" t="s">
        <v>1050</v>
      </c>
    </row>
    <row r="8018" spans="1:9" hidden="1" x14ac:dyDescent="0.25">
      <c r="A8018" t="s">
        <v>6569</v>
      </c>
      <c r="B8018" t="s">
        <v>551</v>
      </c>
      <c r="C8018" s="2">
        <f>HYPERLINK("https://cao.dolgi.msk.ru/account/1080305705/", 1080305705)</f>
        <v>1080305705</v>
      </c>
      <c r="D8018" t="s">
        <v>6680</v>
      </c>
      <c r="E8018">
        <v>-9914.4699999999993</v>
      </c>
      <c r="F8018">
        <v>-1.07</v>
      </c>
      <c r="G8018" t="s">
        <v>12</v>
      </c>
      <c r="I8018" t="s">
        <v>1050</v>
      </c>
    </row>
    <row r="8019" spans="1:9" hidden="1" x14ac:dyDescent="0.25">
      <c r="A8019" t="s">
        <v>6569</v>
      </c>
      <c r="B8019" t="s">
        <v>730</v>
      </c>
      <c r="C8019" s="2">
        <f>HYPERLINK("https://cao.dolgi.msk.ru/account/1080305713/", 1080305713)</f>
        <v>1080305713</v>
      </c>
      <c r="D8019" t="s">
        <v>6681</v>
      </c>
      <c r="E8019">
        <v>-1421.05</v>
      </c>
      <c r="F8019">
        <v>-0.14000000000000001</v>
      </c>
      <c r="G8019" t="s">
        <v>12</v>
      </c>
      <c r="I8019" t="s">
        <v>1050</v>
      </c>
    </row>
    <row r="8020" spans="1:9" hidden="1" x14ac:dyDescent="0.25">
      <c r="A8020" t="s">
        <v>6569</v>
      </c>
      <c r="B8020" t="s">
        <v>732</v>
      </c>
      <c r="C8020" s="2">
        <f>HYPERLINK("https://cao.dolgi.msk.ru/account/1080305721/", 1080305721)</f>
        <v>1080305721</v>
      </c>
      <c r="D8020" t="s">
        <v>6682</v>
      </c>
      <c r="E8020">
        <v>6.42</v>
      </c>
      <c r="F8020">
        <v>0</v>
      </c>
      <c r="G8020" t="s">
        <v>12</v>
      </c>
      <c r="I8020" t="s">
        <v>1050</v>
      </c>
    </row>
    <row r="8021" spans="1:9" hidden="1" x14ac:dyDescent="0.25">
      <c r="A8021" t="s">
        <v>6569</v>
      </c>
      <c r="B8021" t="s">
        <v>553</v>
      </c>
      <c r="C8021" s="2">
        <f>HYPERLINK("https://cao.dolgi.msk.ru/account/1080305748/", 1080305748)</f>
        <v>1080305748</v>
      </c>
      <c r="D8021" t="s">
        <v>6683</v>
      </c>
      <c r="E8021">
        <v>-15456.29</v>
      </c>
      <c r="F8021">
        <v>-1.07</v>
      </c>
      <c r="G8021" t="s">
        <v>12</v>
      </c>
      <c r="I8021" t="s">
        <v>1050</v>
      </c>
    </row>
    <row r="8022" spans="1:9" hidden="1" x14ac:dyDescent="0.25">
      <c r="A8022" t="s">
        <v>6569</v>
      </c>
      <c r="B8022" t="s">
        <v>555</v>
      </c>
      <c r="C8022" s="2">
        <f>HYPERLINK("https://cao.dolgi.msk.ru/account/1080305756/", 1080305756)</f>
        <v>1080305756</v>
      </c>
      <c r="D8022" t="s">
        <v>6684</v>
      </c>
      <c r="E8022">
        <v>-7462.08</v>
      </c>
      <c r="F8022">
        <v>-1.06</v>
      </c>
      <c r="G8022" t="s">
        <v>12</v>
      </c>
      <c r="I8022" t="s">
        <v>1050</v>
      </c>
    </row>
    <row r="8023" spans="1:9" hidden="1" x14ac:dyDescent="0.25">
      <c r="A8023" t="s">
        <v>6569</v>
      </c>
      <c r="B8023" t="s">
        <v>736</v>
      </c>
      <c r="C8023" s="2">
        <f>HYPERLINK("https://cao.dolgi.msk.ru/account/1080305764/", 1080305764)</f>
        <v>1080305764</v>
      </c>
      <c r="D8023" t="s">
        <v>6685</v>
      </c>
      <c r="E8023">
        <v>43.28</v>
      </c>
      <c r="F8023">
        <v>0</v>
      </c>
      <c r="G8023" t="s">
        <v>12</v>
      </c>
      <c r="I8023" t="s">
        <v>1050</v>
      </c>
    </row>
    <row r="8024" spans="1:9" hidden="1" x14ac:dyDescent="0.25">
      <c r="A8024" t="s">
        <v>6569</v>
      </c>
      <c r="B8024" t="s">
        <v>738</v>
      </c>
      <c r="C8024" s="2">
        <f>HYPERLINK("https://cao.dolgi.msk.ru/account/1080305772/", 1080305772)</f>
        <v>1080305772</v>
      </c>
      <c r="D8024" t="s">
        <v>6686</v>
      </c>
      <c r="E8024">
        <v>-6398.77</v>
      </c>
      <c r="F8024">
        <v>-1.1499999999999999</v>
      </c>
      <c r="G8024" t="s">
        <v>12</v>
      </c>
      <c r="I8024" t="s">
        <v>1050</v>
      </c>
    </row>
    <row r="8025" spans="1:9" x14ac:dyDescent="0.25">
      <c r="A8025" t="s">
        <v>6569</v>
      </c>
      <c r="B8025" t="s">
        <v>740</v>
      </c>
      <c r="C8025" s="2">
        <f>HYPERLINK("https://cao.dolgi.msk.ru/account/1080305799/", 1080305799)</f>
        <v>1080305799</v>
      </c>
      <c r="D8025" t="s">
        <v>6687</v>
      </c>
      <c r="E8025">
        <v>13325.12</v>
      </c>
      <c r="F8025">
        <v>1.1100000000000001</v>
      </c>
      <c r="G8025" t="s">
        <v>12</v>
      </c>
      <c r="I8025" t="s">
        <v>1050</v>
      </c>
    </row>
    <row r="8026" spans="1:9" x14ac:dyDescent="0.25">
      <c r="A8026" t="s">
        <v>6569</v>
      </c>
      <c r="B8026" t="s">
        <v>742</v>
      </c>
      <c r="C8026" s="2">
        <f>HYPERLINK("https://cao.dolgi.msk.ru/account/1080305801/", 1080305801)</f>
        <v>1080305801</v>
      </c>
      <c r="D8026" t="s">
        <v>6688</v>
      </c>
      <c r="E8026">
        <v>30337.4</v>
      </c>
      <c r="F8026">
        <v>3.93</v>
      </c>
      <c r="G8026" t="s">
        <v>12</v>
      </c>
      <c r="I8026" t="s">
        <v>1050</v>
      </c>
    </row>
    <row r="8027" spans="1:9" hidden="1" x14ac:dyDescent="0.25">
      <c r="A8027" t="s">
        <v>6689</v>
      </c>
      <c r="B8027" t="s">
        <v>10</v>
      </c>
      <c r="C8027" s="2">
        <f>HYPERLINK("https://cao.dolgi.msk.ru/account/1080305828/", 1080305828)</f>
        <v>1080305828</v>
      </c>
      <c r="D8027" t="s">
        <v>6690</v>
      </c>
      <c r="E8027">
        <v>-4970.1400000000003</v>
      </c>
      <c r="F8027">
        <v>-1.1000000000000001</v>
      </c>
      <c r="G8027" t="s">
        <v>12</v>
      </c>
      <c r="I8027" t="s">
        <v>1050</v>
      </c>
    </row>
    <row r="8028" spans="1:9" hidden="1" x14ac:dyDescent="0.25">
      <c r="A8028" t="s">
        <v>6689</v>
      </c>
      <c r="B8028" t="s">
        <v>16</v>
      </c>
      <c r="C8028" s="2">
        <f>HYPERLINK("https://cao.dolgi.msk.ru/account/1080305836/", 1080305836)</f>
        <v>1080305836</v>
      </c>
      <c r="D8028" t="s">
        <v>6691</v>
      </c>
      <c r="E8028">
        <v>-1522.3</v>
      </c>
      <c r="F8028">
        <v>-1.1499999999999999</v>
      </c>
      <c r="G8028" t="s">
        <v>12</v>
      </c>
      <c r="I8028" t="s">
        <v>1050</v>
      </c>
    </row>
    <row r="8029" spans="1:9" hidden="1" x14ac:dyDescent="0.25">
      <c r="A8029" t="s">
        <v>6689</v>
      </c>
      <c r="B8029" t="s">
        <v>16</v>
      </c>
      <c r="C8029" s="2">
        <f>HYPERLINK("https://cao.dolgi.msk.ru/account/1083370879/", 1083370879)</f>
        <v>1083370879</v>
      </c>
      <c r="D8029" t="s">
        <v>15</v>
      </c>
      <c r="E8029">
        <v>0</v>
      </c>
      <c r="F8029">
        <v>0</v>
      </c>
      <c r="G8029" t="s">
        <v>12</v>
      </c>
      <c r="I8029" t="s">
        <v>1050</v>
      </c>
    </row>
    <row r="8030" spans="1:9" hidden="1" x14ac:dyDescent="0.25">
      <c r="A8030" t="s">
        <v>6689</v>
      </c>
      <c r="B8030" t="s">
        <v>18</v>
      </c>
      <c r="C8030" s="2">
        <f>HYPERLINK("https://cao.dolgi.msk.ru/account/1080305844/", 1080305844)</f>
        <v>1080305844</v>
      </c>
      <c r="D8030" t="s">
        <v>6692</v>
      </c>
      <c r="E8030">
        <v>-8480.59</v>
      </c>
      <c r="F8030">
        <v>-2.15</v>
      </c>
      <c r="G8030" t="s">
        <v>12</v>
      </c>
      <c r="I8030" t="s">
        <v>1050</v>
      </c>
    </row>
    <row r="8031" spans="1:9" hidden="1" x14ac:dyDescent="0.25">
      <c r="A8031" t="s">
        <v>6689</v>
      </c>
      <c r="B8031" t="s">
        <v>20</v>
      </c>
      <c r="C8031" s="2">
        <f>HYPERLINK("https://cao.dolgi.msk.ru/account/1080305852/", 1080305852)</f>
        <v>1080305852</v>
      </c>
      <c r="D8031" t="s">
        <v>6693</v>
      </c>
      <c r="E8031">
        <v>-30370.33</v>
      </c>
      <c r="F8031">
        <v>-3.71</v>
      </c>
      <c r="G8031" t="s">
        <v>12</v>
      </c>
      <c r="I8031" t="s">
        <v>1050</v>
      </c>
    </row>
    <row r="8032" spans="1:9" hidden="1" x14ac:dyDescent="0.25">
      <c r="A8032" t="s">
        <v>6689</v>
      </c>
      <c r="B8032" t="s">
        <v>21</v>
      </c>
      <c r="C8032" s="2">
        <f>HYPERLINK("https://cao.dolgi.msk.ru/account/1080305879/", 1080305879)</f>
        <v>1080305879</v>
      </c>
      <c r="D8032" t="s">
        <v>6694</v>
      </c>
      <c r="E8032">
        <v>-9899.85</v>
      </c>
      <c r="F8032">
        <v>-1.64</v>
      </c>
      <c r="G8032" t="s">
        <v>12</v>
      </c>
      <c r="I8032" t="s">
        <v>1050</v>
      </c>
    </row>
    <row r="8033" spans="1:9" hidden="1" x14ac:dyDescent="0.25">
      <c r="A8033" t="s">
        <v>6689</v>
      </c>
      <c r="B8033" t="s">
        <v>22</v>
      </c>
      <c r="C8033" s="2">
        <f>HYPERLINK("https://cao.dolgi.msk.ru/account/1080305887/", 1080305887)</f>
        <v>1080305887</v>
      </c>
      <c r="D8033" t="s">
        <v>6695</v>
      </c>
      <c r="E8033">
        <v>-10567.57</v>
      </c>
      <c r="F8033">
        <v>-1.06</v>
      </c>
      <c r="G8033" t="s">
        <v>12</v>
      </c>
      <c r="I8033" t="s">
        <v>1050</v>
      </c>
    </row>
    <row r="8034" spans="1:9" hidden="1" x14ac:dyDescent="0.25">
      <c r="A8034" t="s">
        <v>6689</v>
      </c>
      <c r="B8034" t="s">
        <v>23</v>
      </c>
      <c r="C8034" s="2">
        <f>HYPERLINK("https://cao.dolgi.msk.ru/account/1080305895/", 1080305895)</f>
        <v>1080305895</v>
      </c>
      <c r="D8034" t="s">
        <v>6696</v>
      </c>
      <c r="E8034">
        <v>-707.37</v>
      </c>
      <c r="F8034">
        <v>-0.08</v>
      </c>
      <c r="G8034" t="s">
        <v>12</v>
      </c>
      <c r="I8034" t="s">
        <v>1050</v>
      </c>
    </row>
    <row r="8035" spans="1:9" hidden="1" x14ac:dyDescent="0.25">
      <c r="A8035" t="s">
        <v>6689</v>
      </c>
      <c r="B8035" t="s">
        <v>24</v>
      </c>
      <c r="C8035" s="2">
        <f>HYPERLINK("https://cao.dolgi.msk.ru/account/1080305908/", 1080305908)</f>
        <v>1080305908</v>
      </c>
      <c r="D8035" t="s">
        <v>6697</v>
      </c>
      <c r="E8035">
        <v>174.6</v>
      </c>
      <c r="F8035">
        <v>0.01</v>
      </c>
      <c r="G8035" t="s">
        <v>12</v>
      </c>
      <c r="I8035" t="s">
        <v>1050</v>
      </c>
    </row>
    <row r="8036" spans="1:9" hidden="1" x14ac:dyDescent="0.25">
      <c r="A8036" t="s">
        <v>6689</v>
      </c>
      <c r="B8036" t="s">
        <v>27</v>
      </c>
      <c r="C8036" s="2">
        <f>HYPERLINK("https://cao.dolgi.msk.ru/account/1080305916/", 1080305916)</f>
        <v>1080305916</v>
      </c>
      <c r="D8036" t="s">
        <v>6698</v>
      </c>
      <c r="E8036">
        <v>-19.8</v>
      </c>
      <c r="F8036">
        <v>0</v>
      </c>
      <c r="G8036" t="s">
        <v>12</v>
      </c>
      <c r="I8036" t="s">
        <v>1050</v>
      </c>
    </row>
    <row r="8037" spans="1:9" hidden="1" x14ac:dyDescent="0.25">
      <c r="A8037" t="s">
        <v>6689</v>
      </c>
      <c r="B8037" t="s">
        <v>29</v>
      </c>
      <c r="C8037" s="2">
        <f>HYPERLINK("https://cao.dolgi.msk.ru/account/1080305932/", 1080305932)</f>
        <v>1080305932</v>
      </c>
      <c r="D8037" t="s">
        <v>6699</v>
      </c>
      <c r="E8037">
        <v>-247.57</v>
      </c>
      <c r="F8037">
        <v>-0.03</v>
      </c>
      <c r="G8037" t="s">
        <v>12</v>
      </c>
      <c r="I8037" t="s">
        <v>1050</v>
      </c>
    </row>
    <row r="8038" spans="1:9" hidden="1" x14ac:dyDescent="0.25">
      <c r="A8038" t="s">
        <v>6689</v>
      </c>
      <c r="B8038" t="s">
        <v>31</v>
      </c>
      <c r="C8038" s="2">
        <f>HYPERLINK("https://cao.dolgi.msk.ru/account/1080305959/", 1080305959)</f>
        <v>1080305959</v>
      </c>
      <c r="D8038" t="s">
        <v>6700</v>
      </c>
      <c r="E8038">
        <v>-0.85</v>
      </c>
      <c r="F8038">
        <v>0</v>
      </c>
      <c r="G8038" t="s">
        <v>12</v>
      </c>
      <c r="I8038" t="s">
        <v>1050</v>
      </c>
    </row>
    <row r="8039" spans="1:9" hidden="1" x14ac:dyDescent="0.25">
      <c r="A8039" t="s">
        <v>6689</v>
      </c>
      <c r="B8039" t="s">
        <v>33</v>
      </c>
      <c r="C8039" s="2">
        <f>HYPERLINK("https://cao.dolgi.msk.ru/account/1080305967/", 1080305967)</f>
        <v>1080305967</v>
      </c>
      <c r="D8039" t="s">
        <v>6701</v>
      </c>
      <c r="E8039">
        <v>288.64</v>
      </c>
      <c r="F8039">
        <v>7.0000000000000007E-2</v>
      </c>
      <c r="G8039" t="s">
        <v>12</v>
      </c>
      <c r="I8039" t="s">
        <v>1050</v>
      </c>
    </row>
    <row r="8040" spans="1:9" hidden="1" x14ac:dyDescent="0.25">
      <c r="A8040" t="s">
        <v>6689</v>
      </c>
      <c r="B8040" t="s">
        <v>34</v>
      </c>
      <c r="C8040" s="2">
        <f>HYPERLINK("https://cao.dolgi.msk.ru/account/1080305975/", 1080305975)</f>
        <v>1080305975</v>
      </c>
      <c r="D8040" t="s">
        <v>6702</v>
      </c>
      <c r="E8040">
        <v>-22475.32</v>
      </c>
      <c r="F8040">
        <v>-6.72</v>
      </c>
      <c r="G8040" t="s">
        <v>12</v>
      </c>
      <c r="I8040" t="s">
        <v>1050</v>
      </c>
    </row>
    <row r="8041" spans="1:9" hidden="1" x14ac:dyDescent="0.25">
      <c r="A8041" t="s">
        <v>6689</v>
      </c>
      <c r="B8041" t="s">
        <v>34</v>
      </c>
      <c r="C8041" s="2">
        <f>HYPERLINK("https://cao.dolgi.msk.ru/account/1083269084/", 1083269084)</f>
        <v>1083269084</v>
      </c>
      <c r="D8041" t="s">
        <v>6703</v>
      </c>
      <c r="E8041">
        <v>-26093.09</v>
      </c>
      <c r="F8041">
        <v>-8.09</v>
      </c>
      <c r="G8041" t="s">
        <v>12</v>
      </c>
      <c r="I8041" t="s">
        <v>1050</v>
      </c>
    </row>
    <row r="8042" spans="1:9" hidden="1" x14ac:dyDescent="0.25">
      <c r="A8042" t="s">
        <v>6689</v>
      </c>
      <c r="B8042" t="s">
        <v>36</v>
      </c>
      <c r="C8042" s="2">
        <f>HYPERLINK("https://cao.dolgi.msk.ru/account/1080305983/", 1080305983)</f>
        <v>1080305983</v>
      </c>
      <c r="D8042" t="s">
        <v>6704</v>
      </c>
      <c r="E8042">
        <v>-7155.46</v>
      </c>
      <c r="F8042">
        <v>-1.0900000000000001</v>
      </c>
      <c r="G8042" t="s">
        <v>12</v>
      </c>
      <c r="I8042" t="s">
        <v>1050</v>
      </c>
    </row>
    <row r="8043" spans="1:9" hidden="1" x14ac:dyDescent="0.25">
      <c r="A8043" t="s">
        <v>6689</v>
      </c>
      <c r="B8043" t="s">
        <v>38</v>
      </c>
      <c r="C8043" s="2">
        <f>HYPERLINK("https://cao.dolgi.msk.ru/account/1080305991/", 1080305991)</f>
        <v>1080305991</v>
      </c>
      <c r="D8043" t="s">
        <v>6705</v>
      </c>
      <c r="E8043">
        <v>73.930000000000007</v>
      </c>
      <c r="F8043">
        <v>0.02</v>
      </c>
      <c r="G8043" t="s">
        <v>12</v>
      </c>
      <c r="I8043" t="s">
        <v>1050</v>
      </c>
    </row>
    <row r="8044" spans="1:9" hidden="1" x14ac:dyDescent="0.25">
      <c r="A8044" t="s">
        <v>6689</v>
      </c>
      <c r="B8044" t="s">
        <v>39</v>
      </c>
      <c r="C8044" s="2">
        <f>HYPERLINK("https://cao.dolgi.msk.ru/account/1080306003/", 1080306003)</f>
        <v>1080306003</v>
      </c>
      <c r="D8044" t="s">
        <v>6706</v>
      </c>
      <c r="E8044">
        <v>38.14</v>
      </c>
      <c r="F8044">
        <v>0.01</v>
      </c>
      <c r="G8044" t="s">
        <v>12</v>
      </c>
      <c r="I8044" t="s">
        <v>1050</v>
      </c>
    </row>
    <row r="8045" spans="1:9" hidden="1" x14ac:dyDescent="0.25">
      <c r="A8045" t="s">
        <v>6689</v>
      </c>
      <c r="B8045" t="s">
        <v>40</v>
      </c>
      <c r="C8045" s="2">
        <f>HYPERLINK("https://cao.dolgi.msk.ru/account/1080306011/", 1080306011)</f>
        <v>1080306011</v>
      </c>
      <c r="D8045" t="s">
        <v>6707</v>
      </c>
      <c r="E8045">
        <v>-5977.68</v>
      </c>
      <c r="F8045">
        <v>-1.28</v>
      </c>
      <c r="G8045" t="s">
        <v>12</v>
      </c>
      <c r="I8045" t="s">
        <v>1050</v>
      </c>
    </row>
    <row r="8046" spans="1:9" hidden="1" x14ac:dyDescent="0.25">
      <c r="A8046" t="s">
        <v>6689</v>
      </c>
      <c r="B8046" t="s">
        <v>41</v>
      </c>
      <c r="C8046" s="2">
        <f>HYPERLINK("https://cao.dolgi.msk.ru/account/1080306038/", 1080306038)</f>
        <v>1080306038</v>
      </c>
      <c r="D8046" t="s">
        <v>6708</v>
      </c>
      <c r="E8046">
        <v>-6376.42</v>
      </c>
      <c r="F8046">
        <v>-1.06</v>
      </c>
      <c r="G8046" t="s">
        <v>12</v>
      </c>
      <c r="I8046" t="s">
        <v>1050</v>
      </c>
    </row>
    <row r="8047" spans="1:9" hidden="1" x14ac:dyDescent="0.25">
      <c r="A8047" t="s">
        <v>6689</v>
      </c>
      <c r="B8047" t="s">
        <v>6709</v>
      </c>
      <c r="C8047" s="2">
        <f>HYPERLINK("https://cao.dolgi.msk.ru/account/1080306046/", 1080306046)</f>
        <v>1080306046</v>
      </c>
      <c r="D8047" t="s">
        <v>6710</v>
      </c>
      <c r="E8047">
        <v>-198.84</v>
      </c>
      <c r="F8047">
        <v>-0.03</v>
      </c>
      <c r="G8047" t="s">
        <v>12</v>
      </c>
      <c r="I8047" t="s">
        <v>1050</v>
      </c>
    </row>
    <row r="8048" spans="1:9" hidden="1" x14ac:dyDescent="0.25">
      <c r="A8048" t="s">
        <v>6689</v>
      </c>
      <c r="B8048" t="s">
        <v>42</v>
      </c>
      <c r="C8048" s="2">
        <f>HYPERLINK("https://cao.dolgi.msk.ru/account/1080306054/", 1080306054)</f>
        <v>1080306054</v>
      </c>
      <c r="D8048" t="s">
        <v>6711</v>
      </c>
      <c r="E8048">
        <v>-3802.23</v>
      </c>
      <c r="F8048">
        <v>-1.05</v>
      </c>
      <c r="G8048" t="s">
        <v>12</v>
      </c>
      <c r="I8048" t="s">
        <v>1050</v>
      </c>
    </row>
    <row r="8049" spans="1:9" hidden="1" x14ac:dyDescent="0.25">
      <c r="A8049" t="s">
        <v>6689</v>
      </c>
      <c r="B8049" t="s">
        <v>44</v>
      </c>
      <c r="C8049" s="2">
        <f>HYPERLINK("https://cao.dolgi.msk.ru/account/1080306089/", 1080306089)</f>
        <v>1080306089</v>
      </c>
      <c r="D8049" t="s">
        <v>6712</v>
      </c>
      <c r="E8049">
        <v>-8397.2900000000009</v>
      </c>
      <c r="F8049">
        <v>-1.61</v>
      </c>
      <c r="G8049" t="s">
        <v>12</v>
      </c>
      <c r="I8049" t="s">
        <v>1050</v>
      </c>
    </row>
    <row r="8050" spans="1:9" hidden="1" x14ac:dyDescent="0.25">
      <c r="A8050" t="s">
        <v>6689</v>
      </c>
      <c r="B8050" t="s">
        <v>277</v>
      </c>
      <c r="C8050" s="2">
        <f>HYPERLINK("https://cao.dolgi.msk.ru/account/1080306062/", 1080306062)</f>
        <v>1080306062</v>
      </c>
      <c r="D8050" t="s">
        <v>6713</v>
      </c>
      <c r="E8050">
        <v>-5360.2</v>
      </c>
      <c r="F8050">
        <v>-1.34</v>
      </c>
      <c r="G8050" t="s">
        <v>12</v>
      </c>
      <c r="I8050" t="s">
        <v>1050</v>
      </c>
    </row>
    <row r="8051" spans="1:9" hidden="1" x14ac:dyDescent="0.25">
      <c r="A8051" t="s">
        <v>6689</v>
      </c>
      <c r="B8051" t="s">
        <v>66</v>
      </c>
      <c r="C8051" s="2">
        <f>HYPERLINK("https://cao.dolgi.msk.ru/account/1080306097/", 1080306097)</f>
        <v>1080306097</v>
      </c>
      <c r="D8051" t="s">
        <v>6714</v>
      </c>
      <c r="E8051">
        <v>7709.18</v>
      </c>
      <c r="F8051">
        <v>0.98</v>
      </c>
      <c r="G8051" t="s">
        <v>12</v>
      </c>
      <c r="I8051" t="s">
        <v>1050</v>
      </c>
    </row>
    <row r="8052" spans="1:9" x14ac:dyDescent="0.25">
      <c r="A8052" t="s">
        <v>6689</v>
      </c>
      <c r="B8052" t="s">
        <v>68</v>
      </c>
      <c r="C8052" s="2">
        <f>HYPERLINK("https://cao.dolgi.msk.ru/account/1080306118/", 1080306118)</f>
        <v>1080306118</v>
      </c>
      <c r="D8052" t="s">
        <v>6715</v>
      </c>
      <c r="E8052">
        <v>194031.04</v>
      </c>
      <c r="F8052">
        <v>41.5</v>
      </c>
      <c r="G8052" t="s">
        <v>12</v>
      </c>
      <c r="I8052" t="s">
        <v>1050</v>
      </c>
    </row>
    <row r="8053" spans="1:9" hidden="1" x14ac:dyDescent="0.25">
      <c r="A8053" t="s">
        <v>6689</v>
      </c>
      <c r="B8053" t="s">
        <v>68</v>
      </c>
      <c r="C8053" s="2">
        <f>HYPERLINK("https://cao.dolgi.msk.ru/account/1083272902/", 1083272902)</f>
        <v>1083272902</v>
      </c>
      <c r="D8053" t="s">
        <v>15</v>
      </c>
      <c r="E8053">
        <v>0</v>
      </c>
      <c r="G8053" t="s">
        <v>14</v>
      </c>
      <c r="I8053" t="s">
        <v>1050</v>
      </c>
    </row>
    <row r="8054" spans="1:9" hidden="1" x14ac:dyDescent="0.25">
      <c r="A8054" t="s">
        <v>6689</v>
      </c>
      <c r="B8054" t="s">
        <v>70</v>
      </c>
      <c r="C8054" s="2">
        <f>HYPERLINK("https://cao.dolgi.msk.ru/account/1080306126/", 1080306126)</f>
        <v>1080306126</v>
      </c>
      <c r="D8054" t="s">
        <v>6716</v>
      </c>
      <c r="E8054">
        <v>-2239.27</v>
      </c>
      <c r="F8054">
        <v>-0.49</v>
      </c>
      <c r="G8054" t="s">
        <v>12</v>
      </c>
      <c r="I8054" t="s">
        <v>1050</v>
      </c>
    </row>
    <row r="8055" spans="1:9" hidden="1" x14ac:dyDescent="0.25">
      <c r="A8055" t="s">
        <v>6689</v>
      </c>
      <c r="B8055" t="s">
        <v>72</v>
      </c>
      <c r="C8055" s="2">
        <f>HYPERLINK("https://cao.dolgi.msk.ru/account/1080306134/", 1080306134)</f>
        <v>1080306134</v>
      </c>
      <c r="D8055" t="s">
        <v>6717</v>
      </c>
      <c r="E8055">
        <v>-21.85</v>
      </c>
      <c r="F8055">
        <v>0</v>
      </c>
      <c r="G8055" t="s">
        <v>12</v>
      </c>
      <c r="I8055" t="s">
        <v>1050</v>
      </c>
    </row>
    <row r="8056" spans="1:9" hidden="1" x14ac:dyDescent="0.25">
      <c r="A8056" t="s">
        <v>6689</v>
      </c>
      <c r="B8056" t="s">
        <v>74</v>
      </c>
      <c r="C8056" s="2">
        <f>HYPERLINK("https://cao.dolgi.msk.ru/account/1080306142/", 1080306142)</f>
        <v>1080306142</v>
      </c>
      <c r="D8056" t="s">
        <v>6718</v>
      </c>
      <c r="E8056">
        <v>0</v>
      </c>
      <c r="F8056">
        <v>0</v>
      </c>
      <c r="G8056" t="s">
        <v>12</v>
      </c>
      <c r="I8056" t="s">
        <v>1050</v>
      </c>
    </row>
    <row r="8057" spans="1:9" hidden="1" x14ac:dyDescent="0.25">
      <c r="A8057" t="s">
        <v>6689</v>
      </c>
      <c r="B8057" t="s">
        <v>76</v>
      </c>
      <c r="C8057" s="2">
        <f>HYPERLINK("https://cao.dolgi.msk.ru/account/1080306169/", 1080306169)</f>
        <v>1080306169</v>
      </c>
      <c r="D8057" t="s">
        <v>6719</v>
      </c>
      <c r="E8057">
        <v>-7381.22</v>
      </c>
      <c r="F8057">
        <v>-1.08</v>
      </c>
      <c r="G8057" t="s">
        <v>12</v>
      </c>
      <c r="I8057" t="s">
        <v>1050</v>
      </c>
    </row>
    <row r="8058" spans="1:9" hidden="1" x14ac:dyDescent="0.25">
      <c r="A8058" t="s">
        <v>6689</v>
      </c>
      <c r="B8058" t="s">
        <v>78</v>
      </c>
      <c r="C8058" s="2">
        <f>HYPERLINK("https://cao.dolgi.msk.ru/account/1080306177/", 1080306177)</f>
        <v>1080306177</v>
      </c>
      <c r="D8058" t="s">
        <v>6720</v>
      </c>
      <c r="E8058">
        <v>-11773.79</v>
      </c>
      <c r="F8058">
        <v>-1.01</v>
      </c>
      <c r="G8058" t="s">
        <v>12</v>
      </c>
      <c r="I8058" t="s">
        <v>1050</v>
      </c>
    </row>
    <row r="8059" spans="1:9" hidden="1" x14ac:dyDescent="0.25">
      <c r="A8059" t="s">
        <v>6689</v>
      </c>
      <c r="B8059" t="s">
        <v>80</v>
      </c>
      <c r="C8059" s="2">
        <f>HYPERLINK("https://cao.dolgi.msk.ru/account/1080306185/", 1080306185)</f>
        <v>1080306185</v>
      </c>
      <c r="D8059" t="s">
        <v>6721</v>
      </c>
      <c r="E8059">
        <v>-4610.1099999999997</v>
      </c>
      <c r="F8059">
        <v>-0.87</v>
      </c>
      <c r="G8059" t="s">
        <v>12</v>
      </c>
      <c r="I8059" t="s">
        <v>1050</v>
      </c>
    </row>
    <row r="8060" spans="1:9" hidden="1" x14ac:dyDescent="0.25">
      <c r="A8060" t="s">
        <v>6689</v>
      </c>
      <c r="B8060" t="s">
        <v>82</v>
      </c>
      <c r="C8060" s="2">
        <f>HYPERLINK("https://cao.dolgi.msk.ru/account/1080306193/", 1080306193)</f>
        <v>1080306193</v>
      </c>
      <c r="D8060" t="s">
        <v>6722</v>
      </c>
      <c r="E8060">
        <v>53.19</v>
      </c>
      <c r="F8060">
        <v>0.01</v>
      </c>
      <c r="G8060" t="s">
        <v>12</v>
      </c>
      <c r="I8060" t="s">
        <v>1050</v>
      </c>
    </row>
    <row r="8061" spans="1:9" hidden="1" x14ac:dyDescent="0.25">
      <c r="A8061" t="s">
        <v>6689</v>
      </c>
      <c r="B8061" t="s">
        <v>84</v>
      </c>
      <c r="C8061" s="2">
        <f>HYPERLINK("https://cao.dolgi.msk.ru/account/1080306206/", 1080306206)</f>
        <v>1080306206</v>
      </c>
      <c r="D8061" t="s">
        <v>6723</v>
      </c>
      <c r="E8061">
        <v>-6479.36</v>
      </c>
      <c r="F8061">
        <v>-1.04</v>
      </c>
      <c r="G8061" t="s">
        <v>12</v>
      </c>
      <c r="I8061" t="s">
        <v>1050</v>
      </c>
    </row>
    <row r="8062" spans="1:9" hidden="1" x14ac:dyDescent="0.25">
      <c r="A8062" t="s">
        <v>6689</v>
      </c>
      <c r="B8062" t="s">
        <v>86</v>
      </c>
      <c r="C8062" s="2">
        <f>HYPERLINK("https://cao.dolgi.msk.ru/account/1080306214/", 1080306214)</f>
        <v>1080306214</v>
      </c>
      <c r="D8062" t="s">
        <v>6724</v>
      </c>
      <c r="E8062">
        <v>-5384.26</v>
      </c>
      <c r="F8062">
        <v>-1.0900000000000001</v>
      </c>
      <c r="G8062" t="s">
        <v>12</v>
      </c>
      <c r="I8062" t="s">
        <v>1050</v>
      </c>
    </row>
    <row r="8063" spans="1:9" hidden="1" x14ac:dyDescent="0.25">
      <c r="A8063" t="s">
        <v>6689</v>
      </c>
      <c r="B8063" t="s">
        <v>88</v>
      </c>
      <c r="C8063" s="2">
        <f>HYPERLINK("https://cao.dolgi.msk.ru/account/1080306222/", 1080306222)</f>
        <v>1080306222</v>
      </c>
      <c r="D8063" t="s">
        <v>6725</v>
      </c>
      <c r="E8063">
        <v>-6230.31</v>
      </c>
      <c r="F8063">
        <v>-1.08</v>
      </c>
      <c r="G8063" t="s">
        <v>12</v>
      </c>
      <c r="I8063" t="s">
        <v>1050</v>
      </c>
    </row>
    <row r="8064" spans="1:9" hidden="1" x14ac:dyDescent="0.25">
      <c r="A8064" t="s">
        <v>6689</v>
      </c>
      <c r="B8064" t="s">
        <v>90</v>
      </c>
      <c r="C8064" s="2">
        <f>HYPERLINK("https://cao.dolgi.msk.ru/account/1080306249/", 1080306249)</f>
        <v>1080306249</v>
      </c>
      <c r="D8064" t="s">
        <v>6726</v>
      </c>
      <c r="E8064">
        <v>-10200.209999999999</v>
      </c>
      <c r="F8064">
        <v>-1.03</v>
      </c>
      <c r="G8064" t="s">
        <v>12</v>
      </c>
      <c r="I8064" t="s">
        <v>1050</v>
      </c>
    </row>
    <row r="8065" spans="1:9" hidden="1" x14ac:dyDescent="0.25">
      <c r="A8065" t="s">
        <v>6689</v>
      </c>
      <c r="B8065" t="s">
        <v>92</v>
      </c>
      <c r="C8065" s="2">
        <f>HYPERLINK("https://cao.dolgi.msk.ru/account/1080306257/", 1080306257)</f>
        <v>1080306257</v>
      </c>
      <c r="D8065" t="s">
        <v>6727</v>
      </c>
      <c r="E8065">
        <v>-3171.4</v>
      </c>
      <c r="F8065">
        <v>-1.04</v>
      </c>
      <c r="G8065" t="s">
        <v>12</v>
      </c>
      <c r="I8065" t="s">
        <v>1050</v>
      </c>
    </row>
    <row r="8066" spans="1:9" hidden="1" x14ac:dyDescent="0.25">
      <c r="A8066" t="s">
        <v>6689</v>
      </c>
      <c r="B8066" t="s">
        <v>94</v>
      </c>
      <c r="C8066" s="2">
        <f>HYPERLINK("https://cao.dolgi.msk.ru/account/1080306265/", 1080306265)</f>
        <v>1080306265</v>
      </c>
      <c r="D8066" t="s">
        <v>6728</v>
      </c>
      <c r="E8066">
        <v>-4906.68</v>
      </c>
      <c r="F8066">
        <v>-1.08</v>
      </c>
      <c r="G8066" t="s">
        <v>12</v>
      </c>
      <c r="I8066" t="s">
        <v>1050</v>
      </c>
    </row>
    <row r="8067" spans="1:9" hidden="1" x14ac:dyDescent="0.25">
      <c r="A8067" t="s">
        <v>6689</v>
      </c>
      <c r="B8067" t="s">
        <v>96</v>
      </c>
      <c r="C8067" s="2">
        <f>HYPERLINK("https://cao.dolgi.msk.ru/account/1080306273/", 1080306273)</f>
        <v>1080306273</v>
      </c>
      <c r="D8067" t="s">
        <v>6729</v>
      </c>
      <c r="E8067">
        <v>-4265.58</v>
      </c>
      <c r="F8067">
        <v>-1.19</v>
      </c>
      <c r="G8067" t="s">
        <v>12</v>
      </c>
      <c r="I8067" t="s">
        <v>1050</v>
      </c>
    </row>
    <row r="8068" spans="1:9" hidden="1" x14ac:dyDescent="0.25">
      <c r="A8068" t="s">
        <v>6689</v>
      </c>
      <c r="B8068" t="s">
        <v>98</v>
      </c>
      <c r="C8068" s="2">
        <f>HYPERLINK("https://cao.dolgi.msk.ru/account/1080306281/", 1080306281)</f>
        <v>1080306281</v>
      </c>
      <c r="D8068" t="s">
        <v>6730</v>
      </c>
      <c r="E8068">
        <v>-7951.6</v>
      </c>
      <c r="F8068">
        <v>-1.1200000000000001</v>
      </c>
      <c r="G8068" t="s">
        <v>12</v>
      </c>
      <c r="I8068" t="s">
        <v>1050</v>
      </c>
    </row>
    <row r="8069" spans="1:9" hidden="1" x14ac:dyDescent="0.25">
      <c r="A8069" t="s">
        <v>6689</v>
      </c>
      <c r="B8069" t="s">
        <v>100</v>
      </c>
      <c r="C8069" s="2">
        <f>HYPERLINK("https://cao.dolgi.msk.ru/account/1080306302/", 1080306302)</f>
        <v>1080306302</v>
      </c>
      <c r="D8069" t="s">
        <v>6731</v>
      </c>
      <c r="E8069">
        <v>-906.09</v>
      </c>
      <c r="F8069">
        <v>-0.22</v>
      </c>
      <c r="G8069" t="s">
        <v>12</v>
      </c>
      <c r="I8069" t="s">
        <v>1050</v>
      </c>
    </row>
    <row r="8070" spans="1:9" hidden="1" x14ac:dyDescent="0.25">
      <c r="A8070" t="s">
        <v>6689</v>
      </c>
      <c r="B8070" t="s">
        <v>102</v>
      </c>
      <c r="C8070" s="2">
        <f>HYPERLINK("https://cao.dolgi.msk.ru/account/1080306329/", 1080306329)</f>
        <v>1080306329</v>
      </c>
      <c r="D8070" t="s">
        <v>6732</v>
      </c>
      <c r="E8070">
        <v>8669.6299999999992</v>
      </c>
      <c r="F8070">
        <v>0.62</v>
      </c>
      <c r="G8070" t="s">
        <v>12</v>
      </c>
      <c r="I8070" t="s">
        <v>1050</v>
      </c>
    </row>
    <row r="8071" spans="1:9" hidden="1" x14ac:dyDescent="0.25">
      <c r="A8071" t="s">
        <v>6689</v>
      </c>
      <c r="B8071" t="s">
        <v>102</v>
      </c>
      <c r="C8071" s="2">
        <f>HYPERLINK("https://cao.dolgi.msk.ru/account/1080306337/", 1080306337)</f>
        <v>1080306337</v>
      </c>
      <c r="D8071" t="s">
        <v>15</v>
      </c>
      <c r="G8071" t="s">
        <v>14</v>
      </c>
      <c r="I8071" t="s">
        <v>1050</v>
      </c>
    </row>
    <row r="8072" spans="1:9" hidden="1" x14ac:dyDescent="0.25">
      <c r="A8072" t="s">
        <v>6689</v>
      </c>
      <c r="B8072" t="s">
        <v>104</v>
      </c>
      <c r="C8072" s="2">
        <f>HYPERLINK("https://cao.dolgi.msk.ru/account/1080306345/", 1080306345)</f>
        <v>1080306345</v>
      </c>
      <c r="D8072" t="s">
        <v>6733</v>
      </c>
      <c r="E8072">
        <v>-14664.98</v>
      </c>
      <c r="F8072">
        <v>-1.74</v>
      </c>
      <c r="G8072" t="s">
        <v>12</v>
      </c>
      <c r="I8072" t="s">
        <v>1050</v>
      </c>
    </row>
    <row r="8073" spans="1:9" x14ac:dyDescent="0.25">
      <c r="A8073" t="s">
        <v>6689</v>
      </c>
      <c r="B8073" t="s">
        <v>108</v>
      </c>
      <c r="C8073" s="2">
        <f>HYPERLINK("https://cao.dolgi.msk.ru/account/1080306361/", 1080306361)</f>
        <v>1080306361</v>
      </c>
      <c r="D8073" t="s">
        <v>6734</v>
      </c>
      <c r="E8073">
        <v>196109.27</v>
      </c>
      <c r="F8073">
        <v>13.85</v>
      </c>
      <c r="G8073" t="s">
        <v>12</v>
      </c>
      <c r="I8073" t="s">
        <v>1050</v>
      </c>
    </row>
    <row r="8074" spans="1:9" hidden="1" x14ac:dyDescent="0.25">
      <c r="A8074" t="s">
        <v>6689</v>
      </c>
      <c r="B8074" t="s">
        <v>110</v>
      </c>
      <c r="C8074" s="2">
        <f>HYPERLINK("https://cao.dolgi.msk.ru/account/1080306388/", 1080306388)</f>
        <v>1080306388</v>
      </c>
      <c r="D8074" t="s">
        <v>6735</v>
      </c>
      <c r="E8074">
        <v>-8654.43</v>
      </c>
      <c r="F8074">
        <v>-1.03</v>
      </c>
      <c r="G8074" t="s">
        <v>12</v>
      </c>
      <c r="I8074" t="s">
        <v>1050</v>
      </c>
    </row>
    <row r="8075" spans="1:9" hidden="1" x14ac:dyDescent="0.25">
      <c r="A8075" t="s">
        <v>6689</v>
      </c>
      <c r="B8075" t="s">
        <v>112</v>
      </c>
      <c r="C8075" s="2">
        <f>HYPERLINK("https://cao.dolgi.msk.ru/account/1080306396/", 1080306396)</f>
        <v>1080306396</v>
      </c>
      <c r="D8075" t="s">
        <v>6736</v>
      </c>
      <c r="E8075">
        <v>-5702.5</v>
      </c>
      <c r="F8075">
        <v>-1.06</v>
      </c>
      <c r="G8075" t="s">
        <v>12</v>
      </c>
      <c r="I8075" t="s">
        <v>1050</v>
      </c>
    </row>
    <row r="8076" spans="1:9" hidden="1" x14ac:dyDescent="0.25">
      <c r="A8076" t="s">
        <v>6689</v>
      </c>
      <c r="B8076" t="s">
        <v>114</v>
      </c>
      <c r="C8076" s="2">
        <f>HYPERLINK("https://cao.dolgi.msk.ru/account/1080306409/", 1080306409)</f>
        <v>1080306409</v>
      </c>
      <c r="D8076" t="s">
        <v>6737</v>
      </c>
      <c r="E8076">
        <v>-7682.71</v>
      </c>
      <c r="F8076">
        <v>-1.05</v>
      </c>
      <c r="G8076" t="s">
        <v>12</v>
      </c>
      <c r="I8076" t="s">
        <v>1050</v>
      </c>
    </row>
    <row r="8077" spans="1:9" hidden="1" x14ac:dyDescent="0.25">
      <c r="A8077" t="s">
        <v>6689</v>
      </c>
      <c r="B8077" t="s">
        <v>116</v>
      </c>
      <c r="C8077" s="2">
        <f>HYPERLINK("https://cao.dolgi.msk.ru/account/1080306417/", 1080306417)</f>
        <v>1080306417</v>
      </c>
      <c r="D8077" t="s">
        <v>6738</v>
      </c>
      <c r="E8077">
        <v>-2275.33</v>
      </c>
      <c r="F8077">
        <v>-1</v>
      </c>
      <c r="G8077" t="s">
        <v>12</v>
      </c>
      <c r="H8077" t="s">
        <v>7</v>
      </c>
      <c r="I8077" t="s">
        <v>1050</v>
      </c>
    </row>
    <row r="8078" spans="1:9" hidden="1" x14ac:dyDescent="0.25">
      <c r="A8078" t="s">
        <v>6689</v>
      </c>
      <c r="B8078" t="s">
        <v>116</v>
      </c>
      <c r="C8078" s="2">
        <f>HYPERLINK("https://cao.dolgi.msk.ru/account/1080306425/", 1080306425)</f>
        <v>1080306425</v>
      </c>
      <c r="D8078" t="s">
        <v>6739</v>
      </c>
      <c r="E8078">
        <v>-866.32</v>
      </c>
      <c r="F8078">
        <v>-0.13</v>
      </c>
      <c r="G8078" t="s">
        <v>12</v>
      </c>
      <c r="H8078" t="s">
        <v>7</v>
      </c>
      <c r="I8078" t="s">
        <v>1050</v>
      </c>
    </row>
    <row r="8079" spans="1:9" hidden="1" x14ac:dyDescent="0.25">
      <c r="A8079" t="s">
        <v>6689</v>
      </c>
      <c r="B8079" t="s">
        <v>118</v>
      </c>
      <c r="C8079" s="2">
        <f>HYPERLINK("https://cao.dolgi.msk.ru/account/1080306433/", 1080306433)</f>
        <v>1080306433</v>
      </c>
      <c r="D8079" t="s">
        <v>6740</v>
      </c>
      <c r="E8079">
        <v>-8381.36</v>
      </c>
      <c r="F8079">
        <v>-1.02</v>
      </c>
      <c r="G8079" t="s">
        <v>12</v>
      </c>
      <c r="I8079" t="s">
        <v>1050</v>
      </c>
    </row>
    <row r="8080" spans="1:9" hidden="1" x14ac:dyDescent="0.25">
      <c r="A8080" t="s">
        <v>6689</v>
      </c>
      <c r="B8080" t="s">
        <v>120</v>
      </c>
      <c r="C8080" s="2">
        <f>HYPERLINK("https://cao.dolgi.msk.ru/account/1080306441/", 1080306441)</f>
        <v>1080306441</v>
      </c>
      <c r="D8080" t="s">
        <v>6741</v>
      </c>
      <c r="E8080">
        <v>-6734.1</v>
      </c>
      <c r="F8080">
        <v>-1.03</v>
      </c>
      <c r="G8080" t="s">
        <v>12</v>
      </c>
      <c r="I8080" t="s">
        <v>1050</v>
      </c>
    </row>
    <row r="8081" spans="1:9" x14ac:dyDescent="0.25">
      <c r="A8081" t="s">
        <v>6689</v>
      </c>
      <c r="B8081" t="s">
        <v>122</v>
      </c>
      <c r="C8081" s="2">
        <f>HYPERLINK("https://cao.dolgi.msk.ru/account/1080306468/", 1080306468)</f>
        <v>1080306468</v>
      </c>
      <c r="D8081" t="s">
        <v>6742</v>
      </c>
      <c r="E8081">
        <v>4501.2299999999996</v>
      </c>
      <c r="F8081">
        <v>1.01</v>
      </c>
      <c r="G8081" t="s">
        <v>12</v>
      </c>
      <c r="I8081" t="s">
        <v>1050</v>
      </c>
    </row>
    <row r="8082" spans="1:9" hidden="1" x14ac:dyDescent="0.25">
      <c r="A8082" t="s">
        <v>6689</v>
      </c>
      <c r="B8082" t="s">
        <v>124</v>
      </c>
      <c r="C8082" s="2">
        <f>HYPERLINK("https://cao.dolgi.msk.ru/account/1080306476/", 1080306476)</f>
        <v>1080306476</v>
      </c>
      <c r="D8082" t="s">
        <v>6743</v>
      </c>
      <c r="E8082">
        <v>-4075.47</v>
      </c>
      <c r="F8082">
        <v>-0.87</v>
      </c>
      <c r="G8082" t="s">
        <v>12</v>
      </c>
      <c r="I8082" t="s">
        <v>1050</v>
      </c>
    </row>
    <row r="8083" spans="1:9" hidden="1" x14ac:dyDescent="0.25">
      <c r="A8083" t="s">
        <v>6689</v>
      </c>
      <c r="B8083" t="s">
        <v>126</v>
      </c>
      <c r="C8083" s="2">
        <f>HYPERLINK("https://cao.dolgi.msk.ru/account/1080306484/", 1080306484)</f>
        <v>1080306484</v>
      </c>
      <c r="D8083" t="s">
        <v>6744</v>
      </c>
      <c r="E8083">
        <v>-7339.79</v>
      </c>
      <c r="F8083">
        <v>-0.97</v>
      </c>
      <c r="G8083" t="s">
        <v>12</v>
      </c>
      <c r="I8083" t="s">
        <v>1050</v>
      </c>
    </row>
    <row r="8084" spans="1:9" hidden="1" x14ac:dyDescent="0.25">
      <c r="A8084" t="s">
        <v>6689</v>
      </c>
      <c r="B8084" t="s">
        <v>128</v>
      </c>
      <c r="C8084" s="2">
        <f>HYPERLINK("https://cao.dolgi.msk.ru/account/1080306492/", 1080306492)</f>
        <v>1080306492</v>
      </c>
      <c r="D8084" t="s">
        <v>6745</v>
      </c>
      <c r="E8084">
        <v>6554.9</v>
      </c>
      <c r="F8084">
        <v>0.74</v>
      </c>
      <c r="G8084" t="s">
        <v>12</v>
      </c>
      <c r="I8084" t="s">
        <v>1050</v>
      </c>
    </row>
    <row r="8085" spans="1:9" hidden="1" x14ac:dyDescent="0.25">
      <c r="A8085" t="s">
        <v>6689</v>
      </c>
      <c r="B8085" t="s">
        <v>130</v>
      </c>
      <c r="C8085" s="2">
        <f>HYPERLINK("https://cao.dolgi.msk.ru/account/1080306505/", 1080306505)</f>
        <v>1080306505</v>
      </c>
      <c r="D8085" t="s">
        <v>6746</v>
      </c>
      <c r="E8085">
        <v>-4074.29</v>
      </c>
      <c r="F8085">
        <v>-1.07</v>
      </c>
      <c r="G8085" t="s">
        <v>12</v>
      </c>
      <c r="I8085" t="s">
        <v>1050</v>
      </c>
    </row>
    <row r="8086" spans="1:9" hidden="1" x14ac:dyDescent="0.25">
      <c r="A8086" t="s">
        <v>6689</v>
      </c>
      <c r="B8086" t="s">
        <v>132</v>
      </c>
      <c r="C8086" s="2">
        <f>HYPERLINK("https://cao.dolgi.msk.ru/account/1080306513/", 1080306513)</f>
        <v>1080306513</v>
      </c>
      <c r="D8086" t="s">
        <v>6747</v>
      </c>
      <c r="E8086">
        <v>-8922.48</v>
      </c>
      <c r="F8086">
        <v>-1.05</v>
      </c>
      <c r="G8086" t="s">
        <v>12</v>
      </c>
      <c r="I8086" t="s">
        <v>1050</v>
      </c>
    </row>
    <row r="8087" spans="1:9" hidden="1" x14ac:dyDescent="0.25">
      <c r="A8087" t="s">
        <v>6689</v>
      </c>
      <c r="B8087" t="s">
        <v>133</v>
      </c>
      <c r="C8087" s="2">
        <f>HYPERLINK("https://cao.dolgi.msk.ru/account/1080306521/", 1080306521)</f>
        <v>1080306521</v>
      </c>
      <c r="D8087" t="s">
        <v>6748</v>
      </c>
      <c r="E8087">
        <v>6941.8</v>
      </c>
      <c r="F8087">
        <v>0.85</v>
      </c>
      <c r="G8087" t="s">
        <v>12</v>
      </c>
      <c r="I8087" t="s">
        <v>1050</v>
      </c>
    </row>
    <row r="8088" spans="1:9" hidden="1" x14ac:dyDescent="0.25">
      <c r="A8088" t="s">
        <v>6689</v>
      </c>
      <c r="B8088" t="s">
        <v>135</v>
      </c>
      <c r="C8088" s="2">
        <f>HYPERLINK("https://cao.dolgi.msk.ru/account/1080306548/", 1080306548)</f>
        <v>1080306548</v>
      </c>
      <c r="D8088" t="s">
        <v>6749</v>
      </c>
      <c r="E8088">
        <v>-5635.27</v>
      </c>
      <c r="F8088">
        <v>-1.1299999999999999</v>
      </c>
      <c r="G8088" t="s">
        <v>12</v>
      </c>
      <c r="I8088" t="s">
        <v>1050</v>
      </c>
    </row>
    <row r="8089" spans="1:9" x14ac:dyDescent="0.25">
      <c r="A8089" t="s">
        <v>6689</v>
      </c>
      <c r="B8089" t="s">
        <v>137</v>
      </c>
      <c r="C8089" s="2">
        <f>HYPERLINK("https://cao.dolgi.msk.ru/account/1080306556/", 1080306556)</f>
        <v>1080306556</v>
      </c>
      <c r="D8089" t="s">
        <v>6750</v>
      </c>
      <c r="E8089">
        <v>63519.89</v>
      </c>
      <c r="F8089">
        <v>5.53</v>
      </c>
      <c r="G8089" t="s">
        <v>12</v>
      </c>
      <c r="I8089" t="s">
        <v>1050</v>
      </c>
    </row>
    <row r="8090" spans="1:9" hidden="1" x14ac:dyDescent="0.25">
      <c r="A8090" t="s">
        <v>6689</v>
      </c>
      <c r="B8090" t="s">
        <v>139</v>
      </c>
      <c r="C8090" s="2">
        <f>HYPERLINK("https://cao.dolgi.msk.ru/account/1080306564/", 1080306564)</f>
        <v>1080306564</v>
      </c>
      <c r="D8090" t="s">
        <v>6751</v>
      </c>
      <c r="E8090">
        <v>-35.31</v>
      </c>
      <c r="F8090">
        <v>-0.01</v>
      </c>
      <c r="G8090" t="s">
        <v>12</v>
      </c>
      <c r="H8090" t="s">
        <v>7</v>
      </c>
      <c r="I8090" t="s">
        <v>1050</v>
      </c>
    </row>
    <row r="8091" spans="1:9" hidden="1" x14ac:dyDescent="0.25">
      <c r="A8091" t="s">
        <v>6689</v>
      </c>
      <c r="B8091" t="s">
        <v>139</v>
      </c>
      <c r="C8091" s="2">
        <f>HYPERLINK("https://cao.dolgi.msk.ru/account/1080306572/", 1080306572)</f>
        <v>1080306572</v>
      </c>
      <c r="D8091" t="s">
        <v>6751</v>
      </c>
      <c r="E8091">
        <v>-4821.22</v>
      </c>
      <c r="F8091">
        <v>-1.06</v>
      </c>
      <c r="G8091" t="s">
        <v>12</v>
      </c>
      <c r="H8091" t="s">
        <v>7</v>
      </c>
      <c r="I8091" t="s">
        <v>1050</v>
      </c>
    </row>
    <row r="8092" spans="1:9" hidden="1" x14ac:dyDescent="0.25">
      <c r="A8092" t="s">
        <v>6689</v>
      </c>
      <c r="B8092" t="s">
        <v>141</v>
      </c>
      <c r="C8092" s="2">
        <f>HYPERLINK("https://cao.dolgi.msk.ru/account/1080306599/", 1080306599)</f>
        <v>1080306599</v>
      </c>
      <c r="D8092" t="s">
        <v>6752</v>
      </c>
      <c r="E8092">
        <v>-5784.44</v>
      </c>
      <c r="F8092">
        <v>-1.34</v>
      </c>
      <c r="G8092" t="s">
        <v>12</v>
      </c>
      <c r="I8092" t="s">
        <v>1050</v>
      </c>
    </row>
    <row r="8093" spans="1:9" hidden="1" x14ac:dyDescent="0.25">
      <c r="A8093" t="s">
        <v>6689</v>
      </c>
      <c r="B8093" t="s">
        <v>143</v>
      </c>
      <c r="C8093" s="2">
        <f>HYPERLINK("https://cao.dolgi.msk.ru/account/1080306601/", 1080306601)</f>
        <v>1080306601</v>
      </c>
      <c r="D8093" t="s">
        <v>6753</v>
      </c>
      <c r="E8093">
        <v>-8192.7800000000007</v>
      </c>
      <c r="F8093">
        <v>-1.83</v>
      </c>
      <c r="G8093" t="s">
        <v>12</v>
      </c>
      <c r="H8093" t="s">
        <v>7</v>
      </c>
      <c r="I8093" t="s">
        <v>1050</v>
      </c>
    </row>
    <row r="8094" spans="1:9" hidden="1" x14ac:dyDescent="0.25">
      <c r="A8094" t="s">
        <v>6689</v>
      </c>
      <c r="B8094" t="s">
        <v>143</v>
      </c>
      <c r="C8094" s="2">
        <f>HYPERLINK("https://cao.dolgi.msk.ru/account/1080306628/", 1080306628)</f>
        <v>1080306628</v>
      </c>
      <c r="D8094" t="s">
        <v>6753</v>
      </c>
      <c r="E8094">
        <v>-2960.34</v>
      </c>
      <c r="F8094">
        <v>-1.0900000000000001</v>
      </c>
      <c r="G8094" t="s">
        <v>12</v>
      </c>
      <c r="H8094" t="s">
        <v>7</v>
      </c>
      <c r="I8094" t="s">
        <v>1050</v>
      </c>
    </row>
    <row r="8095" spans="1:9" hidden="1" x14ac:dyDescent="0.25">
      <c r="A8095" t="s">
        <v>6689</v>
      </c>
      <c r="B8095" t="s">
        <v>143</v>
      </c>
      <c r="C8095" s="2">
        <f>HYPERLINK("https://cao.dolgi.msk.ru/account/1080306636/", 1080306636)</f>
        <v>1080306636</v>
      </c>
      <c r="D8095" t="s">
        <v>6753</v>
      </c>
      <c r="E8095">
        <v>0</v>
      </c>
      <c r="F8095">
        <v>0</v>
      </c>
      <c r="G8095" t="s">
        <v>12</v>
      </c>
      <c r="H8095" t="s">
        <v>7</v>
      </c>
      <c r="I8095" t="s">
        <v>1050</v>
      </c>
    </row>
    <row r="8096" spans="1:9" hidden="1" x14ac:dyDescent="0.25">
      <c r="A8096" t="s">
        <v>6689</v>
      </c>
      <c r="B8096" t="s">
        <v>145</v>
      </c>
      <c r="C8096" s="2">
        <f>HYPERLINK("https://cao.dolgi.msk.ru/account/1080306644/", 1080306644)</f>
        <v>1080306644</v>
      </c>
      <c r="D8096" t="s">
        <v>6754</v>
      </c>
      <c r="E8096">
        <v>-5829.37</v>
      </c>
      <c r="F8096">
        <v>-1.1100000000000001</v>
      </c>
      <c r="G8096" t="s">
        <v>12</v>
      </c>
      <c r="I8096" t="s">
        <v>1050</v>
      </c>
    </row>
    <row r="8097" spans="1:9" x14ac:dyDescent="0.25">
      <c r="A8097" t="s">
        <v>6755</v>
      </c>
      <c r="B8097" t="s">
        <v>24</v>
      </c>
      <c r="C8097" s="2">
        <f>HYPERLINK("https://cao.dolgi.msk.ru/account/1083391274/", 1083391274)</f>
        <v>1083391274</v>
      </c>
      <c r="D8097" t="s">
        <v>189</v>
      </c>
      <c r="E8097">
        <v>106281.34</v>
      </c>
      <c r="F8097">
        <v>17.13</v>
      </c>
      <c r="G8097" t="s">
        <v>12</v>
      </c>
      <c r="I8097" t="s">
        <v>1050</v>
      </c>
    </row>
    <row r="8098" spans="1:9" hidden="1" x14ac:dyDescent="0.25">
      <c r="A8098" t="s">
        <v>6755</v>
      </c>
      <c r="B8098" t="s">
        <v>27</v>
      </c>
      <c r="C8098" s="2">
        <f>HYPERLINK("https://cao.dolgi.msk.ru/account/1080306652/", 1080306652)</f>
        <v>1080306652</v>
      </c>
      <c r="D8098" t="s">
        <v>6756</v>
      </c>
      <c r="E8098">
        <v>102.87</v>
      </c>
      <c r="F8098">
        <v>0.01</v>
      </c>
      <c r="G8098" t="s">
        <v>12</v>
      </c>
      <c r="I8098" t="s">
        <v>1050</v>
      </c>
    </row>
    <row r="8099" spans="1:9" hidden="1" x14ac:dyDescent="0.25">
      <c r="A8099" t="s">
        <v>6755</v>
      </c>
      <c r="B8099" t="s">
        <v>27</v>
      </c>
      <c r="C8099" s="2">
        <f>HYPERLINK("https://cao.dolgi.msk.ru/account/1080306679/", 1080306679)</f>
        <v>1080306679</v>
      </c>
      <c r="D8099" t="s">
        <v>6757</v>
      </c>
      <c r="G8099" t="s">
        <v>14</v>
      </c>
      <c r="I8099" t="s">
        <v>1050</v>
      </c>
    </row>
    <row r="8100" spans="1:9" hidden="1" x14ac:dyDescent="0.25">
      <c r="A8100" t="s">
        <v>6755</v>
      </c>
      <c r="B8100" t="s">
        <v>27</v>
      </c>
      <c r="C8100" s="2">
        <f>HYPERLINK("https://cao.dolgi.msk.ru/account/1080306687/", 1080306687)</f>
        <v>1080306687</v>
      </c>
      <c r="D8100" t="s">
        <v>15</v>
      </c>
      <c r="G8100" t="s">
        <v>14</v>
      </c>
      <c r="I8100" t="s">
        <v>1050</v>
      </c>
    </row>
    <row r="8101" spans="1:9" hidden="1" x14ac:dyDescent="0.25">
      <c r="A8101" t="s">
        <v>6755</v>
      </c>
      <c r="B8101" t="s">
        <v>27</v>
      </c>
      <c r="C8101" s="2">
        <f>HYPERLINK("https://cao.dolgi.msk.ru/account/1089124441/", 1089124441)</f>
        <v>1089124441</v>
      </c>
      <c r="D8101" t="s">
        <v>15</v>
      </c>
      <c r="G8101" t="s">
        <v>14</v>
      </c>
      <c r="I8101" t="s">
        <v>1050</v>
      </c>
    </row>
    <row r="8102" spans="1:9" hidden="1" x14ac:dyDescent="0.25">
      <c r="A8102" t="s">
        <v>6755</v>
      </c>
      <c r="B8102" t="s">
        <v>29</v>
      </c>
      <c r="C8102" s="2">
        <f>HYPERLINK("https://cao.dolgi.msk.ru/account/1080306695/", 1080306695)</f>
        <v>1080306695</v>
      </c>
      <c r="D8102" t="s">
        <v>6758</v>
      </c>
      <c r="E8102">
        <v>-2767.83</v>
      </c>
      <c r="F8102">
        <v>-0.89</v>
      </c>
      <c r="G8102" t="s">
        <v>12</v>
      </c>
      <c r="H8102" t="s">
        <v>7</v>
      </c>
      <c r="I8102" t="s">
        <v>1050</v>
      </c>
    </row>
    <row r="8103" spans="1:9" hidden="1" x14ac:dyDescent="0.25">
      <c r="A8103" t="s">
        <v>6755</v>
      </c>
      <c r="B8103" t="s">
        <v>29</v>
      </c>
      <c r="C8103" s="2">
        <f>HYPERLINK("https://cao.dolgi.msk.ru/account/1080306708/", 1080306708)</f>
        <v>1080306708</v>
      </c>
      <c r="D8103" t="s">
        <v>6758</v>
      </c>
      <c r="E8103">
        <v>-1374.54</v>
      </c>
      <c r="F8103">
        <v>-0.85</v>
      </c>
      <c r="G8103" t="s">
        <v>12</v>
      </c>
      <c r="H8103" t="s">
        <v>7</v>
      </c>
      <c r="I8103" t="s">
        <v>1050</v>
      </c>
    </row>
    <row r="8104" spans="1:9" hidden="1" x14ac:dyDescent="0.25">
      <c r="A8104" t="s">
        <v>6755</v>
      </c>
      <c r="B8104" t="s">
        <v>29</v>
      </c>
      <c r="C8104" s="2">
        <f>HYPERLINK("https://cao.dolgi.msk.ru/account/1080306716/", 1080306716)</f>
        <v>1080306716</v>
      </c>
      <c r="D8104" t="s">
        <v>15</v>
      </c>
      <c r="E8104">
        <v>-1344.86</v>
      </c>
      <c r="F8104">
        <v>-0.93</v>
      </c>
      <c r="G8104" t="s">
        <v>12</v>
      </c>
      <c r="H8104" t="s">
        <v>7</v>
      </c>
      <c r="I8104" t="s">
        <v>1050</v>
      </c>
    </row>
    <row r="8105" spans="1:9" hidden="1" x14ac:dyDescent="0.25">
      <c r="A8105" t="s">
        <v>6755</v>
      </c>
      <c r="B8105" t="s">
        <v>29</v>
      </c>
      <c r="C8105" s="2">
        <f>HYPERLINK("https://cao.dolgi.msk.ru/account/1080325386/", 1080325386)</f>
        <v>1080325386</v>
      </c>
      <c r="D8105" t="s">
        <v>15</v>
      </c>
      <c r="E8105">
        <v>-717.16</v>
      </c>
      <c r="F8105">
        <v>-0.95</v>
      </c>
      <c r="G8105" t="s">
        <v>12</v>
      </c>
      <c r="H8105" t="s">
        <v>7</v>
      </c>
      <c r="I8105" t="s">
        <v>1050</v>
      </c>
    </row>
    <row r="8106" spans="1:9" hidden="1" x14ac:dyDescent="0.25">
      <c r="A8106" t="s">
        <v>6755</v>
      </c>
      <c r="B8106" t="s">
        <v>29</v>
      </c>
      <c r="C8106" s="2">
        <f>HYPERLINK("https://cao.dolgi.msk.ru/account/1089130227/", 1089130227)</f>
        <v>1089130227</v>
      </c>
      <c r="D8106" t="s">
        <v>1082</v>
      </c>
      <c r="E8106">
        <v>-1344.86</v>
      </c>
      <c r="F8106">
        <v>-0.93</v>
      </c>
      <c r="G8106" t="s">
        <v>12</v>
      </c>
      <c r="H8106" t="s">
        <v>7</v>
      </c>
      <c r="I8106" t="s">
        <v>1050</v>
      </c>
    </row>
    <row r="8107" spans="1:9" hidden="1" x14ac:dyDescent="0.25">
      <c r="A8107" t="s">
        <v>6755</v>
      </c>
      <c r="B8107" t="s">
        <v>31</v>
      </c>
      <c r="C8107" s="2">
        <f>HYPERLINK("https://cao.dolgi.msk.ru/account/1080306724/", 1080306724)</f>
        <v>1080306724</v>
      </c>
      <c r="D8107" t="s">
        <v>6759</v>
      </c>
      <c r="E8107">
        <v>-10989.94</v>
      </c>
      <c r="F8107">
        <v>-0.87</v>
      </c>
      <c r="G8107" t="s">
        <v>12</v>
      </c>
      <c r="I8107" t="s">
        <v>1050</v>
      </c>
    </row>
    <row r="8108" spans="1:9" hidden="1" x14ac:dyDescent="0.25">
      <c r="A8108" t="s">
        <v>6755</v>
      </c>
      <c r="B8108" t="s">
        <v>33</v>
      </c>
      <c r="C8108" s="2">
        <f>HYPERLINK("https://cao.dolgi.msk.ru/account/1080306759/", 1080306759)</f>
        <v>1080306759</v>
      </c>
      <c r="D8108" t="s">
        <v>6760</v>
      </c>
      <c r="E8108">
        <v>0</v>
      </c>
      <c r="F8108">
        <v>0</v>
      </c>
      <c r="G8108" t="s">
        <v>12</v>
      </c>
      <c r="I8108" t="s">
        <v>1050</v>
      </c>
    </row>
    <row r="8109" spans="1:9" hidden="1" x14ac:dyDescent="0.25">
      <c r="A8109" t="s">
        <v>6755</v>
      </c>
      <c r="B8109" t="s">
        <v>33</v>
      </c>
      <c r="C8109" s="2">
        <f>HYPERLINK("https://cao.dolgi.msk.ru/account/1080306767/", 1080306767)</f>
        <v>1080306767</v>
      </c>
      <c r="D8109" t="s">
        <v>15</v>
      </c>
      <c r="E8109">
        <v>-10778.19</v>
      </c>
      <c r="F8109">
        <v>-11.08</v>
      </c>
      <c r="G8109" t="s">
        <v>12</v>
      </c>
      <c r="I8109" t="s">
        <v>1050</v>
      </c>
    </row>
    <row r="8110" spans="1:9" hidden="1" x14ac:dyDescent="0.25">
      <c r="A8110" t="s">
        <v>6755</v>
      </c>
      <c r="B8110" t="s">
        <v>33</v>
      </c>
      <c r="C8110" s="2">
        <f>HYPERLINK("https://cao.dolgi.msk.ru/account/1089129496/", 1089129496)</f>
        <v>1089129496</v>
      </c>
      <c r="D8110" t="s">
        <v>15</v>
      </c>
      <c r="E8110">
        <v>0</v>
      </c>
      <c r="F8110">
        <v>0</v>
      </c>
      <c r="G8110" t="s">
        <v>14</v>
      </c>
      <c r="I8110" t="s">
        <v>1050</v>
      </c>
    </row>
    <row r="8111" spans="1:9" hidden="1" x14ac:dyDescent="0.25">
      <c r="A8111" t="s">
        <v>6761</v>
      </c>
      <c r="B8111" t="s">
        <v>16</v>
      </c>
      <c r="C8111" s="2">
        <f>HYPERLINK("https://cao.dolgi.msk.ru/account/1080291489/", 1080291489)</f>
        <v>1080291489</v>
      </c>
      <c r="D8111" t="s">
        <v>6762</v>
      </c>
      <c r="E8111">
        <v>-3017.28</v>
      </c>
      <c r="F8111">
        <v>-1.0900000000000001</v>
      </c>
      <c r="G8111" t="s">
        <v>12</v>
      </c>
      <c r="I8111" t="s">
        <v>1050</v>
      </c>
    </row>
    <row r="8112" spans="1:9" x14ac:dyDescent="0.25">
      <c r="A8112" t="s">
        <v>6761</v>
      </c>
      <c r="B8112" t="s">
        <v>18</v>
      </c>
      <c r="C8112" s="2">
        <f>HYPERLINK("https://cao.dolgi.msk.ru/account/1080291518/", 1080291518)</f>
        <v>1080291518</v>
      </c>
      <c r="D8112" t="s">
        <v>6763</v>
      </c>
      <c r="E8112">
        <v>616127.22</v>
      </c>
      <c r="F8112">
        <v>47.14</v>
      </c>
      <c r="G8112" t="s">
        <v>12</v>
      </c>
      <c r="I8112" t="s">
        <v>1050</v>
      </c>
    </row>
    <row r="8113" spans="1:9" hidden="1" x14ac:dyDescent="0.25">
      <c r="A8113" t="s">
        <v>6761</v>
      </c>
      <c r="B8113" t="s">
        <v>20</v>
      </c>
      <c r="C8113" s="2">
        <f>HYPERLINK("https://cao.dolgi.msk.ru/account/1080291526/", 1080291526)</f>
        <v>1080291526</v>
      </c>
      <c r="D8113" t="s">
        <v>6764</v>
      </c>
      <c r="E8113">
        <v>-458.28</v>
      </c>
      <c r="F8113">
        <v>-0.05</v>
      </c>
      <c r="G8113" t="s">
        <v>12</v>
      </c>
      <c r="I8113" t="s">
        <v>1050</v>
      </c>
    </row>
    <row r="8114" spans="1:9" hidden="1" x14ac:dyDescent="0.25">
      <c r="A8114" t="s">
        <v>6761</v>
      </c>
      <c r="B8114" t="s">
        <v>21</v>
      </c>
      <c r="C8114" s="2">
        <f>HYPERLINK("https://cao.dolgi.msk.ru/account/1080291534/", 1080291534)</f>
        <v>1080291534</v>
      </c>
      <c r="D8114" t="s">
        <v>6765</v>
      </c>
      <c r="E8114">
        <v>-3808.7</v>
      </c>
      <c r="F8114">
        <v>-0.99</v>
      </c>
      <c r="G8114" t="s">
        <v>12</v>
      </c>
      <c r="I8114" t="s">
        <v>1050</v>
      </c>
    </row>
    <row r="8115" spans="1:9" hidden="1" x14ac:dyDescent="0.25">
      <c r="A8115" t="s">
        <v>6761</v>
      </c>
      <c r="B8115" t="s">
        <v>22</v>
      </c>
      <c r="C8115" s="2">
        <f>HYPERLINK("https://cao.dolgi.msk.ru/account/1080291542/", 1080291542)</f>
        <v>1080291542</v>
      </c>
      <c r="D8115" t="s">
        <v>6766</v>
      </c>
      <c r="E8115">
        <v>-19.399999999999999</v>
      </c>
      <c r="F8115">
        <v>-0.01</v>
      </c>
      <c r="G8115" t="s">
        <v>12</v>
      </c>
      <c r="I8115" t="s">
        <v>1050</v>
      </c>
    </row>
    <row r="8116" spans="1:9" hidden="1" x14ac:dyDescent="0.25">
      <c r="A8116" t="s">
        <v>6761</v>
      </c>
      <c r="B8116" t="s">
        <v>23</v>
      </c>
      <c r="C8116" s="2">
        <f>HYPERLINK("https://cao.dolgi.msk.ru/account/1080291569/", 1080291569)</f>
        <v>1080291569</v>
      </c>
      <c r="D8116" t="s">
        <v>15</v>
      </c>
      <c r="E8116">
        <v>0</v>
      </c>
      <c r="F8116">
        <v>0</v>
      </c>
      <c r="G8116" t="s">
        <v>12</v>
      </c>
      <c r="I8116" t="s">
        <v>1050</v>
      </c>
    </row>
    <row r="8117" spans="1:9" hidden="1" x14ac:dyDescent="0.25">
      <c r="A8117" t="s">
        <v>6761</v>
      </c>
      <c r="B8117" t="s">
        <v>24</v>
      </c>
      <c r="C8117" s="2">
        <f>HYPERLINK("https://cao.dolgi.msk.ru/account/1080291577/", 1080291577)</f>
        <v>1080291577</v>
      </c>
      <c r="D8117" t="s">
        <v>6767</v>
      </c>
      <c r="E8117">
        <v>-3517.93</v>
      </c>
      <c r="F8117">
        <v>-0.89</v>
      </c>
      <c r="G8117" t="s">
        <v>12</v>
      </c>
      <c r="I8117" t="s">
        <v>1050</v>
      </c>
    </row>
    <row r="8118" spans="1:9" hidden="1" x14ac:dyDescent="0.25">
      <c r="A8118" t="s">
        <v>6761</v>
      </c>
      <c r="B8118" t="s">
        <v>27</v>
      </c>
      <c r="C8118" s="2">
        <f>HYPERLINK("https://cao.dolgi.msk.ru/account/1080291585/", 1080291585)</f>
        <v>1080291585</v>
      </c>
      <c r="D8118" t="s">
        <v>6768</v>
      </c>
      <c r="E8118">
        <v>-2829.9</v>
      </c>
      <c r="F8118">
        <v>-0.94</v>
      </c>
      <c r="G8118" t="s">
        <v>12</v>
      </c>
      <c r="I8118" t="s">
        <v>1050</v>
      </c>
    </row>
    <row r="8119" spans="1:9" hidden="1" x14ac:dyDescent="0.25">
      <c r="A8119" t="s">
        <v>6761</v>
      </c>
      <c r="B8119" t="s">
        <v>29</v>
      </c>
      <c r="C8119" s="2">
        <f>HYPERLINK("https://cao.dolgi.msk.ru/account/1080291593/", 1080291593)</f>
        <v>1080291593</v>
      </c>
      <c r="D8119" t="s">
        <v>6769</v>
      </c>
      <c r="E8119">
        <v>-5491.34</v>
      </c>
      <c r="F8119">
        <v>-0.94</v>
      </c>
      <c r="G8119" t="s">
        <v>12</v>
      </c>
      <c r="I8119" t="s">
        <v>1050</v>
      </c>
    </row>
    <row r="8120" spans="1:9" hidden="1" x14ac:dyDescent="0.25">
      <c r="A8120" t="s">
        <v>6761</v>
      </c>
      <c r="B8120" t="s">
        <v>31</v>
      </c>
      <c r="C8120" s="2">
        <f>HYPERLINK("https://cao.dolgi.msk.ru/account/1080291606/", 1080291606)</f>
        <v>1080291606</v>
      </c>
      <c r="D8120" t="s">
        <v>6770</v>
      </c>
      <c r="E8120">
        <v>-11102.48</v>
      </c>
      <c r="F8120">
        <v>-0.97</v>
      </c>
      <c r="G8120" t="s">
        <v>12</v>
      </c>
      <c r="I8120" t="s">
        <v>1050</v>
      </c>
    </row>
    <row r="8121" spans="1:9" hidden="1" x14ac:dyDescent="0.25">
      <c r="A8121" t="s">
        <v>6761</v>
      </c>
      <c r="B8121" t="s">
        <v>33</v>
      </c>
      <c r="C8121" s="2">
        <f>HYPERLINK("https://cao.dolgi.msk.ru/account/1080291614/", 1080291614)</f>
        <v>1080291614</v>
      </c>
      <c r="D8121" t="s">
        <v>6771</v>
      </c>
      <c r="E8121">
        <v>-3413.78</v>
      </c>
      <c r="F8121">
        <v>-0.89</v>
      </c>
      <c r="G8121" t="s">
        <v>12</v>
      </c>
      <c r="I8121" t="s">
        <v>1050</v>
      </c>
    </row>
    <row r="8122" spans="1:9" hidden="1" x14ac:dyDescent="0.25">
      <c r="A8122" t="s">
        <v>6761</v>
      </c>
      <c r="B8122" t="s">
        <v>34</v>
      </c>
      <c r="C8122" s="2">
        <f>HYPERLINK("https://cao.dolgi.msk.ru/account/1080291622/", 1080291622)</f>
        <v>1080291622</v>
      </c>
      <c r="D8122" t="s">
        <v>6772</v>
      </c>
      <c r="E8122">
        <v>-4884.5</v>
      </c>
      <c r="F8122">
        <v>-0.78</v>
      </c>
      <c r="G8122" t="s">
        <v>12</v>
      </c>
      <c r="I8122" t="s">
        <v>1050</v>
      </c>
    </row>
    <row r="8123" spans="1:9" hidden="1" x14ac:dyDescent="0.25">
      <c r="A8123" t="s">
        <v>6761</v>
      </c>
      <c r="B8123" t="s">
        <v>36</v>
      </c>
      <c r="C8123" s="2">
        <f>HYPERLINK("https://cao.dolgi.msk.ru/account/1080291649/", 1080291649)</f>
        <v>1080291649</v>
      </c>
      <c r="D8123" t="s">
        <v>6773</v>
      </c>
      <c r="E8123">
        <v>-3857.63</v>
      </c>
      <c r="F8123">
        <v>-1.23</v>
      </c>
      <c r="G8123" t="s">
        <v>12</v>
      </c>
      <c r="I8123" t="s">
        <v>1050</v>
      </c>
    </row>
    <row r="8124" spans="1:9" hidden="1" x14ac:dyDescent="0.25">
      <c r="A8124" t="s">
        <v>6761</v>
      </c>
      <c r="B8124" t="s">
        <v>38</v>
      </c>
      <c r="C8124" s="2">
        <f>HYPERLINK("https://cao.dolgi.msk.ru/account/1080291657/", 1080291657)</f>
        <v>1080291657</v>
      </c>
      <c r="D8124" t="s">
        <v>6774</v>
      </c>
      <c r="E8124">
        <v>-5636.38</v>
      </c>
      <c r="F8124">
        <v>-1.18</v>
      </c>
      <c r="G8124" t="s">
        <v>12</v>
      </c>
      <c r="I8124" t="s">
        <v>1050</v>
      </c>
    </row>
    <row r="8125" spans="1:9" hidden="1" x14ac:dyDescent="0.25">
      <c r="A8125" t="s">
        <v>6761</v>
      </c>
      <c r="B8125" t="s">
        <v>39</v>
      </c>
      <c r="C8125" s="2">
        <f>HYPERLINK("https://cao.dolgi.msk.ru/account/1080291665/", 1080291665)</f>
        <v>1080291665</v>
      </c>
      <c r="D8125" t="s">
        <v>6775</v>
      </c>
      <c r="E8125">
        <v>-6180.98</v>
      </c>
      <c r="F8125">
        <v>-1.25</v>
      </c>
      <c r="G8125" t="s">
        <v>12</v>
      </c>
      <c r="I8125" t="s">
        <v>1050</v>
      </c>
    </row>
    <row r="8126" spans="1:9" hidden="1" x14ac:dyDescent="0.25">
      <c r="A8126" t="s">
        <v>6761</v>
      </c>
      <c r="B8126" t="s">
        <v>40</v>
      </c>
      <c r="C8126" s="2">
        <f>HYPERLINK("https://cao.dolgi.msk.ru/account/1080291673/", 1080291673)</f>
        <v>1080291673</v>
      </c>
      <c r="D8126" t="s">
        <v>6776</v>
      </c>
      <c r="E8126">
        <v>-6231.43</v>
      </c>
      <c r="F8126">
        <v>-0.94</v>
      </c>
      <c r="G8126" t="s">
        <v>12</v>
      </c>
      <c r="I8126" t="s">
        <v>1050</v>
      </c>
    </row>
    <row r="8127" spans="1:9" hidden="1" x14ac:dyDescent="0.25">
      <c r="A8127" t="s">
        <v>6761</v>
      </c>
      <c r="B8127" t="s">
        <v>41</v>
      </c>
      <c r="C8127" s="2">
        <f>HYPERLINK("https://cao.dolgi.msk.ru/account/1080291681/", 1080291681)</f>
        <v>1080291681</v>
      </c>
      <c r="D8127" t="s">
        <v>6777</v>
      </c>
      <c r="E8127">
        <v>-5937.48</v>
      </c>
      <c r="F8127">
        <v>-0.81</v>
      </c>
      <c r="G8127" t="s">
        <v>12</v>
      </c>
      <c r="I8127" t="s">
        <v>1050</v>
      </c>
    </row>
    <row r="8128" spans="1:9" hidden="1" x14ac:dyDescent="0.25">
      <c r="A8128" t="s">
        <v>6761</v>
      </c>
      <c r="B8128" t="s">
        <v>42</v>
      </c>
      <c r="C8128" s="2">
        <f>HYPERLINK("https://cao.dolgi.msk.ru/account/1080291702/", 1080291702)</f>
        <v>1080291702</v>
      </c>
      <c r="D8128" t="s">
        <v>6778</v>
      </c>
      <c r="E8128">
        <v>168.76</v>
      </c>
      <c r="F8128">
        <v>0.03</v>
      </c>
      <c r="G8128" t="s">
        <v>12</v>
      </c>
      <c r="I8128" t="s">
        <v>1050</v>
      </c>
    </row>
    <row r="8129" spans="1:9" hidden="1" x14ac:dyDescent="0.25">
      <c r="A8129" t="s">
        <v>6761</v>
      </c>
      <c r="B8129" t="s">
        <v>44</v>
      </c>
      <c r="C8129" s="2">
        <f>HYPERLINK("https://cao.dolgi.msk.ru/account/1080291729/", 1080291729)</f>
        <v>1080291729</v>
      </c>
      <c r="D8129" t="s">
        <v>6779</v>
      </c>
      <c r="E8129">
        <v>0</v>
      </c>
      <c r="F8129">
        <v>0</v>
      </c>
      <c r="G8129" t="s">
        <v>12</v>
      </c>
      <c r="I8129" t="s">
        <v>1050</v>
      </c>
    </row>
    <row r="8130" spans="1:9" hidden="1" x14ac:dyDescent="0.25">
      <c r="A8130" t="s">
        <v>6761</v>
      </c>
      <c r="B8130" t="s">
        <v>66</v>
      </c>
      <c r="C8130" s="2">
        <f>HYPERLINK("https://cao.dolgi.msk.ru/account/1080291737/", 1080291737)</f>
        <v>1080291737</v>
      </c>
      <c r="D8130" t="s">
        <v>15</v>
      </c>
      <c r="E8130">
        <v>-3929.53</v>
      </c>
      <c r="F8130">
        <v>-0.84</v>
      </c>
      <c r="G8130" t="s">
        <v>12</v>
      </c>
      <c r="I8130" t="s">
        <v>1050</v>
      </c>
    </row>
    <row r="8131" spans="1:9" hidden="1" x14ac:dyDescent="0.25">
      <c r="A8131" t="s">
        <v>6761</v>
      </c>
      <c r="B8131" t="s">
        <v>68</v>
      </c>
      <c r="C8131" s="2">
        <f>HYPERLINK("https://cao.dolgi.msk.ru/account/1080291745/", 1080291745)</f>
        <v>1080291745</v>
      </c>
      <c r="D8131" t="s">
        <v>6780</v>
      </c>
      <c r="E8131">
        <v>-3432.45</v>
      </c>
      <c r="F8131">
        <v>-0.9</v>
      </c>
      <c r="G8131" t="s">
        <v>12</v>
      </c>
      <c r="I8131" t="s">
        <v>1050</v>
      </c>
    </row>
    <row r="8132" spans="1:9" hidden="1" x14ac:dyDescent="0.25">
      <c r="A8132" t="s">
        <v>6761</v>
      </c>
      <c r="B8132" t="s">
        <v>70</v>
      </c>
      <c r="C8132" s="2">
        <f>HYPERLINK("https://cao.dolgi.msk.ru/account/1080291753/", 1080291753)</f>
        <v>1080291753</v>
      </c>
      <c r="D8132" t="s">
        <v>15</v>
      </c>
      <c r="E8132">
        <v>0</v>
      </c>
      <c r="F8132">
        <v>0</v>
      </c>
      <c r="G8132" t="s">
        <v>12</v>
      </c>
      <c r="I8132" t="s">
        <v>1050</v>
      </c>
    </row>
    <row r="8133" spans="1:9" hidden="1" x14ac:dyDescent="0.25">
      <c r="A8133" t="s">
        <v>6761</v>
      </c>
      <c r="B8133" t="s">
        <v>72</v>
      </c>
      <c r="C8133" s="2">
        <f>HYPERLINK("https://cao.dolgi.msk.ru/account/1080291761/", 1080291761)</f>
        <v>1080291761</v>
      </c>
      <c r="D8133" t="s">
        <v>6781</v>
      </c>
      <c r="E8133">
        <v>-14.78</v>
      </c>
      <c r="F8133">
        <v>0</v>
      </c>
      <c r="G8133" t="s">
        <v>12</v>
      </c>
      <c r="I8133" t="s">
        <v>1050</v>
      </c>
    </row>
    <row r="8134" spans="1:9" hidden="1" x14ac:dyDescent="0.25">
      <c r="A8134" t="s">
        <v>6761</v>
      </c>
      <c r="B8134" t="s">
        <v>72</v>
      </c>
      <c r="C8134" s="2">
        <f>HYPERLINK("https://cao.dolgi.msk.ru/account/1089124433/", 1089124433)</f>
        <v>1089124433</v>
      </c>
      <c r="D8134" t="s">
        <v>6781</v>
      </c>
      <c r="E8134">
        <v>22.41</v>
      </c>
      <c r="G8134" t="s">
        <v>14</v>
      </c>
      <c r="I8134" t="s">
        <v>1050</v>
      </c>
    </row>
    <row r="8135" spans="1:9" hidden="1" x14ac:dyDescent="0.25">
      <c r="A8135" t="s">
        <v>6761</v>
      </c>
      <c r="B8135" t="s">
        <v>74</v>
      </c>
      <c r="C8135" s="2">
        <f>HYPERLINK("https://cao.dolgi.msk.ru/account/1080291788/", 1080291788)</f>
        <v>1080291788</v>
      </c>
      <c r="D8135" t="s">
        <v>6782</v>
      </c>
      <c r="E8135">
        <v>-1099.6400000000001</v>
      </c>
      <c r="F8135">
        <v>-0.13</v>
      </c>
      <c r="G8135" t="s">
        <v>12</v>
      </c>
      <c r="I8135" t="s">
        <v>1050</v>
      </c>
    </row>
    <row r="8136" spans="1:9" hidden="1" x14ac:dyDescent="0.25">
      <c r="A8136" t="s">
        <v>6761</v>
      </c>
      <c r="B8136" t="s">
        <v>76</v>
      </c>
      <c r="C8136" s="2">
        <f>HYPERLINK("https://cao.dolgi.msk.ru/account/1080291796/", 1080291796)</f>
        <v>1080291796</v>
      </c>
      <c r="D8136" t="s">
        <v>6783</v>
      </c>
      <c r="E8136">
        <v>-8210.41</v>
      </c>
      <c r="F8136">
        <v>-1.24</v>
      </c>
      <c r="G8136" t="s">
        <v>12</v>
      </c>
      <c r="I8136" t="s">
        <v>1050</v>
      </c>
    </row>
    <row r="8137" spans="1:9" x14ac:dyDescent="0.25">
      <c r="A8137" t="s">
        <v>6761</v>
      </c>
      <c r="B8137" t="s">
        <v>78</v>
      </c>
      <c r="C8137" s="2">
        <f>HYPERLINK("https://cao.dolgi.msk.ru/account/1080291809/", 1080291809)</f>
        <v>1080291809</v>
      </c>
      <c r="D8137" t="s">
        <v>6784</v>
      </c>
      <c r="E8137">
        <v>6278.56</v>
      </c>
      <c r="F8137">
        <v>1.24</v>
      </c>
      <c r="G8137" t="s">
        <v>12</v>
      </c>
      <c r="I8137" t="s">
        <v>1050</v>
      </c>
    </row>
    <row r="8138" spans="1:9" hidden="1" x14ac:dyDescent="0.25">
      <c r="A8138" t="s">
        <v>6761</v>
      </c>
      <c r="B8138" t="s">
        <v>80</v>
      </c>
      <c r="C8138" s="2">
        <f>HYPERLINK("https://cao.dolgi.msk.ru/account/1080291817/", 1080291817)</f>
        <v>1080291817</v>
      </c>
      <c r="D8138" t="s">
        <v>6785</v>
      </c>
      <c r="E8138">
        <v>50</v>
      </c>
      <c r="F8138">
        <v>0.01</v>
      </c>
      <c r="G8138" t="s">
        <v>12</v>
      </c>
      <c r="I8138" t="s">
        <v>1050</v>
      </c>
    </row>
    <row r="8139" spans="1:9" hidden="1" x14ac:dyDescent="0.25">
      <c r="A8139" t="s">
        <v>6761</v>
      </c>
      <c r="B8139" t="s">
        <v>82</v>
      </c>
      <c r="C8139" s="2">
        <f>HYPERLINK("https://cao.dolgi.msk.ru/account/1080291825/", 1080291825)</f>
        <v>1080291825</v>
      </c>
      <c r="D8139" t="s">
        <v>6786</v>
      </c>
      <c r="E8139">
        <v>-15986.8</v>
      </c>
      <c r="F8139">
        <v>-3.24</v>
      </c>
      <c r="G8139" t="s">
        <v>12</v>
      </c>
      <c r="I8139" t="s">
        <v>1050</v>
      </c>
    </row>
    <row r="8140" spans="1:9" hidden="1" x14ac:dyDescent="0.25">
      <c r="A8140" t="s">
        <v>6761</v>
      </c>
      <c r="B8140" t="s">
        <v>84</v>
      </c>
      <c r="C8140" s="2">
        <f>HYPERLINK("https://cao.dolgi.msk.ru/account/1080291833/", 1080291833)</f>
        <v>1080291833</v>
      </c>
      <c r="D8140" t="s">
        <v>6787</v>
      </c>
      <c r="E8140">
        <v>-7707.02</v>
      </c>
      <c r="F8140">
        <v>-0.95</v>
      </c>
      <c r="G8140" t="s">
        <v>12</v>
      </c>
      <c r="I8140" t="s">
        <v>1050</v>
      </c>
    </row>
    <row r="8141" spans="1:9" hidden="1" x14ac:dyDescent="0.25">
      <c r="A8141" t="s">
        <v>6761</v>
      </c>
      <c r="B8141" t="s">
        <v>86</v>
      </c>
      <c r="C8141" s="2">
        <f>HYPERLINK("https://cao.dolgi.msk.ru/account/1080291841/", 1080291841)</f>
        <v>1080291841</v>
      </c>
      <c r="D8141" t="s">
        <v>6788</v>
      </c>
      <c r="E8141">
        <v>-8235.39</v>
      </c>
      <c r="F8141">
        <v>-0.85</v>
      </c>
      <c r="G8141" t="s">
        <v>12</v>
      </c>
      <c r="I8141" t="s">
        <v>1050</v>
      </c>
    </row>
    <row r="8142" spans="1:9" hidden="1" x14ac:dyDescent="0.25">
      <c r="A8142" t="s">
        <v>6761</v>
      </c>
      <c r="B8142" t="s">
        <v>88</v>
      </c>
      <c r="C8142" s="2">
        <f>HYPERLINK("https://cao.dolgi.msk.ru/account/1080291868/", 1080291868)</f>
        <v>1080291868</v>
      </c>
      <c r="D8142" t="s">
        <v>6789</v>
      </c>
      <c r="E8142">
        <v>-48.5</v>
      </c>
      <c r="F8142">
        <v>-0.01</v>
      </c>
      <c r="G8142" t="s">
        <v>12</v>
      </c>
      <c r="I8142" t="s">
        <v>1050</v>
      </c>
    </row>
    <row r="8143" spans="1:9" hidden="1" x14ac:dyDescent="0.25">
      <c r="A8143" t="s">
        <v>6761</v>
      </c>
      <c r="B8143" t="s">
        <v>90</v>
      </c>
      <c r="C8143" s="2">
        <f>HYPERLINK("https://cao.dolgi.msk.ru/account/1080291876/", 1080291876)</f>
        <v>1080291876</v>
      </c>
      <c r="D8143" t="s">
        <v>6790</v>
      </c>
      <c r="E8143">
        <v>-6448.45</v>
      </c>
      <c r="F8143">
        <v>-0.96</v>
      </c>
      <c r="G8143" t="s">
        <v>12</v>
      </c>
      <c r="I8143" t="s">
        <v>1050</v>
      </c>
    </row>
    <row r="8144" spans="1:9" hidden="1" x14ac:dyDescent="0.25">
      <c r="A8144" t="s">
        <v>6761</v>
      </c>
      <c r="B8144" t="s">
        <v>92</v>
      </c>
      <c r="C8144" s="2">
        <f>HYPERLINK("https://cao.dolgi.msk.ru/account/1080291884/", 1080291884)</f>
        <v>1080291884</v>
      </c>
      <c r="D8144" t="s">
        <v>6791</v>
      </c>
      <c r="E8144">
        <v>-4324.88</v>
      </c>
      <c r="F8144">
        <v>-0.97</v>
      </c>
      <c r="G8144" t="s">
        <v>12</v>
      </c>
      <c r="I8144" t="s">
        <v>1050</v>
      </c>
    </row>
    <row r="8145" spans="1:9" hidden="1" x14ac:dyDescent="0.25">
      <c r="A8145" t="s">
        <v>6761</v>
      </c>
      <c r="B8145" t="s">
        <v>94</v>
      </c>
      <c r="C8145" s="2">
        <f>HYPERLINK("https://cao.dolgi.msk.ru/account/1080291892/", 1080291892)</f>
        <v>1080291892</v>
      </c>
      <c r="D8145" t="s">
        <v>6792</v>
      </c>
      <c r="E8145">
        <v>-1222.71</v>
      </c>
      <c r="F8145">
        <v>-0.26</v>
      </c>
      <c r="G8145" t="s">
        <v>12</v>
      </c>
      <c r="I8145" t="s">
        <v>1050</v>
      </c>
    </row>
    <row r="8146" spans="1:9" hidden="1" x14ac:dyDescent="0.25">
      <c r="A8146" t="s">
        <v>6761</v>
      </c>
      <c r="B8146" t="s">
        <v>96</v>
      </c>
      <c r="C8146" s="2">
        <f>HYPERLINK("https://cao.dolgi.msk.ru/account/1080291905/", 1080291905)</f>
        <v>1080291905</v>
      </c>
      <c r="D8146" t="s">
        <v>6793</v>
      </c>
      <c r="E8146">
        <v>112.07</v>
      </c>
      <c r="F8146">
        <v>0.01</v>
      </c>
      <c r="G8146" t="s">
        <v>12</v>
      </c>
      <c r="I8146" t="s">
        <v>1050</v>
      </c>
    </row>
    <row r="8147" spans="1:9" hidden="1" x14ac:dyDescent="0.25">
      <c r="A8147" t="s">
        <v>6761</v>
      </c>
      <c r="B8147" t="s">
        <v>98</v>
      </c>
      <c r="C8147" s="2">
        <f>HYPERLINK("https://cao.dolgi.msk.ru/account/1080291913/", 1080291913)</f>
        <v>1080291913</v>
      </c>
      <c r="D8147" t="s">
        <v>6794</v>
      </c>
      <c r="E8147">
        <v>-3088.43</v>
      </c>
      <c r="F8147">
        <v>-0.92</v>
      </c>
      <c r="G8147" t="s">
        <v>12</v>
      </c>
      <c r="I8147" t="s">
        <v>1050</v>
      </c>
    </row>
    <row r="8148" spans="1:9" hidden="1" x14ac:dyDescent="0.25">
      <c r="A8148" t="s">
        <v>6761</v>
      </c>
      <c r="B8148" t="s">
        <v>100</v>
      </c>
      <c r="C8148" s="2">
        <f>HYPERLINK("https://cao.dolgi.msk.ru/account/1080291921/", 1080291921)</f>
        <v>1080291921</v>
      </c>
      <c r="D8148" t="s">
        <v>6795</v>
      </c>
      <c r="E8148">
        <v>-4876.75</v>
      </c>
      <c r="F8148">
        <v>-1</v>
      </c>
      <c r="G8148" t="s">
        <v>12</v>
      </c>
      <c r="I8148" t="s">
        <v>1050</v>
      </c>
    </row>
    <row r="8149" spans="1:9" hidden="1" x14ac:dyDescent="0.25">
      <c r="A8149" t="s">
        <v>6761</v>
      </c>
      <c r="B8149" t="s">
        <v>102</v>
      </c>
      <c r="C8149" s="2">
        <f>HYPERLINK("https://cao.dolgi.msk.ru/account/1080291948/", 1080291948)</f>
        <v>1080291948</v>
      </c>
      <c r="D8149" t="s">
        <v>6796</v>
      </c>
      <c r="E8149">
        <v>-7554.94</v>
      </c>
      <c r="F8149">
        <v>-0.93</v>
      </c>
      <c r="G8149" t="s">
        <v>12</v>
      </c>
      <c r="I8149" t="s">
        <v>1050</v>
      </c>
    </row>
    <row r="8150" spans="1:9" hidden="1" x14ac:dyDescent="0.25">
      <c r="A8150" t="s">
        <v>6761</v>
      </c>
      <c r="B8150" t="s">
        <v>104</v>
      </c>
      <c r="C8150" s="2">
        <f>HYPERLINK("https://cao.dolgi.msk.ru/account/1080291956/", 1080291956)</f>
        <v>1080291956</v>
      </c>
      <c r="D8150" t="s">
        <v>6797</v>
      </c>
      <c r="E8150">
        <v>-3672.29</v>
      </c>
      <c r="F8150">
        <v>-0.93</v>
      </c>
      <c r="G8150" t="s">
        <v>12</v>
      </c>
      <c r="I8150" t="s">
        <v>1050</v>
      </c>
    </row>
    <row r="8151" spans="1:9" hidden="1" x14ac:dyDescent="0.25">
      <c r="A8151" t="s">
        <v>6761</v>
      </c>
      <c r="B8151" t="s">
        <v>106</v>
      </c>
      <c r="C8151" s="2">
        <f>HYPERLINK("https://cao.dolgi.msk.ru/account/1080291964/", 1080291964)</f>
        <v>1080291964</v>
      </c>
      <c r="D8151" t="s">
        <v>6798</v>
      </c>
      <c r="E8151">
        <v>-12455.74</v>
      </c>
      <c r="F8151">
        <v>-3.94</v>
      </c>
      <c r="G8151" t="s">
        <v>12</v>
      </c>
      <c r="I8151" t="s">
        <v>1050</v>
      </c>
    </row>
    <row r="8152" spans="1:9" hidden="1" x14ac:dyDescent="0.25">
      <c r="A8152" t="s">
        <v>6761</v>
      </c>
      <c r="B8152" t="s">
        <v>108</v>
      </c>
      <c r="C8152" s="2">
        <f>HYPERLINK("https://cao.dolgi.msk.ru/account/1080291972/", 1080291972)</f>
        <v>1080291972</v>
      </c>
      <c r="D8152" t="s">
        <v>6799</v>
      </c>
      <c r="E8152">
        <v>0</v>
      </c>
      <c r="F8152">
        <v>0</v>
      </c>
      <c r="G8152" t="s">
        <v>12</v>
      </c>
      <c r="I8152" t="s">
        <v>1050</v>
      </c>
    </row>
    <row r="8153" spans="1:9" hidden="1" x14ac:dyDescent="0.25">
      <c r="A8153" t="s">
        <v>6761</v>
      </c>
      <c r="B8153" t="s">
        <v>110</v>
      </c>
      <c r="C8153" s="2">
        <f>HYPERLINK("https://cao.dolgi.msk.ru/account/1080291999/", 1080291999)</f>
        <v>1080291999</v>
      </c>
      <c r="D8153" t="s">
        <v>6800</v>
      </c>
      <c r="E8153">
        <v>201.34</v>
      </c>
      <c r="F8153">
        <v>0.04</v>
      </c>
      <c r="G8153" t="s">
        <v>12</v>
      </c>
      <c r="I8153" t="s">
        <v>1050</v>
      </c>
    </row>
    <row r="8154" spans="1:9" hidden="1" x14ac:dyDescent="0.25">
      <c r="A8154" t="s">
        <v>6761</v>
      </c>
      <c r="B8154" t="s">
        <v>112</v>
      </c>
      <c r="C8154" s="2">
        <f>HYPERLINK("https://cao.dolgi.msk.ru/account/1080292019/", 1080292019)</f>
        <v>1080292019</v>
      </c>
      <c r="D8154" t="s">
        <v>6801</v>
      </c>
      <c r="E8154">
        <v>-4520.13</v>
      </c>
      <c r="F8154">
        <v>-0.95</v>
      </c>
      <c r="G8154" t="s">
        <v>12</v>
      </c>
      <c r="I8154" t="s">
        <v>1050</v>
      </c>
    </row>
    <row r="8155" spans="1:9" hidden="1" x14ac:dyDescent="0.25">
      <c r="A8155" t="s">
        <v>6761</v>
      </c>
      <c r="B8155" t="s">
        <v>114</v>
      </c>
      <c r="C8155" s="2">
        <f>HYPERLINK("https://cao.dolgi.msk.ru/account/1080292027/", 1080292027)</f>
        <v>1080292027</v>
      </c>
      <c r="D8155" t="s">
        <v>6802</v>
      </c>
      <c r="E8155">
        <v>-7654.89</v>
      </c>
      <c r="F8155">
        <v>-0.74</v>
      </c>
      <c r="G8155" t="s">
        <v>12</v>
      </c>
      <c r="I8155" t="s">
        <v>1050</v>
      </c>
    </row>
    <row r="8156" spans="1:9" hidden="1" x14ac:dyDescent="0.25">
      <c r="A8156" t="s">
        <v>6761</v>
      </c>
      <c r="B8156" t="s">
        <v>116</v>
      </c>
      <c r="C8156" s="2">
        <f>HYPERLINK("https://cao.dolgi.msk.ru/account/1080292035/", 1080292035)</f>
        <v>1080292035</v>
      </c>
      <c r="D8156" t="s">
        <v>6803</v>
      </c>
      <c r="E8156">
        <v>-4759.93</v>
      </c>
      <c r="F8156">
        <v>-0.88</v>
      </c>
      <c r="G8156" t="s">
        <v>12</v>
      </c>
      <c r="I8156" t="s">
        <v>1050</v>
      </c>
    </row>
    <row r="8157" spans="1:9" hidden="1" x14ac:dyDescent="0.25">
      <c r="A8157" t="s">
        <v>6761</v>
      </c>
      <c r="B8157" t="s">
        <v>118</v>
      </c>
      <c r="C8157" s="2">
        <f>HYPERLINK("https://cao.dolgi.msk.ru/account/1080292043/", 1080292043)</f>
        <v>1080292043</v>
      </c>
      <c r="D8157" t="s">
        <v>6804</v>
      </c>
      <c r="E8157">
        <v>-6654.28</v>
      </c>
      <c r="F8157">
        <v>-0.96</v>
      </c>
      <c r="G8157" t="s">
        <v>12</v>
      </c>
      <c r="I8157" t="s">
        <v>1050</v>
      </c>
    </row>
    <row r="8158" spans="1:9" hidden="1" x14ac:dyDescent="0.25">
      <c r="A8158" t="s">
        <v>6761</v>
      </c>
      <c r="B8158" t="s">
        <v>120</v>
      </c>
      <c r="C8158" s="2">
        <f>HYPERLINK("https://cao.dolgi.msk.ru/account/1080292051/", 1080292051)</f>
        <v>1080292051</v>
      </c>
      <c r="D8158" t="s">
        <v>6805</v>
      </c>
      <c r="E8158">
        <v>-230</v>
      </c>
      <c r="F8158">
        <v>-7.0000000000000007E-2</v>
      </c>
      <c r="G8158" t="s">
        <v>12</v>
      </c>
      <c r="I8158" t="s">
        <v>1050</v>
      </c>
    </row>
    <row r="8159" spans="1:9" hidden="1" x14ac:dyDescent="0.25">
      <c r="A8159" t="s">
        <v>6761</v>
      </c>
      <c r="B8159" t="s">
        <v>122</v>
      </c>
      <c r="C8159" s="2">
        <f>HYPERLINK("https://cao.dolgi.msk.ru/account/1080292078/", 1080292078)</f>
        <v>1080292078</v>
      </c>
      <c r="D8159" t="s">
        <v>6806</v>
      </c>
      <c r="E8159">
        <v>-4961.45</v>
      </c>
      <c r="F8159">
        <v>-0.77</v>
      </c>
      <c r="G8159" t="s">
        <v>12</v>
      </c>
      <c r="I8159" t="s">
        <v>1050</v>
      </c>
    </row>
    <row r="8160" spans="1:9" hidden="1" x14ac:dyDescent="0.25">
      <c r="A8160" t="s">
        <v>6761</v>
      </c>
      <c r="B8160" t="s">
        <v>124</v>
      </c>
      <c r="C8160" s="2">
        <f>HYPERLINK("https://cao.dolgi.msk.ru/account/1080292086/", 1080292086)</f>
        <v>1080292086</v>
      </c>
      <c r="D8160" t="s">
        <v>6807</v>
      </c>
      <c r="E8160">
        <v>-5594.38</v>
      </c>
      <c r="F8160">
        <v>-0.9</v>
      </c>
      <c r="G8160" t="s">
        <v>12</v>
      </c>
      <c r="I8160" t="s">
        <v>1050</v>
      </c>
    </row>
    <row r="8161" spans="1:9" hidden="1" x14ac:dyDescent="0.25">
      <c r="A8161" t="s">
        <v>6761</v>
      </c>
      <c r="B8161" t="s">
        <v>6808</v>
      </c>
      <c r="C8161" s="2">
        <f>HYPERLINK("https://cao.dolgi.msk.ru/account/1080291462/", 1080291462)</f>
        <v>1080291462</v>
      </c>
      <c r="D8161" t="s">
        <v>6809</v>
      </c>
      <c r="E8161">
        <v>-7897.76</v>
      </c>
      <c r="F8161">
        <v>-1.18</v>
      </c>
      <c r="G8161" t="s">
        <v>12</v>
      </c>
      <c r="I8161" t="s">
        <v>1050</v>
      </c>
    </row>
    <row r="8162" spans="1:9" hidden="1" x14ac:dyDescent="0.25">
      <c r="A8162" t="s">
        <v>6761</v>
      </c>
      <c r="B8162" t="s">
        <v>128</v>
      </c>
      <c r="C8162" s="2">
        <f>HYPERLINK("https://cao.dolgi.msk.ru/account/1080292094/", 1080292094)</f>
        <v>1080292094</v>
      </c>
      <c r="D8162" t="s">
        <v>6810</v>
      </c>
      <c r="E8162">
        <v>2016.82</v>
      </c>
      <c r="F8162">
        <v>0.45</v>
      </c>
      <c r="G8162" t="s">
        <v>12</v>
      </c>
      <c r="I8162" t="s">
        <v>1050</v>
      </c>
    </row>
    <row r="8163" spans="1:9" hidden="1" x14ac:dyDescent="0.25">
      <c r="A8163" t="s">
        <v>6761</v>
      </c>
      <c r="B8163" t="s">
        <v>130</v>
      </c>
      <c r="C8163" s="2">
        <f>HYPERLINK("https://cao.dolgi.msk.ru/account/1080291497/", 1080291497)</f>
        <v>1080291497</v>
      </c>
      <c r="D8163" t="s">
        <v>6811</v>
      </c>
      <c r="E8163">
        <v>-3695.74</v>
      </c>
      <c r="F8163">
        <v>-0.98</v>
      </c>
      <c r="G8163" t="s">
        <v>12</v>
      </c>
      <c r="I8163" t="s">
        <v>1050</v>
      </c>
    </row>
    <row r="8164" spans="1:9" hidden="1" x14ac:dyDescent="0.25">
      <c r="A8164" t="s">
        <v>6761</v>
      </c>
      <c r="B8164" t="s">
        <v>132</v>
      </c>
      <c r="C8164" s="2">
        <f>HYPERLINK("https://cao.dolgi.msk.ru/account/1080292107/", 1080292107)</f>
        <v>1080292107</v>
      </c>
      <c r="D8164" t="s">
        <v>6812</v>
      </c>
      <c r="E8164">
        <v>-7769.7</v>
      </c>
      <c r="F8164">
        <v>-0.93</v>
      </c>
      <c r="G8164" t="s">
        <v>12</v>
      </c>
      <c r="I8164" t="s">
        <v>1050</v>
      </c>
    </row>
    <row r="8165" spans="1:9" hidden="1" x14ac:dyDescent="0.25">
      <c r="A8165" t="s">
        <v>6761</v>
      </c>
      <c r="B8165" t="s">
        <v>133</v>
      </c>
      <c r="C8165" s="2">
        <f>HYPERLINK("https://cao.dolgi.msk.ru/account/1080292115/", 1080292115)</f>
        <v>1080292115</v>
      </c>
      <c r="D8165" t="s">
        <v>6813</v>
      </c>
      <c r="E8165">
        <v>-3320.31</v>
      </c>
      <c r="F8165">
        <v>-1.04</v>
      </c>
      <c r="G8165" t="s">
        <v>12</v>
      </c>
      <c r="I8165" t="s">
        <v>1050</v>
      </c>
    </row>
    <row r="8166" spans="1:9" hidden="1" x14ac:dyDescent="0.25">
      <c r="A8166" t="s">
        <v>6761</v>
      </c>
      <c r="B8166" t="s">
        <v>135</v>
      </c>
      <c r="C8166" s="2">
        <f>HYPERLINK("https://cao.dolgi.msk.ru/account/1080292123/", 1080292123)</f>
        <v>1080292123</v>
      </c>
      <c r="D8166" t="s">
        <v>6814</v>
      </c>
      <c r="E8166">
        <v>-12909.64</v>
      </c>
      <c r="F8166">
        <v>-2.25</v>
      </c>
      <c r="G8166" t="s">
        <v>12</v>
      </c>
      <c r="I8166" t="s">
        <v>1050</v>
      </c>
    </row>
    <row r="8167" spans="1:9" hidden="1" x14ac:dyDescent="0.25">
      <c r="A8167" t="s">
        <v>6761</v>
      </c>
      <c r="B8167" t="s">
        <v>137</v>
      </c>
      <c r="C8167" s="2">
        <f>HYPERLINK("https://cao.dolgi.msk.ru/account/1080292131/", 1080292131)</f>
        <v>1080292131</v>
      </c>
      <c r="D8167" t="s">
        <v>6815</v>
      </c>
      <c r="E8167">
        <v>-5391.34</v>
      </c>
      <c r="F8167">
        <v>-0.94</v>
      </c>
      <c r="G8167" t="s">
        <v>12</v>
      </c>
      <c r="I8167" t="s">
        <v>1050</v>
      </c>
    </row>
    <row r="8168" spans="1:9" hidden="1" x14ac:dyDescent="0.25">
      <c r="A8168" t="s">
        <v>6761</v>
      </c>
      <c r="B8168" t="s">
        <v>139</v>
      </c>
      <c r="C8168" s="2">
        <f>HYPERLINK("https://cao.dolgi.msk.ru/account/1080292158/", 1080292158)</f>
        <v>1080292158</v>
      </c>
      <c r="D8168" t="s">
        <v>6816</v>
      </c>
      <c r="E8168">
        <v>-5634.79</v>
      </c>
      <c r="F8168">
        <v>-0.85</v>
      </c>
      <c r="G8168" t="s">
        <v>12</v>
      </c>
      <c r="I8168" t="s">
        <v>1050</v>
      </c>
    </row>
    <row r="8169" spans="1:9" hidden="1" x14ac:dyDescent="0.25">
      <c r="A8169" t="s">
        <v>6761</v>
      </c>
      <c r="B8169" t="s">
        <v>141</v>
      </c>
      <c r="C8169" s="2">
        <f>HYPERLINK("https://cao.dolgi.msk.ru/account/1080292166/", 1080292166)</f>
        <v>1080292166</v>
      </c>
      <c r="D8169" t="s">
        <v>6817</v>
      </c>
      <c r="E8169">
        <v>-3684.83</v>
      </c>
      <c r="F8169">
        <v>-1.06</v>
      </c>
      <c r="G8169" t="s">
        <v>12</v>
      </c>
      <c r="I8169" t="s">
        <v>1050</v>
      </c>
    </row>
    <row r="8170" spans="1:9" x14ac:dyDescent="0.25">
      <c r="A8170" t="s">
        <v>6761</v>
      </c>
      <c r="B8170" t="s">
        <v>143</v>
      </c>
      <c r="C8170" s="2">
        <f>HYPERLINK("https://cao.dolgi.msk.ru/account/1080292174/", 1080292174)</f>
        <v>1080292174</v>
      </c>
      <c r="D8170" t="s">
        <v>6818</v>
      </c>
      <c r="E8170">
        <v>11237.15</v>
      </c>
      <c r="F8170">
        <v>2</v>
      </c>
      <c r="G8170" t="s">
        <v>12</v>
      </c>
      <c r="I8170" t="s">
        <v>1050</v>
      </c>
    </row>
    <row r="8171" spans="1:9" hidden="1" x14ac:dyDescent="0.25">
      <c r="A8171" t="s">
        <v>6761</v>
      </c>
      <c r="B8171" t="s">
        <v>145</v>
      </c>
      <c r="C8171" s="2">
        <f>HYPERLINK("https://cao.dolgi.msk.ru/account/1080292182/", 1080292182)</f>
        <v>1080292182</v>
      </c>
      <c r="D8171" t="s">
        <v>6819</v>
      </c>
      <c r="E8171">
        <v>-19.399999999999999</v>
      </c>
      <c r="F8171">
        <v>0</v>
      </c>
      <c r="G8171" t="s">
        <v>12</v>
      </c>
      <c r="I8171" t="s">
        <v>1050</v>
      </c>
    </row>
    <row r="8172" spans="1:9" hidden="1" x14ac:dyDescent="0.25">
      <c r="A8172" t="s">
        <v>6761</v>
      </c>
      <c r="B8172" t="s">
        <v>147</v>
      </c>
      <c r="C8172" s="2">
        <f>HYPERLINK("https://cao.dolgi.msk.ru/account/1080292203/", 1080292203)</f>
        <v>1080292203</v>
      </c>
      <c r="D8172" t="s">
        <v>6820</v>
      </c>
      <c r="E8172">
        <v>-10337.73</v>
      </c>
      <c r="F8172">
        <v>-1.07</v>
      </c>
      <c r="G8172" t="s">
        <v>12</v>
      </c>
      <c r="I8172" t="s">
        <v>1050</v>
      </c>
    </row>
    <row r="8173" spans="1:9" hidden="1" x14ac:dyDescent="0.25">
      <c r="A8173" t="s">
        <v>6761</v>
      </c>
      <c r="B8173" t="s">
        <v>149</v>
      </c>
      <c r="C8173" s="2">
        <f>HYPERLINK("https://cao.dolgi.msk.ru/account/1080292211/", 1080292211)</f>
        <v>1080292211</v>
      </c>
      <c r="D8173" t="s">
        <v>6821</v>
      </c>
      <c r="E8173">
        <v>125.09</v>
      </c>
      <c r="F8173">
        <v>0.02</v>
      </c>
      <c r="G8173" t="s">
        <v>12</v>
      </c>
      <c r="I8173" t="s">
        <v>1050</v>
      </c>
    </row>
    <row r="8174" spans="1:9" hidden="1" x14ac:dyDescent="0.25">
      <c r="A8174" t="s">
        <v>6761</v>
      </c>
      <c r="B8174" t="s">
        <v>151</v>
      </c>
      <c r="C8174" s="2">
        <f>HYPERLINK("https://cao.dolgi.msk.ru/account/1080292238/", 1080292238)</f>
        <v>1080292238</v>
      </c>
      <c r="D8174" t="s">
        <v>6822</v>
      </c>
      <c r="E8174">
        <v>-3017.75</v>
      </c>
      <c r="F8174">
        <v>-1.08</v>
      </c>
      <c r="G8174" t="s">
        <v>12</v>
      </c>
      <c r="I8174" t="s">
        <v>1050</v>
      </c>
    </row>
    <row r="8175" spans="1:9" hidden="1" x14ac:dyDescent="0.25">
      <c r="A8175" t="s">
        <v>6761</v>
      </c>
      <c r="B8175" t="s">
        <v>153</v>
      </c>
      <c r="C8175" s="2">
        <f>HYPERLINK("https://cao.dolgi.msk.ru/account/1080292246/", 1080292246)</f>
        <v>1080292246</v>
      </c>
      <c r="D8175" t="s">
        <v>6823</v>
      </c>
      <c r="E8175">
        <v>-6958.9</v>
      </c>
      <c r="F8175">
        <v>-1</v>
      </c>
      <c r="G8175" t="s">
        <v>12</v>
      </c>
      <c r="I8175" t="s">
        <v>1050</v>
      </c>
    </row>
    <row r="8176" spans="1:9" hidden="1" x14ac:dyDescent="0.25">
      <c r="A8176" t="s">
        <v>6761</v>
      </c>
      <c r="B8176" t="s">
        <v>155</v>
      </c>
      <c r="C8176" s="2">
        <f>HYPERLINK("https://cao.dolgi.msk.ru/account/1080292254/", 1080292254)</f>
        <v>1080292254</v>
      </c>
      <c r="D8176" t="s">
        <v>6824</v>
      </c>
      <c r="E8176">
        <v>2.76</v>
      </c>
      <c r="F8176">
        <v>0</v>
      </c>
      <c r="G8176" t="s">
        <v>12</v>
      </c>
      <c r="I8176" t="s">
        <v>1050</v>
      </c>
    </row>
    <row r="8177" spans="1:9" hidden="1" x14ac:dyDescent="0.25">
      <c r="A8177" t="s">
        <v>6761</v>
      </c>
      <c r="B8177" t="s">
        <v>155</v>
      </c>
      <c r="C8177" s="2">
        <f>HYPERLINK("https://cao.dolgi.msk.ru/account/1089118498/", 1089118498)</f>
        <v>1089118498</v>
      </c>
      <c r="D8177" t="s">
        <v>1082</v>
      </c>
      <c r="E8177">
        <v>0</v>
      </c>
      <c r="G8177" t="s">
        <v>14</v>
      </c>
      <c r="I8177" t="s">
        <v>1050</v>
      </c>
    </row>
    <row r="8178" spans="1:9" hidden="1" x14ac:dyDescent="0.25">
      <c r="A8178" t="s">
        <v>6761</v>
      </c>
      <c r="B8178" t="s">
        <v>157</v>
      </c>
      <c r="C8178" s="2">
        <f>HYPERLINK("https://cao.dolgi.msk.ru/account/1080292262/", 1080292262)</f>
        <v>1080292262</v>
      </c>
      <c r="D8178" t="s">
        <v>6825</v>
      </c>
      <c r="E8178">
        <v>-7927.81</v>
      </c>
      <c r="F8178">
        <v>-1.05</v>
      </c>
      <c r="G8178" t="s">
        <v>12</v>
      </c>
      <c r="I8178" t="s">
        <v>1050</v>
      </c>
    </row>
    <row r="8179" spans="1:9" hidden="1" x14ac:dyDescent="0.25">
      <c r="A8179" t="s">
        <v>6761</v>
      </c>
      <c r="B8179" t="s">
        <v>159</v>
      </c>
      <c r="C8179" s="2">
        <f>HYPERLINK("https://cao.dolgi.msk.ru/account/1080292289/", 1080292289)</f>
        <v>1080292289</v>
      </c>
      <c r="D8179" t="s">
        <v>6826</v>
      </c>
      <c r="E8179">
        <v>-7509.79</v>
      </c>
      <c r="F8179">
        <v>-0.97</v>
      </c>
      <c r="G8179" t="s">
        <v>12</v>
      </c>
      <c r="I8179" t="s">
        <v>1050</v>
      </c>
    </row>
    <row r="8180" spans="1:9" hidden="1" x14ac:dyDescent="0.25">
      <c r="A8180" t="s">
        <v>6761</v>
      </c>
      <c r="B8180" t="s">
        <v>161</v>
      </c>
      <c r="C8180" s="2">
        <f>HYPERLINK("https://cao.dolgi.msk.ru/account/1080292297/", 1080292297)</f>
        <v>1080292297</v>
      </c>
      <c r="D8180" t="s">
        <v>6827</v>
      </c>
      <c r="E8180">
        <v>48</v>
      </c>
      <c r="F8180">
        <v>0.01</v>
      </c>
      <c r="G8180" t="s">
        <v>12</v>
      </c>
      <c r="I8180" t="s">
        <v>1050</v>
      </c>
    </row>
    <row r="8181" spans="1:9" hidden="1" x14ac:dyDescent="0.25">
      <c r="A8181" t="s">
        <v>6761</v>
      </c>
      <c r="B8181" t="s">
        <v>163</v>
      </c>
      <c r="C8181" s="2">
        <f>HYPERLINK("https://cao.dolgi.msk.ru/account/1080292318/", 1080292318)</f>
        <v>1080292318</v>
      </c>
      <c r="D8181" t="s">
        <v>6828</v>
      </c>
      <c r="E8181">
        <v>-9848.2800000000007</v>
      </c>
      <c r="F8181">
        <v>-1.08</v>
      </c>
      <c r="G8181" t="s">
        <v>12</v>
      </c>
      <c r="I8181" t="s">
        <v>1050</v>
      </c>
    </row>
    <row r="8182" spans="1:9" hidden="1" x14ac:dyDescent="0.25">
      <c r="A8182" t="s">
        <v>6761</v>
      </c>
      <c r="B8182" t="s">
        <v>571</v>
      </c>
      <c r="C8182" s="2">
        <f>HYPERLINK("https://cao.dolgi.msk.ru/account/1080292326/", 1080292326)</f>
        <v>1080292326</v>
      </c>
      <c r="D8182" t="s">
        <v>6829</v>
      </c>
      <c r="E8182">
        <v>-6057.69</v>
      </c>
      <c r="F8182">
        <v>-1.1299999999999999</v>
      </c>
      <c r="G8182" t="s">
        <v>12</v>
      </c>
      <c r="I8182" t="s">
        <v>1050</v>
      </c>
    </row>
    <row r="8183" spans="1:9" hidden="1" x14ac:dyDescent="0.25">
      <c r="A8183" t="s">
        <v>6761</v>
      </c>
      <c r="B8183" t="s">
        <v>682</v>
      </c>
      <c r="C8183" s="2">
        <f>HYPERLINK("https://cao.dolgi.msk.ru/account/1080292334/", 1080292334)</f>
        <v>1080292334</v>
      </c>
      <c r="D8183" t="s">
        <v>6830</v>
      </c>
      <c r="E8183">
        <v>-6328.17</v>
      </c>
      <c r="F8183">
        <v>-1.03</v>
      </c>
      <c r="G8183" t="s">
        <v>12</v>
      </c>
      <c r="I8183" t="s">
        <v>1050</v>
      </c>
    </row>
    <row r="8184" spans="1:9" hidden="1" x14ac:dyDescent="0.25">
      <c r="A8184" t="s">
        <v>6761</v>
      </c>
      <c r="B8184" t="s">
        <v>578</v>
      </c>
      <c r="C8184" s="2">
        <f>HYPERLINK("https://cao.dolgi.msk.ru/account/1080292342/", 1080292342)</f>
        <v>1080292342</v>
      </c>
      <c r="D8184" t="s">
        <v>6831</v>
      </c>
      <c r="E8184">
        <v>-9444.2999999999993</v>
      </c>
      <c r="F8184">
        <v>-1.54</v>
      </c>
      <c r="G8184" t="s">
        <v>12</v>
      </c>
      <c r="I8184" t="s">
        <v>1050</v>
      </c>
    </row>
    <row r="8185" spans="1:9" hidden="1" x14ac:dyDescent="0.25">
      <c r="A8185" t="s">
        <v>6761</v>
      </c>
      <c r="B8185" t="s">
        <v>580</v>
      </c>
      <c r="C8185" s="2">
        <f>HYPERLINK("https://cao.dolgi.msk.ru/account/1080292369/", 1080292369)</f>
        <v>1080292369</v>
      </c>
      <c r="D8185" t="s">
        <v>6832</v>
      </c>
      <c r="E8185">
        <v>-4900.8900000000003</v>
      </c>
      <c r="F8185">
        <v>-1.07</v>
      </c>
      <c r="G8185" t="s">
        <v>12</v>
      </c>
      <c r="I8185" t="s">
        <v>1050</v>
      </c>
    </row>
    <row r="8186" spans="1:9" hidden="1" x14ac:dyDescent="0.25">
      <c r="A8186" t="s">
        <v>6761</v>
      </c>
      <c r="B8186" t="s">
        <v>686</v>
      </c>
      <c r="C8186" s="2">
        <f>HYPERLINK("https://cao.dolgi.msk.ru/account/1080292377/", 1080292377)</f>
        <v>1080292377</v>
      </c>
      <c r="D8186" t="s">
        <v>6833</v>
      </c>
      <c r="E8186">
        <v>-6622.57</v>
      </c>
      <c r="F8186">
        <v>-1.28</v>
      </c>
      <c r="G8186" t="s">
        <v>12</v>
      </c>
      <c r="I8186" t="s">
        <v>1050</v>
      </c>
    </row>
    <row r="8187" spans="1:9" hidden="1" x14ac:dyDescent="0.25">
      <c r="A8187" t="s">
        <v>6761</v>
      </c>
      <c r="B8187" t="s">
        <v>582</v>
      </c>
      <c r="C8187" s="2">
        <f>HYPERLINK("https://cao.dolgi.msk.ru/account/1080292385/", 1080292385)</f>
        <v>1080292385</v>
      </c>
      <c r="D8187" t="s">
        <v>6834</v>
      </c>
      <c r="E8187">
        <v>-7336.84</v>
      </c>
      <c r="F8187">
        <v>-1.02</v>
      </c>
      <c r="G8187" t="s">
        <v>12</v>
      </c>
      <c r="I8187" t="s">
        <v>1050</v>
      </c>
    </row>
    <row r="8188" spans="1:9" hidden="1" x14ac:dyDescent="0.25">
      <c r="A8188" t="s">
        <v>6761</v>
      </c>
      <c r="B8188" t="s">
        <v>584</v>
      </c>
      <c r="C8188" s="2">
        <f>HYPERLINK("https://cao.dolgi.msk.ru/account/1080292393/", 1080292393)</f>
        <v>1080292393</v>
      </c>
      <c r="D8188" t="s">
        <v>6835</v>
      </c>
      <c r="E8188">
        <v>-5111.5</v>
      </c>
      <c r="F8188">
        <v>-1.1399999999999999</v>
      </c>
      <c r="G8188" t="s">
        <v>12</v>
      </c>
      <c r="I8188" t="s">
        <v>1050</v>
      </c>
    </row>
    <row r="8189" spans="1:9" hidden="1" x14ac:dyDescent="0.25">
      <c r="A8189" t="s">
        <v>6761</v>
      </c>
      <c r="B8189" t="s">
        <v>586</v>
      </c>
      <c r="C8189" s="2">
        <f>HYPERLINK("https://cao.dolgi.msk.ru/account/1080292406/", 1080292406)</f>
        <v>1080292406</v>
      </c>
      <c r="D8189" t="s">
        <v>6836</v>
      </c>
      <c r="E8189">
        <v>-6101.96</v>
      </c>
      <c r="F8189">
        <v>-1.05</v>
      </c>
      <c r="G8189" t="s">
        <v>12</v>
      </c>
      <c r="I8189" t="s">
        <v>1050</v>
      </c>
    </row>
    <row r="8190" spans="1:9" hidden="1" x14ac:dyDescent="0.25">
      <c r="A8190" t="s">
        <v>6761</v>
      </c>
      <c r="B8190" t="s">
        <v>588</v>
      </c>
      <c r="C8190" s="2">
        <f>HYPERLINK("https://cao.dolgi.msk.ru/account/1080292414/", 1080292414)</f>
        <v>1080292414</v>
      </c>
      <c r="D8190" t="s">
        <v>6837</v>
      </c>
      <c r="E8190">
        <v>312.5</v>
      </c>
      <c r="F8190">
        <v>0.08</v>
      </c>
      <c r="G8190" t="s">
        <v>12</v>
      </c>
      <c r="I8190" t="s">
        <v>1050</v>
      </c>
    </row>
    <row r="8191" spans="1:9" hidden="1" x14ac:dyDescent="0.25">
      <c r="A8191" t="s">
        <v>6761</v>
      </c>
      <c r="B8191" t="s">
        <v>590</v>
      </c>
      <c r="C8191" s="2">
        <f>HYPERLINK("https://cao.dolgi.msk.ru/account/1080292422/", 1080292422)</f>
        <v>1080292422</v>
      </c>
      <c r="D8191" t="s">
        <v>6838</v>
      </c>
      <c r="E8191">
        <v>-8574.52</v>
      </c>
      <c r="F8191">
        <v>-1.06</v>
      </c>
      <c r="G8191" t="s">
        <v>12</v>
      </c>
      <c r="I8191" t="s">
        <v>1050</v>
      </c>
    </row>
    <row r="8192" spans="1:9" hidden="1" x14ac:dyDescent="0.25">
      <c r="A8192" t="s">
        <v>6761</v>
      </c>
      <c r="B8192" t="s">
        <v>693</v>
      </c>
      <c r="C8192" s="2">
        <f>HYPERLINK("https://cao.dolgi.msk.ru/account/1080292449/", 1080292449)</f>
        <v>1080292449</v>
      </c>
      <c r="D8192" t="s">
        <v>6839</v>
      </c>
      <c r="E8192">
        <v>26.87</v>
      </c>
      <c r="F8192">
        <v>0</v>
      </c>
      <c r="G8192" t="s">
        <v>12</v>
      </c>
      <c r="I8192" t="s">
        <v>1050</v>
      </c>
    </row>
    <row r="8193" spans="1:9" hidden="1" x14ac:dyDescent="0.25">
      <c r="A8193" t="s">
        <v>6761</v>
      </c>
      <c r="B8193" t="s">
        <v>694</v>
      </c>
      <c r="C8193" s="2">
        <f>HYPERLINK("https://cao.dolgi.msk.ru/account/1080292457/", 1080292457)</f>
        <v>1080292457</v>
      </c>
      <c r="D8193" t="s">
        <v>6840</v>
      </c>
      <c r="E8193">
        <v>-448.03</v>
      </c>
      <c r="F8193">
        <v>-0.05</v>
      </c>
      <c r="G8193" t="s">
        <v>12</v>
      </c>
      <c r="I8193" t="s">
        <v>1050</v>
      </c>
    </row>
    <row r="8194" spans="1:9" hidden="1" x14ac:dyDescent="0.25">
      <c r="A8194" t="s">
        <v>6761</v>
      </c>
      <c r="B8194" t="s">
        <v>696</v>
      </c>
      <c r="C8194" s="2">
        <f>HYPERLINK("https://cao.dolgi.msk.ru/account/1080292465/", 1080292465)</f>
        <v>1080292465</v>
      </c>
      <c r="D8194" t="s">
        <v>6841</v>
      </c>
      <c r="E8194">
        <v>-3838.43</v>
      </c>
      <c r="F8194">
        <v>-0.86</v>
      </c>
      <c r="G8194" t="s">
        <v>12</v>
      </c>
      <c r="I8194" t="s">
        <v>1050</v>
      </c>
    </row>
    <row r="8195" spans="1:9" hidden="1" x14ac:dyDescent="0.25">
      <c r="A8195" t="s">
        <v>6761</v>
      </c>
      <c r="B8195" t="s">
        <v>698</v>
      </c>
      <c r="C8195" s="2">
        <f>HYPERLINK("https://cao.dolgi.msk.ru/account/1080292473/", 1080292473)</f>
        <v>1080292473</v>
      </c>
      <c r="D8195" t="s">
        <v>6842</v>
      </c>
      <c r="E8195">
        <v>-7191.65</v>
      </c>
      <c r="F8195">
        <v>-1.1499999999999999</v>
      </c>
      <c r="G8195" t="s">
        <v>12</v>
      </c>
      <c r="I8195" t="s">
        <v>1050</v>
      </c>
    </row>
    <row r="8196" spans="1:9" hidden="1" x14ac:dyDescent="0.25">
      <c r="A8196" t="s">
        <v>6761</v>
      </c>
      <c r="B8196" t="s">
        <v>700</v>
      </c>
      <c r="C8196" s="2">
        <f>HYPERLINK("https://cao.dolgi.msk.ru/account/1080292481/", 1080292481)</f>
        <v>1080292481</v>
      </c>
      <c r="D8196" t="s">
        <v>6843</v>
      </c>
      <c r="E8196">
        <v>-8455.67</v>
      </c>
      <c r="F8196">
        <v>-1.1499999999999999</v>
      </c>
      <c r="G8196" t="s">
        <v>12</v>
      </c>
      <c r="I8196" t="s">
        <v>1050</v>
      </c>
    </row>
    <row r="8197" spans="1:9" hidden="1" x14ac:dyDescent="0.25">
      <c r="A8197" t="s">
        <v>6761</v>
      </c>
      <c r="B8197" t="s">
        <v>702</v>
      </c>
      <c r="C8197" s="2">
        <f>HYPERLINK("https://cao.dolgi.msk.ru/account/1080292502/", 1080292502)</f>
        <v>1080292502</v>
      </c>
      <c r="D8197" t="s">
        <v>6844</v>
      </c>
      <c r="E8197">
        <v>-13944.43</v>
      </c>
      <c r="F8197">
        <v>-1.05</v>
      </c>
      <c r="G8197" t="s">
        <v>12</v>
      </c>
      <c r="I8197" t="s">
        <v>1050</v>
      </c>
    </row>
    <row r="8198" spans="1:9" x14ac:dyDescent="0.25">
      <c r="A8198" t="s">
        <v>6761</v>
      </c>
      <c r="B8198" t="s">
        <v>703</v>
      </c>
      <c r="C8198" s="2">
        <f>HYPERLINK("https://cao.dolgi.msk.ru/account/1080292529/", 1080292529)</f>
        <v>1080292529</v>
      </c>
      <c r="D8198" t="s">
        <v>6845</v>
      </c>
      <c r="E8198">
        <v>26019.06</v>
      </c>
      <c r="F8198">
        <v>3</v>
      </c>
      <c r="G8198" t="s">
        <v>12</v>
      </c>
      <c r="I8198" t="s">
        <v>1050</v>
      </c>
    </row>
    <row r="8199" spans="1:9" hidden="1" x14ac:dyDescent="0.25">
      <c r="A8199" t="s">
        <v>6761</v>
      </c>
      <c r="B8199" t="s">
        <v>705</v>
      </c>
      <c r="C8199" s="2">
        <f>HYPERLINK("https://cao.dolgi.msk.ru/account/1080292537/", 1080292537)</f>
        <v>1080292537</v>
      </c>
      <c r="D8199" t="s">
        <v>6846</v>
      </c>
      <c r="E8199">
        <v>-5230.91</v>
      </c>
      <c r="F8199">
        <v>-1.1499999999999999</v>
      </c>
      <c r="G8199" t="s">
        <v>12</v>
      </c>
      <c r="I8199" t="s">
        <v>1050</v>
      </c>
    </row>
    <row r="8200" spans="1:9" hidden="1" x14ac:dyDescent="0.25">
      <c r="A8200" t="s">
        <v>6761</v>
      </c>
      <c r="B8200" t="s">
        <v>705</v>
      </c>
      <c r="C8200" s="2">
        <f>HYPERLINK("https://cao.dolgi.msk.ru/account/1089130059/", 1089130059)</f>
        <v>1089130059</v>
      </c>
      <c r="D8200" t="s">
        <v>15</v>
      </c>
      <c r="E8200">
        <v>526.20000000000005</v>
      </c>
      <c r="G8200" t="s">
        <v>14</v>
      </c>
      <c r="I8200" t="s">
        <v>1050</v>
      </c>
    </row>
    <row r="8201" spans="1:9" hidden="1" x14ac:dyDescent="0.25">
      <c r="A8201" t="s">
        <v>6761</v>
      </c>
      <c r="B8201" t="s">
        <v>707</v>
      </c>
      <c r="C8201" s="2">
        <f>HYPERLINK("https://cao.dolgi.msk.ru/account/1080292545/", 1080292545)</f>
        <v>1080292545</v>
      </c>
      <c r="D8201" t="s">
        <v>6847</v>
      </c>
      <c r="E8201">
        <v>0</v>
      </c>
      <c r="F8201">
        <v>0</v>
      </c>
      <c r="G8201" t="s">
        <v>12</v>
      </c>
      <c r="I8201" t="s">
        <v>1050</v>
      </c>
    </row>
    <row r="8202" spans="1:9" hidden="1" x14ac:dyDescent="0.25">
      <c r="A8202" t="s">
        <v>6761</v>
      </c>
      <c r="B8202" t="s">
        <v>709</v>
      </c>
      <c r="C8202" s="2">
        <f>HYPERLINK("https://cao.dolgi.msk.ru/account/1080292553/", 1080292553)</f>
        <v>1080292553</v>
      </c>
      <c r="D8202" t="s">
        <v>6848</v>
      </c>
      <c r="E8202">
        <v>-6759.87</v>
      </c>
      <c r="F8202">
        <v>-1.07</v>
      </c>
      <c r="G8202" t="s">
        <v>12</v>
      </c>
      <c r="I8202" t="s">
        <v>1050</v>
      </c>
    </row>
    <row r="8203" spans="1:9" hidden="1" x14ac:dyDescent="0.25">
      <c r="A8203" t="s">
        <v>6761</v>
      </c>
      <c r="B8203" t="s">
        <v>711</v>
      </c>
      <c r="C8203" s="2">
        <f>HYPERLINK("https://cao.dolgi.msk.ru/account/1080292561/", 1080292561)</f>
        <v>1080292561</v>
      </c>
      <c r="D8203" t="s">
        <v>6849</v>
      </c>
      <c r="E8203">
        <v>-4629.42</v>
      </c>
      <c r="F8203">
        <v>-1.07</v>
      </c>
      <c r="G8203" t="s">
        <v>12</v>
      </c>
      <c r="I8203" t="s">
        <v>1050</v>
      </c>
    </row>
    <row r="8204" spans="1:9" hidden="1" x14ac:dyDescent="0.25">
      <c r="A8204" t="s">
        <v>6761</v>
      </c>
      <c r="B8204" t="s">
        <v>713</v>
      </c>
      <c r="C8204" s="2">
        <f>HYPERLINK("https://cao.dolgi.msk.ru/account/1080292588/", 1080292588)</f>
        <v>1080292588</v>
      </c>
      <c r="D8204" t="s">
        <v>6850</v>
      </c>
      <c r="E8204">
        <v>809.16</v>
      </c>
      <c r="F8204">
        <v>7.0000000000000007E-2</v>
      </c>
      <c r="G8204" t="s">
        <v>12</v>
      </c>
      <c r="I8204" t="s">
        <v>1050</v>
      </c>
    </row>
    <row r="8205" spans="1:9" hidden="1" x14ac:dyDescent="0.25">
      <c r="A8205" t="s">
        <v>6761</v>
      </c>
      <c r="B8205" t="s">
        <v>528</v>
      </c>
      <c r="C8205" s="2">
        <f>HYPERLINK("https://cao.dolgi.msk.ru/account/1080292596/", 1080292596)</f>
        <v>1080292596</v>
      </c>
      <c r="D8205" t="s">
        <v>6851</v>
      </c>
      <c r="E8205">
        <v>-135.13999999999999</v>
      </c>
      <c r="F8205">
        <v>-0.03</v>
      </c>
      <c r="G8205" t="s">
        <v>12</v>
      </c>
      <c r="I8205" t="s">
        <v>1050</v>
      </c>
    </row>
    <row r="8206" spans="1:9" hidden="1" x14ac:dyDescent="0.25">
      <c r="A8206" t="s">
        <v>6761</v>
      </c>
      <c r="B8206" t="s">
        <v>530</v>
      </c>
      <c r="C8206" s="2">
        <f>HYPERLINK("https://cao.dolgi.msk.ru/account/1080292609/", 1080292609)</f>
        <v>1080292609</v>
      </c>
      <c r="D8206" t="s">
        <v>6852</v>
      </c>
      <c r="E8206">
        <v>-464.15</v>
      </c>
      <c r="F8206">
        <v>-7.0000000000000007E-2</v>
      </c>
      <c r="G8206" t="s">
        <v>12</v>
      </c>
      <c r="I8206" t="s">
        <v>1050</v>
      </c>
    </row>
    <row r="8207" spans="1:9" hidden="1" x14ac:dyDescent="0.25">
      <c r="A8207" t="s">
        <v>6761</v>
      </c>
      <c r="B8207" t="s">
        <v>532</v>
      </c>
      <c r="C8207" s="2">
        <f>HYPERLINK("https://cao.dolgi.msk.ru/account/1080292617/", 1080292617)</f>
        <v>1080292617</v>
      </c>
      <c r="D8207" t="s">
        <v>6853</v>
      </c>
      <c r="E8207">
        <v>-8989.7000000000007</v>
      </c>
      <c r="F8207">
        <v>-1.04</v>
      </c>
      <c r="G8207" t="s">
        <v>12</v>
      </c>
      <c r="I8207" t="s">
        <v>1050</v>
      </c>
    </row>
    <row r="8208" spans="1:9" hidden="1" x14ac:dyDescent="0.25">
      <c r="A8208" t="s">
        <v>6761</v>
      </c>
      <c r="B8208" t="s">
        <v>532</v>
      </c>
      <c r="C8208" s="2">
        <f>HYPERLINK("https://cao.dolgi.msk.ru/account/1080324324/", 1080324324)</f>
        <v>1080324324</v>
      </c>
      <c r="D8208" t="s">
        <v>15</v>
      </c>
      <c r="G8208" t="s">
        <v>14</v>
      </c>
      <c r="I8208" t="s">
        <v>1050</v>
      </c>
    </row>
    <row r="8209" spans="1:9" hidden="1" x14ac:dyDescent="0.25">
      <c r="A8209" t="s">
        <v>6761</v>
      </c>
      <c r="B8209" t="s">
        <v>534</v>
      </c>
      <c r="C8209" s="2">
        <f>HYPERLINK("https://cao.dolgi.msk.ru/account/1080292625/", 1080292625)</f>
        <v>1080292625</v>
      </c>
      <c r="D8209" t="s">
        <v>6854</v>
      </c>
      <c r="E8209">
        <v>-5754.22</v>
      </c>
      <c r="F8209">
        <v>-1.1000000000000001</v>
      </c>
      <c r="G8209" t="s">
        <v>12</v>
      </c>
      <c r="I8209" t="s">
        <v>1050</v>
      </c>
    </row>
    <row r="8210" spans="1:9" hidden="1" x14ac:dyDescent="0.25">
      <c r="A8210" t="s">
        <v>6761</v>
      </c>
      <c r="B8210" t="s">
        <v>536</v>
      </c>
      <c r="C8210" s="2">
        <f>HYPERLINK("https://cao.dolgi.msk.ru/account/1080292641/", 1080292641)</f>
        <v>1080292641</v>
      </c>
      <c r="D8210" t="s">
        <v>6855</v>
      </c>
      <c r="E8210">
        <v>-75.83</v>
      </c>
      <c r="F8210">
        <v>-0.01</v>
      </c>
      <c r="G8210" t="s">
        <v>12</v>
      </c>
      <c r="I8210" t="s">
        <v>1050</v>
      </c>
    </row>
    <row r="8211" spans="1:9" hidden="1" x14ac:dyDescent="0.25">
      <c r="A8211" t="s">
        <v>6761</v>
      </c>
      <c r="B8211" t="s">
        <v>538</v>
      </c>
      <c r="C8211" s="2">
        <f>HYPERLINK("https://cao.dolgi.msk.ru/account/1080292676/", 1080292676)</f>
        <v>1080292676</v>
      </c>
      <c r="D8211" t="s">
        <v>6856</v>
      </c>
      <c r="E8211">
        <v>-4640.55</v>
      </c>
      <c r="F8211">
        <v>-1.1000000000000001</v>
      </c>
      <c r="G8211" t="s">
        <v>12</v>
      </c>
      <c r="I8211" t="s">
        <v>1050</v>
      </c>
    </row>
    <row r="8212" spans="1:9" hidden="1" x14ac:dyDescent="0.25">
      <c r="A8212" t="s">
        <v>6761</v>
      </c>
      <c r="B8212" t="s">
        <v>539</v>
      </c>
      <c r="C8212" s="2">
        <f>HYPERLINK("https://cao.dolgi.msk.ru/account/1080292684/", 1080292684)</f>
        <v>1080292684</v>
      </c>
      <c r="D8212" t="s">
        <v>6857</v>
      </c>
      <c r="E8212">
        <v>-8508.7199999999993</v>
      </c>
      <c r="F8212">
        <v>-1.06</v>
      </c>
      <c r="G8212" t="s">
        <v>12</v>
      </c>
      <c r="I8212" t="s">
        <v>1050</v>
      </c>
    </row>
    <row r="8213" spans="1:9" hidden="1" x14ac:dyDescent="0.25">
      <c r="A8213" t="s">
        <v>6761</v>
      </c>
      <c r="B8213" t="s">
        <v>541</v>
      </c>
      <c r="C8213" s="2">
        <f>HYPERLINK("https://cao.dolgi.msk.ru/account/1080292692/", 1080292692)</f>
        <v>1080292692</v>
      </c>
      <c r="D8213" t="s">
        <v>6858</v>
      </c>
      <c r="E8213">
        <v>-8526.51</v>
      </c>
      <c r="F8213">
        <v>-1.21</v>
      </c>
      <c r="G8213" t="s">
        <v>12</v>
      </c>
      <c r="I8213" t="s">
        <v>1050</v>
      </c>
    </row>
    <row r="8214" spans="1:9" hidden="1" x14ac:dyDescent="0.25">
      <c r="A8214" t="s">
        <v>6761</v>
      </c>
      <c r="B8214" t="s">
        <v>543</v>
      </c>
      <c r="C8214" s="2">
        <f>HYPERLINK("https://cao.dolgi.msk.ru/account/1080292705/", 1080292705)</f>
        <v>1080292705</v>
      </c>
      <c r="D8214" t="s">
        <v>6859</v>
      </c>
      <c r="E8214">
        <v>-7400.25</v>
      </c>
      <c r="F8214">
        <v>-1.07</v>
      </c>
      <c r="G8214" t="s">
        <v>12</v>
      </c>
      <c r="I8214" t="s">
        <v>1050</v>
      </c>
    </row>
    <row r="8215" spans="1:9" hidden="1" x14ac:dyDescent="0.25">
      <c r="A8215" t="s">
        <v>6761</v>
      </c>
      <c r="B8215" t="s">
        <v>545</v>
      </c>
      <c r="C8215" s="2">
        <f>HYPERLINK("https://cao.dolgi.msk.ru/account/1080292713/", 1080292713)</f>
        <v>1080292713</v>
      </c>
      <c r="D8215" t="s">
        <v>6860</v>
      </c>
      <c r="E8215">
        <v>-5038.29</v>
      </c>
      <c r="F8215">
        <v>-1.07</v>
      </c>
      <c r="G8215" t="s">
        <v>12</v>
      </c>
      <c r="I8215" t="s">
        <v>1050</v>
      </c>
    </row>
    <row r="8216" spans="1:9" hidden="1" x14ac:dyDescent="0.25">
      <c r="A8216" t="s">
        <v>6761</v>
      </c>
      <c r="B8216" t="s">
        <v>546</v>
      </c>
      <c r="C8216" s="2">
        <f>HYPERLINK("https://cao.dolgi.msk.ru/account/1080292721/", 1080292721)</f>
        <v>1080292721</v>
      </c>
      <c r="D8216" t="s">
        <v>6861</v>
      </c>
      <c r="E8216">
        <v>-7528.91</v>
      </c>
      <c r="F8216">
        <v>-1.18</v>
      </c>
      <c r="G8216" t="s">
        <v>12</v>
      </c>
      <c r="I8216" t="s">
        <v>1050</v>
      </c>
    </row>
    <row r="8217" spans="1:9" hidden="1" x14ac:dyDescent="0.25">
      <c r="A8217" t="s">
        <v>6761</v>
      </c>
      <c r="B8217" t="s">
        <v>548</v>
      </c>
      <c r="C8217" s="2">
        <f>HYPERLINK("https://cao.dolgi.msk.ru/account/1080292748/", 1080292748)</f>
        <v>1080292748</v>
      </c>
      <c r="D8217" t="s">
        <v>6862</v>
      </c>
      <c r="E8217">
        <v>-960.4</v>
      </c>
      <c r="F8217">
        <v>-0.2</v>
      </c>
      <c r="G8217" t="s">
        <v>12</v>
      </c>
      <c r="I8217" t="s">
        <v>1050</v>
      </c>
    </row>
    <row r="8218" spans="1:9" hidden="1" x14ac:dyDescent="0.25">
      <c r="A8218" t="s">
        <v>6761</v>
      </c>
      <c r="B8218" t="s">
        <v>727</v>
      </c>
      <c r="C8218" s="2">
        <f>HYPERLINK("https://cao.dolgi.msk.ru/account/1080292756/", 1080292756)</f>
        <v>1080292756</v>
      </c>
      <c r="D8218" t="s">
        <v>6863</v>
      </c>
      <c r="E8218">
        <v>222.87</v>
      </c>
      <c r="F8218">
        <v>0.03</v>
      </c>
      <c r="G8218" t="s">
        <v>12</v>
      </c>
      <c r="I8218" t="s">
        <v>1050</v>
      </c>
    </row>
    <row r="8219" spans="1:9" hidden="1" x14ac:dyDescent="0.25">
      <c r="A8219" t="s">
        <v>6761</v>
      </c>
      <c r="B8219" t="s">
        <v>551</v>
      </c>
      <c r="C8219" s="2">
        <f>HYPERLINK("https://cao.dolgi.msk.ru/account/1080292764/", 1080292764)</f>
        <v>1080292764</v>
      </c>
      <c r="D8219" t="s">
        <v>6864</v>
      </c>
      <c r="E8219">
        <v>-3383.92</v>
      </c>
      <c r="F8219">
        <v>-1.0900000000000001</v>
      </c>
      <c r="G8219" t="s">
        <v>12</v>
      </c>
      <c r="I8219" t="s">
        <v>1050</v>
      </c>
    </row>
    <row r="8220" spans="1:9" hidden="1" x14ac:dyDescent="0.25">
      <c r="A8220" t="s">
        <v>6761</v>
      </c>
      <c r="B8220" t="s">
        <v>730</v>
      </c>
      <c r="C8220" s="2">
        <f>HYPERLINK("https://cao.dolgi.msk.ru/account/1080292772/", 1080292772)</f>
        <v>1080292772</v>
      </c>
      <c r="D8220" t="s">
        <v>6865</v>
      </c>
      <c r="E8220">
        <v>-10389.67</v>
      </c>
      <c r="F8220">
        <v>-1</v>
      </c>
      <c r="G8220" t="s">
        <v>12</v>
      </c>
      <c r="I8220" t="s">
        <v>1050</v>
      </c>
    </row>
    <row r="8221" spans="1:9" hidden="1" x14ac:dyDescent="0.25">
      <c r="A8221" t="s">
        <v>6761</v>
      </c>
      <c r="B8221" t="s">
        <v>732</v>
      </c>
      <c r="C8221" s="2">
        <f>HYPERLINK("https://cao.dolgi.msk.ru/account/1080292799/", 1080292799)</f>
        <v>1080292799</v>
      </c>
      <c r="D8221" t="s">
        <v>6866</v>
      </c>
      <c r="E8221">
        <v>-6054.17</v>
      </c>
      <c r="F8221">
        <v>-1.1200000000000001</v>
      </c>
      <c r="G8221" t="s">
        <v>12</v>
      </c>
      <c r="I8221" t="s">
        <v>1050</v>
      </c>
    </row>
    <row r="8222" spans="1:9" hidden="1" x14ac:dyDescent="0.25">
      <c r="A8222" t="s">
        <v>6761</v>
      </c>
      <c r="B8222" t="s">
        <v>553</v>
      </c>
      <c r="C8222" s="2">
        <f>HYPERLINK("https://cao.dolgi.msk.ru/account/1080292801/", 1080292801)</f>
        <v>1080292801</v>
      </c>
      <c r="D8222" t="s">
        <v>6867</v>
      </c>
      <c r="E8222">
        <v>27.38</v>
      </c>
      <c r="F8222">
        <v>0</v>
      </c>
      <c r="G8222" t="s">
        <v>12</v>
      </c>
      <c r="I8222" t="s">
        <v>1050</v>
      </c>
    </row>
    <row r="8223" spans="1:9" hidden="1" x14ac:dyDescent="0.25">
      <c r="A8223" t="s">
        <v>6761</v>
      </c>
      <c r="B8223" t="s">
        <v>555</v>
      </c>
      <c r="C8223" s="2">
        <f>HYPERLINK("https://cao.dolgi.msk.ru/account/1080292828/", 1080292828)</f>
        <v>1080292828</v>
      </c>
      <c r="D8223" t="s">
        <v>6868</v>
      </c>
      <c r="E8223">
        <v>-6689.06</v>
      </c>
      <c r="F8223">
        <v>-1.17</v>
      </c>
      <c r="G8223" t="s">
        <v>12</v>
      </c>
      <c r="I8223" t="s">
        <v>1050</v>
      </c>
    </row>
    <row r="8224" spans="1:9" hidden="1" x14ac:dyDescent="0.25">
      <c r="A8224" t="s">
        <v>6761</v>
      </c>
      <c r="B8224" t="s">
        <v>736</v>
      </c>
      <c r="C8224" s="2">
        <f>HYPERLINK("https://cao.dolgi.msk.ru/account/1080292836/", 1080292836)</f>
        <v>1080292836</v>
      </c>
      <c r="D8224" t="s">
        <v>6869</v>
      </c>
      <c r="E8224">
        <v>-10995.72</v>
      </c>
      <c r="F8224">
        <v>-1.1499999999999999</v>
      </c>
      <c r="G8224" t="s">
        <v>12</v>
      </c>
      <c r="I8224" t="s">
        <v>1050</v>
      </c>
    </row>
    <row r="8225" spans="1:9" hidden="1" x14ac:dyDescent="0.25">
      <c r="A8225" t="s">
        <v>6761</v>
      </c>
      <c r="B8225" t="s">
        <v>738</v>
      </c>
      <c r="C8225" s="2">
        <f>HYPERLINK("https://cao.dolgi.msk.ru/account/1080292844/", 1080292844)</f>
        <v>1080292844</v>
      </c>
      <c r="D8225" t="s">
        <v>6870</v>
      </c>
      <c r="E8225">
        <v>-6920.17</v>
      </c>
      <c r="F8225">
        <v>-1.06</v>
      </c>
      <c r="G8225" t="s">
        <v>12</v>
      </c>
      <c r="I8225" t="s">
        <v>1050</v>
      </c>
    </row>
    <row r="8226" spans="1:9" hidden="1" x14ac:dyDescent="0.25">
      <c r="A8226" t="s">
        <v>6761</v>
      </c>
      <c r="B8226" t="s">
        <v>740</v>
      </c>
      <c r="C8226" s="2">
        <f>HYPERLINK("https://cao.dolgi.msk.ru/account/1080292852/", 1080292852)</f>
        <v>1080292852</v>
      </c>
      <c r="D8226" t="s">
        <v>6871</v>
      </c>
      <c r="E8226">
        <v>-9897.42</v>
      </c>
      <c r="F8226">
        <v>-1.01</v>
      </c>
      <c r="G8226" t="s">
        <v>12</v>
      </c>
      <c r="I8226" t="s">
        <v>1050</v>
      </c>
    </row>
    <row r="8227" spans="1:9" hidden="1" x14ac:dyDescent="0.25">
      <c r="A8227" t="s">
        <v>6761</v>
      </c>
      <c r="B8227" t="s">
        <v>742</v>
      </c>
      <c r="C8227" s="2">
        <f>HYPERLINK("https://cao.dolgi.msk.ru/account/1080292879/", 1080292879)</f>
        <v>1080292879</v>
      </c>
      <c r="D8227" t="s">
        <v>6872</v>
      </c>
      <c r="E8227">
        <v>-264.39999999999998</v>
      </c>
      <c r="F8227">
        <v>-0.02</v>
      </c>
      <c r="G8227" t="s">
        <v>12</v>
      </c>
      <c r="I8227" t="s">
        <v>1050</v>
      </c>
    </row>
    <row r="8228" spans="1:9" hidden="1" x14ac:dyDescent="0.25">
      <c r="A8228" t="s">
        <v>6761</v>
      </c>
      <c r="B8228" t="s">
        <v>557</v>
      </c>
      <c r="C8228" s="2">
        <f>HYPERLINK("https://cao.dolgi.msk.ru/account/1080292887/", 1080292887)</f>
        <v>1080292887</v>
      </c>
      <c r="D8228" t="s">
        <v>6873</v>
      </c>
      <c r="E8228">
        <v>-6301.91</v>
      </c>
      <c r="F8228">
        <v>-1.22</v>
      </c>
      <c r="G8228" t="s">
        <v>12</v>
      </c>
      <c r="I8228" t="s">
        <v>1050</v>
      </c>
    </row>
    <row r="8229" spans="1:9" hidden="1" x14ac:dyDescent="0.25">
      <c r="A8229" t="s">
        <v>6761</v>
      </c>
      <c r="B8229" t="s">
        <v>558</v>
      </c>
      <c r="C8229" s="2">
        <f>HYPERLINK("https://cao.dolgi.msk.ru/account/1080292895/", 1080292895)</f>
        <v>1080292895</v>
      </c>
      <c r="D8229" t="s">
        <v>6874</v>
      </c>
      <c r="E8229">
        <v>0</v>
      </c>
      <c r="F8229">
        <v>0</v>
      </c>
      <c r="G8229" t="s">
        <v>12</v>
      </c>
      <c r="I8229" t="s">
        <v>1050</v>
      </c>
    </row>
    <row r="8230" spans="1:9" hidden="1" x14ac:dyDescent="0.25">
      <c r="A8230" t="s">
        <v>6761</v>
      </c>
      <c r="B8230" t="s">
        <v>746</v>
      </c>
      <c r="C8230" s="2">
        <f>HYPERLINK("https://cao.dolgi.msk.ru/account/1080292908/", 1080292908)</f>
        <v>1080292908</v>
      </c>
      <c r="D8230" t="s">
        <v>6875</v>
      </c>
      <c r="E8230">
        <v>-9045.91</v>
      </c>
      <c r="F8230">
        <v>-1.06</v>
      </c>
      <c r="G8230" t="s">
        <v>12</v>
      </c>
      <c r="I8230" t="s">
        <v>1050</v>
      </c>
    </row>
    <row r="8231" spans="1:9" hidden="1" x14ac:dyDescent="0.25">
      <c r="A8231" t="s">
        <v>6761</v>
      </c>
      <c r="B8231" t="s">
        <v>748</v>
      </c>
      <c r="C8231" s="2">
        <f>HYPERLINK("https://cao.dolgi.msk.ru/account/1080292916/", 1080292916)</f>
        <v>1080292916</v>
      </c>
      <c r="D8231" t="s">
        <v>6876</v>
      </c>
      <c r="E8231">
        <v>-6694.12</v>
      </c>
      <c r="F8231">
        <v>-1.07</v>
      </c>
      <c r="G8231" t="s">
        <v>12</v>
      </c>
      <c r="I8231" t="s">
        <v>1050</v>
      </c>
    </row>
    <row r="8232" spans="1:9" hidden="1" x14ac:dyDescent="0.25">
      <c r="A8232" t="s">
        <v>6761</v>
      </c>
      <c r="B8232" t="s">
        <v>750</v>
      </c>
      <c r="C8232" s="2">
        <f>HYPERLINK("https://cao.dolgi.msk.ru/account/1080292924/", 1080292924)</f>
        <v>1080292924</v>
      </c>
      <c r="D8232" t="s">
        <v>6877</v>
      </c>
      <c r="E8232">
        <v>-4824.8</v>
      </c>
      <c r="F8232">
        <v>-1</v>
      </c>
      <c r="G8232" t="s">
        <v>12</v>
      </c>
      <c r="I8232" t="s">
        <v>1050</v>
      </c>
    </row>
    <row r="8233" spans="1:9" hidden="1" x14ac:dyDescent="0.25">
      <c r="A8233" t="s">
        <v>6761</v>
      </c>
      <c r="B8233" t="s">
        <v>752</v>
      </c>
      <c r="C8233" s="2">
        <f>HYPERLINK("https://cao.dolgi.msk.ru/account/1080292932/", 1080292932)</f>
        <v>1080292932</v>
      </c>
      <c r="D8233" t="s">
        <v>6878</v>
      </c>
      <c r="E8233">
        <v>-5959.42</v>
      </c>
      <c r="F8233">
        <v>-1.0900000000000001</v>
      </c>
      <c r="G8233" t="s">
        <v>12</v>
      </c>
      <c r="I8233" t="s">
        <v>1050</v>
      </c>
    </row>
    <row r="8234" spans="1:9" hidden="1" x14ac:dyDescent="0.25">
      <c r="A8234" t="s">
        <v>6761</v>
      </c>
      <c r="B8234" t="s">
        <v>754</v>
      </c>
      <c r="C8234" s="2">
        <f>HYPERLINK("https://cao.dolgi.msk.ru/account/1080292967/", 1080292967)</f>
        <v>1080292967</v>
      </c>
      <c r="D8234" t="s">
        <v>6879</v>
      </c>
      <c r="E8234">
        <v>-72.239999999999995</v>
      </c>
      <c r="F8234">
        <v>-0.01</v>
      </c>
      <c r="G8234" t="s">
        <v>12</v>
      </c>
      <c r="I8234" t="s">
        <v>1050</v>
      </c>
    </row>
    <row r="8235" spans="1:9" hidden="1" x14ac:dyDescent="0.25">
      <c r="A8235" t="s">
        <v>6761</v>
      </c>
      <c r="B8235" t="s">
        <v>756</v>
      </c>
      <c r="C8235" s="2">
        <f>HYPERLINK("https://cao.dolgi.msk.ru/account/1080292959/", 1080292959)</f>
        <v>1080292959</v>
      </c>
      <c r="D8235" t="s">
        <v>6880</v>
      </c>
      <c r="E8235">
        <v>-5698.62</v>
      </c>
      <c r="F8235">
        <v>-0.94</v>
      </c>
      <c r="G8235" t="s">
        <v>12</v>
      </c>
      <c r="I8235" t="s">
        <v>1050</v>
      </c>
    </row>
    <row r="8236" spans="1:9" hidden="1" x14ac:dyDescent="0.25">
      <c r="A8236" t="s">
        <v>6761</v>
      </c>
      <c r="B8236" t="s">
        <v>758</v>
      </c>
      <c r="C8236" s="2">
        <f>HYPERLINK("https://cao.dolgi.msk.ru/account/1080292975/", 1080292975)</f>
        <v>1080292975</v>
      </c>
      <c r="D8236" t="s">
        <v>6881</v>
      </c>
      <c r="E8236">
        <v>-5443.89</v>
      </c>
      <c r="F8236">
        <v>-1.08</v>
      </c>
      <c r="G8236" t="s">
        <v>12</v>
      </c>
      <c r="I8236" t="s">
        <v>1050</v>
      </c>
    </row>
    <row r="8237" spans="1:9" hidden="1" x14ac:dyDescent="0.25">
      <c r="A8237" t="s">
        <v>6761</v>
      </c>
      <c r="B8237" t="s">
        <v>760</v>
      </c>
      <c r="C8237" s="2">
        <f>HYPERLINK("https://cao.dolgi.msk.ru/account/1080292983/", 1080292983)</f>
        <v>1080292983</v>
      </c>
      <c r="D8237" t="s">
        <v>6882</v>
      </c>
      <c r="E8237">
        <v>-6709.3</v>
      </c>
      <c r="F8237">
        <v>-1.1100000000000001</v>
      </c>
      <c r="G8237" t="s">
        <v>12</v>
      </c>
      <c r="I8237" t="s">
        <v>1050</v>
      </c>
    </row>
    <row r="8238" spans="1:9" hidden="1" x14ac:dyDescent="0.25">
      <c r="A8238" t="s">
        <v>6761</v>
      </c>
      <c r="B8238" t="s">
        <v>762</v>
      </c>
      <c r="C8238" s="2">
        <f>HYPERLINK("https://cao.dolgi.msk.ru/account/1080292991/", 1080292991)</f>
        <v>1080292991</v>
      </c>
      <c r="D8238" t="s">
        <v>6883</v>
      </c>
      <c r="E8238">
        <v>30.51</v>
      </c>
      <c r="F8238">
        <v>0.01</v>
      </c>
      <c r="G8238" t="s">
        <v>12</v>
      </c>
      <c r="I8238" t="s">
        <v>1050</v>
      </c>
    </row>
    <row r="8239" spans="1:9" hidden="1" x14ac:dyDescent="0.25">
      <c r="A8239" t="s">
        <v>6761</v>
      </c>
      <c r="B8239" t="s">
        <v>764</v>
      </c>
      <c r="C8239" s="2">
        <f>HYPERLINK("https://cao.dolgi.msk.ru/account/1080293003/", 1080293003)</f>
        <v>1080293003</v>
      </c>
      <c r="D8239" t="s">
        <v>6884</v>
      </c>
      <c r="E8239">
        <v>-9807.9699999999993</v>
      </c>
      <c r="F8239">
        <v>-1.38</v>
      </c>
      <c r="G8239" t="s">
        <v>12</v>
      </c>
      <c r="I8239" t="s">
        <v>1050</v>
      </c>
    </row>
    <row r="8240" spans="1:9" hidden="1" x14ac:dyDescent="0.25">
      <c r="A8240" t="s">
        <v>6761</v>
      </c>
      <c r="B8240" t="s">
        <v>766</v>
      </c>
      <c r="C8240" s="2">
        <f>HYPERLINK("https://cao.dolgi.msk.ru/account/1080293011/", 1080293011)</f>
        <v>1080293011</v>
      </c>
      <c r="D8240" t="s">
        <v>6885</v>
      </c>
      <c r="E8240">
        <v>-5823.4</v>
      </c>
      <c r="F8240">
        <v>-0.97</v>
      </c>
      <c r="G8240" t="s">
        <v>12</v>
      </c>
      <c r="I8240" t="s">
        <v>1050</v>
      </c>
    </row>
    <row r="8241" spans="1:9" hidden="1" x14ac:dyDescent="0.25">
      <c r="A8241" t="s">
        <v>6761</v>
      </c>
      <c r="B8241" t="s">
        <v>768</v>
      </c>
      <c r="C8241" s="2">
        <f>HYPERLINK("https://cao.dolgi.msk.ru/account/1080293038/", 1080293038)</f>
        <v>1080293038</v>
      </c>
      <c r="D8241" t="s">
        <v>6886</v>
      </c>
      <c r="E8241">
        <v>-4629</v>
      </c>
      <c r="F8241">
        <v>-1.08</v>
      </c>
      <c r="G8241" t="s">
        <v>12</v>
      </c>
      <c r="I8241" t="s">
        <v>1050</v>
      </c>
    </row>
    <row r="8242" spans="1:9" hidden="1" x14ac:dyDescent="0.25">
      <c r="A8242" t="s">
        <v>6761</v>
      </c>
      <c r="B8242" t="s">
        <v>770</v>
      </c>
      <c r="C8242" s="2">
        <f>HYPERLINK("https://cao.dolgi.msk.ru/account/1080293046/", 1080293046)</f>
        <v>1080293046</v>
      </c>
      <c r="D8242" t="s">
        <v>6887</v>
      </c>
      <c r="E8242">
        <v>-7626.43</v>
      </c>
      <c r="F8242">
        <v>-1.1000000000000001</v>
      </c>
      <c r="G8242" t="s">
        <v>12</v>
      </c>
      <c r="I8242" t="s">
        <v>1050</v>
      </c>
    </row>
    <row r="8243" spans="1:9" hidden="1" x14ac:dyDescent="0.25">
      <c r="A8243" t="s">
        <v>6761</v>
      </c>
      <c r="B8243" t="s">
        <v>772</v>
      </c>
      <c r="C8243" s="2">
        <f>HYPERLINK("https://cao.dolgi.msk.ru/account/1080293054/", 1080293054)</f>
        <v>1080293054</v>
      </c>
      <c r="D8243" t="s">
        <v>6888</v>
      </c>
      <c r="E8243">
        <v>116.86</v>
      </c>
      <c r="F8243">
        <v>0.01</v>
      </c>
      <c r="G8243" t="s">
        <v>12</v>
      </c>
      <c r="I8243" t="s">
        <v>1050</v>
      </c>
    </row>
    <row r="8244" spans="1:9" hidden="1" x14ac:dyDescent="0.25">
      <c r="A8244" t="s">
        <v>6761</v>
      </c>
      <c r="B8244" t="s">
        <v>774</v>
      </c>
      <c r="C8244" s="2">
        <f>HYPERLINK("https://cao.dolgi.msk.ru/account/1080293062/", 1080293062)</f>
        <v>1080293062</v>
      </c>
      <c r="D8244" t="s">
        <v>6889</v>
      </c>
      <c r="E8244">
        <v>2729.08</v>
      </c>
      <c r="F8244">
        <v>0.8</v>
      </c>
      <c r="G8244" t="s">
        <v>12</v>
      </c>
      <c r="I8244" t="s">
        <v>1050</v>
      </c>
    </row>
    <row r="8245" spans="1:9" hidden="1" x14ac:dyDescent="0.25">
      <c r="A8245" t="s">
        <v>6761</v>
      </c>
      <c r="B8245" t="s">
        <v>776</v>
      </c>
      <c r="C8245" s="2">
        <f>HYPERLINK("https://cao.dolgi.msk.ru/account/1080293089/", 1080293089)</f>
        <v>1080293089</v>
      </c>
      <c r="D8245" t="s">
        <v>6890</v>
      </c>
      <c r="E8245">
        <v>-48.28</v>
      </c>
      <c r="F8245">
        <v>0</v>
      </c>
      <c r="G8245" t="s">
        <v>12</v>
      </c>
      <c r="I8245" t="s">
        <v>1050</v>
      </c>
    </row>
    <row r="8246" spans="1:9" x14ac:dyDescent="0.25">
      <c r="A8246" t="s">
        <v>6761</v>
      </c>
      <c r="B8246" t="s">
        <v>778</v>
      </c>
      <c r="C8246" s="2">
        <f>HYPERLINK("https://cao.dolgi.msk.ru/account/1080293097/", 1080293097)</f>
        <v>1080293097</v>
      </c>
      <c r="D8246" t="s">
        <v>6891</v>
      </c>
      <c r="E8246">
        <v>41036.910000000003</v>
      </c>
      <c r="F8246">
        <v>4.5199999999999996</v>
      </c>
      <c r="G8246" t="s">
        <v>12</v>
      </c>
      <c r="I8246" t="s">
        <v>1050</v>
      </c>
    </row>
    <row r="8247" spans="1:9" x14ac:dyDescent="0.25">
      <c r="A8247" t="s">
        <v>6761</v>
      </c>
      <c r="B8247" t="s">
        <v>782</v>
      </c>
      <c r="C8247" s="2">
        <f>HYPERLINK("https://cao.dolgi.msk.ru/account/1080293118/", 1080293118)</f>
        <v>1080293118</v>
      </c>
      <c r="D8247" t="s">
        <v>6892</v>
      </c>
      <c r="E8247">
        <v>9613.4</v>
      </c>
      <c r="F8247">
        <v>1.1200000000000001</v>
      </c>
      <c r="G8247" t="s">
        <v>12</v>
      </c>
      <c r="I8247" t="s">
        <v>1050</v>
      </c>
    </row>
    <row r="8248" spans="1:9" hidden="1" x14ac:dyDescent="0.25">
      <c r="A8248" t="s">
        <v>6761</v>
      </c>
      <c r="B8248" t="s">
        <v>784</v>
      </c>
      <c r="C8248" s="2">
        <f>HYPERLINK("https://cao.dolgi.msk.ru/account/1080293134/", 1080293134)</f>
        <v>1080293134</v>
      </c>
      <c r="D8248" t="s">
        <v>6893</v>
      </c>
      <c r="E8248">
        <v>0</v>
      </c>
      <c r="F8248">
        <v>0</v>
      </c>
      <c r="G8248" t="s">
        <v>12</v>
      </c>
      <c r="I8248" t="s">
        <v>1050</v>
      </c>
    </row>
    <row r="8249" spans="1:9" hidden="1" x14ac:dyDescent="0.25">
      <c r="A8249" t="s">
        <v>6761</v>
      </c>
      <c r="B8249" t="s">
        <v>6894</v>
      </c>
      <c r="C8249" s="2">
        <f>HYPERLINK("https://cao.dolgi.msk.ru/account/1080293126/", 1080293126)</f>
        <v>1080293126</v>
      </c>
      <c r="D8249" t="s">
        <v>6895</v>
      </c>
      <c r="E8249">
        <v>-2645.82</v>
      </c>
      <c r="F8249">
        <v>-0.43</v>
      </c>
      <c r="G8249" t="s">
        <v>12</v>
      </c>
      <c r="I8249" t="s">
        <v>1050</v>
      </c>
    </row>
    <row r="8250" spans="1:9" hidden="1" x14ac:dyDescent="0.25">
      <c r="A8250" t="s">
        <v>6761</v>
      </c>
      <c r="B8250" t="s">
        <v>786</v>
      </c>
      <c r="C8250" s="2">
        <f>HYPERLINK("https://cao.dolgi.msk.ru/account/1080293142/", 1080293142)</f>
        <v>1080293142</v>
      </c>
      <c r="D8250" t="s">
        <v>6896</v>
      </c>
      <c r="E8250">
        <v>-4416.99</v>
      </c>
      <c r="F8250">
        <v>-1.08</v>
      </c>
      <c r="G8250" t="s">
        <v>12</v>
      </c>
      <c r="I8250" t="s">
        <v>1050</v>
      </c>
    </row>
    <row r="8251" spans="1:9" hidden="1" x14ac:dyDescent="0.25">
      <c r="A8251" t="s">
        <v>6761</v>
      </c>
      <c r="B8251" t="s">
        <v>788</v>
      </c>
      <c r="C8251" s="2">
        <f>HYPERLINK("https://cao.dolgi.msk.ru/account/1080293169/", 1080293169)</f>
        <v>1080293169</v>
      </c>
      <c r="D8251" t="s">
        <v>6897</v>
      </c>
      <c r="E8251">
        <v>-4873.72</v>
      </c>
      <c r="F8251">
        <v>-1.04</v>
      </c>
      <c r="G8251" t="s">
        <v>12</v>
      </c>
      <c r="I8251" t="s">
        <v>1050</v>
      </c>
    </row>
    <row r="8252" spans="1:9" hidden="1" x14ac:dyDescent="0.25">
      <c r="A8252" t="s">
        <v>6761</v>
      </c>
      <c r="B8252" t="s">
        <v>789</v>
      </c>
      <c r="C8252" s="2">
        <f>HYPERLINK("https://cao.dolgi.msk.ru/account/1080293177/", 1080293177)</f>
        <v>1080293177</v>
      </c>
      <c r="D8252" t="s">
        <v>6898</v>
      </c>
      <c r="E8252">
        <v>6605.3</v>
      </c>
      <c r="F8252">
        <v>1</v>
      </c>
      <c r="G8252" t="s">
        <v>12</v>
      </c>
      <c r="I8252" t="s">
        <v>1050</v>
      </c>
    </row>
    <row r="8253" spans="1:9" hidden="1" x14ac:dyDescent="0.25">
      <c r="A8253" t="s">
        <v>6761</v>
      </c>
      <c r="B8253" t="s">
        <v>790</v>
      </c>
      <c r="C8253" s="2">
        <f>HYPERLINK("https://cao.dolgi.msk.ru/account/1080293185/", 1080293185)</f>
        <v>1080293185</v>
      </c>
      <c r="D8253" t="s">
        <v>6899</v>
      </c>
      <c r="E8253">
        <v>-1126.1199999999999</v>
      </c>
      <c r="F8253">
        <v>-0.12</v>
      </c>
      <c r="G8253" t="s">
        <v>12</v>
      </c>
      <c r="I8253" t="s">
        <v>1050</v>
      </c>
    </row>
    <row r="8254" spans="1:9" hidden="1" x14ac:dyDescent="0.25">
      <c r="A8254" t="s">
        <v>6761</v>
      </c>
      <c r="B8254" t="s">
        <v>792</v>
      </c>
      <c r="C8254" s="2">
        <f>HYPERLINK("https://cao.dolgi.msk.ru/account/1080293193/", 1080293193)</f>
        <v>1080293193</v>
      </c>
      <c r="D8254" t="s">
        <v>6900</v>
      </c>
      <c r="E8254">
        <v>-6868.5</v>
      </c>
      <c r="F8254">
        <v>-1.19</v>
      </c>
      <c r="G8254" t="s">
        <v>12</v>
      </c>
      <c r="I8254" t="s">
        <v>1050</v>
      </c>
    </row>
    <row r="8255" spans="1:9" hidden="1" x14ac:dyDescent="0.25">
      <c r="A8255" t="s">
        <v>6761</v>
      </c>
      <c r="B8255" t="s">
        <v>794</v>
      </c>
      <c r="C8255" s="2">
        <f>HYPERLINK("https://cao.dolgi.msk.ru/account/1080293206/", 1080293206)</f>
        <v>1080293206</v>
      </c>
      <c r="D8255" t="s">
        <v>6901</v>
      </c>
      <c r="E8255">
        <v>18.05</v>
      </c>
      <c r="G8255" t="s">
        <v>14</v>
      </c>
      <c r="I8255" t="s">
        <v>1050</v>
      </c>
    </row>
    <row r="8256" spans="1:9" hidden="1" x14ac:dyDescent="0.25">
      <c r="A8256" t="s">
        <v>6761</v>
      </c>
      <c r="B8256" t="s">
        <v>794</v>
      </c>
      <c r="C8256" s="2">
        <f>HYPERLINK("https://cao.dolgi.msk.ru/account/1089117954/", 1089117954)</f>
        <v>1089117954</v>
      </c>
      <c r="D8256" t="s">
        <v>15</v>
      </c>
      <c r="E8256">
        <v>-6799.62</v>
      </c>
      <c r="F8256">
        <v>-1.18</v>
      </c>
      <c r="G8256" t="s">
        <v>12</v>
      </c>
      <c r="I8256" t="s">
        <v>1050</v>
      </c>
    </row>
    <row r="8257" spans="1:9" hidden="1" x14ac:dyDescent="0.25">
      <c r="A8257" t="s">
        <v>6761</v>
      </c>
      <c r="B8257" t="s">
        <v>796</v>
      </c>
      <c r="C8257" s="2">
        <f>HYPERLINK("https://cao.dolgi.msk.ru/account/1080293214/", 1080293214)</f>
        <v>1080293214</v>
      </c>
      <c r="D8257" t="s">
        <v>6902</v>
      </c>
      <c r="E8257">
        <v>-2816.19</v>
      </c>
      <c r="F8257">
        <v>-1.07</v>
      </c>
      <c r="G8257" t="s">
        <v>12</v>
      </c>
      <c r="I8257" t="s">
        <v>1050</v>
      </c>
    </row>
    <row r="8258" spans="1:9" hidden="1" x14ac:dyDescent="0.25">
      <c r="A8258" t="s">
        <v>6761</v>
      </c>
      <c r="B8258" t="s">
        <v>798</v>
      </c>
      <c r="C8258" s="2">
        <f>HYPERLINK("https://cao.dolgi.msk.ru/account/1080293249/", 1080293249)</f>
        <v>1080293249</v>
      </c>
      <c r="D8258" t="s">
        <v>6903</v>
      </c>
      <c r="E8258">
        <v>-1510.89</v>
      </c>
      <c r="G8258" t="s">
        <v>14</v>
      </c>
      <c r="I8258" t="s">
        <v>1050</v>
      </c>
    </row>
    <row r="8259" spans="1:9" hidden="1" x14ac:dyDescent="0.25">
      <c r="A8259" t="s">
        <v>6761</v>
      </c>
      <c r="B8259" t="s">
        <v>798</v>
      </c>
      <c r="C8259" s="2">
        <f>HYPERLINK("https://cao.dolgi.msk.ru/account/1083273999/", 1083273999)</f>
        <v>1083273999</v>
      </c>
      <c r="D8259" t="s">
        <v>6904</v>
      </c>
      <c r="E8259">
        <v>0</v>
      </c>
      <c r="F8259">
        <v>0</v>
      </c>
      <c r="G8259" t="s">
        <v>12</v>
      </c>
      <c r="I8259" t="s">
        <v>1050</v>
      </c>
    </row>
    <row r="8260" spans="1:9" hidden="1" x14ac:dyDescent="0.25">
      <c r="A8260" t="s">
        <v>6761</v>
      </c>
      <c r="B8260" t="s">
        <v>798</v>
      </c>
      <c r="C8260" s="2">
        <f>HYPERLINK("https://cao.dolgi.msk.ru/account/1083285631/", 1083285631)</f>
        <v>1083285631</v>
      </c>
      <c r="D8260" t="s">
        <v>15</v>
      </c>
      <c r="E8260">
        <v>0</v>
      </c>
      <c r="G8260" t="s">
        <v>14</v>
      </c>
      <c r="I8260" t="s">
        <v>1050</v>
      </c>
    </row>
    <row r="8261" spans="1:9" x14ac:dyDescent="0.25">
      <c r="A8261" t="s">
        <v>6761</v>
      </c>
      <c r="B8261" t="s">
        <v>800</v>
      </c>
      <c r="C8261" s="2">
        <f>HYPERLINK("https://cao.dolgi.msk.ru/account/1080293222/", 1080293222)</f>
        <v>1080293222</v>
      </c>
      <c r="D8261" t="s">
        <v>6905</v>
      </c>
      <c r="E8261">
        <v>26023.200000000001</v>
      </c>
      <c r="F8261">
        <v>3.83</v>
      </c>
      <c r="G8261" t="s">
        <v>12</v>
      </c>
      <c r="I8261" t="s">
        <v>1050</v>
      </c>
    </row>
    <row r="8262" spans="1:9" x14ac:dyDescent="0.25">
      <c r="A8262" t="s">
        <v>6761</v>
      </c>
      <c r="B8262" t="s">
        <v>802</v>
      </c>
      <c r="C8262" s="2">
        <f>HYPERLINK("https://cao.dolgi.msk.ru/account/1080293257/", 1080293257)</f>
        <v>1080293257</v>
      </c>
      <c r="D8262" t="s">
        <v>6906</v>
      </c>
      <c r="E8262">
        <v>19964.8</v>
      </c>
      <c r="F8262">
        <v>4.07</v>
      </c>
      <c r="G8262" t="s">
        <v>12</v>
      </c>
      <c r="I8262" t="s">
        <v>1050</v>
      </c>
    </row>
    <row r="8263" spans="1:9" hidden="1" x14ac:dyDescent="0.25">
      <c r="A8263" t="s">
        <v>6761</v>
      </c>
      <c r="B8263" t="s">
        <v>804</v>
      </c>
      <c r="C8263" s="2">
        <f>HYPERLINK("https://cao.dolgi.msk.ru/account/1080293265/", 1080293265)</f>
        <v>1080293265</v>
      </c>
      <c r="D8263" t="s">
        <v>6907</v>
      </c>
      <c r="E8263">
        <v>-3862.19</v>
      </c>
      <c r="F8263">
        <v>-1.03</v>
      </c>
      <c r="G8263" t="s">
        <v>12</v>
      </c>
      <c r="I8263" t="s">
        <v>1050</v>
      </c>
    </row>
    <row r="8264" spans="1:9" hidden="1" x14ac:dyDescent="0.25">
      <c r="A8264" t="s">
        <v>6761</v>
      </c>
      <c r="B8264" t="s">
        <v>806</v>
      </c>
      <c r="C8264" s="2">
        <f>HYPERLINK("https://cao.dolgi.msk.ru/account/1080293273/", 1080293273)</f>
        <v>1080293273</v>
      </c>
      <c r="D8264" t="s">
        <v>6908</v>
      </c>
      <c r="E8264">
        <v>-6428.97</v>
      </c>
      <c r="F8264">
        <v>-1.06</v>
      </c>
      <c r="G8264" t="s">
        <v>12</v>
      </c>
      <c r="I8264" t="s">
        <v>1050</v>
      </c>
    </row>
    <row r="8265" spans="1:9" hidden="1" x14ac:dyDescent="0.25">
      <c r="A8265" t="s">
        <v>6761</v>
      </c>
      <c r="B8265" t="s">
        <v>808</v>
      </c>
      <c r="C8265" s="2">
        <f>HYPERLINK("https://cao.dolgi.msk.ru/account/1080293281/", 1080293281)</f>
        <v>1080293281</v>
      </c>
      <c r="D8265" t="s">
        <v>6909</v>
      </c>
      <c r="E8265">
        <v>-4755.34</v>
      </c>
      <c r="F8265">
        <v>-1.1599999999999999</v>
      </c>
      <c r="G8265" t="s">
        <v>12</v>
      </c>
      <c r="I8265" t="s">
        <v>1050</v>
      </c>
    </row>
    <row r="8266" spans="1:9" hidden="1" x14ac:dyDescent="0.25">
      <c r="A8266" t="s">
        <v>6761</v>
      </c>
      <c r="B8266" t="s">
        <v>810</v>
      </c>
      <c r="C8266" s="2">
        <f>HYPERLINK("https://cao.dolgi.msk.ru/account/1080293302/", 1080293302)</f>
        <v>1080293302</v>
      </c>
      <c r="D8266" t="s">
        <v>6910</v>
      </c>
      <c r="E8266">
        <v>-1686.66</v>
      </c>
      <c r="F8266">
        <v>-0.21</v>
      </c>
      <c r="G8266" t="s">
        <v>12</v>
      </c>
      <c r="I8266" t="s">
        <v>1050</v>
      </c>
    </row>
    <row r="8267" spans="1:9" hidden="1" x14ac:dyDescent="0.25">
      <c r="A8267" t="s">
        <v>6761</v>
      </c>
      <c r="B8267" t="s">
        <v>812</v>
      </c>
      <c r="C8267" s="2">
        <f>HYPERLINK("https://cao.dolgi.msk.ru/account/1080293329/", 1080293329)</f>
        <v>1080293329</v>
      </c>
      <c r="D8267" t="s">
        <v>6911</v>
      </c>
      <c r="E8267">
        <v>-3793.48</v>
      </c>
      <c r="F8267">
        <v>-0.92</v>
      </c>
      <c r="G8267" t="s">
        <v>12</v>
      </c>
      <c r="I8267" t="s">
        <v>1050</v>
      </c>
    </row>
    <row r="8268" spans="1:9" hidden="1" x14ac:dyDescent="0.25">
      <c r="A8268" t="s">
        <v>6761</v>
      </c>
      <c r="B8268" t="s">
        <v>814</v>
      </c>
      <c r="C8268" s="2">
        <f>HYPERLINK("https://cao.dolgi.msk.ru/account/1080293337/", 1080293337)</f>
        <v>1080293337</v>
      </c>
      <c r="D8268" t="s">
        <v>6912</v>
      </c>
      <c r="E8268">
        <v>-971.1</v>
      </c>
      <c r="F8268">
        <v>-0.08</v>
      </c>
      <c r="G8268" t="s">
        <v>12</v>
      </c>
      <c r="I8268" t="s">
        <v>1050</v>
      </c>
    </row>
    <row r="8269" spans="1:9" hidden="1" x14ac:dyDescent="0.25">
      <c r="A8269" t="s">
        <v>6761</v>
      </c>
      <c r="B8269" t="s">
        <v>816</v>
      </c>
      <c r="C8269" s="2">
        <f>HYPERLINK("https://cao.dolgi.msk.ru/account/1080293345/", 1080293345)</f>
        <v>1080293345</v>
      </c>
      <c r="D8269" t="s">
        <v>6913</v>
      </c>
      <c r="E8269">
        <v>-6080.73</v>
      </c>
      <c r="F8269">
        <v>-1.1000000000000001</v>
      </c>
      <c r="G8269" t="s">
        <v>12</v>
      </c>
      <c r="I8269" t="s">
        <v>1050</v>
      </c>
    </row>
    <row r="8270" spans="1:9" hidden="1" x14ac:dyDescent="0.25">
      <c r="A8270" t="s">
        <v>6761</v>
      </c>
      <c r="B8270" t="s">
        <v>818</v>
      </c>
      <c r="C8270" s="2">
        <f>HYPERLINK("https://cao.dolgi.msk.ru/account/1080293353/", 1080293353)</f>
        <v>1080293353</v>
      </c>
      <c r="D8270" t="s">
        <v>6914</v>
      </c>
      <c r="E8270">
        <v>10.61</v>
      </c>
      <c r="F8270">
        <v>0</v>
      </c>
      <c r="G8270" t="s">
        <v>12</v>
      </c>
      <c r="I8270" t="s">
        <v>1050</v>
      </c>
    </row>
    <row r="8271" spans="1:9" hidden="1" x14ac:dyDescent="0.25">
      <c r="A8271" t="s">
        <v>6761</v>
      </c>
      <c r="B8271" t="s">
        <v>820</v>
      </c>
      <c r="C8271" s="2">
        <f>HYPERLINK("https://cao.dolgi.msk.ru/account/1080293361/", 1080293361)</f>
        <v>1080293361</v>
      </c>
      <c r="D8271" t="s">
        <v>6915</v>
      </c>
      <c r="E8271">
        <v>-3810.44</v>
      </c>
      <c r="F8271">
        <v>-1.06</v>
      </c>
      <c r="G8271" t="s">
        <v>12</v>
      </c>
      <c r="I8271" t="s">
        <v>1050</v>
      </c>
    </row>
    <row r="8272" spans="1:9" hidden="1" x14ac:dyDescent="0.25">
      <c r="A8272" t="s">
        <v>6761</v>
      </c>
      <c r="B8272" t="s">
        <v>822</v>
      </c>
      <c r="C8272" s="2">
        <f>HYPERLINK("https://cao.dolgi.msk.ru/account/1080293388/", 1080293388)</f>
        <v>1080293388</v>
      </c>
      <c r="D8272" t="s">
        <v>6916</v>
      </c>
      <c r="E8272">
        <v>-8687.86</v>
      </c>
      <c r="F8272">
        <v>-1.17</v>
      </c>
      <c r="G8272" t="s">
        <v>12</v>
      </c>
      <c r="I8272" t="s">
        <v>1050</v>
      </c>
    </row>
    <row r="8273" spans="1:9" hidden="1" x14ac:dyDescent="0.25">
      <c r="A8273" t="s">
        <v>6761</v>
      </c>
      <c r="B8273" t="s">
        <v>824</v>
      </c>
      <c r="C8273" s="2">
        <f>HYPERLINK("https://cao.dolgi.msk.ru/account/1080293396/", 1080293396)</f>
        <v>1080293396</v>
      </c>
      <c r="D8273" t="s">
        <v>6917</v>
      </c>
      <c r="E8273">
        <v>-6098.41</v>
      </c>
      <c r="F8273">
        <v>-0.98</v>
      </c>
      <c r="G8273" t="s">
        <v>12</v>
      </c>
      <c r="I8273" t="s">
        <v>1050</v>
      </c>
    </row>
    <row r="8274" spans="1:9" hidden="1" x14ac:dyDescent="0.25">
      <c r="A8274" t="s">
        <v>6761</v>
      </c>
      <c r="B8274" t="s">
        <v>826</v>
      </c>
      <c r="C8274" s="2">
        <f>HYPERLINK("https://cao.dolgi.msk.ru/account/1080293417/", 1080293417)</f>
        <v>1080293417</v>
      </c>
      <c r="D8274" t="s">
        <v>6918</v>
      </c>
      <c r="E8274">
        <v>-161.52000000000001</v>
      </c>
      <c r="F8274">
        <v>-0.03</v>
      </c>
      <c r="G8274" t="s">
        <v>12</v>
      </c>
      <c r="I8274" t="s">
        <v>1050</v>
      </c>
    </row>
    <row r="8275" spans="1:9" hidden="1" x14ac:dyDescent="0.25">
      <c r="A8275" t="s">
        <v>6761</v>
      </c>
      <c r="B8275" t="s">
        <v>828</v>
      </c>
      <c r="C8275" s="2">
        <f>HYPERLINK("https://cao.dolgi.msk.ru/account/1080293505/", 1080293505)</f>
        <v>1080293505</v>
      </c>
      <c r="D8275" t="s">
        <v>6919</v>
      </c>
      <c r="E8275">
        <v>16.420000000000002</v>
      </c>
      <c r="F8275">
        <v>0</v>
      </c>
      <c r="G8275" t="s">
        <v>12</v>
      </c>
      <c r="I8275" t="s">
        <v>1050</v>
      </c>
    </row>
    <row r="8276" spans="1:9" hidden="1" x14ac:dyDescent="0.25">
      <c r="A8276" t="s">
        <v>6761</v>
      </c>
      <c r="B8276" t="s">
        <v>830</v>
      </c>
      <c r="C8276" s="2">
        <f>HYPERLINK("https://cao.dolgi.msk.ru/account/1080293425/", 1080293425)</f>
        <v>1080293425</v>
      </c>
      <c r="D8276" t="s">
        <v>6920</v>
      </c>
      <c r="E8276">
        <v>-8068.44</v>
      </c>
      <c r="F8276">
        <v>-1.08</v>
      </c>
      <c r="G8276" t="s">
        <v>12</v>
      </c>
      <c r="I8276" t="s">
        <v>1050</v>
      </c>
    </row>
    <row r="8277" spans="1:9" hidden="1" x14ac:dyDescent="0.25">
      <c r="A8277" t="s">
        <v>6761</v>
      </c>
      <c r="B8277" t="s">
        <v>831</v>
      </c>
      <c r="C8277" s="2">
        <f>HYPERLINK("https://cao.dolgi.msk.ru/account/1080293433/", 1080293433)</f>
        <v>1080293433</v>
      </c>
      <c r="D8277" t="s">
        <v>6921</v>
      </c>
      <c r="E8277">
        <v>-14069.62</v>
      </c>
      <c r="F8277">
        <v>-3.91</v>
      </c>
      <c r="G8277" t="s">
        <v>12</v>
      </c>
      <c r="I8277" t="s">
        <v>1050</v>
      </c>
    </row>
    <row r="8278" spans="1:9" hidden="1" x14ac:dyDescent="0.25">
      <c r="A8278" t="s">
        <v>6761</v>
      </c>
      <c r="B8278" t="s">
        <v>833</v>
      </c>
      <c r="C8278" s="2">
        <f>HYPERLINK("https://cao.dolgi.msk.ru/account/1080293441/", 1080293441)</f>
        <v>1080293441</v>
      </c>
      <c r="D8278" t="s">
        <v>6922</v>
      </c>
      <c r="E8278">
        <v>-7299.82</v>
      </c>
      <c r="F8278">
        <v>-1.1599999999999999</v>
      </c>
      <c r="G8278" t="s">
        <v>12</v>
      </c>
      <c r="I8278" t="s">
        <v>1050</v>
      </c>
    </row>
    <row r="8279" spans="1:9" hidden="1" x14ac:dyDescent="0.25">
      <c r="A8279" t="s">
        <v>6761</v>
      </c>
      <c r="B8279" t="s">
        <v>833</v>
      </c>
      <c r="C8279" s="2">
        <f>HYPERLINK("https://cao.dolgi.msk.ru/account/1080293468/", 1080293468)</f>
        <v>1080293468</v>
      </c>
      <c r="D8279" t="s">
        <v>6922</v>
      </c>
      <c r="E8279">
        <v>0</v>
      </c>
      <c r="G8279" t="s">
        <v>14</v>
      </c>
      <c r="I8279" t="s">
        <v>1050</v>
      </c>
    </row>
    <row r="8280" spans="1:9" hidden="1" x14ac:dyDescent="0.25">
      <c r="A8280" t="s">
        <v>6761</v>
      </c>
      <c r="B8280" t="s">
        <v>835</v>
      </c>
      <c r="C8280" s="2">
        <f>HYPERLINK("https://cao.dolgi.msk.ru/account/1080293476/", 1080293476)</f>
        <v>1080293476</v>
      </c>
      <c r="D8280" t="s">
        <v>6923</v>
      </c>
      <c r="E8280">
        <v>-6365.37</v>
      </c>
      <c r="F8280">
        <v>-1.05</v>
      </c>
      <c r="G8280" t="s">
        <v>12</v>
      </c>
      <c r="I8280" t="s">
        <v>1050</v>
      </c>
    </row>
    <row r="8281" spans="1:9" hidden="1" x14ac:dyDescent="0.25">
      <c r="A8281" t="s">
        <v>6761</v>
      </c>
      <c r="B8281" t="s">
        <v>838</v>
      </c>
      <c r="C8281" s="2">
        <f>HYPERLINK("https://cao.dolgi.msk.ru/account/1080293484/", 1080293484)</f>
        <v>1080293484</v>
      </c>
      <c r="D8281" t="s">
        <v>6924</v>
      </c>
      <c r="E8281">
        <v>-291.23</v>
      </c>
      <c r="F8281">
        <v>-7.0000000000000007E-2</v>
      </c>
      <c r="G8281" t="s">
        <v>12</v>
      </c>
      <c r="I8281" t="s">
        <v>1050</v>
      </c>
    </row>
    <row r="8282" spans="1:9" hidden="1" x14ac:dyDescent="0.25">
      <c r="A8282" t="s">
        <v>6761</v>
      </c>
      <c r="B8282" t="s">
        <v>840</v>
      </c>
      <c r="C8282" s="2">
        <f>HYPERLINK("https://cao.dolgi.msk.ru/account/1080293492/", 1080293492)</f>
        <v>1080293492</v>
      </c>
      <c r="D8282" t="s">
        <v>6925</v>
      </c>
      <c r="E8282">
        <v>-4122.1499999999996</v>
      </c>
      <c r="F8282">
        <v>-1.23</v>
      </c>
      <c r="G8282" t="s">
        <v>12</v>
      </c>
      <c r="I8282" t="s">
        <v>1050</v>
      </c>
    </row>
    <row r="8283" spans="1:9" hidden="1" x14ac:dyDescent="0.25">
      <c r="A8283" t="s">
        <v>6761</v>
      </c>
      <c r="B8283" t="s">
        <v>842</v>
      </c>
      <c r="C8283" s="2">
        <f>HYPERLINK("https://cao.dolgi.msk.ru/account/1080293513/", 1080293513)</f>
        <v>1080293513</v>
      </c>
      <c r="D8283" t="s">
        <v>6926</v>
      </c>
      <c r="E8283">
        <v>-11637.43</v>
      </c>
      <c r="F8283">
        <v>-1.07</v>
      </c>
      <c r="G8283" t="s">
        <v>12</v>
      </c>
      <c r="I8283" t="s">
        <v>1050</v>
      </c>
    </row>
    <row r="8284" spans="1:9" hidden="1" x14ac:dyDescent="0.25">
      <c r="A8284" t="s">
        <v>6761</v>
      </c>
      <c r="B8284" t="s">
        <v>844</v>
      </c>
      <c r="C8284" s="2">
        <f>HYPERLINK("https://cao.dolgi.msk.ru/account/1080293521/", 1080293521)</f>
        <v>1080293521</v>
      </c>
      <c r="D8284" t="s">
        <v>6927</v>
      </c>
      <c r="E8284">
        <v>-3724.05</v>
      </c>
      <c r="F8284">
        <v>-1.18</v>
      </c>
      <c r="G8284" t="s">
        <v>12</v>
      </c>
      <c r="I8284" t="s">
        <v>1050</v>
      </c>
    </row>
    <row r="8285" spans="1:9" hidden="1" x14ac:dyDescent="0.25">
      <c r="A8285" t="s">
        <v>6761</v>
      </c>
      <c r="B8285" t="s">
        <v>844</v>
      </c>
      <c r="C8285" s="2">
        <f>HYPERLINK("https://cao.dolgi.msk.ru/account/1089124679/", 1089124679)</f>
        <v>1089124679</v>
      </c>
      <c r="D8285" t="s">
        <v>6927</v>
      </c>
      <c r="E8285">
        <v>-4369.7299999999996</v>
      </c>
      <c r="F8285">
        <v>-1.81</v>
      </c>
      <c r="G8285" t="s">
        <v>12</v>
      </c>
      <c r="I8285" t="s">
        <v>1050</v>
      </c>
    </row>
    <row r="8286" spans="1:9" hidden="1" x14ac:dyDescent="0.25">
      <c r="A8286" t="s">
        <v>6761</v>
      </c>
      <c r="B8286" t="s">
        <v>846</v>
      </c>
      <c r="C8286" s="2">
        <f>HYPERLINK("https://cao.dolgi.msk.ru/account/1080293548/", 1080293548)</f>
        <v>1080293548</v>
      </c>
      <c r="D8286" t="s">
        <v>6928</v>
      </c>
      <c r="E8286">
        <v>-4178.49</v>
      </c>
      <c r="F8286">
        <v>-1.1599999999999999</v>
      </c>
      <c r="G8286" t="s">
        <v>12</v>
      </c>
      <c r="I8286" t="s">
        <v>1050</v>
      </c>
    </row>
    <row r="8287" spans="1:9" hidden="1" x14ac:dyDescent="0.25">
      <c r="A8287" t="s">
        <v>6761</v>
      </c>
      <c r="B8287" t="s">
        <v>848</v>
      </c>
      <c r="C8287" s="2">
        <f>HYPERLINK("https://cao.dolgi.msk.ru/account/1080293556/", 1080293556)</f>
        <v>1080293556</v>
      </c>
      <c r="D8287" t="s">
        <v>6929</v>
      </c>
      <c r="E8287">
        <v>-10645.27</v>
      </c>
      <c r="F8287">
        <v>-1.08</v>
      </c>
      <c r="G8287" t="s">
        <v>12</v>
      </c>
      <c r="I8287" t="s">
        <v>1050</v>
      </c>
    </row>
    <row r="8288" spans="1:9" hidden="1" x14ac:dyDescent="0.25">
      <c r="A8288" t="s">
        <v>6761</v>
      </c>
      <c r="B8288" t="s">
        <v>850</v>
      </c>
      <c r="C8288" s="2">
        <f>HYPERLINK("https://cao.dolgi.msk.ru/account/1080293564/", 1080293564)</f>
        <v>1080293564</v>
      </c>
      <c r="D8288" t="s">
        <v>6930</v>
      </c>
      <c r="E8288">
        <v>-5960.53</v>
      </c>
      <c r="F8288">
        <v>-1.01</v>
      </c>
      <c r="G8288" t="s">
        <v>12</v>
      </c>
      <c r="I8288" t="s">
        <v>1050</v>
      </c>
    </row>
    <row r="8289" spans="1:9" hidden="1" x14ac:dyDescent="0.25">
      <c r="A8289" t="s">
        <v>6761</v>
      </c>
      <c r="B8289" t="s">
        <v>852</v>
      </c>
      <c r="C8289" s="2">
        <f>HYPERLINK("https://cao.dolgi.msk.ru/account/1080293572/", 1080293572)</f>
        <v>1080293572</v>
      </c>
      <c r="D8289" t="s">
        <v>6931</v>
      </c>
      <c r="E8289">
        <v>-3594.44</v>
      </c>
      <c r="F8289">
        <v>-1.07</v>
      </c>
      <c r="G8289" t="s">
        <v>12</v>
      </c>
      <c r="I8289" t="s">
        <v>1050</v>
      </c>
    </row>
    <row r="8290" spans="1:9" hidden="1" x14ac:dyDescent="0.25">
      <c r="A8290" t="s">
        <v>6761</v>
      </c>
      <c r="B8290" t="s">
        <v>854</v>
      </c>
      <c r="C8290" s="2">
        <f>HYPERLINK("https://cao.dolgi.msk.ru/account/1080293599/", 1080293599)</f>
        <v>1080293599</v>
      </c>
      <c r="D8290" t="s">
        <v>6932</v>
      </c>
      <c r="E8290">
        <v>0</v>
      </c>
      <c r="F8290">
        <v>0</v>
      </c>
      <c r="G8290" t="s">
        <v>12</v>
      </c>
      <c r="I8290" t="s">
        <v>1050</v>
      </c>
    </row>
    <row r="8291" spans="1:9" hidden="1" x14ac:dyDescent="0.25">
      <c r="A8291" t="s">
        <v>6761</v>
      </c>
      <c r="B8291" t="s">
        <v>856</v>
      </c>
      <c r="C8291" s="2">
        <f>HYPERLINK("https://cao.dolgi.msk.ru/account/1080293601/", 1080293601)</f>
        <v>1080293601</v>
      </c>
      <c r="D8291" t="s">
        <v>6933</v>
      </c>
      <c r="E8291">
        <v>-4745.51</v>
      </c>
      <c r="F8291">
        <v>-1.04</v>
      </c>
      <c r="G8291" t="s">
        <v>12</v>
      </c>
      <c r="I8291" t="s">
        <v>1050</v>
      </c>
    </row>
    <row r="8292" spans="1:9" hidden="1" x14ac:dyDescent="0.25">
      <c r="A8292" t="s">
        <v>6761</v>
      </c>
      <c r="B8292" t="s">
        <v>858</v>
      </c>
      <c r="C8292" s="2">
        <f>HYPERLINK("https://cao.dolgi.msk.ru/account/1080293628/", 1080293628)</f>
        <v>1080293628</v>
      </c>
      <c r="D8292" t="s">
        <v>6934</v>
      </c>
      <c r="E8292">
        <v>-4717.0600000000004</v>
      </c>
      <c r="F8292">
        <v>-1.0900000000000001</v>
      </c>
      <c r="G8292" t="s">
        <v>12</v>
      </c>
      <c r="I8292" t="s">
        <v>1050</v>
      </c>
    </row>
    <row r="8293" spans="1:9" hidden="1" x14ac:dyDescent="0.25">
      <c r="A8293" t="s">
        <v>6761</v>
      </c>
      <c r="B8293" t="s">
        <v>860</v>
      </c>
      <c r="C8293" s="2">
        <f>HYPERLINK("https://cao.dolgi.msk.ru/account/1080293636/", 1080293636)</f>
        <v>1080293636</v>
      </c>
      <c r="D8293" t="s">
        <v>6935</v>
      </c>
      <c r="E8293">
        <v>173.63</v>
      </c>
      <c r="F8293">
        <v>0.03</v>
      </c>
      <c r="G8293" t="s">
        <v>12</v>
      </c>
      <c r="I8293" t="s">
        <v>1050</v>
      </c>
    </row>
    <row r="8294" spans="1:9" hidden="1" x14ac:dyDescent="0.25">
      <c r="A8294" t="s">
        <v>6761</v>
      </c>
      <c r="B8294" t="s">
        <v>862</v>
      </c>
      <c r="C8294" s="2">
        <f>HYPERLINK("https://cao.dolgi.msk.ru/account/1080293644/", 1080293644)</f>
        <v>1080293644</v>
      </c>
      <c r="D8294" t="s">
        <v>6936</v>
      </c>
      <c r="E8294">
        <v>-9083.9599999999991</v>
      </c>
      <c r="F8294">
        <v>-1.27</v>
      </c>
      <c r="G8294" t="s">
        <v>12</v>
      </c>
      <c r="I8294" t="s">
        <v>1050</v>
      </c>
    </row>
    <row r="8295" spans="1:9" hidden="1" x14ac:dyDescent="0.25">
      <c r="A8295" t="s">
        <v>6761</v>
      </c>
      <c r="B8295" t="s">
        <v>864</v>
      </c>
      <c r="C8295" s="2">
        <f>HYPERLINK("https://cao.dolgi.msk.ru/account/1080293652/", 1080293652)</f>
        <v>1080293652</v>
      </c>
      <c r="D8295" t="s">
        <v>6937</v>
      </c>
      <c r="E8295">
        <v>-6300.48</v>
      </c>
      <c r="F8295">
        <v>-1.1200000000000001</v>
      </c>
      <c r="G8295" t="s">
        <v>12</v>
      </c>
      <c r="I8295" t="s">
        <v>1050</v>
      </c>
    </row>
    <row r="8296" spans="1:9" hidden="1" x14ac:dyDescent="0.25">
      <c r="A8296" t="s">
        <v>6761</v>
      </c>
      <c r="B8296" t="s">
        <v>866</v>
      </c>
      <c r="C8296" s="2">
        <f>HYPERLINK("https://cao.dolgi.msk.ru/account/1080293679/", 1080293679)</f>
        <v>1080293679</v>
      </c>
      <c r="D8296" t="s">
        <v>6938</v>
      </c>
      <c r="E8296">
        <v>-11251.34</v>
      </c>
      <c r="F8296">
        <v>-0.82</v>
      </c>
      <c r="G8296" t="s">
        <v>12</v>
      </c>
      <c r="I8296" t="s">
        <v>1050</v>
      </c>
    </row>
    <row r="8297" spans="1:9" hidden="1" x14ac:dyDescent="0.25">
      <c r="A8297" t="s">
        <v>6761</v>
      </c>
      <c r="B8297" t="s">
        <v>868</v>
      </c>
      <c r="C8297" s="2">
        <f>HYPERLINK("https://cao.dolgi.msk.ru/account/1080293687/", 1080293687)</f>
        <v>1080293687</v>
      </c>
      <c r="D8297" t="s">
        <v>6939</v>
      </c>
      <c r="E8297">
        <v>2100.5300000000002</v>
      </c>
      <c r="F8297">
        <v>0.64</v>
      </c>
      <c r="G8297" t="s">
        <v>12</v>
      </c>
      <c r="I8297" t="s">
        <v>1050</v>
      </c>
    </row>
    <row r="8298" spans="1:9" hidden="1" x14ac:dyDescent="0.25">
      <c r="A8298" t="s">
        <v>6761</v>
      </c>
      <c r="B8298" t="s">
        <v>868</v>
      </c>
      <c r="C8298" s="2">
        <f>HYPERLINK("https://cao.dolgi.msk.ru/account/1089115035/", 1089115035)</f>
        <v>1089115035</v>
      </c>
      <c r="D8298" t="s">
        <v>6940</v>
      </c>
      <c r="E8298">
        <v>-2805.97</v>
      </c>
      <c r="F8298">
        <v>-1.01</v>
      </c>
      <c r="G8298" t="s">
        <v>12</v>
      </c>
      <c r="I8298" t="s">
        <v>1050</v>
      </c>
    </row>
    <row r="8299" spans="1:9" hidden="1" x14ac:dyDescent="0.25">
      <c r="A8299" t="s">
        <v>6761</v>
      </c>
      <c r="B8299" t="s">
        <v>870</v>
      </c>
      <c r="C8299" s="2">
        <f>HYPERLINK("https://cao.dolgi.msk.ru/account/1080293695/", 1080293695)</f>
        <v>1080293695</v>
      </c>
      <c r="D8299" t="s">
        <v>6941</v>
      </c>
      <c r="E8299">
        <v>-5811.17</v>
      </c>
      <c r="F8299">
        <v>-1.0900000000000001</v>
      </c>
      <c r="G8299" t="s">
        <v>12</v>
      </c>
      <c r="I8299" t="s">
        <v>1050</v>
      </c>
    </row>
    <row r="8300" spans="1:9" hidden="1" x14ac:dyDescent="0.25">
      <c r="A8300" t="s">
        <v>6761</v>
      </c>
      <c r="B8300" t="s">
        <v>872</v>
      </c>
      <c r="C8300" s="2">
        <f>HYPERLINK("https://cao.dolgi.msk.ru/account/1080293708/", 1080293708)</f>
        <v>1080293708</v>
      </c>
      <c r="D8300" t="s">
        <v>6942</v>
      </c>
      <c r="E8300">
        <v>-19016.189999999999</v>
      </c>
      <c r="F8300">
        <v>-2.39</v>
      </c>
      <c r="G8300" t="s">
        <v>12</v>
      </c>
      <c r="I8300" t="s">
        <v>1050</v>
      </c>
    </row>
    <row r="8301" spans="1:9" hidden="1" x14ac:dyDescent="0.25">
      <c r="A8301" t="s">
        <v>6761</v>
      </c>
      <c r="B8301" t="s">
        <v>874</v>
      </c>
      <c r="C8301" s="2">
        <f>HYPERLINK("https://cao.dolgi.msk.ru/account/1080293716/", 1080293716)</f>
        <v>1080293716</v>
      </c>
      <c r="D8301" t="s">
        <v>6943</v>
      </c>
      <c r="E8301">
        <v>-6172.66</v>
      </c>
      <c r="F8301">
        <v>-1.1100000000000001</v>
      </c>
      <c r="G8301" t="s">
        <v>12</v>
      </c>
      <c r="I8301" t="s">
        <v>1050</v>
      </c>
    </row>
    <row r="8302" spans="1:9" hidden="1" x14ac:dyDescent="0.25">
      <c r="A8302" t="s">
        <v>6761</v>
      </c>
      <c r="B8302" t="s">
        <v>875</v>
      </c>
      <c r="C8302" s="2">
        <f>HYPERLINK("https://cao.dolgi.msk.ru/account/1080293724/", 1080293724)</f>
        <v>1080293724</v>
      </c>
      <c r="D8302" t="s">
        <v>6944</v>
      </c>
      <c r="E8302">
        <v>-5516.73</v>
      </c>
      <c r="F8302">
        <v>-1.0900000000000001</v>
      </c>
      <c r="G8302" t="s">
        <v>12</v>
      </c>
      <c r="I8302" t="s">
        <v>1050</v>
      </c>
    </row>
    <row r="8303" spans="1:9" hidden="1" x14ac:dyDescent="0.25">
      <c r="A8303" t="s">
        <v>6761</v>
      </c>
      <c r="B8303" t="s">
        <v>877</v>
      </c>
      <c r="C8303" s="2">
        <f>HYPERLINK("https://cao.dolgi.msk.ru/account/1080293732/", 1080293732)</f>
        <v>1080293732</v>
      </c>
      <c r="D8303" t="s">
        <v>6945</v>
      </c>
      <c r="E8303">
        <v>-10526.83</v>
      </c>
      <c r="F8303">
        <v>-1.64</v>
      </c>
      <c r="G8303" t="s">
        <v>12</v>
      </c>
      <c r="I8303" t="s">
        <v>1050</v>
      </c>
    </row>
    <row r="8304" spans="1:9" hidden="1" x14ac:dyDescent="0.25">
      <c r="A8304" t="s">
        <v>6946</v>
      </c>
      <c r="B8304" t="s">
        <v>16</v>
      </c>
      <c r="C8304" s="2">
        <f>HYPERLINK("https://cao.dolgi.msk.ru/account/1080313422/", 1080313422)</f>
        <v>1080313422</v>
      </c>
      <c r="D8304" t="s">
        <v>6947</v>
      </c>
      <c r="E8304">
        <v>-2473.08</v>
      </c>
      <c r="F8304">
        <v>-0.66</v>
      </c>
      <c r="G8304" t="s">
        <v>12</v>
      </c>
      <c r="I8304" t="s">
        <v>1050</v>
      </c>
    </row>
    <row r="8305" spans="1:9" hidden="1" x14ac:dyDescent="0.25">
      <c r="A8305" t="s">
        <v>6946</v>
      </c>
      <c r="B8305" t="s">
        <v>18</v>
      </c>
      <c r="C8305" s="2">
        <f>HYPERLINK("https://cao.dolgi.msk.ru/account/1080313449/", 1080313449)</f>
        <v>1080313449</v>
      </c>
      <c r="D8305" t="s">
        <v>6948</v>
      </c>
      <c r="E8305">
        <v>-10633.87</v>
      </c>
      <c r="F8305">
        <v>-1.66</v>
      </c>
      <c r="G8305" t="s">
        <v>12</v>
      </c>
      <c r="I8305" t="s">
        <v>1050</v>
      </c>
    </row>
    <row r="8306" spans="1:9" hidden="1" x14ac:dyDescent="0.25">
      <c r="A8306" t="s">
        <v>6946</v>
      </c>
      <c r="B8306" t="s">
        <v>20</v>
      </c>
      <c r="C8306" s="2">
        <f>HYPERLINK("https://cao.dolgi.msk.ru/account/1080313457/", 1080313457)</f>
        <v>1080313457</v>
      </c>
      <c r="D8306" t="s">
        <v>6949</v>
      </c>
      <c r="E8306">
        <v>-1200.33</v>
      </c>
      <c r="F8306">
        <v>-0.42</v>
      </c>
      <c r="G8306" t="s">
        <v>12</v>
      </c>
      <c r="I8306" t="s">
        <v>1050</v>
      </c>
    </row>
    <row r="8307" spans="1:9" hidden="1" x14ac:dyDescent="0.25">
      <c r="A8307" t="s">
        <v>6946</v>
      </c>
      <c r="B8307" t="s">
        <v>21</v>
      </c>
      <c r="C8307" s="2">
        <f>HYPERLINK("https://cao.dolgi.msk.ru/account/1080313465/", 1080313465)</f>
        <v>1080313465</v>
      </c>
      <c r="D8307" t="s">
        <v>6950</v>
      </c>
      <c r="E8307">
        <v>7031.35</v>
      </c>
      <c r="F8307">
        <v>1</v>
      </c>
      <c r="G8307" t="s">
        <v>12</v>
      </c>
      <c r="I8307" t="s">
        <v>1050</v>
      </c>
    </row>
    <row r="8308" spans="1:9" hidden="1" x14ac:dyDescent="0.25">
      <c r="A8308" t="s">
        <v>6946</v>
      </c>
      <c r="B8308" t="s">
        <v>22</v>
      </c>
      <c r="C8308" s="2">
        <f>HYPERLINK("https://cao.dolgi.msk.ru/account/1080313473/", 1080313473)</f>
        <v>1080313473</v>
      </c>
      <c r="D8308" t="s">
        <v>6951</v>
      </c>
      <c r="E8308">
        <v>0</v>
      </c>
      <c r="F8308">
        <v>0</v>
      </c>
      <c r="G8308" t="s">
        <v>12</v>
      </c>
      <c r="I8308" t="s">
        <v>1050</v>
      </c>
    </row>
    <row r="8309" spans="1:9" hidden="1" x14ac:dyDescent="0.25">
      <c r="A8309" t="s">
        <v>6946</v>
      </c>
      <c r="B8309" t="s">
        <v>23</v>
      </c>
      <c r="C8309" s="2">
        <f>HYPERLINK("https://cao.dolgi.msk.ru/account/1080313481/", 1080313481)</f>
        <v>1080313481</v>
      </c>
      <c r="D8309" t="s">
        <v>6952</v>
      </c>
      <c r="E8309">
        <v>-5809.2</v>
      </c>
      <c r="F8309">
        <v>-1.04</v>
      </c>
      <c r="G8309" t="s">
        <v>12</v>
      </c>
      <c r="I8309" t="s">
        <v>1050</v>
      </c>
    </row>
    <row r="8310" spans="1:9" hidden="1" x14ac:dyDescent="0.25">
      <c r="A8310" t="s">
        <v>6946</v>
      </c>
      <c r="B8310" t="s">
        <v>24</v>
      </c>
      <c r="C8310" s="2">
        <f>HYPERLINK("https://cao.dolgi.msk.ru/account/1080313502/", 1080313502)</f>
        <v>1080313502</v>
      </c>
      <c r="D8310" t="s">
        <v>6953</v>
      </c>
      <c r="E8310">
        <v>-72.760000000000005</v>
      </c>
      <c r="F8310">
        <v>-0.02</v>
      </c>
      <c r="G8310" t="s">
        <v>12</v>
      </c>
      <c r="I8310" t="s">
        <v>1050</v>
      </c>
    </row>
    <row r="8311" spans="1:9" hidden="1" x14ac:dyDescent="0.25">
      <c r="A8311" t="s">
        <v>6946</v>
      </c>
      <c r="B8311" t="s">
        <v>27</v>
      </c>
      <c r="C8311" s="2">
        <f>HYPERLINK("https://cao.dolgi.msk.ru/account/1080313529/", 1080313529)</f>
        <v>1080313529</v>
      </c>
      <c r="D8311" t="s">
        <v>6954</v>
      </c>
      <c r="E8311">
        <v>-4157.26</v>
      </c>
      <c r="F8311">
        <v>-4.03</v>
      </c>
      <c r="G8311" t="s">
        <v>12</v>
      </c>
      <c r="I8311" t="s">
        <v>1050</v>
      </c>
    </row>
    <row r="8312" spans="1:9" x14ac:dyDescent="0.25">
      <c r="A8312" t="s">
        <v>6946</v>
      </c>
      <c r="B8312" t="s">
        <v>29</v>
      </c>
      <c r="C8312" s="2">
        <f>HYPERLINK("https://cao.dolgi.msk.ru/account/1080313537/", 1080313537)</f>
        <v>1080313537</v>
      </c>
      <c r="D8312" t="s">
        <v>6955</v>
      </c>
      <c r="E8312">
        <v>7052.31</v>
      </c>
      <c r="F8312">
        <v>1.8</v>
      </c>
      <c r="G8312" t="s">
        <v>12</v>
      </c>
      <c r="I8312" t="s">
        <v>1050</v>
      </c>
    </row>
    <row r="8313" spans="1:9" x14ac:dyDescent="0.25">
      <c r="A8313" t="s">
        <v>6946</v>
      </c>
      <c r="B8313" t="s">
        <v>31</v>
      </c>
      <c r="C8313" s="2">
        <f>HYPERLINK("https://cao.dolgi.msk.ru/account/1080313545/", 1080313545)</f>
        <v>1080313545</v>
      </c>
      <c r="D8313" t="s">
        <v>6956</v>
      </c>
      <c r="E8313">
        <v>524684.11</v>
      </c>
      <c r="F8313">
        <v>140.61000000000001</v>
      </c>
      <c r="G8313" t="s">
        <v>12</v>
      </c>
      <c r="I8313" t="s">
        <v>1050</v>
      </c>
    </row>
    <row r="8314" spans="1:9" hidden="1" x14ac:dyDescent="0.25">
      <c r="A8314" t="s">
        <v>6946</v>
      </c>
      <c r="B8314" t="s">
        <v>33</v>
      </c>
      <c r="C8314" s="2">
        <f>HYPERLINK("https://cao.dolgi.msk.ru/account/1080313553/", 1080313553)</f>
        <v>1080313553</v>
      </c>
      <c r="D8314" t="s">
        <v>6957</v>
      </c>
      <c r="E8314">
        <v>2.34</v>
      </c>
      <c r="F8314">
        <v>0</v>
      </c>
      <c r="G8314" t="s">
        <v>12</v>
      </c>
      <c r="I8314" t="s">
        <v>1050</v>
      </c>
    </row>
    <row r="8315" spans="1:9" hidden="1" x14ac:dyDescent="0.25">
      <c r="A8315" t="s">
        <v>6946</v>
      </c>
      <c r="B8315" t="s">
        <v>34</v>
      </c>
      <c r="C8315" s="2">
        <f>HYPERLINK("https://cao.dolgi.msk.ru/account/1080313561/", 1080313561)</f>
        <v>1080313561</v>
      </c>
      <c r="D8315" t="s">
        <v>6958</v>
      </c>
      <c r="E8315">
        <v>-23.12</v>
      </c>
      <c r="F8315">
        <v>-0.01</v>
      </c>
      <c r="G8315" t="s">
        <v>12</v>
      </c>
      <c r="I8315" t="s">
        <v>1050</v>
      </c>
    </row>
    <row r="8316" spans="1:9" hidden="1" x14ac:dyDescent="0.25">
      <c r="A8316" t="s">
        <v>6946</v>
      </c>
      <c r="B8316" t="s">
        <v>36</v>
      </c>
      <c r="C8316" s="2">
        <f>HYPERLINK("https://cao.dolgi.msk.ru/account/1080313588/", 1080313588)</f>
        <v>1080313588</v>
      </c>
      <c r="D8316" t="s">
        <v>6959</v>
      </c>
      <c r="E8316">
        <v>-3353.05</v>
      </c>
      <c r="F8316">
        <v>-1.42</v>
      </c>
      <c r="G8316" t="s">
        <v>12</v>
      </c>
      <c r="I8316" t="s">
        <v>1050</v>
      </c>
    </row>
    <row r="8317" spans="1:9" hidden="1" x14ac:dyDescent="0.25">
      <c r="A8317" t="s">
        <v>6946</v>
      </c>
      <c r="B8317" t="s">
        <v>38</v>
      </c>
      <c r="C8317" s="2">
        <f>HYPERLINK("https://cao.dolgi.msk.ru/account/1080313596/", 1080313596)</f>
        <v>1080313596</v>
      </c>
      <c r="D8317" t="s">
        <v>6960</v>
      </c>
      <c r="E8317">
        <v>-63.49</v>
      </c>
      <c r="F8317">
        <v>-0.02</v>
      </c>
      <c r="G8317" t="s">
        <v>12</v>
      </c>
      <c r="I8317" t="s">
        <v>1050</v>
      </c>
    </row>
    <row r="8318" spans="1:9" hidden="1" x14ac:dyDescent="0.25">
      <c r="A8318" t="s">
        <v>6946</v>
      </c>
      <c r="B8318" t="s">
        <v>39</v>
      </c>
      <c r="C8318" s="2">
        <f>HYPERLINK("https://cao.dolgi.msk.ru/account/1080313609/", 1080313609)</f>
        <v>1080313609</v>
      </c>
      <c r="D8318" t="s">
        <v>6961</v>
      </c>
      <c r="E8318">
        <v>-3698.36</v>
      </c>
      <c r="F8318">
        <v>-1.2</v>
      </c>
      <c r="G8318" t="s">
        <v>12</v>
      </c>
      <c r="I8318" t="s">
        <v>1050</v>
      </c>
    </row>
    <row r="8319" spans="1:9" hidden="1" x14ac:dyDescent="0.25">
      <c r="A8319" t="s">
        <v>6946</v>
      </c>
      <c r="B8319" t="s">
        <v>40</v>
      </c>
      <c r="C8319" s="2">
        <f>HYPERLINK("https://cao.dolgi.msk.ru/account/1080313617/", 1080313617)</f>
        <v>1080313617</v>
      </c>
      <c r="D8319" t="s">
        <v>6962</v>
      </c>
      <c r="E8319">
        <v>-1965.9</v>
      </c>
      <c r="F8319">
        <v>-0.97</v>
      </c>
      <c r="G8319" t="s">
        <v>12</v>
      </c>
      <c r="I8319" t="s">
        <v>1050</v>
      </c>
    </row>
    <row r="8320" spans="1:9" hidden="1" x14ac:dyDescent="0.25">
      <c r="A8320" t="s">
        <v>6946</v>
      </c>
      <c r="B8320" t="s">
        <v>41</v>
      </c>
      <c r="C8320" s="2">
        <f>HYPERLINK("https://cao.dolgi.msk.ru/account/1080313625/", 1080313625)</f>
        <v>1080313625</v>
      </c>
      <c r="D8320" t="s">
        <v>6963</v>
      </c>
      <c r="E8320">
        <v>-4508.45</v>
      </c>
      <c r="F8320">
        <v>-1.66</v>
      </c>
      <c r="G8320" t="s">
        <v>12</v>
      </c>
      <c r="I8320" t="s">
        <v>1050</v>
      </c>
    </row>
    <row r="8321" spans="1:9" hidden="1" x14ac:dyDescent="0.25">
      <c r="A8321" t="s">
        <v>6946</v>
      </c>
      <c r="B8321" t="s">
        <v>42</v>
      </c>
      <c r="C8321" s="2">
        <f>HYPERLINK("https://cao.dolgi.msk.ru/account/1080313633/", 1080313633)</f>
        <v>1080313633</v>
      </c>
      <c r="D8321" t="s">
        <v>6964</v>
      </c>
      <c r="E8321">
        <v>-3502.74</v>
      </c>
      <c r="F8321">
        <v>-1.6</v>
      </c>
      <c r="G8321" t="s">
        <v>12</v>
      </c>
      <c r="I8321" t="s">
        <v>1050</v>
      </c>
    </row>
    <row r="8322" spans="1:9" hidden="1" x14ac:dyDescent="0.25">
      <c r="A8322" t="s">
        <v>6946</v>
      </c>
      <c r="B8322" t="s">
        <v>44</v>
      </c>
      <c r="C8322" s="2">
        <f>HYPERLINK("https://cao.dolgi.msk.ru/account/1080313641/", 1080313641)</f>
        <v>1080313641</v>
      </c>
      <c r="D8322" t="s">
        <v>6965</v>
      </c>
      <c r="E8322">
        <v>-5102.84</v>
      </c>
      <c r="F8322">
        <v>-1.37</v>
      </c>
      <c r="G8322" t="s">
        <v>12</v>
      </c>
      <c r="I8322" t="s">
        <v>1050</v>
      </c>
    </row>
    <row r="8323" spans="1:9" hidden="1" x14ac:dyDescent="0.25">
      <c r="A8323" t="s">
        <v>6946</v>
      </c>
      <c r="B8323" t="s">
        <v>66</v>
      </c>
      <c r="C8323" s="2">
        <f>HYPERLINK("https://cao.dolgi.msk.ru/account/1080313668/", 1080313668)</f>
        <v>1080313668</v>
      </c>
      <c r="D8323" t="s">
        <v>6966</v>
      </c>
      <c r="E8323">
        <v>-2363.66</v>
      </c>
      <c r="F8323">
        <v>-1.46</v>
      </c>
      <c r="G8323" t="s">
        <v>12</v>
      </c>
      <c r="I8323" t="s">
        <v>1050</v>
      </c>
    </row>
    <row r="8324" spans="1:9" hidden="1" x14ac:dyDescent="0.25">
      <c r="A8324" t="s">
        <v>6946</v>
      </c>
      <c r="B8324" t="s">
        <v>68</v>
      </c>
      <c r="C8324" s="2">
        <f>HYPERLINK("https://cao.dolgi.msk.ru/account/1080313676/", 1080313676)</f>
        <v>1080313676</v>
      </c>
      <c r="D8324" t="s">
        <v>6967</v>
      </c>
      <c r="E8324">
        <v>-4654.82</v>
      </c>
      <c r="F8324">
        <v>-1.34</v>
      </c>
      <c r="G8324" t="s">
        <v>12</v>
      </c>
      <c r="I8324" t="s">
        <v>1050</v>
      </c>
    </row>
    <row r="8325" spans="1:9" hidden="1" x14ac:dyDescent="0.25">
      <c r="A8325" t="s">
        <v>6946</v>
      </c>
      <c r="B8325" t="s">
        <v>70</v>
      </c>
      <c r="C8325" s="2">
        <f>HYPERLINK("https://cao.dolgi.msk.ru/account/1080313684/", 1080313684)</f>
        <v>1080313684</v>
      </c>
      <c r="D8325" t="s">
        <v>6968</v>
      </c>
      <c r="E8325">
        <v>-8394.68</v>
      </c>
      <c r="F8325">
        <v>-1.21</v>
      </c>
      <c r="G8325" t="s">
        <v>12</v>
      </c>
      <c r="I8325" t="s">
        <v>1050</v>
      </c>
    </row>
    <row r="8326" spans="1:9" hidden="1" x14ac:dyDescent="0.25">
      <c r="A8326" t="s">
        <v>6946</v>
      </c>
      <c r="B8326" t="s">
        <v>72</v>
      </c>
      <c r="C8326" s="2">
        <f>HYPERLINK("https://cao.dolgi.msk.ru/account/1080313692/", 1080313692)</f>
        <v>1080313692</v>
      </c>
      <c r="D8326" t="s">
        <v>6969</v>
      </c>
      <c r="E8326">
        <v>-301.83999999999997</v>
      </c>
      <c r="F8326">
        <v>-0.08</v>
      </c>
      <c r="G8326" t="s">
        <v>12</v>
      </c>
      <c r="I8326" t="s">
        <v>1050</v>
      </c>
    </row>
    <row r="8327" spans="1:9" hidden="1" x14ac:dyDescent="0.25">
      <c r="A8327" t="s">
        <v>6946</v>
      </c>
      <c r="B8327" t="s">
        <v>74</v>
      </c>
      <c r="C8327" s="2">
        <f>HYPERLINK("https://cao.dolgi.msk.ru/account/1080313705/", 1080313705)</f>
        <v>1080313705</v>
      </c>
      <c r="D8327" t="s">
        <v>6970</v>
      </c>
      <c r="E8327">
        <v>-5586.79</v>
      </c>
      <c r="F8327">
        <v>-1.1599999999999999</v>
      </c>
      <c r="G8327" t="s">
        <v>12</v>
      </c>
      <c r="I8327" t="s">
        <v>1050</v>
      </c>
    </row>
    <row r="8328" spans="1:9" hidden="1" x14ac:dyDescent="0.25">
      <c r="A8328" t="s">
        <v>6946</v>
      </c>
      <c r="B8328" t="s">
        <v>76</v>
      </c>
      <c r="C8328" s="2">
        <f>HYPERLINK("https://cao.dolgi.msk.ru/account/1080313713/", 1080313713)</f>
        <v>1080313713</v>
      </c>
      <c r="D8328" t="s">
        <v>6971</v>
      </c>
      <c r="E8328">
        <v>-4810.66</v>
      </c>
      <c r="F8328">
        <v>-1.03</v>
      </c>
      <c r="G8328" t="s">
        <v>12</v>
      </c>
      <c r="I8328" t="s">
        <v>1050</v>
      </c>
    </row>
    <row r="8329" spans="1:9" x14ac:dyDescent="0.25">
      <c r="A8329" t="s">
        <v>6946</v>
      </c>
      <c r="B8329" t="s">
        <v>78</v>
      </c>
      <c r="C8329" s="2">
        <f>HYPERLINK("https://cao.dolgi.msk.ru/account/1080313721/", 1080313721)</f>
        <v>1080313721</v>
      </c>
      <c r="D8329" t="s">
        <v>6972</v>
      </c>
      <c r="E8329">
        <v>73500.509999999995</v>
      </c>
      <c r="F8329">
        <v>29.08</v>
      </c>
      <c r="G8329" t="s">
        <v>12</v>
      </c>
      <c r="I8329" t="s">
        <v>1050</v>
      </c>
    </row>
    <row r="8330" spans="1:9" hidden="1" x14ac:dyDescent="0.25">
      <c r="A8330" t="s">
        <v>6946</v>
      </c>
      <c r="B8330" t="s">
        <v>80</v>
      </c>
      <c r="C8330" s="2">
        <f>HYPERLINK("https://cao.dolgi.msk.ru/account/1080313748/", 1080313748)</f>
        <v>1080313748</v>
      </c>
      <c r="D8330" t="s">
        <v>6973</v>
      </c>
      <c r="E8330">
        <v>-3461.24</v>
      </c>
      <c r="F8330">
        <v>-1.57</v>
      </c>
      <c r="G8330" t="s">
        <v>12</v>
      </c>
      <c r="I8330" t="s">
        <v>1050</v>
      </c>
    </row>
    <row r="8331" spans="1:9" hidden="1" x14ac:dyDescent="0.25">
      <c r="A8331" t="s">
        <v>6946</v>
      </c>
      <c r="B8331" t="s">
        <v>84</v>
      </c>
      <c r="C8331" s="2">
        <f>HYPERLINK("https://cao.dolgi.msk.ru/account/1080326792/", 1080326792)</f>
        <v>1080326792</v>
      </c>
      <c r="D8331" t="s">
        <v>6974</v>
      </c>
      <c r="E8331">
        <v>-4120.67</v>
      </c>
      <c r="F8331">
        <v>-1.37</v>
      </c>
      <c r="G8331" t="s">
        <v>12</v>
      </c>
      <c r="I8331" t="s">
        <v>1050</v>
      </c>
    </row>
    <row r="8332" spans="1:9" hidden="1" x14ac:dyDescent="0.25">
      <c r="A8332" t="s">
        <v>6946</v>
      </c>
      <c r="B8332" t="s">
        <v>86</v>
      </c>
      <c r="C8332" s="2">
        <f>HYPERLINK("https://cao.dolgi.msk.ru/account/1080313836/", 1080313836)</f>
        <v>1080313836</v>
      </c>
      <c r="D8332" t="s">
        <v>6975</v>
      </c>
      <c r="E8332">
        <v>-7486.87</v>
      </c>
      <c r="F8332">
        <v>-1.21</v>
      </c>
      <c r="G8332" t="s">
        <v>12</v>
      </c>
      <c r="I8332" t="s">
        <v>1050</v>
      </c>
    </row>
    <row r="8333" spans="1:9" hidden="1" x14ac:dyDescent="0.25">
      <c r="A8333" t="s">
        <v>6946</v>
      </c>
      <c r="B8333" t="s">
        <v>88</v>
      </c>
      <c r="C8333" s="2">
        <f>HYPERLINK("https://cao.dolgi.msk.ru/account/1080313756/", 1080313756)</f>
        <v>1080313756</v>
      </c>
      <c r="D8333" t="s">
        <v>6976</v>
      </c>
      <c r="E8333">
        <v>-4639.67</v>
      </c>
      <c r="F8333">
        <v>-1.3</v>
      </c>
      <c r="G8333" t="s">
        <v>12</v>
      </c>
      <c r="I8333" t="s">
        <v>1050</v>
      </c>
    </row>
    <row r="8334" spans="1:9" hidden="1" x14ac:dyDescent="0.25">
      <c r="A8334" t="s">
        <v>6946</v>
      </c>
      <c r="B8334" t="s">
        <v>90</v>
      </c>
      <c r="C8334" s="2">
        <f>HYPERLINK("https://cao.dolgi.msk.ru/account/1080313764/", 1080313764)</f>
        <v>1080313764</v>
      </c>
      <c r="D8334" t="s">
        <v>6977</v>
      </c>
      <c r="E8334">
        <v>-4221.32</v>
      </c>
      <c r="F8334">
        <v>-2.5099999999999998</v>
      </c>
      <c r="G8334" t="s">
        <v>12</v>
      </c>
      <c r="I8334" t="s">
        <v>1050</v>
      </c>
    </row>
    <row r="8335" spans="1:9" hidden="1" x14ac:dyDescent="0.25">
      <c r="A8335" t="s">
        <v>6946</v>
      </c>
      <c r="B8335" t="s">
        <v>92</v>
      </c>
      <c r="C8335" s="2">
        <f>HYPERLINK("https://cao.dolgi.msk.ru/account/1080313772/", 1080313772)</f>
        <v>1080313772</v>
      </c>
      <c r="D8335" t="s">
        <v>6978</v>
      </c>
      <c r="E8335">
        <v>-6239.44</v>
      </c>
      <c r="F8335">
        <v>-1.89</v>
      </c>
      <c r="G8335" t="s">
        <v>12</v>
      </c>
      <c r="I8335" t="s">
        <v>1050</v>
      </c>
    </row>
    <row r="8336" spans="1:9" hidden="1" x14ac:dyDescent="0.25">
      <c r="A8336" t="s">
        <v>6946</v>
      </c>
      <c r="B8336" t="s">
        <v>94</v>
      </c>
      <c r="C8336" s="2">
        <f>HYPERLINK("https://cao.dolgi.msk.ru/account/1080313799/", 1080313799)</f>
        <v>1080313799</v>
      </c>
      <c r="D8336" t="s">
        <v>6979</v>
      </c>
      <c r="E8336">
        <v>-5075.93</v>
      </c>
      <c r="F8336">
        <v>-1.08</v>
      </c>
      <c r="G8336" t="s">
        <v>12</v>
      </c>
      <c r="I8336" t="s">
        <v>1050</v>
      </c>
    </row>
    <row r="8337" spans="1:9" hidden="1" x14ac:dyDescent="0.25">
      <c r="A8337" t="s">
        <v>6946</v>
      </c>
      <c r="B8337" t="s">
        <v>96</v>
      </c>
      <c r="C8337" s="2">
        <f>HYPERLINK("https://cao.dolgi.msk.ru/account/1080313801/", 1080313801)</f>
        <v>1080313801</v>
      </c>
      <c r="D8337" t="s">
        <v>6980</v>
      </c>
      <c r="E8337">
        <v>-2911.91</v>
      </c>
      <c r="F8337">
        <v>-1.1499999999999999</v>
      </c>
      <c r="G8337" t="s">
        <v>12</v>
      </c>
      <c r="I8337" t="s">
        <v>1050</v>
      </c>
    </row>
    <row r="8338" spans="1:9" hidden="1" x14ac:dyDescent="0.25">
      <c r="A8338" t="s">
        <v>6946</v>
      </c>
      <c r="B8338" t="s">
        <v>98</v>
      </c>
      <c r="C8338" s="2">
        <f>HYPERLINK("https://cao.dolgi.msk.ru/account/1080313828/", 1080313828)</f>
        <v>1080313828</v>
      </c>
      <c r="D8338" t="s">
        <v>6981</v>
      </c>
      <c r="E8338">
        <v>-5100.3100000000004</v>
      </c>
      <c r="F8338">
        <v>-1.21</v>
      </c>
      <c r="G8338" t="s">
        <v>12</v>
      </c>
      <c r="I8338" t="s">
        <v>1050</v>
      </c>
    </row>
    <row r="8339" spans="1:9" hidden="1" x14ac:dyDescent="0.25">
      <c r="A8339" t="s">
        <v>6946</v>
      </c>
      <c r="B8339" t="s">
        <v>100</v>
      </c>
      <c r="C8339" s="2">
        <f>HYPERLINK("https://cao.dolgi.msk.ru/account/1080313844/", 1080313844)</f>
        <v>1080313844</v>
      </c>
      <c r="D8339" t="s">
        <v>6982</v>
      </c>
      <c r="E8339">
        <v>-5469.72</v>
      </c>
      <c r="F8339">
        <v>-1.1100000000000001</v>
      </c>
      <c r="G8339" t="s">
        <v>12</v>
      </c>
      <c r="I8339" t="s">
        <v>1050</v>
      </c>
    </row>
    <row r="8340" spans="1:9" hidden="1" x14ac:dyDescent="0.25">
      <c r="A8340" t="s">
        <v>6946</v>
      </c>
      <c r="B8340" t="s">
        <v>102</v>
      </c>
      <c r="C8340" s="2">
        <f>HYPERLINK("https://cao.dolgi.msk.ru/account/1080313852/", 1080313852)</f>
        <v>1080313852</v>
      </c>
      <c r="D8340" t="s">
        <v>6983</v>
      </c>
      <c r="E8340">
        <v>-3793.19</v>
      </c>
      <c r="F8340">
        <v>-1.22</v>
      </c>
      <c r="G8340" t="s">
        <v>12</v>
      </c>
      <c r="I8340" t="s">
        <v>1050</v>
      </c>
    </row>
    <row r="8341" spans="1:9" hidden="1" x14ac:dyDescent="0.25">
      <c r="A8341" t="s">
        <v>6946</v>
      </c>
      <c r="B8341" t="s">
        <v>104</v>
      </c>
      <c r="C8341" s="2">
        <f>HYPERLINK("https://cao.dolgi.msk.ru/account/1080321043/", 1080321043)</f>
        <v>1080321043</v>
      </c>
      <c r="D8341" t="s">
        <v>6984</v>
      </c>
      <c r="E8341">
        <v>-157.57</v>
      </c>
      <c r="F8341">
        <v>-0.04</v>
      </c>
      <c r="G8341" t="s">
        <v>12</v>
      </c>
      <c r="I8341" t="s">
        <v>1050</v>
      </c>
    </row>
    <row r="8342" spans="1:9" hidden="1" x14ac:dyDescent="0.25">
      <c r="A8342" t="s">
        <v>6946</v>
      </c>
      <c r="B8342" t="s">
        <v>106</v>
      </c>
      <c r="C8342" s="2">
        <f>HYPERLINK("https://cao.dolgi.msk.ru/account/1080313887/", 1080313887)</f>
        <v>1080313887</v>
      </c>
      <c r="D8342" t="s">
        <v>6985</v>
      </c>
      <c r="E8342">
        <v>-5587.5</v>
      </c>
      <c r="F8342">
        <v>-1.58</v>
      </c>
      <c r="G8342" t="s">
        <v>12</v>
      </c>
      <c r="I8342" t="s">
        <v>1050</v>
      </c>
    </row>
    <row r="8343" spans="1:9" hidden="1" x14ac:dyDescent="0.25">
      <c r="A8343" t="s">
        <v>6946</v>
      </c>
      <c r="B8343" t="s">
        <v>108</v>
      </c>
      <c r="C8343" s="2">
        <f>HYPERLINK("https://cao.dolgi.msk.ru/account/1080313895/", 1080313895)</f>
        <v>1080313895</v>
      </c>
      <c r="D8343" t="s">
        <v>6986</v>
      </c>
      <c r="E8343">
        <v>-28.79</v>
      </c>
      <c r="F8343">
        <v>-0.01</v>
      </c>
      <c r="G8343" t="s">
        <v>12</v>
      </c>
      <c r="I8343" t="s">
        <v>1050</v>
      </c>
    </row>
    <row r="8344" spans="1:9" hidden="1" x14ac:dyDescent="0.25">
      <c r="A8344" t="s">
        <v>6946</v>
      </c>
      <c r="B8344" t="s">
        <v>110</v>
      </c>
      <c r="C8344" s="2">
        <f>HYPERLINK("https://cao.dolgi.msk.ru/account/1080313908/", 1080313908)</f>
        <v>1080313908</v>
      </c>
      <c r="D8344" t="s">
        <v>6987</v>
      </c>
      <c r="E8344">
        <v>-6423.26</v>
      </c>
      <c r="F8344">
        <v>-1.05</v>
      </c>
      <c r="G8344" t="s">
        <v>12</v>
      </c>
      <c r="I8344" t="s">
        <v>1050</v>
      </c>
    </row>
    <row r="8345" spans="1:9" hidden="1" x14ac:dyDescent="0.25">
      <c r="A8345" t="s">
        <v>6946</v>
      </c>
      <c r="B8345" t="s">
        <v>112</v>
      </c>
      <c r="C8345" s="2">
        <f>HYPERLINK("https://cao.dolgi.msk.ru/account/1080313916/", 1080313916)</f>
        <v>1080313916</v>
      </c>
      <c r="D8345" t="s">
        <v>6988</v>
      </c>
      <c r="E8345">
        <v>0</v>
      </c>
      <c r="F8345">
        <v>0</v>
      </c>
      <c r="G8345" t="s">
        <v>12</v>
      </c>
      <c r="I8345" t="s">
        <v>1050</v>
      </c>
    </row>
    <row r="8346" spans="1:9" hidden="1" x14ac:dyDescent="0.25">
      <c r="A8346" t="s">
        <v>6946</v>
      </c>
      <c r="B8346" t="s">
        <v>114</v>
      </c>
      <c r="C8346" s="2">
        <f>HYPERLINK("https://cao.dolgi.msk.ru/account/1080313924/", 1080313924)</f>
        <v>1080313924</v>
      </c>
      <c r="D8346" t="s">
        <v>6989</v>
      </c>
      <c r="E8346">
        <v>-5285.35</v>
      </c>
      <c r="F8346">
        <v>-1.32</v>
      </c>
      <c r="G8346" t="s">
        <v>12</v>
      </c>
      <c r="I8346" t="s">
        <v>1050</v>
      </c>
    </row>
    <row r="8347" spans="1:9" hidden="1" x14ac:dyDescent="0.25">
      <c r="A8347" t="s">
        <v>6946</v>
      </c>
      <c r="B8347" t="s">
        <v>116</v>
      </c>
      <c r="C8347" s="2">
        <f>HYPERLINK("https://cao.dolgi.msk.ru/account/1080313932/", 1080313932)</f>
        <v>1080313932</v>
      </c>
      <c r="D8347" t="s">
        <v>6990</v>
      </c>
      <c r="E8347">
        <v>-1806.89</v>
      </c>
      <c r="F8347">
        <v>-0.46</v>
      </c>
      <c r="G8347" t="s">
        <v>12</v>
      </c>
      <c r="I8347" t="s">
        <v>1050</v>
      </c>
    </row>
    <row r="8348" spans="1:9" hidden="1" x14ac:dyDescent="0.25">
      <c r="A8348" t="s">
        <v>6946</v>
      </c>
      <c r="B8348" t="s">
        <v>118</v>
      </c>
      <c r="C8348" s="2">
        <f>HYPERLINK("https://cao.dolgi.msk.ru/account/1080313959/", 1080313959)</f>
        <v>1080313959</v>
      </c>
      <c r="D8348" t="s">
        <v>6991</v>
      </c>
      <c r="E8348">
        <v>-5276.47</v>
      </c>
      <c r="F8348">
        <v>-1.1100000000000001</v>
      </c>
      <c r="G8348" t="s">
        <v>12</v>
      </c>
      <c r="I8348" t="s">
        <v>1050</v>
      </c>
    </row>
    <row r="8349" spans="1:9" x14ac:dyDescent="0.25">
      <c r="A8349" t="s">
        <v>6946</v>
      </c>
      <c r="B8349" t="s">
        <v>120</v>
      </c>
      <c r="C8349" s="2">
        <f>HYPERLINK("https://cao.dolgi.msk.ru/account/1080313967/", 1080313967)</f>
        <v>1080313967</v>
      </c>
      <c r="D8349" t="s">
        <v>6992</v>
      </c>
      <c r="E8349">
        <v>4026.89</v>
      </c>
      <c r="F8349">
        <v>1.08</v>
      </c>
      <c r="G8349" t="s">
        <v>12</v>
      </c>
      <c r="I8349" t="s">
        <v>1050</v>
      </c>
    </row>
    <row r="8350" spans="1:9" hidden="1" x14ac:dyDescent="0.25">
      <c r="A8350" t="s">
        <v>6946</v>
      </c>
      <c r="B8350" t="s">
        <v>122</v>
      </c>
      <c r="C8350" s="2">
        <f>HYPERLINK("https://cao.dolgi.msk.ru/account/1080313975/", 1080313975)</f>
        <v>1080313975</v>
      </c>
      <c r="D8350" t="s">
        <v>6993</v>
      </c>
      <c r="E8350">
        <v>-4857.43</v>
      </c>
      <c r="F8350">
        <v>-1.21</v>
      </c>
      <c r="G8350" t="s">
        <v>12</v>
      </c>
      <c r="I8350" t="s">
        <v>1050</v>
      </c>
    </row>
    <row r="8351" spans="1:9" hidden="1" x14ac:dyDescent="0.25">
      <c r="A8351" t="s">
        <v>6946</v>
      </c>
      <c r="B8351" t="s">
        <v>124</v>
      </c>
      <c r="C8351" s="2">
        <f>HYPERLINK("https://cao.dolgi.msk.ru/account/1080313983/", 1080313983)</f>
        <v>1080313983</v>
      </c>
      <c r="D8351" t="s">
        <v>6994</v>
      </c>
      <c r="E8351">
        <v>-3796.12</v>
      </c>
      <c r="F8351">
        <v>-1.36</v>
      </c>
      <c r="G8351" t="s">
        <v>12</v>
      </c>
      <c r="I8351" t="s">
        <v>1050</v>
      </c>
    </row>
    <row r="8352" spans="1:9" hidden="1" x14ac:dyDescent="0.25">
      <c r="A8352" t="s">
        <v>6946</v>
      </c>
      <c r="B8352" t="s">
        <v>126</v>
      </c>
      <c r="C8352" s="2">
        <f>HYPERLINK("https://cao.dolgi.msk.ru/account/1080313991/", 1080313991)</f>
        <v>1080313991</v>
      </c>
      <c r="D8352" t="s">
        <v>6995</v>
      </c>
      <c r="E8352">
        <v>-4588.5</v>
      </c>
      <c r="F8352">
        <v>-1.54</v>
      </c>
      <c r="G8352" t="s">
        <v>12</v>
      </c>
      <c r="I8352" t="s">
        <v>1050</v>
      </c>
    </row>
    <row r="8353" spans="1:9" hidden="1" x14ac:dyDescent="0.25">
      <c r="A8353" t="s">
        <v>6946</v>
      </c>
      <c r="B8353" t="s">
        <v>128</v>
      </c>
      <c r="C8353" s="2">
        <f>HYPERLINK("https://cao.dolgi.msk.ru/account/1080314003/", 1080314003)</f>
        <v>1080314003</v>
      </c>
      <c r="D8353" t="s">
        <v>6996</v>
      </c>
      <c r="E8353">
        <v>-5074.75</v>
      </c>
      <c r="F8353">
        <v>-1.64</v>
      </c>
      <c r="G8353" t="s">
        <v>12</v>
      </c>
      <c r="I8353" t="s">
        <v>1050</v>
      </c>
    </row>
    <row r="8354" spans="1:9" hidden="1" x14ac:dyDescent="0.25">
      <c r="A8354" t="s">
        <v>6946</v>
      </c>
      <c r="B8354" t="s">
        <v>130</v>
      </c>
      <c r="C8354" s="2">
        <f>HYPERLINK("https://cao.dolgi.msk.ru/account/1080314011/", 1080314011)</f>
        <v>1080314011</v>
      </c>
      <c r="D8354" t="s">
        <v>6997</v>
      </c>
      <c r="E8354">
        <v>-5179.3999999999996</v>
      </c>
      <c r="F8354">
        <v>-1.28</v>
      </c>
      <c r="G8354" t="s">
        <v>12</v>
      </c>
      <c r="I8354" t="s">
        <v>1050</v>
      </c>
    </row>
    <row r="8355" spans="1:9" hidden="1" x14ac:dyDescent="0.25">
      <c r="A8355" t="s">
        <v>6946</v>
      </c>
      <c r="B8355" t="s">
        <v>132</v>
      </c>
      <c r="C8355" s="2">
        <f>HYPERLINK("https://cao.dolgi.msk.ru/account/1080314038/", 1080314038)</f>
        <v>1080314038</v>
      </c>
      <c r="D8355" t="s">
        <v>6998</v>
      </c>
      <c r="E8355">
        <v>-2168.71</v>
      </c>
      <c r="F8355">
        <v>-1.42</v>
      </c>
      <c r="G8355" t="s">
        <v>12</v>
      </c>
      <c r="I8355" t="s">
        <v>1050</v>
      </c>
    </row>
    <row r="8356" spans="1:9" hidden="1" x14ac:dyDescent="0.25">
      <c r="A8356" t="s">
        <v>6946</v>
      </c>
      <c r="B8356" t="s">
        <v>133</v>
      </c>
      <c r="C8356" s="2">
        <f>HYPERLINK("https://cao.dolgi.msk.ru/account/1080314046/", 1080314046)</f>
        <v>1080314046</v>
      </c>
      <c r="D8356" t="s">
        <v>6999</v>
      </c>
      <c r="E8356">
        <v>0</v>
      </c>
      <c r="F8356">
        <v>0</v>
      </c>
      <c r="G8356" t="s">
        <v>12</v>
      </c>
      <c r="I8356" t="s">
        <v>1050</v>
      </c>
    </row>
    <row r="8357" spans="1:9" hidden="1" x14ac:dyDescent="0.25">
      <c r="A8357" t="s">
        <v>6946</v>
      </c>
      <c r="B8357" t="s">
        <v>135</v>
      </c>
      <c r="C8357" s="2">
        <f>HYPERLINK("https://cao.dolgi.msk.ru/account/1080314054/", 1080314054)</f>
        <v>1080314054</v>
      </c>
      <c r="D8357" t="s">
        <v>7000</v>
      </c>
      <c r="E8357">
        <v>-5560.37</v>
      </c>
      <c r="F8357">
        <v>-1.25</v>
      </c>
      <c r="G8357" t="s">
        <v>12</v>
      </c>
      <c r="I8357" t="s">
        <v>1050</v>
      </c>
    </row>
    <row r="8358" spans="1:9" hidden="1" x14ac:dyDescent="0.25">
      <c r="A8358" t="s">
        <v>6946</v>
      </c>
      <c r="B8358" t="s">
        <v>137</v>
      </c>
      <c r="C8358" s="2">
        <f>HYPERLINK("https://cao.dolgi.msk.ru/account/1080314062/", 1080314062)</f>
        <v>1080314062</v>
      </c>
      <c r="D8358" t="s">
        <v>7001</v>
      </c>
      <c r="E8358">
        <v>-8226.0300000000007</v>
      </c>
      <c r="F8358">
        <v>-1.76</v>
      </c>
      <c r="G8358" t="s">
        <v>12</v>
      </c>
      <c r="I8358" t="s">
        <v>1050</v>
      </c>
    </row>
    <row r="8359" spans="1:9" hidden="1" x14ac:dyDescent="0.25">
      <c r="A8359" t="s">
        <v>6946</v>
      </c>
      <c r="B8359" t="s">
        <v>139</v>
      </c>
      <c r="C8359" s="2">
        <f>HYPERLINK("https://cao.dolgi.msk.ru/account/1080314089/", 1080314089)</f>
        <v>1080314089</v>
      </c>
      <c r="D8359" t="s">
        <v>7002</v>
      </c>
      <c r="E8359">
        <v>-5377.76</v>
      </c>
      <c r="F8359">
        <v>-1.55</v>
      </c>
      <c r="G8359" t="s">
        <v>12</v>
      </c>
      <c r="I8359" t="s">
        <v>1050</v>
      </c>
    </row>
    <row r="8360" spans="1:9" hidden="1" x14ac:dyDescent="0.25">
      <c r="A8360" t="s">
        <v>6946</v>
      </c>
      <c r="B8360" t="s">
        <v>141</v>
      </c>
      <c r="C8360" s="2">
        <f>HYPERLINK("https://cao.dolgi.msk.ru/account/1080314097/", 1080314097)</f>
        <v>1080314097</v>
      </c>
      <c r="D8360" t="s">
        <v>7003</v>
      </c>
      <c r="E8360">
        <v>-9545.5499999999993</v>
      </c>
      <c r="F8360">
        <v>-1.0900000000000001</v>
      </c>
      <c r="G8360" t="s">
        <v>12</v>
      </c>
      <c r="I8360" t="s">
        <v>1050</v>
      </c>
    </row>
    <row r="8361" spans="1:9" hidden="1" x14ac:dyDescent="0.25">
      <c r="A8361" t="s">
        <v>6946</v>
      </c>
      <c r="B8361" t="s">
        <v>143</v>
      </c>
      <c r="C8361" s="2">
        <f>HYPERLINK("https://cao.dolgi.msk.ru/account/1080314118/", 1080314118)</f>
        <v>1080314118</v>
      </c>
      <c r="D8361" t="s">
        <v>7004</v>
      </c>
      <c r="E8361">
        <v>-112.32</v>
      </c>
      <c r="F8361">
        <v>-0.04</v>
      </c>
      <c r="G8361" t="s">
        <v>12</v>
      </c>
      <c r="I8361" t="s">
        <v>1050</v>
      </c>
    </row>
    <row r="8362" spans="1:9" hidden="1" x14ac:dyDescent="0.25">
      <c r="A8362" t="s">
        <v>6946</v>
      </c>
      <c r="B8362" t="s">
        <v>145</v>
      </c>
      <c r="C8362" s="2">
        <f>HYPERLINK("https://cao.dolgi.msk.ru/account/1080314126/", 1080314126)</f>
        <v>1080314126</v>
      </c>
      <c r="D8362" t="s">
        <v>7005</v>
      </c>
      <c r="E8362">
        <v>-3044.71</v>
      </c>
      <c r="F8362">
        <v>-1.37</v>
      </c>
      <c r="G8362" t="s">
        <v>12</v>
      </c>
      <c r="I8362" t="s">
        <v>1050</v>
      </c>
    </row>
    <row r="8363" spans="1:9" hidden="1" x14ac:dyDescent="0.25">
      <c r="A8363" t="s">
        <v>6946</v>
      </c>
      <c r="B8363" t="s">
        <v>147</v>
      </c>
      <c r="C8363" s="2">
        <f>HYPERLINK("https://cao.dolgi.msk.ru/account/1080314134/", 1080314134)</f>
        <v>1080314134</v>
      </c>
      <c r="D8363" t="s">
        <v>7006</v>
      </c>
      <c r="E8363">
        <v>-2058.52</v>
      </c>
      <c r="F8363">
        <v>-1.21</v>
      </c>
      <c r="G8363" t="s">
        <v>12</v>
      </c>
      <c r="H8363" t="s">
        <v>7</v>
      </c>
      <c r="I8363" t="s">
        <v>1050</v>
      </c>
    </row>
    <row r="8364" spans="1:9" hidden="1" x14ac:dyDescent="0.25">
      <c r="A8364" t="s">
        <v>6946</v>
      </c>
      <c r="B8364" t="s">
        <v>147</v>
      </c>
      <c r="C8364" s="2">
        <f>HYPERLINK("https://cao.dolgi.msk.ru/account/1080314142/", 1080314142)</f>
        <v>1080314142</v>
      </c>
      <c r="D8364" t="s">
        <v>7007</v>
      </c>
      <c r="E8364">
        <v>-3406.69</v>
      </c>
      <c r="F8364">
        <v>-1.17</v>
      </c>
      <c r="G8364" t="s">
        <v>12</v>
      </c>
      <c r="H8364" t="s">
        <v>7</v>
      </c>
      <c r="I8364" t="s">
        <v>1050</v>
      </c>
    </row>
    <row r="8365" spans="1:9" hidden="1" x14ac:dyDescent="0.25">
      <c r="A8365" t="s">
        <v>6946</v>
      </c>
      <c r="B8365" t="s">
        <v>149</v>
      </c>
      <c r="C8365" s="2">
        <f>HYPERLINK("https://cao.dolgi.msk.ru/account/1080314169/", 1080314169)</f>
        <v>1080314169</v>
      </c>
      <c r="D8365" t="s">
        <v>7008</v>
      </c>
      <c r="E8365">
        <v>-1088.26</v>
      </c>
      <c r="F8365">
        <v>-1.18</v>
      </c>
      <c r="G8365" t="s">
        <v>12</v>
      </c>
      <c r="I8365" t="s">
        <v>1050</v>
      </c>
    </row>
    <row r="8366" spans="1:9" hidden="1" x14ac:dyDescent="0.25">
      <c r="A8366" t="s">
        <v>6946</v>
      </c>
      <c r="B8366" t="s">
        <v>151</v>
      </c>
      <c r="C8366" s="2">
        <f>HYPERLINK("https://cao.dolgi.msk.ru/account/1080314177/", 1080314177)</f>
        <v>1080314177</v>
      </c>
      <c r="D8366" t="s">
        <v>7009</v>
      </c>
      <c r="E8366">
        <v>-6037.05</v>
      </c>
      <c r="F8366">
        <v>-1.25</v>
      </c>
      <c r="G8366" t="s">
        <v>12</v>
      </c>
      <c r="I8366" t="s">
        <v>1050</v>
      </c>
    </row>
    <row r="8367" spans="1:9" hidden="1" x14ac:dyDescent="0.25">
      <c r="A8367" t="s">
        <v>6946</v>
      </c>
      <c r="B8367" t="s">
        <v>153</v>
      </c>
      <c r="C8367" s="2">
        <f>HYPERLINK("https://cao.dolgi.msk.ru/account/1080314185/", 1080314185)</f>
        <v>1080314185</v>
      </c>
      <c r="D8367" t="s">
        <v>7010</v>
      </c>
      <c r="E8367">
        <v>1412.76</v>
      </c>
      <c r="F8367">
        <v>0.54</v>
      </c>
      <c r="G8367" t="s">
        <v>12</v>
      </c>
      <c r="I8367" t="s">
        <v>1050</v>
      </c>
    </row>
    <row r="8368" spans="1:9" hidden="1" x14ac:dyDescent="0.25">
      <c r="A8368" t="s">
        <v>6946</v>
      </c>
      <c r="B8368" t="s">
        <v>155</v>
      </c>
      <c r="C8368" s="2">
        <f>HYPERLINK("https://cao.dolgi.msk.ru/account/1080314193/", 1080314193)</f>
        <v>1080314193</v>
      </c>
      <c r="D8368" t="s">
        <v>7011</v>
      </c>
      <c r="E8368">
        <v>-1295.1400000000001</v>
      </c>
      <c r="F8368">
        <v>-0.28999999999999998</v>
      </c>
      <c r="G8368" t="s">
        <v>12</v>
      </c>
      <c r="I8368" t="s">
        <v>1050</v>
      </c>
    </row>
    <row r="8369" spans="1:9" hidden="1" x14ac:dyDescent="0.25">
      <c r="A8369" t="s">
        <v>6946</v>
      </c>
      <c r="B8369" t="s">
        <v>157</v>
      </c>
      <c r="C8369" s="2">
        <f>HYPERLINK("https://cao.dolgi.msk.ru/account/1080314206/", 1080314206)</f>
        <v>1080314206</v>
      </c>
      <c r="D8369" t="s">
        <v>7012</v>
      </c>
      <c r="E8369">
        <v>-4526.3500000000004</v>
      </c>
      <c r="F8369">
        <v>-1.23</v>
      </c>
      <c r="G8369" t="s">
        <v>12</v>
      </c>
      <c r="I8369" t="s">
        <v>1050</v>
      </c>
    </row>
    <row r="8370" spans="1:9" hidden="1" x14ac:dyDescent="0.25">
      <c r="A8370" t="s">
        <v>7013</v>
      </c>
      <c r="B8370" t="s">
        <v>159</v>
      </c>
      <c r="C8370" s="2">
        <f>HYPERLINK("https://cao.dolgi.msk.ru/account/1080316199/", 1080316199)</f>
        <v>1080316199</v>
      </c>
      <c r="D8370" t="s">
        <v>7014</v>
      </c>
      <c r="E8370">
        <v>-2731.68</v>
      </c>
      <c r="F8370">
        <v>-1.18</v>
      </c>
      <c r="G8370" t="s">
        <v>12</v>
      </c>
      <c r="I8370" t="s">
        <v>1050</v>
      </c>
    </row>
    <row r="8371" spans="1:9" hidden="1" x14ac:dyDescent="0.25">
      <c r="A8371" t="s">
        <v>7013</v>
      </c>
      <c r="B8371" t="s">
        <v>161</v>
      </c>
      <c r="C8371" s="2">
        <f>HYPERLINK("https://cao.dolgi.msk.ru/account/1080316201/", 1080316201)</f>
        <v>1080316201</v>
      </c>
      <c r="D8371" t="s">
        <v>7015</v>
      </c>
      <c r="E8371">
        <v>-3834.41</v>
      </c>
      <c r="F8371">
        <v>-1.43</v>
      </c>
      <c r="G8371" t="s">
        <v>12</v>
      </c>
      <c r="I8371" t="s">
        <v>1050</v>
      </c>
    </row>
    <row r="8372" spans="1:9" hidden="1" x14ac:dyDescent="0.25">
      <c r="A8372" t="s">
        <v>7013</v>
      </c>
      <c r="B8372" t="s">
        <v>163</v>
      </c>
      <c r="C8372" s="2">
        <f>HYPERLINK("https://cao.dolgi.msk.ru/account/1080316228/", 1080316228)</f>
        <v>1080316228</v>
      </c>
      <c r="D8372" t="s">
        <v>7016</v>
      </c>
      <c r="E8372">
        <v>1223.33</v>
      </c>
      <c r="F8372">
        <v>0.89</v>
      </c>
      <c r="G8372" t="s">
        <v>12</v>
      </c>
      <c r="I8372" t="s">
        <v>1050</v>
      </c>
    </row>
    <row r="8373" spans="1:9" x14ac:dyDescent="0.25">
      <c r="A8373" t="s">
        <v>7013</v>
      </c>
      <c r="B8373" t="s">
        <v>163</v>
      </c>
      <c r="C8373" s="2">
        <f>HYPERLINK("https://cao.dolgi.msk.ru/account/1083277981/", 1083277981)</f>
        <v>1083277981</v>
      </c>
      <c r="D8373" t="s">
        <v>15</v>
      </c>
      <c r="E8373">
        <v>6481.78</v>
      </c>
      <c r="F8373">
        <v>3.94</v>
      </c>
      <c r="G8373" t="s">
        <v>12</v>
      </c>
      <c r="I8373" t="s">
        <v>1050</v>
      </c>
    </row>
    <row r="8374" spans="1:9" hidden="1" x14ac:dyDescent="0.25">
      <c r="A8374" t="s">
        <v>7013</v>
      </c>
      <c r="B8374" t="s">
        <v>571</v>
      </c>
      <c r="C8374" s="2">
        <f>HYPERLINK("https://cao.dolgi.msk.ru/account/1080316236/", 1080316236)</f>
        <v>1080316236</v>
      </c>
      <c r="D8374" t="s">
        <v>7017</v>
      </c>
      <c r="E8374">
        <v>-4395.62</v>
      </c>
      <c r="F8374">
        <v>-2.4300000000000002</v>
      </c>
      <c r="G8374" t="s">
        <v>12</v>
      </c>
      <c r="H8374" t="s">
        <v>7</v>
      </c>
      <c r="I8374" t="s">
        <v>1050</v>
      </c>
    </row>
    <row r="8375" spans="1:9" hidden="1" x14ac:dyDescent="0.25">
      <c r="A8375" t="s">
        <v>7013</v>
      </c>
      <c r="B8375" t="s">
        <v>571</v>
      </c>
      <c r="C8375" s="2">
        <f>HYPERLINK("https://cao.dolgi.msk.ru/account/1080316244/", 1080316244)</f>
        <v>1080316244</v>
      </c>
      <c r="D8375" t="s">
        <v>7018</v>
      </c>
      <c r="E8375">
        <v>-8183.25</v>
      </c>
      <c r="F8375">
        <v>-2.75</v>
      </c>
      <c r="G8375" t="s">
        <v>12</v>
      </c>
      <c r="H8375" t="s">
        <v>7</v>
      </c>
      <c r="I8375" t="s">
        <v>1050</v>
      </c>
    </row>
    <row r="8376" spans="1:9" hidden="1" x14ac:dyDescent="0.25">
      <c r="A8376" t="s">
        <v>7013</v>
      </c>
      <c r="B8376" t="s">
        <v>571</v>
      </c>
      <c r="C8376" s="2">
        <f>HYPERLINK("https://cao.dolgi.msk.ru/account/1080316252/", 1080316252)</f>
        <v>1080316252</v>
      </c>
      <c r="D8376" t="s">
        <v>7018</v>
      </c>
      <c r="E8376">
        <v>-2790.15</v>
      </c>
      <c r="F8376">
        <v>-1.98</v>
      </c>
      <c r="G8376" t="s">
        <v>12</v>
      </c>
      <c r="H8376" t="s">
        <v>7</v>
      </c>
      <c r="I8376" t="s">
        <v>1050</v>
      </c>
    </row>
    <row r="8377" spans="1:9" hidden="1" x14ac:dyDescent="0.25">
      <c r="A8377" t="s">
        <v>7013</v>
      </c>
      <c r="B8377" t="s">
        <v>682</v>
      </c>
      <c r="C8377" s="2">
        <f>HYPERLINK("https://cao.dolgi.msk.ru/account/1080316279/", 1080316279)</f>
        <v>1080316279</v>
      </c>
      <c r="D8377" t="s">
        <v>7019</v>
      </c>
      <c r="E8377">
        <v>-2894.06</v>
      </c>
      <c r="F8377">
        <v>-1.4</v>
      </c>
      <c r="G8377" t="s">
        <v>12</v>
      </c>
      <c r="I8377" t="s">
        <v>1050</v>
      </c>
    </row>
    <row r="8378" spans="1:9" hidden="1" x14ac:dyDescent="0.25">
      <c r="A8378" t="s">
        <v>7013</v>
      </c>
      <c r="B8378" t="s">
        <v>578</v>
      </c>
      <c r="C8378" s="2">
        <f>HYPERLINK("https://cao.dolgi.msk.ru/account/1080316287/", 1080316287)</f>
        <v>1080316287</v>
      </c>
      <c r="D8378" t="s">
        <v>7020</v>
      </c>
      <c r="E8378">
        <v>-5266.37</v>
      </c>
      <c r="F8378">
        <v>-1.2</v>
      </c>
      <c r="G8378" t="s">
        <v>12</v>
      </c>
      <c r="I8378" t="s">
        <v>1050</v>
      </c>
    </row>
    <row r="8379" spans="1:9" hidden="1" x14ac:dyDescent="0.25">
      <c r="A8379" t="s">
        <v>7013</v>
      </c>
      <c r="B8379" t="s">
        <v>580</v>
      </c>
      <c r="C8379" s="2">
        <f>HYPERLINK("https://cao.dolgi.msk.ru/account/1080316295/", 1080316295)</f>
        <v>1080316295</v>
      </c>
      <c r="D8379" t="s">
        <v>7021</v>
      </c>
      <c r="E8379">
        <v>-3393.86</v>
      </c>
      <c r="F8379">
        <v>-1.37</v>
      </c>
      <c r="G8379" t="s">
        <v>12</v>
      </c>
      <c r="I8379" t="s">
        <v>1050</v>
      </c>
    </row>
    <row r="8380" spans="1:9" hidden="1" x14ac:dyDescent="0.25">
      <c r="A8380" t="s">
        <v>7013</v>
      </c>
      <c r="B8380" t="s">
        <v>686</v>
      </c>
      <c r="C8380" s="2">
        <f>HYPERLINK("https://cao.dolgi.msk.ru/account/1080316308/", 1080316308)</f>
        <v>1080316308</v>
      </c>
      <c r="D8380" t="s">
        <v>7022</v>
      </c>
      <c r="E8380">
        <v>8345.24</v>
      </c>
      <c r="F8380">
        <v>1</v>
      </c>
      <c r="G8380" t="s">
        <v>12</v>
      </c>
      <c r="H8380" t="s">
        <v>7</v>
      </c>
      <c r="I8380" t="s">
        <v>1050</v>
      </c>
    </row>
    <row r="8381" spans="1:9" hidden="1" x14ac:dyDescent="0.25">
      <c r="A8381" t="s">
        <v>7013</v>
      </c>
      <c r="B8381" t="s">
        <v>686</v>
      </c>
      <c r="C8381" s="2">
        <f>HYPERLINK("https://cao.dolgi.msk.ru/account/1080316316/", 1080316316)</f>
        <v>1080316316</v>
      </c>
      <c r="D8381" t="s">
        <v>7022</v>
      </c>
      <c r="E8381">
        <v>-3667.52</v>
      </c>
      <c r="F8381">
        <v>-1.17</v>
      </c>
      <c r="G8381" t="s">
        <v>12</v>
      </c>
      <c r="H8381" t="s">
        <v>7</v>
      </c>
      <c r="I8381" t="s">
        <v>1050</v>
      </c>
    </row>
    <row r="8382" spans="1:9" hidden="1" x14ac:dyDescent="0.25">
      <c r="A8382" t="s">
        <v>7013</v>
      </c>
      <c r="B8382" t="s">
        <v>582</v>
      </c>
      <c r="C8382" s="2">
        <f>HYPERLINK("https://cao.dolgi.msk.ru/account/1080316324/", 1080316324)</f>
        <v>1080316324</v>
      </c>
      <c r="D8382" t="s">
        <v>7023</v>
      </c>
      <c r="E8382">
        <v>-4060.23</v>
      </c>
      <c r="F8382">
        <v>-1.18</v>
      </c>
      <c r="G8382" t="s">
        <v>12</v>
      </c>
      <c r="I8382" t="s">
        <v>1050</v>
      </c>
    </row>
    <row r="8383" spans="1:9" hidden="1" x14ac:dyDescent="0.25">
      <c r="A8383" t="s">
        <v>7013</v>
      </c>
      <c r="B8383" t="s">
        <v>584</v>
      </c>
      <c r="C8383" s="2">
        <f>HYPERLINK("https://cao.dolgi.msk.ru/account/1080316332/", 1080316332)</f>
        <v>1080316332</v>
      </c>
      <c r="D8383" t="s">
        <v>7024</v>
      </c>
      <c r="E8383">
        <v>58.02</v>
      </c>
      <c r="F8383">
        <v>0.02</v>
      </c>
      <c r="G8383" t="s">
        <v>12</v>
      </c>
      <c r="I8383" t="s">
        <v>1050</v>
      </c>
    </row>
    <row r="8384" spans="1:9" hidden="1" x14ac:dyDescent="0.25">
      <c r="A8384" t="s">
        <v>7013</v>
      </c>
      <c r="B8384" t="s">
        <v>586</v>
      </c>
      <c r="C8384" s="2">
        <f>HYPERLINK("https://cao.dolgi.msk.ru/account/1080316359/", 1080316359)</f>
        <v>1080316359</v>
      </c>
      <c r="D8384" t="s">
        <v>7025</v>
      </c>
      <c r="E8384">
        <v>-7428.13</v>
      </c>
      <c r="F8384">
        <v>-1.29</v>
      </c>
      <c r="G8384" t="s">
        <v>12</v>
      </c>
      <c r="I8384" t="s">
        <v>1050</v>
      </c>
    </row>
    <row r="8385" spans="1:9" hidden="1" x14ac:dyDescent="0.25">
      <c r="A8385" t="s">
        <v>7013</v>
      </c>
      <c r="B8385" t="s">
        <v>588</v>
      </c>
      <c r="C8385" s="2">
        <f>HYPERLINK("https://cao.dolgi.msk.ru/account/1080316367/", 1080316367)</f>
        <v>1080316367</v>
      </c>
      <c r="D8385" t="s">
        <v>7026</v>
      </c>
      <c r="E8385">
        <v>-1130.1199999999999</v>
      </c>
      <c r="F8385">
        <v>-1.22</v>
      </c>
      <c r="G8385" t="s">
        <v>12</v>
      </c>
      <c r="H8385" t="s">
        <v>7</v>
      </c>
      <c r="I8385" t="s">
        <v>1050</v>
      </c>
    </row>
    <row r="8386" spans="1:9" hidden="1" x14ac:dyDescent="0.25">
      <c r="A8386" t="s">
        <v>7013</v>
      </c>
      <c r="B8386" t="s">
        <v>588</v>
      </c>
      <c r="C8386" s="2">
        <f>HYPERLINK("https://cao.dolgi.msk.ru/account/1080316375/", 1080316375)</f>
        <v>1080316375</v>
      </c>
      <c r="D8386" t="s">
        <v>7026</v>
      </c>
      <c r="E8386">
        <v>-319.29000000000002</v>
      </c>
      <c r="F8386">
        <v>-0.1</v>
      </c>
      <c r="G8386" t="s">
        <v>12</v>
      </c>
      <c r="H8386" t="s">
        <v>7</v>
      </c>
      <c r="I8386" t="s">
        <v>1050</v>
      </c>
    </row>
    <row r="8387" spans="1:9" hidden="1" x14ac:dyDescent="0.25">
      <c r="A8387" t="s">
        <v>7013</v>
      </c>
      <c r="B8387" t="s">
        <v>588</v>
      </c>
      <c r="C8387" s="2">
        <f>HYPERLINK("https://cao.dolgi.msk.ru/account/1080316383/", 1080316383)</f>
        <v>1080316383</v>
      </c>
      <c r="D8387" t="s">
        <v>7026</v>
      </c>
      <c r="E8387">
        <v>-2311.9299999999998</v>
      </c>
      <c r="F8387">
        <v>-1.31</v>
      </c>
      <c r="G8387" t="s">
        <v>12</v>
      </c>
      <c r="H8387" t="s">
        <v>7</v>
      </c>
      <c r="I8387" t="s">
        <v>1050</v>
      </c>
    </row>
    <row r="8388" spans="1:9" hidden="1" x14ac:dyDescent="0.25">
      <c r="A8388" t="s">
        <v>7013</v>
      </c>
      <c r="B8388" t="s">
        <v>590</v>
      </c>
      <c r="C8388" s="2">
        <f>HYPERLINK("https://cao.dolgi.msk.ru/account/1080316391/", 1080316391)</f>
        <v>1080316391</v>
      </c>
      <c r="D8388" t="s">
        <v>7027</v>
      </c>
      <c r="E8388">
        <v>-1382.36</v>
      </c>
      <c r="F8388">
        <v>-1.64</v>
      </c>
      <c r="G8388" t="s">
        <v>12</v>
      </c>
      <c r="I8388" t="s">
        <v>1050</v>
      </c>
    </row>
    <row r="8389" spans="1:9" hidden="1" x14ac:dyDescent="0.25">
      <c r="A8389" t="s">
        <v>7013</v>
      </c>
      <c r="B8389" t="s">
        <v>693</v>
      </c>
      <c r="C8389" s="2">
        <f>HYPERLINK("https://cao.dolgi.msk.ru/account/1080316404/", 1080316404)</f>
        <v>1080316404</v>
      </c>
      <c r="D8389" t="s">
        <v>7028</v>
      </c>
      <c r="E8389">
        <v>-4127.1499999999996</v>
      </c>
      <c r="F8389">
        <v>-1.35</v>
      </c>
      <c r="G8389" t="s">
        <v>12</v>
      </c>
      <c r="I8389" t="s">
        <v>1050</v>
      </c>
    </row>
    <row r="8390" spans="1:9" hidden="1" x14ac:dyDescent="0.25">
      <c r="A8390" t="s">
        <v>7013</v>
      </c>
      <c r="B8390" t="s">
        <v>694</v>
      </c>
      <c r="C8390" s="2">
        <f>HYPERLINK("https://cao.dolgi.msk.ru/account/1080316412/", 1080316412)</f>
        <v>1080316412</v>
      </c>
      <c r="D8390" t="s">
        <v>7029</v>
      </c>
      <c r="E8390">
        <v>-12020.47</v>
      </c>
      <c r="F8390">
        <v>-4.6100000000000003</v>
      </c>
      <c r="G8390" t="s">
        <v>12</v>
      </c>
      <c r="I8390" t="s">
        <v>1050</v>
      </c>
    </row>
    <row r="8391" spans="1:9" hidden="1" x14ac:dyDescent="0.25">
      <c r="A8391" t="s">
        <v>7013</v>
      </c>
      <c r="B8391" t="s">
        <v>696</v>
      </c>
      <c r="C8391" s="2">
        <f>HYPERLINK("https://cao.dolgi.msk.ru/account/1080316439/", 1080316439)</f>
        <v>1080316439</v>
      </c>
      <c r="D8391" t="s">
        <v>7030</v>
      </c>
      <c r="E8391">
        <v>0</v>
      </c>
      <c r="F8391">
        <v>0</v>
      </c>
      <c r="G8391" t="s">
        <v>12</v>
      </c>
      <c r="H8391" t="s">
        <v>7</v>
      </c>
      <c r="I8391" t="s">
        <v>1050</v>
      </c>
    </row>
    <row r="8392" spans="1:9" hidden="1" x14ac:dyDescent="0.25">
      <c r="A8392" t="s">
        <v>7013</v>
      </c>
      <c r="B8392" t="s">
        <v>696</v>
      </c>
      <c r="C8392" s="2">
        <f>HYPERLINK("https://cao.dolgi.msk.ru/account/1080316447/", 1080316447)</f>
        <v>1080316447</v>
      </c>
      <c r="D8392" t="s">
        <v>7031</v>
      </c>
      <c r="E8392">
        <v>-2412.89</v>
      </c>
      <c r="F8392">
        <v>-1.18</v>
      </c>
      <c r="G8392" t="s">
        <v>12</v>
      </c>
      <c r="H8392" t="s">
        <v>7</v>
      </c>
      <c r="I8392" t="s">
        <v>1050</v>
      </c>
    </row>
    <row r="8393" spans="1:9" hidden="1" x14ac:dyDescent="0.25">
      <c r="A8393" t="s">
        <v>7013</v>
      </c>
      <c r="B8393" t="s">
        <v>696</v>
      </c>
      <c r="C8393" s="2">
        <f>HYPERLINK("https://cao.dolgi.msk.ru/account/1080316455/", 1080316455)</f>
        <v>1080316455</v>
      </c>
      <c r="D8393" t="s">
        <v>7030</v>
      </c>
      <c r="E8393">
        <v>-1949.86</v>
      </c>
      <c r="F8393">
        <v>-1.1299999999999999</v>
      </c>
      <c r="G8393" t="s">
        <v>12</v>
      </c>
      <c r="H8393" t="s">
        <v>7</v>
      </c>
      <c r="I8393" t="s">
        <v>1050</v>
      </c>
    </row>
    <row r="8394" spans="1:9" hidden="1" x14ac:dyDescent="0.25">
      <c r="A8394" t="s">
        <v>7013</v>
      </c>
      <c r="B8394" t="s">
        <v>698</v>
      </c>
      <c r="C8394" s="2">
        <f>HYPERLINK("https://cao.dolgi.msk.ru/account/1080316463/", 1080316463)</f>
        <v>1080316463</v>
      </c>
      <c r="D8394" t="s">
        <v>7032</v>
      </c>
      <c r="E8394">
        <v>-1955.85</v>
      </c>
      <c r="F8394">
        <v>-1.29</v>
      </c>
      <c r="G8394" t="s">
        <v>12</v>
      </c>
      <c r="I8394" t="s">
        <v>1050</v>
      </c>
    </row>
    <row r="8395" spans="1:9" hidden="1" x14ac:dyDescent="0.25">
      <c r="A8395" t="s">
        <v>7013</v>
      </c>
      <c r="B8395" t="s">
        <v>700</v>
      </c>
      <c r="C8395" s="2">
        <f>HYPERLINK("https://cao.dolgi.msk.ru/account/1080316471/", 1080316471)</f>
        <v>1080316471</v>
      </c>
      <c r="D8395" t="s">
        <v>7033</v>
      </c>
      <c r="E8395">
        <v>-2645.3</v>
      </c>
      <c r="F8395">
        <v>-1.25</v>
      </c>
      <c r="G8395" t="s">
        <v>12</v>
      </c>
      <c r="I8395" t="s">
        <v>1050</v>
      </c>
    </row>
    <row r="8396" spans="1:9" hidden="1" x14ac:dyDescent="0.25">
      <c r="A8396" t="s">
        <v>7013</v>
      </c>
      <c r="B8396" t="s">
        <v>702</v>
      </c>
      <c r="C8396" s="2">
        <f>HYPERLINK("https://cao.dolgi.msk.ru/account/1080316498/", 1080316498)</f>
        <v>1080316498</v>
      </c>
      <c r="D8396" t="s">
        <v>7034</v>
      </c>
      <c r="E8396">
        <v>-1040.96</v>
      </c>
      <c r="F8396">
        <v>-0.31</v>
      </c>
      <c r="G8396" t="s">
        <v>12</v>
      </c>
      <c r="I8396" t="s">
        <v>1050</v>
      </c>
    </row>
    <row r="8397" spans="1:9" hidden="1" x14ac:dyDescent="0.25">
      <c r="A8397" t="s">
        <v>7013</v>
      </c>
      <c r="B8397" t="s">
        <v>703</v>
      </c>
      <c r="C8397" s="2">
        <f>HYPERLINK("https://cao.dolgi.msk.ru/account/1080316519/", 1080316519)</f>
        <v>1080316519</v>
      </c>
      <c r="D8397" t="s">
        <v>7035</v>
      </c>
      <c r="E8397">
        <v>-2763.69</v>
      </c>
      <c r="F8397">
        <v>-1.2</v>
      </c>
      <c r="G8397" t="s">
        <v>12</v>
      </c>
      <c r="H8397" t="s">
        <v>7</v>
      </c>
      <c r="I8397" t="s">
        <v>1050</v>
      </c>
    </row>
    <row r="8398" spans="1:9" hidden="1" x14ac:dyDescent="0.25">
      <c r="A8398" t="s">
        <v>7013</v>
      </c>
      <c r="B8398" t="s">
        <v>703</v>
      </c>
      <c r="C8398" s="2">
        <f>HYPERLINK("https://cao.dolgi.msk.ru/account/1080316527/", 1080316527)</f>
        <v>1080316527</v>
      </c>
      <c r="D8398" t="s">
        <v>7036</v>
      </c>
      <c r="E8398">
        <v>-2569.04</v>
      </c>
      <c r="F8398">
        <v>-1.18</v>
      </c>
      <c r="G8398" t="s">
        <v>12</v>
      </c>
      <c r="H8398" t="s">
        <v>7</v>
      </c>
      <c r="I8398" t="s">
        <v>1050</v>
      </c>
    </row>
    <row r="8399" spans="1:9" hidden="1" x14ac:dyDescent="0.25">
      <c r="A8399" t="s">
        <v>7013</v>
      </c>
      <c r="B8399" t="s">
        <v>703</v>
      </c>
      <c r="C8399" s="2">
        <f>HYPERLINK("https://cao.dolgi.msk.ru/account/1080316535/", 1080316535)</f>
        <v>1080316535</v>
      </c>
      <c r="D8399" t="s">
        <v>7036</v>
      </c>
      <c r="E8399">
        <v>-3031.3</v>
      </c>
      <c r="F8399">
        <v>-1.22</v>
      </c>
      <c r="G8399" t="s">
        <v>12</v>
      </c>
      <c r="H8399" t="s">
        <v>7</v>
      </c>
      <c r="I8399" t="s">
        <v>1050</v>
      </c>
    </row>
    <row r="8400" spans="1:9" hidden="1" x14ac:dyDescent="0.25">
      <c r="A8400" t="s">
        <v>7013</v>
      </c>
      <c r="B8400" t="s">
        <v>705</v>
      </c>
      <c r="C8400" s="2">
        <f>HYPERLINK("https://cao.dolgi.msk.ru/account/1080316543/", 1080316543)</f>
        <v>1080316543</v>
      </c>
      <c r="D8400" t="s">
        <v>15</v>
      </c>
      <c r="E8400">
        <v>593.86</v>
      </c>
      <c r="F8400">
        <v>0.09</v>
      </c>
      <c r="G8400" t="s">
        <v>12</v>
      </c>
      <c r="I8400" t="s">
        <v>1050</v>
      </c>
    </row>
    <row r="8401" spans="1:9" hidden="1" x14ac:dyDescent="0.25">
      <c r="A8401" t="s">
        <v>7013</v>
      </c>
      <c r="B8401" t="s">
        <v>705</v>
      </c>
      <c r="C8401" s="2">
        <f>HYPERLINK("https://cao.dolgi.msk.ru/account/1080316551/", 1080316551)</f>
        <v>1080316551</v>
      </c>
      <c r="D8401" t="s">
        <v>15</v>
      </c>
      <c r="E8401">
        <v>-51.13</v>
      </c>
      <c r="G8401" t="s">
        <v>14</v>
      </c>
      <c r="I8401" t="s">
        <v>1050</v>
      </c>
    </row>
    <row r="8402" spans="1:9" hidden="1" x14ac:dyDescent="0.25">
      <c r="A8402" t="s">
        <v>7013</v>
      </c>
      <c r="B8402" t="s">
        <v>707</v>
      </c>
      <c r="C8402" s="2">
        <f>HYPERLINK("https://cao.dolgi.msk.ru/account/1080316578/", 1080316578)</f>
        <v>1080316578</v>
      </c>
      <c r="D8402" t="s">
        <v>7037</v>
      </c>
      <c r="E8402">
        <v>-6864.14</v>
      </c>
      <c r="F8402">
        <v>-1.32</v>
      </c>
      <c r="G8402" t="s">
        <v>12</v>
      </c>
      <c r="I8402" t="s">
        <v>1050</v>
      </c>
    </row>
    <row r="8403" spans="1:9" hidden="1" x14ac:dyDescent="0.25">
      <c r="A8403" t="s">
        <v>7013</v>
      </c>
      <c r="B8403" t="s">
        <v>709</v>
      </c>
      <c r="C8403" s="2">
        <f>HYPERLINK("https://cao.dolgi.msk.ru/account/1080316586/", 1080316586)</f>
        <v>1080316586</v>
      </c>
      <c r="D8403" t="s">
        <v>7038</v>
      </c>
      <c r="E8403">
        <v>-39</v>
      </c>
      <c r="F8403">
        <v>-0.01</v>
      </c>
      <c r="G8403" t="s">
        <v>12</v>
      </c>
      <c r="I8403" t="s">
        <v>1050</v>
      </c>
    </row>
    <row r="8404" spans="1:9" hidden="1" x14ac:dyDescent="0.25">
      <c r="A8404" t="s">
        <v>7013</v>
      </c>
      <c r="B8404" t="s">
        <v>711</v>
      </c>
      <c r="C8404" s="2">
        <f>HYPERLINK("https://cao.dolgi.msk.ru/account/1080316594/", 1080316594)</f>
        <v>1080316594</v>
      </c>
      <c r="D8404" t="s">
        <v>7039</v>
      </c>
      <c r="E8404">
        <v>0</v>
      </c>
      <c r="F8404">
        <v>0</v>
      </c>
      <c r="G8404" t="s">
        <v>12</v>
      </c>
      <c r="I8404" t="s">
        <v>1050</v>
      </c>
    </row>
    <row r="8405" spans="1:9" hidden="1" x14ac:dyDescent="0.25">
      <c r="A8405" t="s">
        <v>7013</v>
      </c>
      <c r="B8405" t="s">
        <v>713</v>
      </c>
      <c r="C8405" s="2">
        <f>HYPERLINK("https://cao.dolgi.msk.ru/account/1080316607/", 1080316607)</f>
        <v>1080316607</v>
      </c>
      <c r="D8405" t="s">
        <v>7040</v>
      </c>
      <c r="E8405">
        <v>-5645.43</v>
      </c>
      <c r="F8405">
        <v>-1.47</v>
      </c>
      <c r="G8405" t="s">
        <v>12</v>
      </c>
      <c r="I8405" t="s">
        <v>1050</v>
      </c>
    </row>
    <row r="8406" spans="1:9" hidden="1" x14ac:dyDescent="0.25">
      <c r="A8406" t="s">
        <v>7013</v>
      </c>
      <c r="B8406" t="s">
        <v>528</v>
      </c>
      <c r="C8406" s="2">
        <f>HYPERLINK("https://cao.dolgi.msk.ru/account/1080316615/", 1080316615)</f>
        <v>1080316615</v>
      </c>
      <c r="D8406" t="s">
        <v>7041</v>
      </c>
      <c r="E8406">
        <v>-1811.47</v>
      </c>
      <c r="F8406">
        <v>-0.91</v>
      </c>
      <c r="G8406" t="s">
        <v>12</v>
      </c>
      <c r="I8406" t="s">
        <v>1050</v>
      </c>
    </row>
    <row r="8407" spans="1:9" hidden="1" x14ac:dyDescent="0.25">
      <c r="A8407" t="s">
        <v>7013</v>
      </c>
      <c r="B8407" t="s">
        <v>530</v>
      </c>
      <c r="C8407" s="2">
        <f>HYPERLINK("https://cao.dolgi.msk.ru/account/1080316623/", 1080316623)</f>
        <v>1080316623</v>
      </c>
      <c r="D8407" t="s">
        <v>7042</v>
      </c>
      <c r="E8407">
        <v>-6788.73</v>
      </c>
      <c r="F8407">
        <v>-1.3</v>
      </c>
      <c r="G8407" t="s">
        <v>12</v>
      </c>
      <c r="I8407" t="s">
        <v>1050</v>
      </c>
    </row>
    <row r="8408" spans="1:9" hidden="1" x14ac:dyDescent="0.25">
      <c r="A8408" t="s">
        <v>7013</v>
      </c>
      <c r="B8408" t="s">
        <v>532</v>
      </c>
      <c r="C8408" s="2">
        <f>HYPERLINK("https://cao.dolgi.msk.ru/account/1080316631/", 1080316631)</f>
        <v>1080316631</v>
      </c>
      <c r="D8408" t="s">
        <v>7043</v>
      </c>
      <c r="E8408">
        <v>-395.73</v>
      </c>
      <c r="F8408">
        <v>-0.26</v>
      </c>
      <c r="G8408" t="s">
        <v>12</v>
      </c>
      <c r="I8408" t="s">
        <v>1050</v>
      </c>
    </row>
    <row r="8409" spans="1:9" hidden="1" x14ac:dyDescent="0.25">
      <c r="A8409" t="s">
        <v>7013</v>
      </c>
      <c r="B8409" t="s">
        <v>534</v>
      </c>
      <c r="C8409" s="2">
        <f>HYPERLINK("https://cao.dolgi.msk.ru/account/1080316658/", 1080316658)</f>
        <v>1080316658</v>
      </c>
      <c r="D8409" t="s">
        <v>7044</v>
      </c>
      <c r="E8409">
        <v>-3452.24</v>
      </c>
      <c r="F8409">
        <v>-1.24</v>
      </c>
      <c r="G8409" t="s">
        <v>12</v>
      </c>
      <c r="I8409" t="s">
        <v>1050</v>
      </c>
    </row>
    <row r="8410" spans="1:9" hidden="1" x14ac:dyDescent="0.25">
      <c r="A8410" t="s">
        <v>7013</v>
      </c>
      <c r="B8410" t="s">
        <v>536</v>
      </c>
      <c r="C8410" s="2">
        <f>HYPERLINK("https://cao.dolgi.msk.ru/account/1080316666/", 1080316666)</f>
        <v>1080316666</v>
      </c>
      <c r="D8410" t="s">
        <v>7045</v>
      </c>
      <c r="E8410">
        <v>-6453.19</v>
      </c>
      <c r="F8410">
        <v>-4.59</v>
      </c>
      <c r="G8410" t="s">
        <v>12</v>
      </c>
      <c r="I8410" t="s">
        <v>1050</v>
      </c>
    </row>
    <row r="8411" spans="1:9" hidden="1" x14ac:dyDescent="0.25">
      <c r="A8411" t="s">
        <v>7013</v>
      </c>
      <c r="B8411" t="s">
        <v>538</v>
      </c>
      <c r="C8411" s="2">
        <f>HYPERLINK("https://cao.dolgi.msk.ru/account/1080316674/", 1080316674)</f>
        <v>1080316674</v>
      </c>
      <c r="D8411" t="s">
        <v>7046</v>
      </c>
      <c r="E8411">
        <v>-4025.75</v>
      </c>
      <c r="F8411">
        <v>-1.3</v>
      </c>
      <c r="G8411" t="s">
        <v>12</v>
      </c>
      <c r="I8411" t="s">
        <v>1050</v>
      </c>
    </row>
    <row r="8412" spans="1:9" hidden="1" x14ac:dyDescent="0.25">
      <c r="A8412" t="s">
        <v>7013</v>
      </c>
      <c r="B8412" t="s">
        <v>539</v>
      </c>
      <c r="C8412" s="2">
        <f>HYPERLINK("https://cao.dolgi.msk.ru/account/1080316682/", 1080316682)</f>
        <v>1080316682</v>
      </c>
      <c r="D8412" t="s">
        <v>7047</v>
      </c>
      <c r="E8412">
        <v>-8026.38</v>
      </c>
      <c r="F8412">
        <v>-2.58</v>
      </c>
      <c r="G8412" t="s">
        <v>12</v>
      </c>
      <c r="I8412" t="s">
        <v>1050</v>
      </c>
    </row>
    <row r="8413" spans="1:9" hidden="1" x14ac:dyDescent="0.25">
      <c r="A8413" t="s">
        <v>7013</v>
      </c>
      <c r="B8413" t="s">
        <v>541</v>
      </c>
      <c r="C8413" s="2">
        <f>HYPERLINK("https://cao.dolgi.msk.ru/account/1080316703/", 1080316703)</f>
        <v>1080316703</v>
      </c>
      <c r="D8413" t="s">
        <v>7048</v>
      </c>
      <c r="E8413">
        <v>-4452.04</v>
      </c>
      <c r="F8413">
        <v>-1.31</v>
      </c>
      <c r="G8413" t="s">
        <v>12</v>
      </c>
      <c r="I8413" t="s">
        <v>1050</v>
      </c>
    </row>
    <row r="8414" spans="1:9" hidden="1" x14ac:dyDescent="0.25">
      <c r="A8414" t="s">
        <v>7013</v>
      </c>
      <c r="B8414" t="s">
        <v>543</v>
      </c>
      <c r="C8414" s="2">
        <f>HYPERLINK("https://cao.dolgi.msk.ru/account/1080316711/", 1080316711)</f>
        <v>1080316711</v>
      </c>
      <c r="D8414" t="s">
        <v>7049</v>
      </c>
      <c r="E8414">
        <v>-1727.85</v>
      </c>
      <c r="F8414">
        <v>-0.5</v>
      </c>
      <c r="G8414" t="s">
        <v>12</v>
      </c>
      <c r="I8414" t="s">
        <v>1050</v>
      </c>
    </row>
    <row r="8415" spans="1:9" hidden="1" x14ac:dyDescent="0.25">
      <c r="A8415" t="s">
        <v>7013</v>
      </c>
      <c r="B8415" t="s">
        <v>545</v>
      </c>
      <c r="C8415" s="2">
        <f>HYPERLINK("https://cao.dolgi.msk.ru/account/1080316738/", 1080316738)</f>
        <v>1080316738</v>
      </c>
      <c r="D8415" t="s">
        <v>7050</v>
      </c>
      <c r="E8415">
        <v>2322.37</v>
      </c>
      <c r="F8415">
        <v>0.56999999999999995</v>
      </c>
      <c r="G8415" t="s">
        <v>12</v>
      </c>
      <c r="I8415" t="s">
        <v>1050</v>
      </c>
    </row>
    <row r="8416" spans="1:9" hidden="1" x14ac:dyDescent="0.25">
      <c r="A8416" t="s">
        <v>7013</v>
      </c>
      <c r="B8416" t="s">
        <v>545</v>
      </c>
      <c r="C8416" s="2">
        <f>HYPERLINK("https://cao.dolgi.msk.ru/account/1080316746/", 1080316746)</f>
        <v>1080316746</v>
      </c>
      <c r="D8416" t="s">
        <v>15</v>
      </c>
      <c r="G8416" t="s">
        <v>14</v>
      </c>
      <c r="I8416" t="s">
        <v>1050</v>
      </c>
    </row>
    <row r="8417" spans="1:9" hidden="1" x14ac:dyDescent="0.25">
      <c r="A8417" t="s">
        <v>7013</v>
      </c>
      <c r="B8417" t="s">
        <v>546</v>
      </c>
      <c r="C8417" s="2">
        <f>HYPERLINK("https://cao.dolgi.msk.ru/account/1080316754/", 1080316754)</f>
        <v>1080316754</v>
      </c>
      <c r="D8417" t="s">
        <v>7051</v>
      </c>
      <c r="E8417">
        <v>0</v>
      </c>
      <c r="F8417">
        <v>0</v>
      </c>
      <c r="G8417" t="s">
        <v>12</v>
      </c>
      <c r="I8417" t="s">
        <v>1050</v>
      </c>
    </row>
    <row r="8418" spans="1:9" hidden="1" x14ac:dyDescent="0.25">
      <c r="A8418" t="s">
        <v>7013</v>
      </c>
      <c r="B8418" t="s">
        <v>548</v>
      </c>
      <c r="C8418" s="2">
        <f>HYPERLINK("https://cao.dolgi.msk.ru/account/1080316762/", 1080316762)</f>
        <v>1080316762</v>
      </c>
      <c r="D8418" t="s">
        <v>7052</v>
      </c>
      <c r="E8418">
        <v>-6497.19</v>
      </c>
      <c r="F8418">
        <v>-1.17</v>
      </c>
      <c r="G8418" t="s">
        <v>12</v>
      </c>
      <c r="I8418" t="s">
        <v>1050</v>
      </c>
    </row>
    <row r="8419" spans="1:9" hidden="1" x14ac:dyDescent="0.25">
      <c r="A8419" t="s">
        <v>7013</v>
      </c>
      <c r="B8419" t="s">
        <v>727</v>
      </c>
      <c r="C8419" s="2">
        <f>HYPERLINK("https://cao.dolgi.msk.ru/account/1080316789/", 1080316789)</f>
        <v>1080316789</v>
      </c>
      <c r="D8419" t="s">
        <v>7053</v>
      </c>
      <c r="E8419">
        <v>-1866.58</v>
      </c>
      <c r="F8419">
        <v>-1.19</v>
      </c>
      <c r="G8419" t="s">
        <v>12</v>
      </c>
      <c r="I8419" t="s">
        <v>1050</v>
      </c>
    </row>
    <row r="8420" spans="1:9" hidden="1" x14ac:dyDescent="0.25">
      <c r="A8420" t="s">
        <v>7054</v>
      </c>
      <c r="B8420" t="s">
        <v>44</v>
      </c>
      <c r="C8420" s="2">
        <f>HYPERLINK("https://cao.dolgi.msk.ru/account/1080317036/", 1080317036)</f>
        <v>1080317036</v>
      </c>
      <c r="D8420" t="s">
        <v>7055</v>
      </c>
      <c r="G8420" t="s">
        <v>14</v>
      </c>
    </row>
    <row r="8421" spans="1:9" hidden="1" x14ac:dyDescent="0.25">
      <c r="A8421" t="s">
        <v>7056</v>
      </c>
      <c r="B8421" t="s">
        <v>20</v>
      </c>
      <c r="C8421" s="2">
        <f>HYPERLINK("https://cao.dolgi.msk.ru/account/1080316797/", 1080316797)</f>
        <v>1080316797</v>
      </c>
      <c r="D8421" t="s">
        <v>7057</v>
      </c>
      <c r="G8421" t="s">
        <v>14</v>
      </c>
    </row>
    <row r="8422" spans="1:9" hidden="1" x14ac:dyDescent="0.25">
      <c r="A8422" t="s">
        <v>7056</v>
      </c>
      <c r="B8422" t="s">
        <v>21</v>
      </c>
      <c r="C8422" s="2">
        <f>HYPERLINK("https://cao.dolgi.msk.ru/account/1080316818/", 1080316818)</f>
        <v>1080316818</v>
      </c>
      <c r="D8422" t="s">
        <v>7058</v>
      </c>
      <c r="G8422" t="s">
        <v>14</v>
      </c>
    </row>
    <row r="8423" spans="1:9" hidden="1" x14ac:dyDescent="0.25">
      <c r="A8423" t="s">
        <v>7056</v>
      </c>
      <c r="B8423" t="s">
        <v>22</v>
      </c>
      <c r="C8423" s="2">
        <f>HYPERLINK("https://cao.dolgi.msk.ru/account/1080316826/", 1080316826)</f>
        <v>1080316826</v>
      </c>
      <c r="D8423" t="s">
        <v>7059</v>
      </c>
      <c r="G8423" t="s">
        <v>14</v>
      </c>
    </row>
    <row r="8424" spans="1:9" hidden="1" x14ac:dyDescent="0.25">
      <c r="A8424" t="s">
        <v>7056</v>
      </c>
      <c r="B8424" t="s">
        <v>24</v>
      </c>
      <c r="C8424" s="2">
        <f>HYPERLINK("https://cao.dolgi.msk.ru/account/1080316842/", 1080316842)</f>
        <v>1080316842</v>
      </c>
      <c r="D8424" t="s">
        <v>15</v>
      </c>
      <c r="G8424" t="s">
        <v>14</v>
      </c>
    </row>
    <row r="8425" spans="1:9" hidden="1" x14ac:dyDescent="0.25">
      <c r="A8425" t="s">
        <v>7056</v>
      </c>
      <c r="B8425" t="s">
        <v>24</v>
      </c>
      <c r="C8425" s="2">
        <f>HYPERLINK("https://cao.dolgi.msk.ru/account/1080316869/", 1080316869)</f>
        <v>1080316869</v>
      </c>
      <c r="D8425" t="s">
        <v>7060</v>
      </c>
      <c r="G8425" t="s">
        <v>14</v>
      </c>
    </row>
    <row r="8426" spans="1:9" hidden="1" x14ac:dyDescent="0.25">
      <c r="A8426" t="s">
        <v>7056</v>
      </c>
      <c r="B8426" t="s">
        <v>27</v>
      </c>
      <c r="C8426" s="2">
        <f>HYPERLINK("https://cao.dolgi.msk.ru/account/1080316877/", 1080316877)</f>
        <v>1080316877</v>
      </c>
      <c r="D8426" t="s">
        <v>7061</v>
      </c>
      <c r="G8426" t="s">
        <v>14</v>
      </c>
    </row>
    <row r="8427" spans="1:9" hidden="1" x14ac:dyDescent="0.25">
      <c r="A8427" t="s">
        <v>7056</v>
      </c>
      <c r="B8427" t="s">
        <v>29</v>
      </c>
      <c r="C8427" s="2">
        <f>HYPERLINK("https://cao.dolgi.msk.ru/account/1080316885/", 1080316885)</f>
        <v>1080316885</v>
      </c>
      <c r="D8427" t="s">
        <v>7062</v>
      </c>
      <c r="G8427" t="s">
        <v>14</v>
      </c>
    </row>
    <row r="8428" spans="1:9" hidden="1" x14ac:dyDescent="0.25">
      <c r="A8428" t="s">
        <v>7056</v>
      </c>
      <c r="B8428" t="s">
        <v>31</v>
      </c>
      <c r="C8428" s="2">
        <f>HYPERLINK("https://cao.dolgi.msk.ru/account/1080316893/", 1080316893)</f>
        <v>1080316893</v>
      </c>
      <c r="D8428" t="s">
        <v>7063</v>
      </c>
      <c r="G8428" t="s">
        <v>14</v>
      </c>
    </row>
    <row r="8429" spans="1:9" hidden="1" x14ac:dyDescent="0.25">
      <c r="A8429" t="s">
        <v>7056</v>
      </c>
      <c r="B8429" t="s">
        <v>33</v>
      </c>
      <c r="C8429" s="2">
        <f>HYPERLINK("https://cao.dolgi.msk.ru/account/1080316906/", 1080316906)</f>
        <v>1080316906</v>
      </c>
      <c r="D8429" t="s">
        <v>7064</v>
      </c>
      <c r="G8429" t="s">
        <v>14</v>
      </c>
    </row>
    <row r="8430" spans="1:9" hidden="1" x14ac:dyDescent="0.25">
      <c r="A8430" t="s">
        <v>7056</v>
      </c>
      <c r="B8430" t="s">
        <v>34</v>
      </c>
      <c r="C8430" s="2">
        <f>HYPERLINK("https://cao.dolgi.msk.ru/account/1080316914/", 1080316914)</f>
        <v>1080316914</v>
      </c>
      <c r="D8430" t="s">
        <v>7065</v>
      </c>
      <c r="G8430" t="s">
        <v>14</v>
      </c>
    </row>
    <row r="8431" spans="1:9" hidden="1" x14ac:dyDescent="0.25">
      <c r="A8431" t="s">
        <v>7056</v>
      </c>
      <c r="B8431" t="s">
        <v>38</v>
      </c>
      <c r="C8431" s="2">
        <f>HYPERLINK("https://cao.dolgi.msk.ru/account/1080316949/", 1080316949)</f>
        <v>1080316949</v>
      </c>
      <c r="D8431" t="s">
        <v>7066</v>
      </c>
      <c r="G8431" t="s">
        <v>14</v>
      </c>
    </row>
    <row r="8432" spans="1:9" hidden="1" x14ac:dyDescent="0.25">
      <c r="A8432" t="s">
        <v>7056</v>
      </c>
      <c r="B8432" t="s">
        <v>39</v>
      </c>
      <c r="C8432" s="2">
        <f>HYPERLINK("https://cao.dolgi.msk.ru/account/1080316957/", 1080316957)</f>
        <v>1080316957</v>
      </c>
      <c r="D8432" t="s">
        <v>7067</v>
      </c>
      <c r="G8432" t="s">
        <v>14</v>
      </c>
    </row>
    <row r="8433" spans="1:8" hidden="1" x14ac:dyDescent="0.25">
      <c r="A8433" t="s">
        <v>7056</v>
      </c>
      <c r="B8433" t="s">
        <v>40</v>
      </c>
      <c r="C8433" s="2">
        <f>HYPERLINK("https://cao.dolgi.msk.ru/account/1080316965/", 1080316965)</f>
        <v>1080316965</v>
      </c>
      <c r="D8433" t="s">
        <v>7068</v>
      </c>
      <c r="G8433" t="s">
        <v>14</v>
      </c>
    </row>
    <row r="8434" spans="1:8" hidden="1" x14ac:dyDescent="0.25">
      <c r="A8434" t="s">
        <v>7056</v>
      </c>
      <c r="B8434" t="s">
        <v>41</v>
      </c>
      <c r="C8434" s="2">
        <f>HYPERLINK("https://cao.dolgi.msk.ru/account/1080316973/", 1080316973)</f>
        <v>1080316973</v>
      </c>
      <c r="D8434" t="s">
        <v>15</v>
      </c>
      <c r="G8434" t="s">
        <v>14</v>
      </c>
    </row>
    <row r="8435" spans="1:8" hidden="1" x14ac:dyDescent="0.25">
      <c r="A8435" t="s">
        <v>7056</v>
      </c>
      <c r="B8435" t="s">
        <v>41</v>
      </c>
      <c r="C8435" s="2">
        <f>HYPERLINK("https://cao.dolgi.msk.ru/account/1080316981/", 1080316981)</f>
        <v>1080316981</v>
      </c>
      <c r="D8435" t="s">
        <v>15</v>
      </c>
      <c r="G8435" t="s">
        <v>14</v>
      </c>
    </row>
    <row r="8436" spans="1:8" hidden="1" x14ac:dyDescent="0.25">
      <c r="A8436" t="s">
        <v>7056</v>
      </c>
      <c r="B8436" t="s">
        <v>41</v>
      </c>
      <c r="C8436" s="2">
        <f>HYPERLINK("https://cao.dolgi.msk.ru/account/1080317001/", 1080317001)</f>
        <v>1080317001</v>
      </c>
      <c r="D8436" t="s">
        <v>7069</v>
      </c>
      <c r="G8436" t="s">
        <v>14</v>
      </c>
    </row>
    <row r="8437" spans="1:8" hidden="1" x14ac:dyDescent="0.25">
      <c r="A8437" t="s">
        <v>7056</v>
      </c>
      <c r="B8437" t="s">
        <v>41</v>
      </c>
      <c r="C8437" s="2">
        <f>HYPERLINK("https://cao.dolgi.msk.ru/account/1080326717/", 1080326717)</f>
        <v>1080326717</v>
      </c>
      <c r="D8437" t="s">
        <v>15</v>
      </c>
      <c r="G8437" t="s">
        <v>14</v>
      </c>
    </row>
    <row r="8438" spans="1:8" hidden="1" x14ac:dyDescent="0.25">
      <c r="A8438" t="s">
        <v>7056</v>
      </c>
      <c r="B8438" t="s">
        <v>42</v>
      </c>
      <c r="C8438" s="2">
        <f>HYPERLINK("https://cao.dolgi.msk.ru/account/1080317028/", 1080317028)</f>
        <v>1080317028</v>
      </c>
      <c r="D8438" t="s">
        <v>7069</v>
      </c>
      <c r="G8438" t="s">
        <v>14</v>
      </c>
    </row>
    <row r="8439" spans="1:8" hidden="1" x14ac:dyDescent="0.25">
      <c r="A8439" t="s">
        <v>7056</v>
      </c>
      <c r="B8439" t="s">
        <v>66</v>
      </c>
      <c r="C8439" s="2">
        <f>HYPERLINK("https://cao.dolgi.msk.ru/account/1080317044/", 1080317044)</f>
        <v>1080317044</v>
      </c>
      <c r="D8439" t="s">
        <v>7070</v>
      </c>
      <c r="G8439" t="s">
        <v>14</v>
      </c>
    </row>
    <row r="8440" spans="1:8" hidden="1" x14ac:dyDescent="0.25">
      <c r="A8440" t="s">
        <v>7056</v>
      </c>
      <c r="B8440" t="s">
        <v>68</v>
      </c>
      <c r="C8440" s="2">
        <f>HYPERLINK("https://cao.dolgi.msk.ru/account/1080317052/", 1080317052)</f>
        <v>1080317052</v>
      </c>
      <c r="D8440" t="s">
        <v>7071</v>
      </c>
      <c r="G8440" t="s">
        <v>14</v>
      </c>
    </row>
    <row r="8441" spans="1:8" hidden="1" x14ac:dyDescent="0.25">
      <c r="A8441" t="s">
        <v>7056</v>
      </c>
      <c r="B8441" t="s">
        <v>70</v>
      </c>
      <c r="C8441" s="2">
        <f>HYPERLINK("https://cao.dolgi.msk.ru/account/1080317079/", 1080317079)</f>
        <v>1080317079</v>
      </c>
      <c r="D8441" t="s">
        <v>62</v>
      </c>
      <c r="G8441" t="s">
        <v>14</v>
      </c>
    </row>
    <row r="8442" spans="1:8" hidden="1" x14ac:dyDescent="0.25">
      <c r="A8442" t="s">
        <v>7056</v>
      </c>
      <c r="B8442" t="s">
        <v>72</v>
      </c>
      <c r="C8442" s="2">
        <f>HYPERLINK("https://cao.dolgi.msk.ru/account/1080317087/", 1080317087)</f>
        <v>1080317087</v>
      </c>
      <c r="D8442" t="s">
        <v>7072</v>
      </c>
      <c r="G8442" t="s">
        <v>14</v>
      </c>
      <c r="H8442" t="s">
        <v>7</v>
      </c>
    </row>
    <row r="8443" spans="1:8" hidden="1" x14ac:dyDescent="0.25">
      <c r="A8443" t="s">
        <v>7056</v>
      </c>
      <c r="B8443" t="s">
        <v>72</v>
      </c>
      <c r="C8443" s="2">
        <f>HYPERLINK("https://cao.dolgi.msk.ru/account/1080317095/", 1080317095)</f>
        <v>1080317095</v>
      </c>
      <c r="D8443" t="s">
        <v>7072</v>
      </c>
      <c r="G8443" t="s">
        <v>14</v>
      </c>
      <c r="H8443" t="s">
        <v>7</v>
      </c>
    </row>
    <row r="8444" spans="1:8" hidden="1" x14ac:dyDescent="0.25">
      <c r="A8444" t="s">
        <v>7056</v>
      </c>
      <c r="B8444" t="s">
        <v>72</v>
      </c>
      <c r="C8444" s="2">
        <f>HYPERLINK("https://cao.dolgi.msk.ru/account/1080317108/", 1080317108)</f>
        <v>1080317108</v>
      </c>
      <c r="D8444" t="s">
        <v>7072</v>
      </c>
      <c r="G8444" t="s">
        <v>14</v>
      </c>
      <c r="H8444" t="s">
        <v>7</v>
      </c>
    </row>
    <row r="8445" spans="1:8" hidden="1" x14ac:dyDescent="0.25">
      <c r="A8445" t="s">
        <v>7056</v>
      </c>
      <c r="B8445" t="s">
        <v>74</v>
      </c>
      <c r="C8445" s="2">
        <f>HYPERLINK("https://cao.dolgi.msk.ru/account/1080317116/", 1080317116)</f>
        <v>1080317116</v>
      </c>
      <c r="D8445" t="s">
        <v>15</v>
      </c>
      <c r="G8445" t="s">
        <v>14</v>
      </c>
      <c r="H8445" t="s">
        <v>7</v>
      </c>
    </row>
    <row r="8446" spans="1:8" hidden="1" x14ac:dyDescent="0.25">
      <c r="A8446" t="s">
        <v>7056</v>
      </c>
      <c r="B8446" t="s">
        <v>74</v>
      </c>
      <c r="C8446" s="2">
        <f>HYPERLINK("https://cao.dolgi.msk.ru/account/1080317124/", 1080317124)</f>
        <v>1080317124</v>
      </c>
      <c r="D8446" t="s">
        <v>7073</v>
      </c>
      <c r="G8446" t="s">
        <v>14</v>
      </c>
      <c r="H8446" t="s">
        <v>7</v>
      </c>
    </row>
    <row r="8447" spans="1:8" hidden="1" x14ac:dyDescent="0.25">
      <c r="A8447" t="s">
        <v>7056</v>
      </c>
      <c r="B8447" t="s">
        <v>74</v>
      </c>
      <c r="C8447" s="2">
        <f>HYPERLINK("https://cao.dolgi.msk.ru/account/1080317132/", 1080317132)</f>
        <v>1080317132</v>
      </c>
      <c r="D8447" t="s">
        <v>7073</v>
      </c>
      <c r="G8447" t="s">
        <v>14</v>
      </c>
      <c r="H8447" t="s">
        <v>7</v>
      </c>
    </row>
    <row r="8448" spans="1:8" hidden="1" x14ac:dyDescent="0.25">
      <c r="A8448" t="s">
        <v>7056</v>
      </c>
      <c r="B8448" t="s">
        <v>76</v>
      </c>
      <c r="C8448" s="2">
        <f>HYPERLINK("https://cao.dolgi.msk.ru/account/1080317159/", 1080317159)</f>
        <v>1080317159</v>
      </c>
      <c r="D8448" t="s">
        <v>7074</v>
      </c>
      <c r="G8448" t="s">
        <v>14</v>
      </c>
    </row>
    <row r="8449" spans="1:9" hidden="1" x14ac:dyDescent="0.25">
      <c r="A8449" t="s">
        <v>7056</v>
      </c>
      <c r="B8449" t="s">
        <v>78</v>
      </c>
      <c r="C8449" s="2">
        <f>HYPERLINK("https://cao.dolgi.msk.ru/account/1080317167/", 1080317167)</f>
        <v>1080317167</v>
      </c>
      <c r="D8449" t="s">
        <v>7075</v>
      </c>
      <c r="G8449" t="s">
        <v>14</v>
      </c>
    </row>
    <row r="8450" spans="1:9" hidden="1" x14ac:dyDescent="0.25">
      <c r="A8450" t="s">
        <v>7056</v>
      </c>
      <c r="B8450" t="s">
        <v>80</v>
      </c>
      <c r="C8450" s="2">
        <f>HYPERLINK("https://cao.dolgi.msk.ru/account/1080317175/", 1080317175)</f>
        <v>1080317175</v>
      </c>
      <c r="D8450" t="s">
        <v>7076</v>
      </c>
      <c r="G8450" t="s">
        <v>14</v>
      </c>
    </row>
    <row r="8451" spans="1:9" hidden="1" x14ac:dyDescent="0.25">
      <c r="A8451" t="s">
        <v>7077</v>
      </c>
      <c r="B8451" t="s">
        <v>10</v>
      </c>
      <c r="C8451" s="2">
        <f>HYPERLINK("https://cao.dolgi.msk.ru/account/1080312753/", 1080312753)</f>
        <v>1080312753</v>
      </c>
      <c r="D8451" t="s">
        <v>7078</v>
      </c>
      <c r="E8451">
        <v>-2991.33</v>
      </c>
      <c r="F8451">
        <v>-1.02</v>
      </c>
      <c r="G8451" t="s">
        <v>12</v>
      </c>
      <c r="H8451" t="s">
        <v>7</v>
      </c>
      <c r="I8451" t="s">
        <v>1050</v>
      </c>
    </row>
    <row r="8452" spans="1:9" hidden="1" x14ac:dyDescent="0.25">
      <c r="A8452" t="s">
        <v>7077</v>
      </c>
      <c r="B8452" t="s">
        <v>16</v>
      </c>
      <c r="C8452" s="2">
        <f>HYPERLINK("https://cao.dolgi.msk.ru/account/1080312761/", 1080312761)</f>
        <v>1080312761</v>
      </c>
      <c r="D8452" t="s">
        <v>7079</v>
      </c>
      <c r="E8452">
        <v>77.599999999999994</v>
      </c>
      <c r="F8452">
        <v>0.03</v>
      </c>
      <c r="G8452" t="s">
        <v>12</v>
      </c>
      <c r="H8452" t="s">
        <v>7</v>
      </c>
      <c r="I8452" t="s">
        <v>1050</v>
      </c>
    </row>
    <row r="8453" spans="1:9" hidden="1" x14ac:dyDescent="0.25">
      <c r="A8453" t="s">
        <v>7077</v>
      </c>
      <c r="B8453" t="s">
        <v>21</v>
      </c>
      <c r="C8453" s="2">
        <f>HYPERLINK("https://cao.dolgi.msk.ru/account/1080312788/", 1080312788)</f>
        <v>1080312788</v>
      </c>
      <c r="D8453" t="s">
        <v>7080</v>
      </c>
      <c r="E8453">
        <v>-7778.02</v>
      </c>
      <c r="F8453">
        <v>-1.03</v>
      </c>
      <c r="G8453" t="s">
        <v>12</v>
      </c>
      <c r="I8453" t="s">
        <v>1050</v>
      </c>
    </row>
    <row r="8454" spans="1:9" hidden="1" x14ac:dyDescent="0.25">
      <c r="A8454" t="s">
        <v>7077</v>
      </c>
      <c r="B8454" t="s">
        <v>23</v>
      </c>
      <c r="C8454" s="2">
        <f>HYPERLINK("https://cao.dolgi.msk.ru/account/1080312796/", 1080312796)</f>
        <v>1080312796</v>
      </c>
      <c r="D8454" t="s">
        <v>7081</v>
      </c>
      <c r="E8454">
        <v>-2938.92</v>
      </c>
      <c r="F8454">
        <v>-0.95</v>
      </c>
      <c r="G8454" t="s">
        <v>12</v>
      </c>
      <c r="H8454" t="s">
        <v>7</v>
      </c>
      <c r="I8454" t="s">
        <v>1050</v>
      </c>
    </row>
    <row r="8455" spans="1:9" x14ac:dyDescent="0.25">
      <c r="A8455" t="s">
        <v>7077</v>
      </c>
      <c r="B8455" t="s">
        <v>34</v>
      </c>
      <c r="C8455" s="2">
        <f>HYPERLINK("https://cao.dolgi.msk.ru/account/1080312809/", 1080312809)</f>
        <v>1080312809</v>
      </c>
      <c r="D8455" t="s">
        <v>7082</v>
      </c>
      <c r="E8455">
        <v>67584.27</v>
      </c>
      <c r="F8455">
        <v>46.25</v>
      </c>
      <c r="G8455" t="s">
        <v>12</v>
      </c>
      <c r="H8455" t="s">
        <v>7</v>
      </c>
      <c r="I8455" t="s">
        <v>1050</v>
      </c>
    </row>
    <row r="8456" spans="1:9" hidden="1" x14ac:dyDescent="0.25">
      <c r="A8456" t="s">
        <v>7077</v>
      </c>
      <c r="B8456" t="s">
        <v>38</v>
      </c>
      <c r="C8456" s="2">
        <f>HYPERLINK("https://cao.dolgi.msk.ru/account/1080312817/", 1080312817)</f>
        <v>1080312817</v>
      </c>
      <c r="D8456" t="s">
        <v>7083</v>
      </c>
      <c r="E8456">
        <v>-4217.51</v>
      </c>
      <c r="F8456">
        <v>-1.1299999999999999</v>
      </c>
      <c r="G8456" t="s">
        <v>12</v>
      </c>
      <c r="H8456" t="s">
        <v>7</v>
      </c>
      <c r="I8456" t="s">
        <v>1050</v>
      </c>
    </row>
    <row r="8457" spans="1:9" hidden="1" x14ac:dyDescent="0.25">
      <c r="A8457" t="s">
        <v>7077</v>
      </c>
      <c r="B8457" t="s">
        <v>40</v>
      </c>
      <c r="C8457" s="2">
        <f>HYPERLINK("https://cao.dolgi.msk.ru/account/1080312825/", 1080312825)</f>
        <v>1080312825</v>
      </c>
      <c r="D8457" t="s">
        <v>7084</v>
      </c>
      <c r="E8457">
        <v>-7267.56</v>
      </c>
      <c r="F8457">
        <v>-1.1200000000000001</v>
      </c>
      <c r="G8457" t="s">
        <v>12</v>
      </c>
      <c r="I8457" t="s">
        <v>1050</v>
      </c>
    </row>
    <row r="8458" spans="1:9" hidden="1" x14ac:dyDescent="0.25">
      <c r="A8458" t="s">
        <v>7077</v>
      </c>
      <c r="B8458" t="s">
        <v>41</v>
      </c>
      <c r="C8458" s="2">
        <f>HYPERLINK("https://cao.dolgi.msk.ru/account/1080312833/", 1080312833)</f>
        <v>1080312833</v>
      </c>
      <c r="D8458" t="s">
        <v>7085</v>
      </c>
      <c r="E8458">
        <v>-2947.97</v>
      </c>
      <c r="F8458">
        <v>-1.1399999999999999</v>
      </c>
      <c r="G8458" t="s">
        <v>12</v>
      </c>
      <c r="H8458" t="s">
        <v>7</v>
      </c>
      <c r="I8458" t="s">
        <v>1050</v>
      </c>
    </row>
    <row r="8459" spans="1:9" hidden="1" x14ac:dyDescent="0.25">
      <c r="A8459" t="s">
        <v>7077</v>
      </c>
      <c r="B8459" t="s">
        <v>41</v>
      </c>
      <c r="C8459" s="2">
        <f>HYPERLINK("https://cao.dolgi.msk.ru/account/1080312841/", 1080312841)</f>
        <v>1080312841</v>
      </c>
      <c r="D8459" t="s">
        <v>7085</v>
      </c>
      <c r="E8459">
        <v>428</v>
      </c>
      <c r="F8459">
        <v>0.19</v>
      </c>
      <c r="G8459" t="s">
        <v>12</v>
      </c>
      <c r="H8459" t="s">
        <v>7</v>
      </c>
      <c r="I8459" t="s">
        <v>1050</v>
      </c>
    </row>
    <row r="8460" spans="1:9" hidden="1" x14ac:dyDescent="0.25">
      <c r="A8460" t="s">
        <v>7077</v>
      </c>
      <c r="B8460" t="s">
        <v>42</v>
      </c>
      <c r="C8460" s="2">
        <f>HYPERLINK("https://cao.dolgi.msk.ru/account/1080312868/", 1080312868)</f>
        <v>1080312868</v>
      </c>
      <c r="D8460" t="s">
        <v>15</v>
      </c>
      <c r="E8460">
        <v>-5580.62</v>
      </c>
      <c r="F8460">
        <v>-0.89</v>
      </c>
      <c r="G8460" t="s">
        <v>12</v>
      </c>
      <c r="H8460" t="s">
        <v>7</v>
      </c>
      <c r="I8460" t="s">
        <v>1050</v>
      </c>
    </row>
    <row r="8461" spans="1:9" hidden="1" x14ac:dyDescent="0.25">
      <c r="A8461" t="s">
        <v>7077</v>
      </c>
      <c r="B8461" t="s">
        <v>72</v>
      </c>
      <c r="C8461" s="2">
        <f>HYPERLINK("https://cao.dolgi.msk.ru/account/1080312876/", 1080312876)</f>
        <v>1080312876</v>
      </c>
      <c r="D8461" t="s">
        <v>7086</v>
      </c>
      <c r="E8461">
        <v>69.150000000000006</v>
      </c>
      <c r="F8461">
        <v>0.01</v>
      </c>
      <c r="G8461" t="s">
        <v>12</v>
      </c>
      <c r="I8461" t="s">
        <v>1050</v>
      </c>
    </row>
    <row r="8462" spans="1:9" hidden="1" x14ac:dyDescent="0.25">
      <c r="A8462" t="s">
        <v>7077</v>
      </c>
      <c r="B8462" t="s">
        <v>74</v>
      </c>
      <c r="C8462" s="2">
        <f>HYPERLINK("https://cao.dolgi.msk.ru/account/1080312892/", 1080312892)</f>
        <v>1080312892</v>
      </c>
      <c r="D8462" t="s">
        <v>7087</v>
      </c>
      <c r="E8462">
        <v>5.63</v>
      </c>
      <c r="F8462">
        <v>0</v>
      </c>
      <c r="G8462" t="s">
        <v>12</v>
      </c>
      <c r="I8462" t="s">
        <v>1050</v>
      </c>
    </row>
    <row r="8463" spans="1:9" hidden="1" x14ac:dyDescent="0.25">
      <c r="A8463" t="s">
        <v>7077</v>
      </c>
      <c r="B8463" t="s">
        <v>74</v>
      </c>
      <c r="C8463" s="2">
        <f>HYPERLINK("https://cao.dolgi.msk.ru/account/1089129584/", 1089129584)</f>
        <v>1089129584</v>
      </c>
      <c r="D8463" t="s">
        <v>15</v>
      </c>
      <c r="E8463">
        <v>0</v>
      </c>
      <c r="G8463" t="s">
        <v>14</v>
      </c>
      <c r="I8463" t="s">
        <v>1050</v>
      </c>
    </row>
    <row r="8464" spans="1:9" hidden="1" x14ac:dyDescent="0.25">
      <c r="A8464" t="s">
        <v>7077</v>
      </c>
      <c r="B8464" t="s">
        <v>76</v>
      </c>
      <c r="C8464" s="2">
        <f>HYPERLINK("https://cao.dolgi.msk.ru/account/1080312905/", 1080312905)</f>
        <v>1080312905</v>
      </c>
      <c r="D8464" t="s">
        <v>7088</v>
      </c>
      <c r="E8464">
        <v>6643.5</v>
      </c>
      <c r="F8464">
        <v>0.9</v>
      </c>
      <c r="G8464" t="s">
        <v>12</v>
      </c>
      <c r="I8464" t="s">
        <v>1050</v>
      </c>
    </row>
    <row r="8465" spans="1:9" x14ac:dyDescent="0.25">
      <c r="A8465" t="s">
        <v>7077</v>
      </c>
      <c r="B8465" t="s">
        <v>82</v>
      </c>
      <c r="C8465" s="2">
        <f>HYPERLINK("https://cao.dolgi.msk.ru/account/1080312913/", 1080312913)</f>
        <v>1080312913</v>
      </c>
      <c r="D8465" t="s">
        <v>7089</v>
      </c>
      <c r="E8465">
        <v>59317.95</v>
      </c>
      <c r="F8465">
        <v>12.36</v>
      </c>
      <c r="G8465" t="s">
        <v>12</v>
      </c>
      <c r="H8465" t="s">
        <v>7</v>
      </c>
      <c r="I8465" t="s">
        <v>1050</v>
      </c>
    </row>
    <row r="8466" spans="1:9" hidden="1" x14ac:dyDescent="0.25">
      <c r="A8466" t="s">
        <v>7077</v>
      </c>
      <c r="B8466" t="s">
        <v>82</v>
      </c>
      <c r="C8466" s="2">
        <f>HYPERLINK("https://cao.dolgi.msk.ru/account/1080322214/", 1080322214)</f>
        <v>1080322214</v>
      </c>
      <c r="D8466" t="s">
        <v>7090</v>
      </c>
      <c r="E8466">
        <v>-3112.02</v>
      </c>
      <c r="F8466">
        <v>-1.18</v>
      </c>
      <c r="G8466" t="s">
        <v>12</v>
      </c>
      <c r="H8466" t="s">
        <v>7</v>
      </c>
      <c r="I8466" t="s">
        <v>1050</v>
      </c>
    </row>
    <row r="8467" spans="1:9" x14ac:dyDescent="0.25">
      <c r="A8467" t="s">
        <v>7077</v>
      </c>
      <c r="B8467" t="s">
        <v>82</v>
      </c>
      <c r="C8467" s="2">
        <f>HYPERLINK("https://cao.dolgi.msk.ru/account/1089118439/", 1089118439)</f>
        <v>1089118439</v>
      </c>
      <c r="D8467" t="s">
        <v>1082</v>
      </c>
      <c r="E8467">
        <v>68130.600000000006</v>
      </c>
      <c r="F8467">
        <v>19.3</v>
      </c>
      <c r="G8467" t="s">
        <v>12</v>
      </c>
      <c r="H8467" t="s">
        <v>7</v>
      </c>
      <c r="I8467" t="s">
        <v>1050</v>
      </c>
    </row>
    <row r="8468" spans="1:9" hidden="1" x14ac:dyDescent="0.25">
      <c r="A8468" t="s">
        <v>7077</v>
      </c>
      <c r="B8468" t="s">
        <v>84</v>
      </c>
      <c r="C8468" s="2">
        <f>HYPERLINK("https://cao.dolgi.msk.ru/account/1080312921/", 1080312921)</f>
        <v>1080312921</v>
      </c>
      <c r="D8468" t="s">
        <v>7091</v>
      </c>
      <c r="E8468">
        <v>-3977.47</v>
      </c>
      <c r="F8468">
        <v>-1.0900000000000001</v>
      </c>
      <c r="G8468" t="s">
        <v>12</v>
      </c>
      <c r="H8468" t="s">
        <v>7</v>
      </c>
      <c r="I8468" t="s">
        <v>1050</v>
      </c>
    </row>
    <row r="8469" spans="1:9" hidden="1" x14ac:dyDescent="0.25">
      <c r="A8469" t="s">
        <v>7077</v>
      </c>
      <c r="B8469" t="s">
        <v>84</v>
      </c>
      <c r="C8469" s="2">
        <f>HYPERLINK("https://cao.dolgi.msk.ru/account/1080312948/", 1080312948)</f>
        <v>1080312948</v>
      </c>
      <c r="D8469" t="s">
        <v>7091</v>
      </c>
      <c r="E8469">
        <v>81.94</v>
      </c>
      <c r="F8469">
        <v>0.02</v>
      </c>
      <c r="G8469" t="s">
        <v>12</v>
      </c>
      <c r="H8469" t="s">
        <v>7</v>
      </c>
      <c r="I8469" t="s">
        <v>1050</v>
      </c>
    </row>
    <row r="8470" spans="1:9" hidden="1" x14ac:dyDescent="0.25">
      <c r="A8470" t="s">
        <v>7092</v>
      </c>
      <c r="B8470" t="s">
        <v>10</v>
      </c>
      <c r="C8470" s="2">
        <f>HYPERLINK("https://cao.dolgi.msk.ru/account/1080313019/", 1080313019)</f>
        <v>1080313019</v>
      </c>
      <c r="D8470" t="s">
        <v>7093</v>
      </c>
      <c r="E8470">
        <v>-405</v>
      </c>
      <c r="F8470">
        <v>-7.0000000000000007E-2</v>
      </c>
      <c r="G8470" t="s">
        <v>12</v>
      </c>
      <c r="I8470" t="s">
        <v>1050</v>
      </c>
    </row>
    <row r="8471" spans="1:9" hidden="1" x14ac:dyDescent="0.25">
      <c r="A8471" t="s">
        <v>7092</v>
      </c>
      <c r="B8471" t="s">
        <v>16</v>
      </c>
      <c r="C8471" s="2">
        <f>HYPERLINK("https://cao.dolgi.msk.ru/account/1080312956/", 1080312956)</f>
        <v>1080312956</v>
      </c>
      <c r="D8471" t="s">
        <v>7094</v>
      </c>
      <c r="E8471">
        <v>-360.55</v>
      </c>
      <c r="F8471">
        <v>-7.0000000000000007E-2</v>
      </c>
      <c r="G8471" t="s">
        <v>12</v>
      </c>
      <c r="I8471" t="s">
        <v>1050</v>
      </c>
    </row>
    <row r="8472" spans="1:9" hidden="1" x14ac:dyDescent="0.25">
      <c r="A8472" t="s">
        <v>7092</v>
      </c>
      <c r="B8472" t="s">
        <v>18</v>
      </c>
      <c r="C8472" s="2">
        <f>HYPERLINK("https://cao.dolgi.msk.ru/account/1080312964/", 1080312964)</f>
        <v>1080312964</v>
      </c>
      <c r="D8472" t="s">
        <v>7095</v>
      </c>
      <c r="E8472">
        <v>-5554.54</v>
      </c>
      <c r="F8472">
        <v>-1.03</v>
      </c>
      <c r="G8472" t="s">
        <v>12</v>
      </c>
      <c r="I8472" t="s">
        <v>1050</v>
      </c>
    </row>
    <row r="8473" spans="1:9" hidden="1" x14ac:dyDescent="0.25">
      <c r="A8473" t="s">
        <v>7092</v>
      </c>
      <c r="B8473" t="s">
        <v>20</v>
      </c>
      <c r="C8473" s="2">
        <f>HYPERLINK("https://cao.dolgi.msk.ru/account/1080312972/", 1080312972)</f>
        <v>1080312972</v>
      </c>
      <c r="D8473" t="s">
        <v>7096</v>
      </c>
      <c r="E8473">
        <v>-4306.16</v>
      </c>
      <c r="F8473">
        <v>-1.07</v>
      </c>
      <c r="G8473" t="s">
        <v>12</v>
      </c>
      <c r="H8473" t="s">
        <v>7</v>
      </c>
      <c r="I8473" t="s">
        <v>1050</v>
      </c>
    </row>
    <row r="8474" spans="1:9" hidden="1" x14ac:dyDescent="0.25">
      <c r="A8474" t="s">
        <v>7092</v>
      </c>
      <c r="B8474" t="s">
        <v>20</v>
      </c>
      <c r="C8474" s="2">
        <f>HYPERLINK("https://cao.dolgi.msk.ru/account/1080312999/", 1080312999)</f>
        <v>1080312999</v>
      </c>
      <c r="D8474" t="s">
        <v>7096</v>
      </c>
      <c r="E8474">
        <v>-1593.3</v>
      </c>
      <c r="F8474">
        <v>-1.23</v>
      </c>
      <c r="G8474" t="s">
        <v>12</v>
      </c>
      <c r="H8474" t="s">
        <v>7</v>
      </c>
      <c r="I8474" t="s">
        <v>1050</v>
      </c>
    </row>
    <row r="8475" spans="1:9" hidden="1" x14ac:dyDescent="0.25">
      <c r="A8475" t="s">
        <v>7092</v>
      </c>
      <c r="B8475" t="s">
        <v>21</v>
      </c>
      <c r="C8475" s="2">
        <f>HYPERLINK("https://cao.dolgi.msk.ru/account/1080313035/", 1080313035)</f>
        <v>1080313035</v>
      </c>
      <c r="D8475" t="s">
        <v>7097</v>
      </c>
      <c r="E8475">
        <v>-6228.32</v>
      </c>
      <c r="F8475">
        <v>-1.06</v>
      </c>
      <c r="G8475" t="s">
        <v>12</v>
      </c>
      <c r="I8475" t="s">
        <v>1050</v>
      </c>
    </row>
    <row r="8476" spans="1:9" hidden="1" x14ac:dyDescent="0.25">
      <c r="A8476" t="s">
        <v>7092</v>
      </c>
      <c r="B8476" t="s">
        <v>22</v>
      </c>
      <c r="C8476" s="2">
        <f>HYPERLINK("https://cao.dolgi.msk.ru/account/1080313027/", 1080313027)</f>
        <v>1080313027</v>
      </c>
      <c r="D8476" t="s">
        <v>7098</v>
      </c>
      <c r="E8476">
        <v>-4545.93</v>
      </c>
      <c r="F8476">
        <v>-0.68</v>
      </c>
      <c r="G8476" t="s">
        <v>12</v>
      </c>
      <c r="I8476" t="s">
        <v>1050</v>
      </c>
    </row>
    <row r="8477" spans="1:9" hidden="1" x14ac:dyDescent="0.25">
      <c r="A8477" t="s">
        <v>7092</v>
      </c>
      <c r="B8477" t="s">
        <v>23</v>
      </c>
      <c r="C8477" s="2">
        <f>HYPERLINK("https://cao.dolgi.msk.ru/account/1080313043/", 1080313043)</f>
        <v>1080313043</v>
      </c>
      <c r="D8477" t="s">
        <v>7099</v>
      </c>
      <c r="E8477">
        <v>-2868.15</v>
      </c>
      <c r="F8477">
        <v>-1.03</v>
      </c>
      <c r="G8477" t="s">
        <v>12</v>
      </c>
      <c r="I8477" t="s">
        <v>1050</v>
      </c>
    </row>
    <row r="8478" spans="1:9" hidden="1" x14ac:dyDescent="0.25">
      <c r="A8478" t="s">
        <v>7092</v>
      </c>
      <c r="B8478" t="s">
        <v>24</v>
      </c>
      <c r="C8478" s="2">
        <f>HYPERLINK("https://cao.dolgi.msk.ru/account/1080313051/", 1080313051)</f>
        <v>1080313051</v>
      </c>
      <c r="D8478" t="s">
        <v>7100</v>
      </c>
      <c r="E8478">
        <v>-4243.63</v>
      </c>
      <c r="F8478">
        <v>-1.0900000000000001</v>
      </c>
      <c r="G8478" t="s">
        <v>12</v>
      </c>
      <c r="I8478" t="s">
        <v>1050</v>
      </c>
    </row>
    <row r="8479" spans="1:9" hidden="1" x14ac:dyDescent="0.25">
      <c r="A8479" t="s">
        <v>7092</v>
      </c>
      <c r="B8479" t="s">
        <v>27</v>
      </c>
      <c r="C8479" s="2">
        <f>HYPERLINK("https://cao.dolgi.msk.ru/account/1080313086/", 1080313086)</f>
        <v>1080313086</v>
      </c>
      <c r="D8479" t="s">
        <v>7101</v>
      </c>
      <c r="E8479">
        <v>-2032.75</v>
      </c>
      <c r="F8479">
        <v>-0.71</v>
      </c>
      <c r="G8479" t="s">
        <v>12</v>
      </c>
      <c r="I8479" t="s">
        <v>1050</v>
      </c>
    </row>
    <row r="8480" spans="1:9" hidden="1" x14ac:dyDescent="0.25">
      <c r="A8480" t="s">
        <v>7092</v>
      </c>
      <c r="B8480" t="s">
        <v>29</v>
      </c>
      <c r="C8480" s="2">
        <f>HYPERLINK("https://cao.dolgi.msk.ru/account/1080313094/", 1080313094)</f>
        <v>1080313094</v>
      </c>
      <c r="D8480" t="s">
        <v>7102</v>
      </c>
      <c r="E8480">
        <v>-3817.44</v>
      </c>
      <c r="F8480">
        <v>-1.01</v>
      </c>
      <c r="G8480" t="s">
        <v>12</v>
      </c>
      <c r="H8480" t="s">
        <v>7</v>
      </c>
      <c r="I8480" t="s">
        <v>1050</v>
      </c>
    </row>
    <row r="8481" spans="1:9" hidden="1" x14ac:dyDescent="0.25">
      <c r="A8481" t="s">
        <v>7092</v>
      </c>
      <c r="B8481" t="s">
        <v>29</v>
      </c>
      <c r="C8481" s="2">
        <f>HYPERLINK("https://cao.dolgi.msk.ru/account/1080313107/", 1080313107)</f>
        <v>1080313107</v>
      </c>
      <c r="D8481" t="s">
        <v>7103</v>
      </c>
      <c r="E8481">
        <v>-3795.9</v>
      </c>
      <c r="F8481">
        <v>-0.88</v>
      </c>
      <c r="G8481" t="s">
        <v>12</v>
      </c>
      <c r="H8481" t="s">
        <v>7</v>
      </c>
      <c r="I8481" t="s">
        <v>1050</v>
      </c>
    </row>
    <row r="8482" spans="1:9" hidden="1" x14ac:dyDescent="0.25">
      <c r="A8482" t="s">
        <v>7092</v>
      </c>
      <c r="B8482" t="s">
        <v>31</v>
      </c>
      <c r="C8482" s="2">
        <f>HYPERLINK("https://cao.dolgi.msk.ru/account/1080313115/", 1080313115)</f>
        <v>1080313115</v>
      </c>
      <c r="D8482" t="s">
        <v>7104</v>
      </c>
      <c r="E8482">
        <v>1362.48</v>
      </c>
      <c r="F8482">
        <v>0.21</v>
      </c>
      <c r="G8482" t="s">
        <v>12</v>
      </c>
      <c r="I8482" t="s">
        <v>1050</v>
      </c>
    </row>
    <row r="8483" spans="1:9" hidden="1" x14ac:dyDescent="0.25">
      <c r="A8483" t="s">
        <v>7092</v>
      </c>
      <c r="B8483" t="s">
        <v>33</v>
      </c>
      <c r="C8483" s="2">
        <f>HYPERLINK("https://cao.dolgi.msk.ru/account/1080313123/", 1080313123)</f>
        <v>1080313123</v>
      </c>
      <c r="D8483" t="s">
        <v>7105</v>
      </c>
      <c r="E8483">
        <v>-7153.5</v>
      </c>
      <c r="F8483">
        <v>-1.44</v>
      </c>
      <c r="G8483" t="s">
        <v>12</v>
      </c>
      <c r="I8483" t="s">
        <v>1050</v>
      </c>
    </row>
    <row r="8484" spans="1:9" hidden="1" x14ac:dyDescent="0.25">
      <c r="A8484" t="s">
        <v>7092</v>
      </c>
      <c r="B8484" t="s">
        <v>36</v>
      </c>
      <c r="C8484" s="2">
        <f>HYPERLINK("https://cao.dolgi.msk.ru/account/1080313158/", 1080313158)</f>
        <v>1080313158</v>
      </c>
      <c r="D8484" t="s">
        <v>7106</v>
      </c>
      <c r="E8484">
        <v>-3.9</v>
      </c>
      <c r="F8484">
        <v>0</v>
      </c>
      <c r="G8484" t="s">
        <v>12</v>
      </c>
      <c r="I8484" t="s">
        <v>1050</v>
      </c>
    </row>
    <row r="8485" spans="1:9" hidden="1" x14ac:dyDescent="0.25">
      <c r="A8485" t="s">
        <v>7092</v>
      </c>
      <c r="B8485" t="s">
        <v>38</v>
      </c>
      <c r="C8485" s="2">
        <f>HYPERLINK("https://cao.dolgi.msk.ru/account/1080313131/", 1080313131)</f>
        <v>1080313131</v>
      </c>
      <c r="D8485" t="s">
        <v>7107</v>
      </c>
      <c r="E8485">
        <v>-5221.87</v>
      </c>
      <c r="F8485">
        <v>-1.01</v>
      </c>
      <c r="G8485" t="s">
        <v>12</v>
      </c>
      <c r="I8485" t="s">
        <v>1050</v>
      </c>
    </row>
    <row r="8486" spans="1:9" hidden="1" x14ac:dyDescent="0.25">
      <c r="A8486" t="s">
        <v>7092</v>
      </c>
      <c r="B8486" t="s">
        <v>38</v>
      </c>
      <c r="C8486" s="2">
        <f>HYPERLINK("https://cao.dolgi.msk.ru/account/1080313166/", 1080313166)</f>
        <v>1080313166</v>
      </c>
      <c r="D8486" t="s">
        <v>7108</v>
      </c>
      <c r="E8486">
        <v>0</v>
      </c>
      <c r="G8486" t="s">
        <v>14</v>
      </c>
      <c r="I8486" t="s">
        <v>1050</v>
      </c>
    </row>
    <row r="8487" spans="1:9" x14ac:dyDescent="0.25">
      <c r="A8487" t="s">
        <v>7092</v>
      </c>
      <c r="B8487" t="s">
        <v>7109</v>
      </c>
      <c r="C8487" s="2">
        <f>HYPERLINK("https://cao.dolgi.msk.ru/account/1083391805/", 1083391805)</f>
        <v>1083391805</v>
      </c>
      <c r="D8487" t="s">
        <v>189</v>
      </c>
      <c r="E8487">
        <v>1002.9</v>
      </c>
      <c r="F8487">
        <v>1.25</v>
      </c>
      <c r="G8487" t="s">
        <v>12</v>
      </c>
      <c r="I8487" t="s">
        <v>1050</v>
      </c>
    </row>
    <row r="8488" spans="1:9" hidden="1" x14ac:dyDescent="0.25">
      <c r="A8488" t="s">
        <v>7092</v>
      </c>
      <c r="B8488" t="s">
        <v>40</v>
      </c>
      <c r="C8488" s="2">
        <f>HYPERLINK("https://cao.dolgi.msk.ru/account/1080313182/", 1080313182)</f>
        <v>1080313182</v>
      </c>
      <c r="D8488" t="s">
        <v>7110</v>
      </c>
      <c r="E8488">
        <v>-4775.4799999999996</v>
      </c>
      <c r="F8488">
        <v>-1.01</v>
      </c>
      <c r="G8488" t="s">
        <v>12</v>
      </c>
      <c r="I8488" t="s">
        <v>1050</v>
      </c>
    </row>
    <row r="8489" spans="1:9" hidden="1" x14ac:dyDescent="0.25">
      <c r="A8489" t="s">
        <v>7092</v>
      </c>
      <c r="B8489" t="s">
        <v>41</v>
      </c>
      <c r="C8489" s="2">
        <f>HYPERLINK("https://cao.dolgi.msk.ru/account/1080313211/", 1080313211)</f>
        <v>1080313211</v>
      </c>
      <c r="D8489" t="s">
        <v>7111</v>
      </c>
      <c r="E8489">
        <v>-5032.84</v>
      </c>
      <c r="F8489">
        <v>-0.94</v>
      </c>
      <c r="G8489" t="s">
        <v>12</v>
      </c>
      <c r="I8489" t="s">
        <v>1050</v>
      </c>
    </row>
    <row r="8490" spans="1:9" hidden="1" x14ac:dyDescent="0.25">
      <c r="A8490" t="s">
        <v>7092</v>
      </c>
      <c r="B8490" t="s">
        <v>42</v>
      </c>
      <c r="C8490" s="2">
        <f>HYPERLINK("https://cao.dolgi.msk.ru/account/1080313238/", 1080313238)</f>
        <v>1080313238</v>
      </c>
      <c r="D8490" t="s">
        <v>7112</v>
      </c>
      <c r="E8490">
        <v>-3933.99</v>
      </c>
      <c r="F8490">
        <v>-1.2</v>
      </c>
      <c r="G8490" t="s">
        <v>12</v>
      </c>
      <c r="H8490" t="s">
        <v>7</v>
      </c>
      <c r="I8490" t="s">
        <v>1050</v>
      </c>
    </row>
    <row r="8491" spans="1:9" hidden="1" x14ac:dyDescent="0.25">
      <c r="A8491" t="s">
        <v>7092</v>
      </c>
      <c r="B8491" t="s">
        <v>44</v>
      </c>
      <c r="C8491" s="2">
        <f>HYPERLINK("https://cao.dolgi.msk.ru/account/1080313246/", 1080313246)</f>
        <v>1080313246</v>
      </c>
      <c r="D8491" t="s">
        <v>7113</v>
      </c>
      <c r="E8491">
        <v>3195.38</v>
      </c>
      <c r="F8491">
        <v>0.54</v>
      </c>
      <c r="G8491" t="s">
        <v>12</v>
      </c>
      <c r="I8491" t="s">
        <v>1050</v>
      </c>
    </row>
    <row r="8492" spans="1:9" hidden="1" x14ac:dyDescent="0.25">
      <c r="A8492" t="s">
        <v>7092</v>
      </c>
      <c r="B8492" t="s">
        <v>66</v>
      </c>
      <c r="C8492" s="2">
        <f>HYPERLINK("https://cao.dolgi.msk.ru/account/1080313254/", 1080313254)</f>
        <v>1080313254</v>
      </c>
      <c r="D8492" t="s">
        <v>7114</v>
      </c>
      <c r="E8492">
        <v>-343.72</v>
      </c>
      <c r="F8492">
        <v>-0.05</v>
      </c>
      <c r="G8492" t="s">
        <v>12</v>
      </c>
      <c r="I8492" t="s">
        <v>1050</v>
      </c>
    </row>
    <row r="8493" spans="1:9" hidden="1" x14ac:dyDescent="0.25">
      <c r="A8493" t="s">
        <v>7092</v>
      </c>
      <c r="B8493" t="s">
        <v>68</v>
      </c>
      <c r="C8493" s="2">
        <f>HYPERLINK("https://cao.dolgi.msk.ru/account/1080313289/", 1080313289)</f>
        <v>1080313289</v>
      </c>
      <c r="D8493" t="s">
        <v>7115</v>
      </c>
      <c r="E8493">
        <v>3847.36</v>
      </c>
      <c r="F8493">
        <v>0.61</v>
      </c>
      <c r="G8493" t="s">
        <v>12</v>
      </c>
      <c r="I8493" t="s">
        <v>1050</v>
      </c>
    </row>
    <row r="8494" spans="1:9" hidden="1" x14ac:dyDescent="0.25">
      <c r="A8494" t="s">
        <v>7092</v>
      </c>
      <c r="B8494" t="s">
        <v>70</v>
      </c>
      <c r="C8494" s="2">
        <f>HYPERLINK("https://cao.dolgi.msk.ru/account/1080313297/", 1080313297)</f>
        <v>1080313297</v>
      </c>
      <c r="D8494" t="s">
        <v>7116</v>
      </c>
      <c r="E8494">
        <v>-131.72999999999999</v>
      </c>
      <c r="F8494">
        <v>-0.02</v>
      </c>
      <c r="G8494" t="s">
        <v>12</v>
      </c>
      <c r="I8494" t="s">
        <v>1050</v>
      </c>
    </row>
    <row r="8495" spans="1:9" x14ac:dyDescent="0.25">
      <c r="A8495" t="s">
        <v>7092</v>
      </c>
      <c r="B8495" t="s">
        <v>72</v>
      </c>
      <c r="C8495" s="2">
        <f>HYPERLINK("https://cao.dolgi.msk.ru/account/1080313203/", 1080313203)</f>
        <v>1080313203</v>
      </c>
      <c r="D8495" t="s">
        <v>7117</v>
      </c>
      <c r="E8495">
        <v>15518.81</v>
      </c>
      <c r="F8495">
        <v>3</v>
      </c>
      <c r="G8495" t="s">
        <v>12</v>
      </c>
      <c r="I8495" t="s">
        <v>1050</v>
      </c>
    </row>
    <row r="8496" spans="1:9" hidden="1" x14ac:dyDescent="0.25">
      <c r="A8496" t="s">
        <v>7092</v>
      </c>
      <c r="B8496" t="s">
        <v>74</v>
      </c>
      <c r="C8496" s="2">
        <f>HYPERLINK("https://cao.dolgi.msk.ru/account/1080313318/", 1080313318)</f>
        <v>1080313318</v>
      </c>
      <c r="D8496" t="s">
        <v>7118</v>
      </c>
      <c r="E8496">
        <v>-5947.24</v>
      </c>
      <c r="F8496">
        <v>-1.57</v>
      </c>
      <c r="G8496" t="s">
        <v>12</v>
      </c>
      <c r="I8496" t="s">
        <v>1050</v>
      </c>
    </row>
    <row r="8497" spans="1:9" hidden="1" x14ac:dyDescent="0.25">
      <c r="A8497" t="s">
        <v>7092</v>
      </c>
      <c r="B8497" t="s">
        <v>76</v>
      </c>
      <c r="C8497" s="2">
        <f>HYPERLINK("https://cao.dolgi.msk.ru/account/1080313326/", 1080313326)</f>
        <v>1080313326</v>
      </c>
      <c r="D8497" t="s">
        <v>7119</v>
      </c>
      <c r="E8497">
        <v>-69.790000000000006</v>
      </c>
      <c r="F8497">
        <v>-0.01</v>
      </c>
      <c r="G8497" t="s">
        <v>12</v>
      </c>
      <c r="I8497" t="s">
        <v>1050</v>
      </c>
    </row>
    <row r="8498" spans="1:9" hidden="1" x14ac:dyDescent="0.25">
      <c r="A8498" t="s">
        <v>7092</v>
      </c>
      <c r="B8498" t="s">
        <v>78</v>
      </c>
      <c r="C8498" s="2">
        <f>HYPERLINK("https://cao.dolgi.msk.ru/account/1080313334/", 1080313334)</f>
        <v>1080313334</v>
      </c>
      <c r="D8498" t="s">
        <v>7120</v>
      </c>
      <c r="E8498">
        <v>239.96</v>
      </c>
      <c r="F8498">
        <v>0.04</v>
      </c>
      <c r="G8498" t="s">
        <v>12</v>
      </c>
      <c r="I8498" t="s">
        <v>1050</v>
      </c>
    </row>
    <row r="8499" spans="1:9" hidden="1" x14ac:dyDescent="0.25">
      <c r="A8499" t="s">
        <v>7092</v>
      </c>
      <c r="B8499" t="s">
        <v>80</v>
      </c>
      <c r="C8499" s="2">
        <f>HYPERLINK("https://cao.dolgi.msk.ru/account/1080313342/", 1080313342)</f>
        <v>1080313342</v>
      </c>
      <c r="D8499" t="s">
        <v>7121</v>
      </c>
      <c r="E8499">
        <v>-7719.68</v>
      </c>
      <c r="F8499">
        <v>-1.24</v>
      </c>
      <c r="G8499" t="s">
        <v>12</v>
      </c>
      <c r="I8499" t="s">
        <v>1050</v>
      </c>
    </row>
    <row r="8500" spans="1:9" x14ac:dyDescent="0.25">
      <c r="A8500" t="s">
        <v>7092</v>
      </c>
      <c r="B8500" t="s">
        <v>82</v>
      </c>
      <c r="C8500" s="2">
        <f>HYPERLINK("https://cao.dolgi.msk.ru/account/1083272646/", 1083272646)</f>
        <v>1083272646</v>
      </c>
      <c r="D8500" t="s">
        <v>15</v>
      </c>
      <c r="E8500">
        <v>3860.48</v>
      </c>
      <c r="F8500">
        <v>1.25</v>
      </c>
      <c r="G8500" t="s">
        <v>12</v>
      </c>
      <c r="I8500" t="s">
        <v>1050</v>
      </c>
    </row>
    <row r="8501" spans="1:9" hidden="1" x14ac:dyDescent="0.25">
      <c r="A8501" t="s">
        <v>7092</v>
      </c>
      <c r="B8501" t="s">
        <v>84</v>
      </c>
      <c r="C8501" s="2">
        <f>HYPERLINK("https://cao.dolgi.msk.ru/account/1080313377/", 1080313377)</f>
        <v>1080313377</v>
      </c>
      <c r="D8501" t="s">
        <v>7122</v>
      </c>
      <c r="E8501">
        <v>366.15</v>
      </c>
      <c r="F8501">
        <v>0.08</v>
      </c>
      <c r="G8501" t="s">
        <v>12</v>
      </c>
      <c r="I8501" t="s">
        <v>1050</v>
      </c>
    </row>
    <row r="8502" spans="1:9" hidden="1" x14ac:dyDescent="0.25">
      <c r="A8502" t="s">
        <v>7092</v>
      </c>
      <c r="B8502" t="s">
        <v>86</v>
      </c>
      <c r="C8502" s="2">
        <f>HYPERLINK("https://cao.dolgi.msk.ru/account/1080313385/", 1080313385)</f>
        <v>1080313385</v>
      </c>
      <c r="D8502" t="s">
        <v>15</v>
      </c>
      <c r="E8502">
        <v>18.25</v>
      </c>
      <c r="G8502" t="s">
        <v>14</v>
      </c>
      <c r="I8502" t="s">
        <v>1050</v>
      </c>
    </row>
    <row r="8503" spans="1:9" x14ac:dyDescent="0.25">
      <c r="A8503" t="s">
        <v>7092</v>
      </c>
      <c r="B8503" t="s">
        <v>86</v>
      </c>
      <c r="C8503" s="2">
        <f>HYPERLINK("https://cao.dolgi.msk.ru/account/1080313393/", 1080313393)</f>
        <v>1080313393</v>
      </c>
      <c r="D8503" t="s">
        <v>7123</v>
      </c>
      <c r="E8503">
        <v>37783.980000000003</v>
      </c>
      <c r="F8503">
        <v>4.12</v>
      </c>
      <c r="G8503" t="s">
        <v>12</v>
      </c>
      <c r="I8503" t="s">
        <v>1050</v>
      </c>
    </row>
    <row r="8504" spans="1:9" x14ac:dyDescent="0.25">
      <c r="A8504" t="s">
        <v>7092</v>
      </c>
      <c r="B8504" t="s">
        <v>7124</v>
      </c>
      <c r="C8504" s="2">
        <f>HYPERLINK("https://cao.dolgi.msk.ru/account/1083391776/", 1083391776)</f>
        <v>1083391776</v>
      </c>
      <c r="D8504" t="s">
        <v>189</v>
      </c>
      <c r="E8504">
        <v>2476.09</v>
      </c>
      <c r="F8504">
        <v>3.14</v>
      </c>
      <c r="G8504" t="s">
        <v>12</v>
      </c>
      <c r="I8504" t="s">
        <v>1050</v>
      </c>
    </row>
    <row r="8505" spans="1:9" hidden="1" x14ac:dyDescent="0.25">
      <c r="A8505" t="s">
        <v>7125</v>
      </c>
      <c r="B8505" t="s">
        <v>16</v>
      </c>
      <c r="C8505" s="2">
        <f>HYPERLINK("https://cao.dolgi.msk.ru/account/1080271816/", 1080271816)</f>
        <v>1080271816</v>
      </c>
      <c r="D8505" t="s">
        <v>7126</v>
      </c>
      <c r="E8505">
        <v>-4739.5600000000004</v>
      </c>
      <c r="F8505">
        <v>-1.08</v>
      </c>
      <c r="G8505" t="s">
        <v>12</v>
      </c>
      <c r="I8505" t="s">
        <v>1050</v>
      </c>
    </row>
    <row r="8506" spans="1:9" hidden="1" x14ac:dyDescent="0.25">
      <c r="A8506" t="s">
        <v>7125</v>
      </c>
      <c r="B8506" t="s">
        <v>18</v>
      </c>
      <c r="C8506" s="2">
        <f>HYPERLINK("https://cao.dolgi.msk.ru/account/1080271824/", 1080271824)</f>
        <v>1080271824</v>
      </c>
      <c r="D8506" t="s">
        <v>7127</v>
      </c>
      <c r="E8506">
        <v>-8934.4</v>
      </c>
      <c r="F8506">
        <v>-1.1499999999999999</v>
      </c>
      <c r="G8506" t="s">
        <v>12</v>
      </c>
      <c r="I8506" t="s">
        <v>1050</v>
      </c>
    </row>
    <row r="8507" spans="1:9" hidden="1" x14ac:dyDescent="0.25">
      <c r="A8507" t="s">
        <v>7125</v>
      </c>
      <c r="B8507" t="s">
        <v>20</v>
      </c>
      <c r="C8507" s="2">
        <f>HYPERLINK("https://cao.dolgi.msk.ru/account/1080271832/", 1080271832)</f>
        <v>1080271832</v>
      </c>
      <c r="D8507" t="s">
        <v>7128</v>
      </c>
      <c r="E8507">
        <v>-464.58</v>
      </c>
      <c r="F8507">
        <v>-0.12</v>
      </c>
      <c r="G8507" t="s">
        <v>12</v>
      </c>
      <c r="I8507" t="s">
        <v>1050</v>
      </c>
    </row>
    <row r="8508" spans="1:9" hidden="1" x14ac:dyDescent="0.25">
      <c r="A8508" t="s">
        <v>7125</v>
      </c>
      <c r="B8508" t="s">
        <v>21</v>
      </c>
      <c r="C8508" s="2">
        <f>HYPERLINK("https://cao.dolgi.msk.ru/account/1080271859/", 1080271859)</f>
        <v>1080271859</v>
      </c>
      <c r="D8508" t="s">
        <v>7129</v>
      </c>
      <c r="E8508">
        <v>-6305.86</v>
      </c>
      <c r="F8508">
        <v>-1.18</v>
      </c>
      <c r="G8508" t="s">
        <v>12</v>
      </c>
      <c r="H8508" t="s">
        <v>7</v>
      </c>
      <c r="I8508" t="s">
        <v>1050</v>
      </c>
    </row>
    <row r="8509" spans="1:9" x14ac:dyDescent="0.25">
      <c r="A8509" t="s">
        <v>7125</v>
      </c>
      <c r="B8509" t="s">
        <v>21</v>
      </c>
      <c r="C8509" s="2">
        <f>HYPERLINK("https://cao.dolgi.msk.ru/account/1080271867/", 1080271867)</f>
        <v>1080271867</v>
      </c>
      <c r="D8509" t="s">
        <v>7129</v>
      </c>
      <c r="E8509">
        <v>118445.69</v>
      </c>
      <c r="F8509">
        <v>56.79</v>
      </c>
      <c r="G8509" t="s">
        <v>12</v>
      </c>
      <c r="H8509" t="s">
        <v>7</v>
      </c>
      <c r="I8509" t="s">
        <v>1050</v>
      </c>
    </row>
    <row r="8510" spans="1:9" hidden="1" x14ac:dyDescent="0.25">
      <c r="A8510" t="s">
        <v>7125</v>
      </c>
      <c r="B8510" t="s">
        <v>22</v>
      </c>
      <c r="C8510" s="2">
        <f>HYPERLINK("https://cao.dolgi.msk.ru/account/1080271875/", 1080271875)</f>
        <v>1080271875</v>
      </c>
      <c r="D8510" t="s">
        <v>7130</v>
      </c>
      <c r="E8510">
        <v>-940.08</v>
      </c>
      <c r="F8510">
        <v>-1.21</v>
      </c>
      <c r="G8510" t="s">
        <v>12</v>
      </c>
      <c r="I8510" t="s">
        <v>1050</v>
      </c>
    </row>
    <row r="8511" spans="1:9" hidden="1" x14ac:dyDescent="0.25">
      <c r="A8511" t="s">
        <v>7125</v>
      </c>
      <c r="B8511" t="s">
        <v>23</v>
      </c>
      <c r="C8511" s="2">
        <f>HYPERLINK("https://cao.dolgi.msk.ru/account/1080271883/", 1080271883)</f>
        <v>1080271883</v>
      </c>
      <c r="D8511" t="s">
        <v>7131</v>
      </c>
      <c r="E8511">
        <v>-7942.79</v>
      </c>
      <c r="F8511">
        <v>-1.17</v>
      </c>
      <c r="G8511" t="s">
        <v>12</v>
      </c>
      <c r="I8511" t="s">
        <v>1050</v>
      </c>
    </row>
    <row r="8512" spans="1:9" hidden="1" x14ac:dyDescent="0.25">
      <c r="A8512" t="s">
        <v>7125</v>
      </c>
      <c r="B8512" t="s">
        <v>24</v>
      </c>
      <c r="C8512" s="2">
        <f>HYPERLINK("https://cao.dolgi.msk.ru/account/1080271891/", 1080271891)</f>
        <v>1080271891</v>
      </c>
      <c r="D8512" t="s">
        <v>7132</v>
      </c>
      <c r="E8512">
        <v>-3067.96</v>
      </c>
      <c r="F8512">
        <v>-1.1599999999999999</v>
      </c>
      <c r="G8512" t="s">
        <v>12</v>
      </c>
      <c r="I8512" t="s">
        <v>1050</v>
      </c>
    </row>
    <row r="8513" spans="1:9" hidden="1" x14ac:dyDescent="0.25">
      <c r="A8513" t="s">
        <v>7125</v>
      </c>
      <c r="B8513" t="s">
        <v>27</v>
      </c>
      <c r="C8513" s="2">
        <f>HYPERLINK("https://cao.dolgi.msk.ru/account/1080271904/", 1080271904)</f>
        <v>1080271904</v>
      </c>
      <c r="D8513" t="s">
        <v>7133</v>
      </c>
      <c r="E8513">
        <v>-8684.99</v>
      </c>
      <c r="F8513">
        <v>-1.1399999999999999</v>
      </c>
      <c r="G8513" t="s">
        <v>12</v>
      </c>
      <c r="I8513" t="s">
        <v>1050</v>
      </c>
    </row>
    <row r="8514" spans="1:9" hidden="1" x14ac:dyDescent="0.25">
      <c r="A8514" t="s">
        <v>7125</v>
      </c>
      <c r="B8514" t="s">
        <v>29</v>
      </c>
      <c r="C8514" s="2">
        <f>HYPERLINK("https://cao.dolgi.msk.ru/account/1080271912/", 1080271912)</f>
        <v>1080271912</v>
      </c>
      <c r="D8514" t="s">
        <v>7134</v>
      </c>
      <c r="E8514">
        <v>0</v>
      </c>
      <c r="F8514">
        <v>0</v>
      </c>
      <c r="G8514" t="s">
        <v>12</v>
      </c>
      <c r="I8514" t="s">
        <v>1050</v>
      </c>
    </row>
    <row r="8515" spans="1:9" hidden="1" x14ac:dyDescent="0.25">
      <c r="A8515" t="s">
        <v>7125</v>
      </c>
      <c r="B8515" t="s">
        <v>31</v>
      </c>
      <c r="C8515" s="2">
        <f>HYPERLINK("https://cao.dolgi.msk.ru/account/1080271939/", 1080271939)</f>
        <v>1080271939</v>
      </c>
      <c r="D8515" t="s">
        <v>7135</v>
      </c>
      <c r="E8515">
        <v>-759.76</v>
      </c>
      <c r="G8515" t="s">
        <v>14</v>
      </c>
      <c r="I8515" t="s">
        <v>1050</v>
      </c>
    </row>
    <row r="8516" spans="1:9" hidden="1" x14ac:dyDescent="0.25">
      <c r="A8516" t="s">
        <v>7125</v>
      </c>
      <c r="B8516" t="s">
        <v>31</v>
      </c>
      <c r="C8516" s="2">
        <f>HYPERLINK("https://cao.dolgi.msk.ru/account/1089126906/", 1089126906)</f>
        <v>1089126906</v>
      </c>
      <c r="D8516" t="s">
        <v>7136</v>
      </c>
      <c r="E8516">
        <v>-5216.72</v>
      </c>
      <c r="F8516">
        <v>-0.76</v>
      </c>
      <c r="G8516" t="s">
        <v>12</v>
      </c>
      <c r="I8516" t="s">
        <v>1050</v>
      </c>
    </row>
    <row r="8517" spans="1:9" hidden="1" x14ac:dyDescent="0.25">
      <c r="A8517" t="s">
        <v>7125</v>
      </c>
      <c r="B8517" t="s">
        <v>33</v>
      </c>
      <c r="C8517" s="2">
        <f>HYPERLINK("https://cao.dolgi.msk.ru/account/1080271947/", 1080271947)</f>
        <v>1080271947</v>
      </c>
      <c r="D8517" t="s">
        <v>7137</v>
      </c>
      <c r="E8517">
        <v>-5914.11</v>
      </c>
      <c r="F8517">
        <v>-1.21</v>
      </c>
      <c r="G8517" t="s">
        <v>12</v>
      </c>
      <c r="I8517" t="s">
        <v>1050</v>
      </c>
    </row>
    <row r="8518" spans="1:9" hidden="1" x14ac:dyDescent="0.25">
      <c r="A8518" t="s">
        <v>7125</v>
      </c>
      <c r="B8518" t="s">
        <v>34</v>
      </c>
      <c r="C8518" s="2">
        <f>HYPERLINK("https://cao.dolgi.msk.ru/account/1080271955/", 1080271955)</f>
        <v>1080271955</v>
      </c>
      <c r="D8518" t="s">
        <v>7138</v>
      </c>
      <c r="E8518">
        <v>0</v>
      </c>
      <c r="F8518">
        <v>0</v>
      </c>
      <c r="G8518" t="s">
        <v>12</v>
      </c>
      <c r="I8518" t="s">
        <v>1050</v>
      </c>
    </row>
    <row r="8519" spans="1:9" hidden="1" x14ac:dyDescent="0.25">
      <c r="A8519" t="s">
        <v>7125</v>
      </c>
      <c r="B8519" t="s">
        <v>36</v>
      </c>
      <c r="C8519" s="2">
        <f>HYPERLINK("https://cao.dolgi.msk.ru/account/1080271963/", 1080271963)</f>
        <v>1080271963</v>
      </c>
      <c r="D8519" t="s">
        <v>7139</v>
      </c>
      <c r="E8519">
        <v>-6040.2</v>
      </c>
      <c r="F8519">
        <v>-0.98</v>
      </c>
      <c r="G8519" t="s">
        <v>12</v>
      </c>
      <c r="I8519" t="s">
        <v>1050</v>
      </c>
    </row>
    <row r="8520" spans="1:9" hidden="1" x14ac:dyDescent="0.25">
      <c r="A8520" t="s">
        <v>7125</v>
      </c>
      <c r="B8520" t="s">
        <v>38</v>
      </c>
      <c r="C8520" s="2">
        <f>HYPERLINK("https://cao.dolgi.msk.ru/account/1080271971/", 1080271971)</f>
        <v>1080271971</v>
      </c>
      <c r="D8520" t="s">
        <v>7140</v>
      </c>
      <c r="E8520">
        <v>-7666.85</v>
      </c>
      <c r="F8520">
        <v>-1.18</v>
      </c>
      <c r="G8520" t="s">
        <v>12</v>
      </c>
      <c r="I8520" t="s">
        <v>1050</v>
      </c>
    </row>
    <row r="8521" spans="1:9" hidden="1" x14ac:dyDescent="0.25">
      <c r="A8521" t="s">
        <v>7125</v>
      </c>
      <c r="B8521" t="s">
        <v>39</v>
      </c>
      <c r="C8521" s="2">
        <f>HYPERLINK("https://cao.dolgi.msk.ru/account/1080271998/", 1080271998)</f>
        <v>1080271998</v>
      </c>
      <c r="D8521" t="s">
        <v>7141</v>
      </c>
      <c r="E8521">
        <v>-9340.74</v>
      </c>
      <c r="F8521">
        <v>-1.1000000000000001</v>
      </c>
      <c r="G8521" t="s">
        <v>12</v>
      </c>
      <c r="I8521" t="s">
        <v>1050</v>
      </c>
    </row>
    <row r="8522" spans="1:9" hidden="1" x14ac:dyDescent="0.25">
      <c r="A8522" t="s">
        <v>7125</v>
      </c>
      <c r="B8522" t="s">
        <v>40</v>
      </c>
      <c r="C8522" s="2">
        <f>HYPERLINK("https://cao.dolgi.msk.ru/account/1080272018/", 1080272018)</f>
        <v>1080272018</v>
      </c>
      <c r="D8522" t="s">
        <v>7142</v>
      </c>
      <c r="E8522">
        <v>-7694.2</v>
      </c>
      <c r="F8522">
        <v>-1.21</v>
      </c>
      <c r="G8522" t="s">
        <v>12</v>
      </c>
      <c r="I8522" t="s">
        <v>1050</v>
      </c>
    </row>
    <row r="8523" spans="1:9" hidden="1" x14ac:dyDescent="0.25">
      <c r="A8523" t="s">
        <v>7125</v>
      </c>
      <c r="B8523" t="s">
        <v>41</v>
      </c>
      <c r="C8523" s="2">
        <f>HYPERLINK("https://cao.dolgi.msk.ru/account/1080272026/", 1080272026)</f>
        <v>1080272026</v>
      </c>
      <c r="D8523" t="s">
        <v>7143</v>
      </c>
      <c r="E8523">
        <v>-5284.13</v>
      </c>
      <c r="F8523">
        <v>-1.31</v>
      </c>
      <c r="G8523" t="s">
        <v>12</v>
      </c>
      <c r="I8523" t="s">
        <v>1050</v>
      </c>
    </row>
    <row r="8524" spans="1:9" hidden="1" x14ac:dyDescent="0.25">
      <c r="A8524" t="s">
        <v>7125</v>
      </c>
      <c r="B8524" t="s">
        <v>42</v>
      </c>
      <c r="C8524" s="2">
        <f>HYPERLINK("https://cao.dolgi.msk.ru/account/1080272034/", 1080272034)</f>
        <v>1080272034</v>
      </c>
      <c r="D8524" t="s">
        <v>7144</v>
      </c>
      <c r="E8524">
        <v>-4973.97</v>
      </c>
      <c r="F8524">
        <v>-1.1499999999999999</v>
      </c>
      <c r="G8524" t="s">
        <v>12</v>
      </c>
      <c r="I8524" t="s">
        <v>1050</v>
      </c>
    </row>
    <row r="8525" spans="1:9" hidden="1" x14ac:dyDescent="0.25">
      <c r="A8525" t="s">
        <v>7125</v>
      </c>
      <c r="B8525" t="s">
        <v>44</v>
      </c>
      <c r="C8525" s="2">
        <f>HYPERLINK("https://cao.dolgi.msk.ru/account/1080272042/", 1080272042)</f>
        <v>1080272042</v>
      </c>
      <c r="D8525" t="s">
        <v>7145</v>
      </c>
      <c r="E8525">
        <v>0</v>
      </c>
      <c r="F8525">
        <v>0</v>
      </c>
      <c r="G8525" t="s">
        <v>12</v>
      </c>
      <c r="I8525" t="s">
        <v>1050</v>
      </c>
    </row>
    <row r="8526" spans="1:9" hidden="1" x14ac:dyDescent="0.25">
      <c r="A8526" t="s">
        <v>7125</v>
      </c>
      <c r="B8526" t="s">
        <v>66</v>
      </c>
      <c r="C8526" s="2">
        <f>HYPERLINK("https://cao.dolgi.msk.ru/account/1080272069/", 1080272069)</f>
        <v>1080272069</v>
      </c>
      <c r="D8526" t="s">
        <v>7146</v>
      </c>
      <c r="E8526">
        <v>-6038.15</v>
      </c>
      <c r="F8526">
        <v>-0.86</v>
      </c>
      <c r="G8526" t="s">
        <v>12</v>
      </c>
      <c r="I8526" t="s">
        <v>1050</v>
      </c>
    </row>
    <row r="8527" spans="1:9" hidden="1" x14ac:dyDescent="0.25">
      <c r="A8527" t="s">
        <v>7125</v>
      </c>
      <c r="B8527" t="s">
        <v>66</v>
      </c>
      <c r="C8527" s="2">
        <f>HYPERLINK("https://cao.dolgi.msk.ru/account/1080324973/", 1080324973)</f>
        <v>1080324973</v>
      </c>
      <c r="D8527" t="s">
        <v>15</v>
      </c>
      <c r="E8527">
        <v>-2693.21</v>
      </c>
      <c r="F8527">
        <v>-1.1599999999999999</v>
      </c>
      <c r="G8527" t="s">
        <v>12</v>
      </c>
      <c r="I8527" t="s">
        <v>1050</v>
      </c>
    </row>
    <row r="8528" spans="1:9" hidden="1" x14ac:dyDescent="0.25">
      <c r="A8528" t="s">
        <v>7125</v>
      </c>
      <c r="B8528" t="s">
        <v>68</v>
      </c>
      <c r="C8528" s="2">
        <f>HYPERLINK("https://cao.dolgi.msk.ru/account/1080272077/", 1080272077)</f>
        <v>1080272077</v>
      </c>
      <c r="D8528" t="s">
        <v>7147</v>
      </c>
      <c r="E8528">
        <v>-9.6999999999999993</v>
      </c>
      <c r="F8528">
        <v>0</v>
      </c>
      <c r="G8528" t="s">
        <v>12</v>
      </c>
      <c r="I8528" t="s">
        <v>1050</v>
      </c>
    </row>
    <row r="8529" spans="1:9" hidden="1" x14ac:dyDescent="0.25">
      <c r="A8529" t="s">
        <v>7125</v>
      </c>
      <c r="B8529" t="s">
        <v>70</v>
      </c>
      <c r="C8529" s="2">
        <f>HYPERLINK("https://cao.dolgi.msk.ru/account/1080272085/", 1080272085)</f>
        <v>1080272085</v>
      </c>
      <c r="D8529" t="s">
        <v>7148</v>
      </c>
      <c r="E8529">
        <v>-4917.49</v>
      </c>
      <c r="F8529">
        <v>-1.1299999999999999</v>
      </c>
      <c r="G8529" t="s">
        <v>12</v>
      </c>
      <c r="I8529" t="s">
        <v>1050</v>
      </c>
    </row>
    <row r="8530" spans="1:9" hidden="1" x14ac:dyDescent="0.25">
      <c r="A8530" t="s">
        <v>7125</v>
      </c>
      <c r="B8530" t="s">
        <v>72</v>
      </c>
      <c r="C8530" s="2">
        <f>HYPERLINK("https://cao.dolgi.msk.ru/account/1080272093/", 1080272093)</f>
        <v>1080272093</v>
      </c>
      <c r="D8530" t="s">
        <v>7149</v>
      </c>
      <c r="E8530">
        <v>-4276.72</v>
      </c>
      <c r="F8530">
        <v>-1.3</v>
      </c>
      <c r="G8530" t="s">
        <v>12</v>
      </c>
      <c r="I8530" t="s">
        <v>1050</v>
      </c>
    </row>
    <row r="8531" spans="1:9" hidden="1" x14ac:dyDescent="0.25">
      <c r="A8531" t="s">
        <v>7125</v>
      </c>
      <c r="B8531" t="s">
        <v>74</v>
      </c>
      <c r="C8531" s="2">
        <f>HYPERLINK("https://cao.dolgi.msk.ru/account/1080272106/", 1080272106)</f>
        <v>1080272106</v>
      </c>
      <c r="D8531" t="s">
        <v>7150</v>
      </c>
      <c r="E8531">
        <v>-12418.28</v>
      </c>
      <c r="F8531">
        <v>-1.39</v>
      </c>
      <c r="G8531" t="s">
        <v>12</v>
      </c>
      <c r="I8531" t="s">
        <v>1050</v>
      </c>
    </row>
    <row r="8532" spans="1:9" hidden="1" x14ac:dyDescent="0.25">
      <c r="A8532" t="s">
        <v>7125</v>
      </c>
      <c r="B8532" t="s">
        <v>76</v>
      </c>
      <c r="C8532" s="2">
        <f>HYPERLINK("https://cao.dolgi.msk.ru/account/1080272114/", 1080272114)</f>
        <v>1080272114</v>
      </c>
      <c r="D8532" t="s">
        <v>7151</v>
      </c>
      <c r="E8532">
        <v>-5262.77</v>
      </c>
      <c r="F8532">
        <v>-1.1000000000000001</v>
      </c>
      <c r="G8532" t="s">
        <v>12</v>
      </c>
      <c r="I8532" t="s">
        <v>1050</v>
      </c>
    </row>
    <row r="8533" spans="1:9" x14ac:dyDescent="0.25">
      <c r="A8533" t="s">
        <v>7125</v>
      </c>
      <c r="B8533" t="s">
        <v>78</v>
      </c>
      <c r="C8533" s="2">
        <f>HYPERLINK("https://cao.dolgi.msk.ru/account/1080272122/", 1080272122)</f>
        <v>1080272122</v>
      </c>
      <c r="D8533" t="s">
        <v>7152</v>
      </c>
      <c r="E8533">
        <v>122084.07</v>
      </c>
      <c r="F8533">
        <v>23.86</v>
      </c>
      <c r="G8533" t="s">
        <v>12</v>
      </c>
      <c r="I8533" t="s">
        <v>1050</v>
      </c>
    </row>
    <row r="8534" spans="1:9" hidden="1" x14ac:dyDescent="0.25">
      <c r="A8534" t="s">
        <v>7125</v>
      </c>
      <c r="B8534" t="s">
        <v>80</v>
      </c>
      <c r="C8534" s="2">
        <f>HYPERLINK("https://cao.dolgi.msk.ru/account/1080272149/", 1080272149)</f>
        <v>1080272149</v>
      </c>
      <c r="D8534" t="s">
        <v>7153</v>
      </c>
      <c r="E8534">
        <v>-15828.82</v>
      </c>
      <c r="F8534">
        <v>-2.84</v>
      </c>
      <c r="G8534" t="s">
        <v>12</v>
      </c>
      <c r="I8534" t="s">
        <v>1050</v>
      </c>
    </row>
    <row r="8535" spans="1:9" hidden="1" x14ac:dyDescent="0.25">
      <c r="A8535" t="s">
        <v>7125</v>
      </c>
      <c r="B8535" t="s">
        <v>82</v>
      </c>
      <c r="C8535" s="2">
        <f>HYPERLINK("https://cao.dolgi.msk.ru/account/1080272157/", 1080272157)</f>
        <v>1080272157</v>
      </c>
      <c r="D8535" t="s">
        <v>7154</v>
      </c>
      <c r="E8535">
        <v>-9424.01</v>
      </c>
      <c r="F8535">
        <v>-1.25</v>
      </c>
      <c r="G8535" t="s">
        <v>12</v>
      </c>
      <c r="I8535" t="s">
        <v>1050</v>
      </c>
    </row>
    <row r="8536" spans="1:9" hidden="1" x14ac:dyDescent="0.25">
      <c r="A8536" t="s">
        <v>7125</v>
      </c>
      <c r="B8536" t="s">
        <v>84</v>
      </c>
      <c r="C8536" s="2">
        <f>HYPERLINK("https://cao.dolgi.msk.ru/account/1080272165/", 1080272165)</f>
        <v>1080272165</v>
      </c>
      <c r="D8536" t="s">
        <v>7155</v>
      </c>
      <c r="E8536">
        <v>-2.38</v>
      </c>
      <c r="F8536">
        <v>0</v>
      </c>
      <c r="G8536" t="s">
        <v>12</v>
      </c>
      <c r="I8536" t="s">
        <v>1050</v>
      </c>
    </row>
    <row r="8537" spans="1:9" hidden="1" x14ac:dyDescent="0.25">
      <c r="A8537" t="s">
        <v>7125</v>
      </c>
      <c r="B8537" t="s">
        <v>86</v>
      </c>
      <c r="C8537" s="2">
        <f>HYPERLINK("https://cao.dolgi.msk.ru/account/1080272173/", 1080272173)</f>
        <v>1080272173</v>
      </c>
      <c r="D8537" t="s">
        <v>7156</v>
      </c>
      <c r="E8537">
        <v>-3308.8</v>
      </c>
      <c r="F8537">
        <v>-1.22</v>
      </c>
      <c r="G8537" t="s">
        <v>12</v>
      </c>
      <c r="I8537" t="s">
        <v>1050</v>
      </c>
    </row>
    <row r="8538" spans="1:9" hidden="1" x14ac:dyDescent="0.25">
      <c r="A8538" t="s">
        <v>7125</v>
      </c>
      <c r="B8538" t="s">
        <v>88</v>
      </c>
      <c r="C8538" s="2">
        <f>HYPERLINK("https://cao.dolgi.msk.ru/account/1080272181/", 1080272181)</f>
        <v>1080272181</v>
      </c>
      <c r="D8538" t="s">
        <v>7157</v>
      </c>
      <c r="E8538">
        <v>-4792.6899999999996</v>
      </c>
      <c r="F8538">
        <v>-1.2</v>
      </c>
      <c r="G8538" t="s">
        <v>12</v>
      </c>
      <c r="I8538" t="s">
        <v>1050</v>
      </c>
    </row>
    <row r="8539" spans="1:9" hidden="1" x14ac:dyDescent="0.25">
      <c r="A8539" t="s">
        <v>7125</v>
      </c>
      <c r="B8539" t="s">
        <v>90</v>
      </c>
      <c r="C8539" s="2">
        <f>HYPERLINK("https://cao.dolgi.msk.ru/account/1080272202/", 1080272202)</f>
        <v>1080272202</v>
      </c>
      <c r="D8539" t="s">
        <v>7158</v>
      </c>
      <c r="E8539">
        <v>60.18</v>
      </c>
      <c r="F8539">
        <v>0.01</v>
      </c>
      <c r="G8539" t="s">
        <v>12</v>
      </c>
      <c r="I8539" t="s">
        <v>1050</v>
      </c>
    </row>
    <row r="8540" spans="1:9" x14ac:dyDescent="0.25">
      <c r="A8540" t="s">
        <v>7125</v>
      </c>
      <c r="B8540" t="s">
        <v>92</v>
      </c>
      <c r="C8540" s="2">
        <f>HYPERLINK("https://cao.dolgi.msk.ru/account/1080272229/", 1080272229)</f>
        <v>1080272229</v>
      </c>
      <c r="D8540" t="s">
        <v>15</v>
      </c>
      <c r="E8540">
        <v>69217.490000000005</v>
      </c>
      <c r="F8540">
        <v>7.89</v>
      </c>
      <c r="G8540" t="s">
        <v>12</v>
      </c>
      <c r="I8540" t="s">
        <v>1050</v>
      </c>
    </row>
    <row r="8541" spans="1:9" hidden="1" x14ac:dyDescent="0.25">
      <c r="A8541" t="s">
        <v>7125</v>
      </c>
      <c r="B8541" t="s">
        <v>94</v>
      </c>
      <c r="C8541" s="2">
        <f>HYPERLINK("https://cao.dolgi.msk.ru/account/1080272237/", 1080272237)</f>
        <v>1080272237</v>
      </c>
      <c r="D8541" t="s">
        <v>7159</v>
      </c>
      <c r="E8541">
        <v>-8057.31</v>
      </c>
      <c r="F8541">
        <v>-1.28</v>
      </c>
      <c r="G8541" t="s">
        <v>12</v>
      </c>
      <c r="I8541" t="s">
        <v>1050</v>
      </c>
    </row>
    <row r="8542" spans="1:9" hidden="1" x14ac:dyDescent="0.25">
      <c r="A8542" t="s">
        <v>7125</v>
      </c>
      <c r="B8542" t="s">
        <v>96</v>
      </c>
      <c r="C8542" s="2">
        <f>HYPERLINK("https://cao.dolgi.msk.ru/account/1080272245/", 1080272245)</f>
        <v>1080272245</v>
      </c>
      <c r="D8542" t="s">
        <v>7160</v>
      </c>
      <c r="E8542">
        <v>-5345</v>
      </c>
      <c r="F8542">
        <v>-1.18</v>
      </c>
      <c r="G8542" t="s">
        <v>12</v>
      </c>
      <c r="I8542" t="s">
        <v>1050</v>
      </c>
    </row>
    <row r="8543" spans="1:9" hidden="1" x14ac:dyDescent="0.25">
      <c r="A8543" t="s">
        <v>7125</v>
      </c>
      <c r="B8543" t="s">
        <v>98</v>
      </c>
      <c r="C8543" s="2">
        <f>HYPERLINK("https://cao.dolgi.msk.ru/account/1080272253/", 1080272253)</f>
        <v>1080272253</v>
      </c>
      <c r="D8543" t="s">
        <v>7161</v>
      </c>
      <c r="E8543">
        <v>-11708.82</v>
      </c>
      <c r="F8543">
        <v>-1.63</v>
      </c>
      <c r="G8543" t="s">
        <v>12</v>
      </c>
      <c r="I8543" t="s">
        <v>1050</v>
      </c>
    </row>
    <row r="8544" spans="1:9" hidden="1" x14ac:dyDescent="0.25">
      <c r="A8544" t="s">
        <v>7125</v>
      </c>
      <c r="B8544" t="s">
        <v>100</v>
      </c>
      <c r="C8544" s="2">
        <f>HYPERLINK("https://cao.dolgi.msk.ru/account/1080272261/", 1080272261)</f>
        <v>1080272261</v>
      </c>
      <c r="D8544" t="s">
        <v>7162</v>
      </c>
      <c r="E8544">
        <v>-6439.5</v>
      </c>
      <c r="F8544">
        <v>-1.19</v>
      </c>
      <c r="G8544" t="s">
        <v>12</v>
      </c>
      <c r="I8544" t="s">
        <v>1050</v>
      </c>
    </row>
    <row r="8545" spans="1:9" x14ac:dyDescent="0.25">
      <c r="A8545" t="s">
        <v>7125</v>
      </c>
      <c r="B8545" t="s">
        <v>102</v>
      </c>
      <c r="C8545" s="2">
        <f>HYPERLINK("https://cao.dolgi.msk.ru/account/1080272288/", 1080272288)</f>
        <v>1080272288</v>
      </c>
      <c r="D8545" t="s">
        <v>7163</v>
      </c>
      <c r="E8545">
        <v>42349.97</v>
      </c>
      <c r="F8545">
        <v>3.97</v>
      </c>
      <c r="G8545" t="s">
        <v>12</v>
      </c>
      <c r="I8545" t="s">
        <v>1050</v>
      </c>
    </row>
    <row r="8546" spans="1:9" hidden="1" x14ac:dyDescent="0.25">
      <c r="A8546" t="s">
        <v>7125</v>
      </c>
      <c r="B8546" t="s">
        <v>104</v>
      </c>
      <c r="C8546" s="2">
        <f>HYPERLINK("https://cao.dolgi.msk.ru/account/1080272296/", 1080272296)</f>
        <v>1080272296</v>
      </c>
      <c r="D8546" t="s">
        <v>7164</v>
      </c>
      <c r="E8546">
        <v>-3.12</v>
      </c>
      <c r="F8546">
        <v>0</v>
      </c>
      <c r="G8546" t="s">
        <v>12</v>
      </c>
      <c r="I8546" t="s">
        <v>1050</v>
      </c>
    </row>
    <row r="8547" spans="1:9" hidden="1" x14ac:dyDescent="0.25">
      <c r="A8547" t="s">
        <v>7125</v>
      </c>
      <c r="B8547" t="s">
        <v>106</v>
      </c>
      <c r="C8547" s="2">
        <f>HYPERLINK("https://cao.dolgi.msk.ru/account/1080272309/", 1080272309)</f>
        <v>1080272309</v>
      </c>
      <c r="D8547" t="s">
        <v>7165</v>
      </c>
      <c r="E8547">
        <v>-5454.37</v>
      </c>
      <c r="F8547">
        <v>-1.26</v>
      </c>
      <c r="G8547" t="s">
        <v>12</v>
      </c>
      <c r="I8547" t="s">
        <v>1050</v>
      </c>
    </row>
    <row r="8548" spans="1:9" hidden="1" x14ac:dyDescent="0.25">
      <c r="A8548" t="s">
        <v>7125</v>
      </c>
      <c r="B8548" t="s">
        <v>108</v>
      </c>
      <c r="C8548" s="2">
        <f>HYPERLINK("https://cao.dolgi.msk.ru/account/1080272317/", 1080272317)</f>
        <v>1080272317</v>
      </c>
      <c r="D8548" t="s">
        <v>7166</v>
      </c>
      <c r="E8548">
        <v>191.15</v>
      </c>
      <c r="F8548">
        <v>0.04</v>
      </c>
      <c r="G8548" t="s">
        <v>12</v>
      </c>
      <c r="I8548" t="s">
        <v>1050</v>
      </c>
    </row>
    <row r="8549" spans="1:9" hidden="1" x14ac:dyDescent="0.25">
      <c r="A8549" t="s">
        <v>7125</v>
      </c>
      <c r="B8549" t="s">
        <v>110</v>
      </c>
      <c r="C8549" s="2">
        <f>HYPERLINK("https://cao.dolgi.msk.ru/account/1080272325/", 1080272325)</f>
        <v>1080272325</v>
      </c>
      <c r="D8549" t="s">
        <v>7167</v>
      </c>
      <c r="E8549">
        <v>-6552.22</v>
      </c>
      <c r="F8549">
        <v>-1.17</v>
      </c>
      <c r="G8549" t="s">
        <v>12</v>
      </c>
      <c r="I8549" t="s">
        <v>1050</v>
      </c>
    </row>
    <row r="8550" spans="1:9" hidden="1" x14ac:dyDescent="0.25">
      <c r="A8550" t="s">
        <v>7125</v>
      </c>
      <c r="B8550" t="s">
        <v>112</v>
      </c>
      <c r="C8550" s="2">
        <f>HYPERLINK("https://cao.dolgi.msk.ru/account/1080272333/", 1080272333)</f>
        <v>1080272333</v>
      </c>
      <c r="D8550" t="s">
        <v>7168</v>
      </c>
      <c r="E8550">
        <v>-5708.14</v>
      </c>
      <c r="F8550">
        <v>-1.1599999999999999</v>
      </c>
      <c r="G8550" t="s">
        <v>12</v>
      </c>
      <c r="I8550" t="s">
        <v>1050</v>
      </c>
    </row>
    <row r="8551" spans="1:9" hidden="1" x14ac:dyDescent="0.25">
      <c r="A8551" t="s">
        <v>7125</v>
      </c>
      <c r="B8551" t="s">
        <v>114</v>
      </c>
      <c r="C8551" s="2">
        <f>HYPERLINK("https://cao.dolgi.msk.ru/account/1080272341/", 1080272341)</f>
        <v>1080272341</v>
      </c>
      <c r="D8551" t="s">
        <v>15</v>
      </c>
      <c r="E8551">
        <v>-8642.7999999999993</v>
      </c>
      <c r="F8551">
        <v>-1.1100000000000001</v>
      </c>
      <c r="G8551" t="s">
        <v>12</v>
      </c>
      <c r="I8551" t="s">
        <v>1050</v>
      </c>
    </row>
    <row r="8552" spans="1:9" hidden="1" x14ac:dyDescent="0.25">
      <c r="A8552" t="s">
        <v>7125</v>
      </c>
      <c r="B8552" t="s">
        <v>116</v>
      </c>
      <c r="C8552" s="2">
        <f>HYPERLINK("https://cao.dolgi.msk.ru/account/1080272368/", 1080272368)</f>
        <v>1080272368</v>
      </c>
      <c r="D8552" t="s">
        <v>7169</v>
      </c>
      <c r="E8552">
        <v>-6717.4</v>
      </c>
      <c r="F8552">
        <v>-1.23</v>
      </c>
      <c r="G8552" t="s">
        <v>12</v>
      </c>
      <c r="H8552" t="s">
        <v>7</v>
      </c>
      <c r="I8552" t="s">
        <v>1050</v>
      </c>
    </row>
    <row r="8553" spans="1:9" hidden="1" x14ac:dyDescent="0.25">
      <c r="A8553" t="s">
        <v>7125</v>
      </c>
      <c r="B8553" t="s">
        <v>116</v>
      </c>
      <c r="C8553" s="2">
        <f>HYPERLINK("https://cao.dolgi.msk.ru/account/1080272376/", 1080272376)</f>
        <v>1080272376</v>
      </c>
      <c r="D8553" t="s">
        <v>7170</v>
      </c>
      <c r="E8553">
        <v>-2821.67</v>
      </c>
      <c r="F8553">
        <v>-1.22</v>
      </c>
      <c r="G8553" t="s">
        <v>12</v>
      </c>
      <c r="H8553" t="s">
        <v>7</v>
      </c>
      <c r="I8553" t="s">
        <v>1050</v>
      </c>
    </row>
    <row r="8554" spans="1:9" hidden="1" x14ac:dyDescent="0.25">
      <c r="A8554" t="s">
        <v>7125</v>
      </c>
      <c r="B8554" t="s">
        <v>118</v>
      </c>
      <c r="C8554" s="2">
        <f>HYPERLINK("https://cao.dolgi.msk.ru/account/1080272384/", 1080272384)</f>
        <v>1080272384</v>
      </c>
      <c r="D8554" t="s">
        <v>7171</v>
      </c>
      <c r="E8554">
        <v>-7026.65</v>
      </c>
      <c r="F8554">
        <v>-1.0900000000000001</v>
      </c>
      <c r="G8554" t="s">
        <v>12</v>
      </c>
      <c r="I8554" t="s">
        <v>1050</v>
      </c>
    </row>
    <row r="8555" spans="1:9" hidden="1" x14ac:dyDescent="0.25">
      <c r="A8555" t="s">
        <v>7125</v>
      </c>
      <c r="B8555" t="s">
        <v>120</v>
      </c>
      <c r="C8555" s="2">
        <f>HYPERLINK("https://cao.dolgi.msk.ru/account/1080272392/", 1080272392)</f>
        <v>1080272392</v>
      </c>
      <c r="D8555" t="s">
        <v>7172</v>
      </c>
      <c r="E8555">
        <v>-5141.5600000000004</v>
      </c>
      <c r="F8555">
        <v>-1.19</v>
      </c>
      <c r="G8555" t="s">
        <v>12</v>
      </c>
      <c r="I8555" t="s">
        <v>1050</v>
      </c>
    </row>
    <row r="8556" spans="1:9" hidden="1" x14ac:dyDescent="0.25">
      <c r="A8556" t="s">
        <v>7125</v>
      </c>
      <c r="B8556" t="s">
        <v>122</v>
      </c>
      <c r="C8556" s="2">
        <f>HYPERLINK("https://cao.dolgi.msk.ru/account/1080272405/", 1080272405)</f>
        <v>1080272405</v>
      </c>
      <c r="D8556" t="s">
        <v>7173</v>
      </c>
      <c r="E8556">
        <v>-9619.73</v>
      </c>
      <c r="F8556">
        <v>-1.35</v>
      </c>
      <c r="G8556" t="s">
        <v>12</v>
      </c>
      <c r="I8556" t="s">
        <v>1050</v>
      </c>
    </row>
    <row r="8557" spans="1:9" hidden="1" x14ac:dyDescent="0.25">
      <c r="A8557" t="s">
        <v>7125</v>
      </c>
      <c r="B8557" t="s">
        <v>124</v>
      </c>
      <c r="C8557" s="2">
        <f>HYPERLINK("https://cao.dolgi.msk.ru/account/1080272413/", 1080272413)</f>
        <v>1080272413</v>
      </c>
      <c r="D8557" t="s">
        <v>7174</v>
      </c>
      <c r="E8557">
        <v>0</v>
      </c>
      <c r="F8557">
        <v>0</v>
      </c>
      <c r="G8557" t="s">
        <v>12</v>
      </c>
      <c r="I8557" t="s">
        <v>1050</v>
      </c>
    </row>
    <row r="8558" spans="1:9" hidden="1" x14ac:dyDescent="0.25">
      <c r="A8558" t="s">
        <v>7125</v>
      </c>
      <c r="B8558" t="s">
        <v>126</v>
      </c>
      <c r="C8558" s="2">
        <f>HYPERLINK("https://cao.dolgi.msk.ru/account/1080272421/", 1080272421)</f>
        <v>1080272421</v>
      </c>
      <c r="D8558" t="s">
        <v>7175</v>
      </c>
      <c r="E8558">
        <v>-3005.65</v>
      </c>
      <c r="F8558">
        <v>-0.97</v>
      </c>
      <c r="G8558" t="s">
        <v>12</v>
      </c>
      <c r="H8558" t="s">
        <v>7</v>
      </c>
      <c r="I8558" t="s">
        <v>1050</v>
      </c>
    </row>
    <row r="8559" spans="1:9" hidden="1" x14ac:dyDescent="0.25">
      <c r="A8559" t="s">
        <v>7125</v>
      </c>
      <c r="B8559" t="s">
        <v>126</v>
      </c>
      <c r="C8559" s="2">
        <f>HYPERLINK("https://cao.dolgi.msk.ru/account/1080272448/", 1080272448)</f>
        <v>1080272448</v>
      </c>
      <c r="D8559" t="s">
        <v>7175</v>
      </c>
      <c r="E8559">
        <v>-4077.21</v>
      </c>
      <c r="F8559">
        <v>-1</v>
      </c>
      <c r="G8559" t="s">
        <v>12</v>
      </c>
      <c r="H8559" t="s">
        <v>7</v>
      </c>
      <c r="I8559" t="s">
        <v>1050</v>
      </c>
    </row>
    <row r="8560" spans="1:9" hidden="1" x14ac:dyDescent="0.25">
      <c r="A8560" t="s">
        <v>7125</v>
      </c>
      <c r="B8560" t="s">
        <v>128</v>
      </c>
      <c r="C8560" s="2">
        <f>HYPERLINK("https://cao.dolgi.msk.ru/account/1080272456/", 1080272456)</f>
        <v>1080272456</v>
      </c>
      <c r="D8560" t="s">
        <v>7176</v>
      </c>
      <c r="E8560">
        <v>432.55</v>
      </c>
      <c r="F8560">
        <v>0.09</v>
      </c>
      <c r="G8560" t="s">
        <v>12</v>
      </c>
      <c r="I8560" t="s">
        <v>1050</v>
      </c>
    </row>
    <row r="8561" spans="1:9" hidden="1" x14ac:dyDescent="0.25">
      <c r="A8561" t="s">
        <v>7125</v>
      </c>
      <c r="B8561" t="s">
        <v>130</v>
      </c>
      <c r="C8561" s="2">
        <f>HYPERLINK("https://cao.dolgi.msk.ru/account/1080272464/", 1080272464)</f>
        <v>1080272464</v>
      </c>
      <c r="D8561" t="s">
        <v>7177</v>
      </c>
      <c r="E8561">
        <v>-8435.84</v>
      </c>
      <c r="F8561">
        <v>-1.06</v>
      </c>
      <c r="G8561" t="s">
        <v>12</v>
      </c>
      <c r="I8561" t="s">
        <v>1050</v>
      </c>
    </row>
    <row r="8562" spans="1:9" hidden="1" x14ac:dyDescent="0.25">
      <c r="A8562" t="s">
        <v>7125</v>
      </c>
      <c r="B8562" t="s">
        <v>132</v>
      </c>
      <c r="C8562" s="2">
        <f>HYPERLINK("https://cao.dolgi.msk.ru/account/1080272472/", 1080272472)</f>
        <v>1080272472</v>
      </c>
      <c r="D8562" t="s">
        <v>7178</v>
      </c>
      <c r="E8562">
        <v>-7765.38</v>
      </c>
      <c r="F8562">
        <v>-1.08</v>
      </c>
      <c r="G8562" t="s">
        <v>12</v>
      </c>
      <c r="I8562" t="s">
        <v>1050</v>
      </c>
    </row>
    <row r="8563" spans="1:9" hidden="1" x14ac:dyDescent="0.25">
      <c r="A8563" t="s">
        <v>7125</v>
      </c>
      <c r="B8563" t="s">
        <v>133</v>
      </c>
      <c r="C8563" s="2">
        <f>HYPERLINK("https://cao.dolgi.msk.ru/account/1080272499/", 1080272499)</f>
        <v>1080272499</v>
      </c>
      <c r="D8563" t="s">
        <v>7179</v>
      </c>
      <c r="E8563">
        <v>-9079.82</v>
      </c>
      <c r="F8563">
        <v>-2.23</v>
      </c>
      <c r="G8563" t="s">
        <v>12</v>
      </c>
      <c r="I8563" t="s">
        <v>1050</v>
      </c>
    </row>
    <row r="8564" spans="1:9" hidden="1" x14ac:dyDescent="0.25">
      <c r="A8564" t="s">
        <v>7125</v>
      </c>
      <c r="B8564" t="s">
        <v>135</v>
      </c>
      <c r="C8564" s="2">
        <f>HYPERLINK("https://cao.dolgi.msk.ru/account/1080272501/", 1080272501)</f>
        <v>1080272501</v>
      </c>
      <c r="D8564" t="s">
        <v>7180</v>
      </c>
      <c r="E8564">
        <v>-9116.68</v>
      </c>
      <c r="F8564">
        <v>-1.73</v>
      </c>
      <c r="G8564" t="s">
        <v>12</v>
      </c>
      <c r="I8564" t="s">
        <v>1050</v>
      </c>
    </row>
    <row r="8565" spans="1:9" hidden="1" x14ac:dyDescent="0.25">
      <c r="A8565" t="s">
        <v>7125</v>
      </c>
      <c r="B8565" t="s">
        <v>137</v>
      </c>
      <c r="C8565" s="2">
        <f>HYPERLINK("https://cao.dolgi.msk.ru/account/1080272528/", 1080272528)</f>
        <v>1080272528</v>
      </c>
      <c r="D8565" t="s">
        <v>7181</v>
      </c>
      <c r="E8565">
        <v>-5880.37</v>
      </c>
      <c r="F8565">
        <v>-1.25</v>
      </c>
      <c r="G8565" t="s">
        <v>12</v>
      </c>
      <c r="H8565" t="s">
        <v>7</v>
      </c>
      <c r="I8565" t="s">
        <v>1050</v>
      </c>
    </row>
    <row r="8566" spans="1:9" hidden="1" x14ac:dyDescent="0.25">
      <c r="A8566" t="s">
        <v>7125</v>
      </c>
      <c r="B8566" t="s">
        <v>137</v>
      </c>
      <c r="C8566" s="2">
        <f>HYPERLINK("https://cao.dolgi.msk.ru/account/1080272536/", 1080272536)</f>
        <v>1080272536</v>
      </c>
      <c r="D8566" t="s">
        <v>7181</v>
      </c>
      <c r="E8566">
        <v>-2286.62</v>
      </c>
      <c r="F8566">
        <v>-1.23</v>
      </c>
      <c r="G8566" t="s">
        <v>12</v>
      </c>
      <c r="H8566" t="s">
        <v>7</v>
      </c>
      <c r="I8566" t="s">
        <v>1050</v>
      </c>
    </row>
    <row r="8567" spans="1:9" hidden="1" x14ac:dyDescent="0.25">
      <c r="A8567" t="s">
        <v>7125</v>
      </c>
      <c r="B8567" t="s">
        <v>139</v>
      </c>
      <c r="C8567" s="2">
        <f>HYPERLINK("https://cao.dolgi.msk.ru/account/1080272544/", 1080272544)</f>
        <v>1080272544</v>
      </c>
      <c r="D8567" t="s">
        <v>7182</v>
      </c>
      <c r="E8567">
        <v>-7986.6</v>
      </c>
      <c r="F8567">
        <v>-1.1200000000000001</v>
      </c>
      <c r="G8567" t="s">
        <v>12</v>
      </c>
      <c r="I8567" t="s">
        <v>1050</v>
      </c>
    </row>
    <row r="8568" spans="1:9" hidden="1" x14ac:dyDescent="0.25">
      <c r="A8568" t="s">
        <v>7125</v>
      </c>
      <c r="B8568" t="s">
        <v>141</v>
      </c>
      <c r="C8568" s="2">
        <f>HYPERLINK("https://cao.dolgi.msk.ru/account/1080272552/", 1080272552)</f>
        <v>1080272552</v>
      </c>
      <c r="D8568" t="s">
        <v>7183</v>
      </c>
      <c r="E8568">
        <v>-6595.17</v>
      </c>
      <c r="F8568">
        <v>-1.1200000000000001</v>
      </c>
      <c r="G8568" t="s">
        <v>12</v>
      </c>
      <c r="I8568" t="s">
        <v>1050</v>
      </c>
    </row>
    <row r="8569" spans="1:9" hidden="1" x14ac:dyDescent="0.25">
      <c r="A8569" t="s">
        <v>7125</v>
      </c>
      <c r="B8569" t="s">
        <v>143</v>
      </c>
      <c r="C8569" s="2">
        <f>HYPERLINK("https://cao.dolgi.msk.ru/account/1080272579/", 1080272579)</f>
        <v>1080272579</v>
      </c>
      <c r="D8569" t="s">
        <v>7184</v>
      </c>
      <c r="E8569">
        <v>-5557.21</v>
      </c>
      <c r="F8569">
        <v>-1.1100000000000001</v>
      </c>
      <c r="G8569" t="s">
        <v>12</v>
      </c>
      <c r="I8569" t="s">
        <v>1050</v>
      </c>
    </row>
    <row r="8570" spans="1:9" hidden="1" x14ac:dyDescent="0.25">
      <c r="A8570" t="s">
        <v>7125</v>
      </c>
      <c r="B8570" t="s">
        <v>145</v>
      </c>
      <c r="C8570" s="2">
        <f>HYPERLINK("https://cao.dolgi.msk.ru/account/1080272587/", 1080272587)</f>
        <v>1080272587</v>
      </c>
      <c r="D8570" t="s">
        <v>7185</v>
      </c>
      <c r="E8570">
        <v>-5054.8</v>
      </c>
      <c r="F8570">
        <v>-1.07</v>
      </c>
      <c r="G8570" t="s">
        <v>12</v>
      </c>
      <c r="I8570" t="s">
        <v>1050</v>
      </c>
    </row>
    <row r="8571" spans="1:9" hidden="1" x14ac:dyDescent="0.25">
      <c r="A8571" t="s">
        <v>7125</v>
      </c>
      <c r="B8571" t="s">
        <v>147</v>
      </c>
      <c r="C8571" s="2">
        <f>HYPERLINK("https://cao.dolgi.msk.ru/account/1080272608/", 1080272608)</f>
        <v>1080272608</v>
      </c>
      <c r="D8571" t="s">
        <v>7186</v>
      </c>
      <c r="E8571">
        <v>-17695.830000000002</v>
      </c>
      <c r="F8571">
        <v>-2.5099999999999998</v>
      </c>
      <c r="G8571" t="s">
        <v>12</v>
      </c>
      <c r="I8571" t="s">
        <v>1050</v>
      </c>
    </row>
    <row r="8572" spans="1:9" hidden="1" x14ac:dyDescent="0.25">
      <c r="A8572" t="s">
        <v>7125</v>
      </c>
      <c r="B8572" t="s">
        <v>147</v>
      </c>
      <c r="C8572" s="2">
        <f>HYPERLINK("https://cao.dolgi.msk.ru/account/1080326637/", 1080326637)</f>
        <v>1080326637</v>
      </c>
      <c r="D8572" t="s">
        <v>7186</v>
      </c>
      <c r="E8572">
        <v>-20</v>
      </c>
      <c r="G8572" t="s">
        <v>14</v>
      </c>
      <c r="I8572" t="s">
        <v>1050</v>
      </c>
    </row>
    <row r="8573" spans="1:9" hidden="1" x14ac:dyDescent="0.25">
      <c r="A8573" t="s">
        <v>7125</v>
      </c>
      <c r="B8573" t="s">
        <v>149</v>
      </c>
      <c r="C8573" s="2">
        <f>HYPERLINK("https://cao.dolgi.msk.ru/account/1080272616/", 1080272616)</f>
        <v>1080272616</v>
      </c>
      <c r="D8573" t="s">
        <v>7187</v>
      </c>
      <c r="E8573">
        <v>0</v>
      </c>
      <c r="F8573">
        <v>0</v>
      </c>
      <c r="G8573" t="s">
        <v>12</v>
      </c>
      <c r="I8573" t="s">
        <v>1050</v>
      </c>
    </row>
    <row r="8574" spans="1:9" hidden="1" x14ac:dyDescent="0.25">
      <c r="A8574" t="s">
        <v>7125</v>
      </c>
      <c r="B8574" t="s">
        <v>151</v>
      </c>
      <c r="C8574" s="2">
        <f>HYPERLINK("https://cao.dolgi.msk.ru/account/1080272624/", 1080272624)</f>
        <v>1080272624</v>
      </c>
      <c r="D8574" t="s">
        <v>7188</v>
      </c>
      <c r="E8574">
        <v>-4760.22</v>
      </c>
      <c r="F8574">
        <v>-1.01</v>
      </c>
      <c r="G8574" t="s">
        <v>12</v>
      </c>
      <c r="I8574" t="s">
        <v>1050</v>
      </c>
    </row>
    <row r="8575" spans="1:9" hidden="1" x14ac:dyDescent="0.25">
      <c r="A8575" t="s">
        <v>7125</v>
      </c>
      <c r="B8575" t="s">
        <v>153</v>
      </c>
      <c r="C8575" s="2">
        <f>HYPERLINK("https://cao.dolgi.msk.ru/account/1080272632/", 1080272632)</f>
        <v>1080272632</v>
      </c>
      <c r="D8575" t="s">
        <v>7189</v>
      </c>
      <c r="E8575">
        <v>-8364.82</v>
      </c>
      <c r="F8575">
        <v>-1.27</v>
      </c>
      <c r="G8575" t="s">
        <v>12</v>
      </c>
      <c r="I8575" t="s">
        <v>1050</v>
      </c>
    </row>
    <row r="8576" spans="1:9" hidden="1" x14ac:dyDescent="0.25">
      <c r="A8576" t="s">
        <v>7125</v>
      </c>
      <c r="B8576" t="s">
        <v>155</v>
      </c>
      <c r="C8576" s="2">
        <f>HYPERLINK("https://cao.dolgi.msk.ru/account/1080272659/", 1080272659)</f>
        <v>1080272659</v>
      </c>
      <c r="D8576" t="s">
        <v>7190</v>
      </c>
      <c r="E8576">
        <v>-349.83</v>
      </c>
      <c r="F8576">
        <v>-0.02</v>
      </c>
      <c r="G8576" t="s">
        <v>12</v>
      </c>
      <c r="I8576" t="s">
        <v>1050</v>
      </c>
    </row>
    <row r="8577" spans="1:9" hidden="1" x14ac:dyDescent="0.25">
      <c r="A8577" t="s">
        <v>7125</v>
      </c>
      <c r="B8577" t="s">
        <v>157</v>
      </c>
      <c r="C8577" s="2">
        <f>HYPERLINK("https://cao.dolgi.msk.ru/account/1080272667/", 1080272667)</f>
        <v>1080272667</v>
      </c>
      <c r="D8577" t="s">
        <v>7191</v>
      </c>
      <c r="E8577">
        <v>-2690.11</v>
      </c>
      <c r="F8577">
        <v>-0.49</v>
      </c>
      <c r="G8577" t="s">
        <v>12</v>
      </c>
      <c r="I8577" t="s">
        <v>1050</v>
      </c>
    </row>
    <row r="8578" spans="1:9" hidden="1" x14ac:dyDescent="0.25">
      <c r="A8578" t="s">
        <v>7125</v>
      </c>
      <c r="B8578" t="s">
        <v>159</v>
      </c>
      <c r="C8578" s="2">
        <f>HYPERLINK("https://cao.dolgi.msk.ru/account/1080272675/", 1080272675)</f>
        <v>1080272675</v>
      </c>
      <c r="D8578" t="s">
        <v>7192</v>
      </c>
      <c r="E8578">
        <v>-107873.35</v>
      </c>
      <c r="F8578">
        <v>-26.07</v>
      </c>
      <c r="G8578" t="s">
        <v>12</v>
      </c>
      <c r="I8578" t="s">
        <v>1050</v>
      </c>
    </row>
    <row r="8579" spans="1:9" hidden="1" x14ac:dyDescent="0.25">
      <c r="A8579" t="s">
        <v>7125</v>
      </c>
      <c r="B8579" t="s">
        <v>161</v>
      </c>
      <c r="C8579" s="2">
        <f>HYPERLINK("https://cao.dolgi.msk.ru/account/1080272683/", 1080272683)</f>
        <v>1080272683</v>
      </c>
      <c r="D8579" t="s">
        <v>7193</v>
      </c>
      <c r="E8579">
        <v>-10313.01</v>
      </c>
      <c r="F8579">
        <v>-1.3</v>
      </c>
      <c r="G8579" t="s">
        <v>12</v>
      </c>
      <c r="I8579" t="s">
        <v>1050</v>
      </c>
    </row>
    <row r="8580" spans="1:9" hidden="1" x14ac:dyDescent="0.25">
      <c r="A8580" t="s">
        <v>7125</v>
      </c>
      <c r="B8580" t="s">
        <v>163</v>
      </c>
      <c r="C8580" s="2">
        <f>HYPERLINK("https://cao.dolgi.msk.ru/account/1080272691/", 1080272691)</f>
        <v>1080272691</v>
      </c>
      <c r="D8580" t="s">
        <v>7194</v>
      </c>
      <c r="E8580">
        <v>-16547.72</v>
      </c>
      <c r="F8580">
        <v>-3.25</v>
      </c>
      <c r="G8580" t="s">
        <v>12</v>
      </c>
      <c r="I8580" t="s">
        <v>1050</v>
      </c>
    </row>
    <row r="8581" spans="1:9" hidden="1" x14ac:dyDescent="0.25">
      <c r="A8581" t="s">
        <v>7125</v>
      </c>
      <c r="B8581" t="s">
        <v>571</v>
      </c>
      <c r="C8581" s="2">
        <f>HYPERLINK("https://cao.dolgi.msk.ru/account/1080272704/", 1080272704)</f>
        <v>1080272704</v>
      </c>
      <c r="D8581" t="s">
        <v>7195</v>
      </c>
      <c r="E8581">
        <v>-7001.86</v>
      </c>
      <c r="F8581">
        <v>-1.1299999999999999</v>
      </c>
      <c r="G8581" t="s">
        <v>12</v>
      </c>
      <c r="I8581" t="s">
        <v>1050</v>
      </c>
    </row>
    <row r="8582" spans="1:9" x14ac:dyDescent="0.25">
      <c r="A8582" t="s">
        <v>7125</v>
      </c>
      <c r="B8582" t="s">
        <v>682</v>
      </c>
      <c r="C8582" s="2">
        <f>HYPERLINK("https://cao.dolgi.msk.ru/account/1080272712/", 1080272712)</f>
        <v>1080272712</v>
      </c>
      <c r="D8582" t="s">
        <v>7196</v>
      </c>
      <c r="E8582">
        <v>19814.03</v>
      </c>
      <c r="F8582">
        <v>5.43</v>
      </c>
      <c r="G8582" t="s">
        <v>12</v>
      </c>
      <c r="I8582" t="s">
        <v>1050</v>
      </c>
    </row>
    <row r="8583" spans="1:9" hidden="1" x14ac:dyDescent="0.25">
      <c r="A8583" t="s">
        <v>7125</v>
      </c>
      <c r="B8583" t="s">
        <v>578</v>
      </c>
      <c r="C8583" s="2">
        <f>HYPERLINK("https://cao.dolgi.msk.ru/account/1080272739/", 1080272739)</f>
        <v>1080272739</v>
      </c>
      <c r="D8583" t="s">
        <v>7197</v>
      </c>
      <c r="E8583">
        <v>-2747.25</v>
      </c>
      <c r="F8583">
        <v>-0.76</v>
      </c>
      <c r="G8583" t="s">
        <v>12</v>
      </c>
      <c r="I8583" t="s">
        <v>1050</v>
      </c>
    </row>
    <row r="8584" spans="1:9" hidden="1" x14ac:dyDescent="0.25">
      <c r="A8584" t="s">
        <v>7125</v>
      </c>
      <c r="B8584" t="s">
        <v>578</v>
      </c>
      <c r="C8584" s="2">
        <f>HYPERLINK("https://cao.dolgi.msk.ru/account/1089123465/", 1089123465)</f>
        <v>1089123465</v>
      </c>
      <c r="D8584" t="s">
        <v>7198</v>
      </c>
      <c r="E8584">
        <v>-1509.48</v>
      </c>
      <c r="F8584">
        <v>-1.07</v>
      </c>
      <c r="G8584" t="s">
        <v>12</v>
      </c>
      <c r="I8584" t="s">
        <v>1050</v>
      </c>
    </row>
    <row r="8585" spans="1:9" hidden="1" x14ac:dyDescent="0.25">
      <c r="A8585" t="s">
        <v>7125</v>
      </c>
      <c r="B8585" t="s">
        <v>580</v>
      </c>
      <c r="C8585" s="2">
        <f>HYPERLINK("https://cao.dolgi.msk.ru/account/1080272747/", 1080272747)</f>
        <v>1080272747</v>
      </c>
      <c r="D8585" t="s">
        <v>7199</v>
      </c>
      <c r="E8585">
        <v>-377.09</v>
      </c>
      <c r="F8585">
        <v>-0.12</v>
      </c>
      <c r="G8585" t="s">
        <v>12</v>
      </c>
      <c r="I8585" t="s">
        <v>1050</v>
      </c>
    </row>
    <row r="8586" spans="1:9" x14ac:dyDescent="0.25">
      <c r="A8586" t="s">
        <v>7125</v>
      </c>
      <c r="B8586" t="s">
        <v>686</v>
      </c>
      <c r="C8586" s="2">
        <f>HYPERLINK("https://cao.dolgi.msk.ru/account/1080272755/", 1080272755)</f>
        <v>1080272755</v>
      </c>
      <c r="D8586" t="s">
        <v>7200</v>
      </c>
      <c r="E8586">
        <v>9930.36</v>
      </c>
      <c r="F8586">
        <v>1.68</v>
      </c>
      <c r="G8586" t="s">
        <v>12</v>
      </c>
      <c r="I8586" t="s">
        <v>1050</v>
      </c>
    </row>
    <row r="8587" spans="1:9" hidden="1" x14ac:dyDescent="0.25">
      <c r="A8587" t="s">
        <v>7125</v>
      </c>
      <c r="B8587" t="s">
        <v>582</v>
      </c>
      <c r="C8587" s="2">
        <f>HYPERLINK("https://cao.dolgi.msk.ru/account/1080272763/", 1080272763)</f>
        <v>1080272763</v>
      </c>
      <c r="D8587" t="s">
        <v>7201</v>
      </c>
      <c r="E8587">
        <v>-3316.79</v>
      </c>
      <c r="F8587">
        <v>-1.1399999999999999</v>
      </c>
      <c r="G8587" t="s">
        <v>12</v>
      </c>
      <c r="I8587" t="s">
        <v>1050</v>
      </c>
    </row>
    <row r="8588" spans="1:9" hidden="1" x14ac:dyDescent="0.25">
      <c r="A8588" t="s">
        <v>7125</v>
      </c>
      <c r="B8588" t="s">
        <v>584</v>
      </c>
      <c r="C8588" s="2">
        <f>HYPERLINK("https://cao.dolgi.msk.ru/account/1080272771/", 1080272771)</f>
        <v>1080272771</v>
      </c>
      <c r="D8588" t="s">
        <v>7202</v>
      </c>
      <c r="E8588">
        <v>-8848.19</v>
      </c>
      <c r="F8588">
        <v>-1.19</v>
      </c>
      <c r="G8588" t="s">
        <v>12</v>
      </c>
      <c r="I8588" t="s">
        <v>1050</v>
      </c>
    </row>
    <row r="8589" spans="1:9" hidden="1" x14ac:dyDescent="0.25">
      <c r="A8589" t="s">
        <v>7125</v>
      </c>
      <c r="B8589" t="s">
        <v>586</v>
      </c>
      <c r="C8589" s="2">
        <f>HYPERLINK("https://cao.dolgi.msk.ru/account/1080272798/", 1080272798)</f>
        <v>1080272798</v>
      </c>
      <c r="D8589" t="s">
        <v>7203</v>
      </c>
      <c r="E8589">
        <v>-2196.63</v>
      </c>
      <c r="F8589">
        <v>-0.48</v>
      </c>
      <c r="G8589" t="s">
        <v>12</v>
      </c>
      <c r="I8589" t="s">
        <v>1050</v>
      </c>
    </row>
    <row r="8590" spans="1:9" hidden="1" x14ac:dyDescent="0.25">
      <c r="A8590" t="s">
        <v>7125</v>
      </c>
      <c r="B8590" t="s">
        <v>588</v>
      </c>
      <c r="C8590" s="2">
        <f>HYPERLINK("https://cao.dolgi.msk.ru/account/1080272819/", 1080272819)</f>
        <v>1080272819</v>
      </c>
      <c r="D8590" t="s">
        <v>7204</v>
      </c>
      <c r="E8590">
        <v>-6715.27</v>
      </c>
      <c r="F8590">
        <v>-1.78</v>
      </c>
      <c r="G8590" t="s">
        <v>12</v>
      </c>
      <c r="I8590" t="s">
        <v>1050</v>
      </c>
    </row>
    <row r="8591" spans="1:9" hidden="1" x14ac:dyDescent="0.25">
      <c r="A8591" t="s">
        <v>7125</v>
      </c>
      <c r="B8591" t="s">
        <v>590</v>
      </c>
      <c r="C8591" s="2">
        <f>HYPERLINK("https://cao.dolgi.msk.ru/account/1080272827/", 1080272827)</f>
        <v>1080272827</v>
      </c>
      <c r="D8591" t="s">
        <v>7205</v>
      </c>
      <c r="E8591">
        <v>-5349.27</v>
      </c>
      <c r="F8591">
        <v>-1.18</v>
      </c>
      <c r="G8591" t="s">
        <v>12</v>
      </c>
      <c r="I8591" t="s">
        <v>1050</v>
      </c>
    </row>
    <row r="8592" spans="1:9" hidden="1" x14ac:dyDescent="0.25">
      <c r="A8592" t="s">
        <v>7125</v>
      </c>
      <c r="B8592" t="s">
        <v>693</v>
      </c>
      <c r="C8592" s="2">
        <f>HYPERLINK("https://cao.dolgi.msk.ru/account/1080272835/", 1080272835)</f>
        <v>1080272835</v>
      </c>
      <c r="D8592" t="s">
        <v>7206</v>
      </c>
      <c r="E8592">
        <v>24.43</v>
      </c>
      <c r="F8592">
        <v>0</v>
      </c>
      <c r="G8592" t="s">
        <v>12</v>
      </c>
      <c r="I8592" t="s">
        <v>1050</v>
      </c>
    </row>
    <row r="8593" spans="1:9" hidden="1" x14ac:dyDescent="0.25">
      <c r="A8593" t="s">
        <v>7125</v>
      </c>
      <c r="B8593" t="s">
        <v>694</v>
      </c>
      <c r="C8593" s="2">
        <f>HYPERLINK("https://cao.dolgi.msk.ru/account/1080272843/", 1080272843)</f>
        <v>1080272843</v>
      </c>
      <c r="D8593" t="s">
        <v>7207</v>
      </c>
      <c r="E8593">
        <v>36.119999999999997</v>
      </c>
      <c r="F8593">
        <v>0.03</v>
      </c>
      <c r="G8593" t="s">
        <v>12</v>
      </c>
      <c r="I8593" t="s">
        <v>1050</v>
      </c>
    </row>
    <row r="8594" spans="1:9" hidden="1" x14ac:dyDescent="0.25">
      <c r="A8594" t="s">
        <v>7125</v>
      </c>
      <c r="B8594" t="s">
        <v>694</v>
      </c>
      <c r="C8594" s="2">
        <f>HYPERLINK("https://cao.dolgi.msk.ru/account/1083270974/", 1083270974)</f>
        <v>1083270974</v>
      </c>
      <c r="D8594" t="s">
        <v>15</v>
      </c>
      <c r="E8594">
        <v>0</v>
      </c>
      <c r="F8594">
        <v>0</v>
      </c>
      <c r="G8594" t="s">
        <v>12</v>
      </c>
      <c r="I8594" t="s">
        <v>1050</v>
      </c>
    </row>
    <row r="8595" spans="1:9" hidden="1" x14ac:dyDescent="0.25">
      <c r="A8595" t="s">
        <v>7125</v>
      </c>
      <c r="B8595" t="s">
        <v>696</v>
      </c>
      <c r="C8595" s="2">
        <f>HYPERLINK("https://cao.dolgi.msk.ru/account/1080272851/", 1080272851)</f>
        <v>1080272851</v>
      </c>
      <c r="D8595" t="s">
        <v>7208</v>
      </c>
      <c r="E8595">
        <v>-5493.89</v>
      </c>
      <c r="F8595">
        <v>-1.18</v>
      </c>
      <c r="G8595" t="s">
        <v>12</v>
      </c>
      <c r="I8595" t="s">
        <v>1050</v>
      </c>
    </row>
    <row r="8596" spans="1:9" hidden="1" x14ac:dyDescent="0.25">
      <c r="A8596" t="s">
        <v>7125</v>
      </c>
      <c r="B8596" t="s">
        <v>698</v>
      </c>
      <c r="C8596" s="2">
        <f>HYPERLINK("https://cao.dolgi.msk.ru/account/1080272878/", 1080272878)</f>
        <v>1080272878</v>
      </c>
      <c r="D8596" t="s">
        <v>7209</v>
      </c>
      <c r="E8596">
        <v>0</v>
      </c>
      <c r="F8596">
        <v>0</v>
      </c>
      <c r="G8596" t="s">
        <v>12</v>
      </c>
      <c r="I8596" t="s">
        <v>1050</v>
      </c>
    </row>
    <row r="8597" spans="1:9" hidden="1" x14ac:dyDescent="0.25">
      <c r="A8597" t="s">
        <v>7125</v>
      </c>
      <c r="B8597" t="s">
        <v>700</v>
      </c>
      <c r="C8597" s="2">
        <f>HYPERLINK("https://cao.dolgi.msk.ru/account/1080272886/", 1080272886)</f>
        <v>1080272886</v>
      </c>
      <c r="D8597" t="s">
        <v>7210</v>
      </c>
      <c r="E8597">
        <v>-11181.62</v>
      </c>
      <c r="F8597">
        <v>-1.1000000000000001</v>
      </c>
      <c r="G8597" t="s">
        <v>12</v>
      </c>
      <c r="I8597" t="s">
        <v>1050</v>
      </c>
    </row>
    <row r="8598" spans="1:9" hidden="1" x14ac:dyDescent="0.25">
      <c r="A8598" t="s">
        <v>7125</v>
      </c>
      <c r="B8598" t="s">
        <v>702</v>
      </c>
      <c r="C8598" s="2">
        <f>HYPERLINK("https://cao.dolgi.msk.ru/account/1080272894/", 1080272894)</f>
        <v>1080272894</v>
      </c>
      <c r="D8598" t="s">
        <v>7211</v>
      </c>
      <c r="E8598">
        <v>-11411.97</v>
      </c>
      <c r="F8598">
        <v>-1.76</v>
      </c>
      <c r="G8598" t="s">
        <v>12</v>
      </c>
      <c r="I8598" t="s">
        <v>1050</v>
      </c>
    </row>
    <row r="8599" spans="1:9" hidden="1" x14ac:dyDescent="0.25">
      <c r="A8599" t="s">
        <v>7125</v>
      </c>
      <c r="B8599" t="s">
        <v>703</v>
      </c>
      <c r="C8599" s="2">
        <f>HYPERLINK("https://cao.dolgi.msk.ru/account/1080272907/", 1080272907)</f>
        <v>1080272907</v>
      </c>
      <c r="D8599" t="s">
        <v>7212</v>
      </c>
      <c r="E8599">
        <v>38.799999999999997</v>
      </c>
      <c r="F8599">
        <v>0.01</v>
      </c>
      <c r="G8599" t="s">
        <v>12</v>
      </c>
      <c r="I8599" t="s">
        <v>1050</v>
      </c>
    </row>
    <row r="8600" spans="1:9" hidden="1" x14ac:dyDescent="0.25">
      <c r="A8600" t="s">
        <v>7125</v>
      </c>
      <c r="B8600" t="s">
        <v>705</v>
      </c>
      <c r="C8600" s="2">
        <f>HYPERLINK("https://cao.dolgi.msk.ru/account/1080272915/", 1080272915)</f>
        <v>1080272915</v>
      </c>
      <c r="D8600" t="s">
        <v>7213</v>
      </c>
      <c r="E8600">
        <v>-5366.82</v>
      </c>
      <c r="F8600">
        <v>-1.1599999999999999</v>
      </c>
      <c r="G8600" t="s">
        <v>12</v>
      </c>
      <c r="I8600" t="s">
        <v>1050</v>
      </c>
    </row>
    <row r="8601" spans="1:9" hidden="1" x14ac:dyDescent="0.25">
      <c r="A8601" t="s">
        <v>7125</v>
      </c>
      <c r="B8601" t="s">
        <v>707</v>
      </c>
      <c r="C8601" s="2">
        <f>HYPERLINK("https://cao.dolgi.msk.ru/account/1080272923/", 1080272923)</f>
        <v>1080272923</v>
      </c>
      <c r="D8601" t="s">
        <v>7214</v>
      </c>
      <c r="E8601">
        <v>-6461.43</v>
      </c>
      <c r="F8601">
        <v>-1.1200000000000001</v>
      </c>
      <c r="G8601" t="s">
        <v>12</v>
      </c>
      <c r="I8601" t="s">
        <v>1050</v>
      </c>
    </row>
    <row r="8602" spans="1:9" hidden="1" x14ac:dyDescent="0.25">
      <c r="A8602" t="s">
        <v>7125</v>
      </c>
      <c r="B8602" t="s">
        <v>709</v>
      </c>
      <c r="C8602" s="2">
        <f>HYPERLINK("https://cao.dolgi.msk.ru/account/1080272931/", 1080272931)</f>
        <v>1080272931</v>
      </c>
      <c r="D8602" t="s">
        <v>7215</v>
      </c>
      <c r="E8602">
        <v>-9318.7999999999993</v>
      </c>
      <c r="F8602">
        <v>-1.2</v>
      </c>
      <c r="G8602" t="s">
        <v>12</v>
      </c>
      <c r="I8602" t="s">
        <v>1050</v>
      </c>
    </row>
    <row r="8603" spans="1:9" hidden="1" x14ac:dyDescent="0.25">
      <c r="A8603" t="s">
        <v>7125</v>
      </c>
      <c r="B8603" t="s">
        <v>711</v>
      </c>
      <c r="C8603" s="2">
        <f>HYPERLINK("https://cao.dolgi.msk.ru/account/1080272958/", 1080272958)</f>
        <v>1080272958</v>
      </c>
      <c r="D8603" t="s">
        <v>7216</v>
      </c>
      <c r="E8603">
        <v>-5839.78</v>
      </c>
      <c r="F8603">
        <v>-1.1299999999999999</v>
      </c>
      <c r="G8603" t="s">
        <v>12</v>
      </c>
      <c r="I8603" t="s">
        <v>1050</v>
      </c>
    </row>
    <row r="8604" spans="1:9" hidden="1" x14ac:dyDescent="0.25">
      <c r="A8604" t="s">
        <v>7125</v>
      </c>
      <c r="B8604" t="s">
        <v>713</v>
      </c>
      <c r="C8604" s="2">
        <f>HYPERLINK("https://cao.dolgi.msk.ru/account/1080272966/", 1080272966)</f>
        <v>1080272966</v>
      </c>
      <c r="D8604" t="s">
        <v>7217</v>
      </c>
      <c r="E8604">
        <v>-2856.3</v>
      </c>
      <c r="F8604">
        <v>-1.23</v>
      </c>
      <c r="G8604" t="s">
        <v>12</v>
      </c>
      <c r="I8604" t="s">
        <v>1050</v>
      </c>
    </row>
    <row r="8605" spans="1:9" hidden="1" x14ac:dyDescent="0.25">
      <c r="A8605" t="s">
        <v>7125</v>
      </c>
      <c r="B8605" t="s">
        <v>528</v>
      </c>
      <c r="C8605" s="2">
        <f>HYPERLINK("https://cao.dolgi.msk.ru/account/1080272974/", 1080272974)</f>
        <v>1080272974</v>
      </c>
      <c r="D8605" t="s">
        <v>7218</v>
      </c>
      <c r="E8605">
        <v>-15807.24</v>
      </c>
      <c r="F8605">
        <v>-1.5</v>
      </c>
      <c r="G8605" t="s">
        <v>12</v>
      </c>
      <c r="I8605" t="s">
        <v>1050</v>
      </c>
    </row>
    <row r="8606" spans="1:9" hidden="1" x14ac:dyDescent="0.25">
      <c r="A8606" t="s">
        <v>7125</v>
      </c>
      <c r="B8606" t="s">
        <v>530</v>
      </c>
      <c r="C8606" s="2">
        <f>HYPERLINK("https://cao.dolgi.msk.ru/account/1080272982/", 1080272982)</f>
        <v>1080272982</v>
      </c>
      <c r="D8606" t="s">
        <v>7219</v>
      </c>
      <c r="E8606">
        <v>-6753.99</v>
      </c>
      <c r="F8606">
        <v>-1.1100000000000001</v>
      </c>
      <c r="G8606" t="s">
        <v>12</v>
      </c>
      <c r="I8606" t="s">
        <v>1050</v>
      </c>
    </row>
    <row r="8607" spans="1:9" hidden="1" x14ac:dyDescent="0.25">
      <c r="A8607" t="s">
        <v>7125</v>
      </c>
      <c r="B8607" t="s">
        <v>532</v>
      </c>
      <c r="C8607" s="2">
        <f>HYPERLINK("https://cao.dolgi.msk.ru/account/1080273002/", 1080273002)</f>
        <v>1080273002</v>
      </c>
      <c r="D8607" t="s">
        <v>7220</v>
      </c>
      <c r="E8607">
        <v>-4811.5200000000004</v>
      </c>
      <c r="F8607">
        <v>-0.93</v>
      </c>
      <c r="G8607" t="s">
        <v>12</v>
      </c>
      <c r="I8607" t="s">
        <v>1050</v>
      </c>
    </row>
    <row r="8608" spans="1:9" hidden="1" x14ac:dyDescent="0.25">
      <c r="A8608" t="s">
        <v>7125</v>
      </c>
      <c r="B8608" t="s">
        <v>534</v>
      </c>
      <c r="C8608" s="2">
        <f>HYPERLINK("https://cao.dolgi.msk.ru/account/1080273029/", 1080273029)</f>
        <v>1080273029</v>
      </c>
      <c r="D8608" t="s">
        <v>7221</v>
      </c>
      <c r="E8608">
        <v>-3765.97</v>
      </c>
      <c r="F8608">
        <v>-1.1399999999999999</v>
      </c>
      <c r="G8608" t="s">
        <v>12</v>
      </c>
      <c r="I8608" t="s">
        <v>1050</v>
      </c>
    </row>
    <row r="8609" spans="1:9" hidden="1" x14ac:dyDescent="0.25">
      <c r="A8609" t="s">
        <v>7125</v>
      </c>
      <c r="B8609" t="s">
        <v>536</v>
      </c>
      <c r="C8609" s="2">
        <f>HYPERLINK("https://cao.dolgi.msk.ru/account/1080273037/", 1080273037)</f>
        <v>1080273037</v>
      </c>
      <c r="D8609" t="s">
        <v>7222</v>
      </c>
      <c r="E8609">
        <v>-12929.35</v>
      </c>
      <c r="F8609">
        <v>-2.0099999999999998</v>
      </c>
      <c r="G8609" t="s">
        <v>12</v>
      </c>
      <c r="I8609" t="s">
        <v>1050</v>
      </c>
    </row>
    <row r="8610" spans="1:9" hidden="1" x14ac:dyDescent="0.25">
      <c r="A8610" t="s">
        <v>7125</v>
      </c>
      <c r="B8610" t="s">
        <v>538</v>
      </c>
      <c r="C8610" s="2">
        <f>HYPERLINK("https://cao.dolgi.msk.ru/account/1080273045/", 1080273045)</f>
        <v>1080273045</v>
      </c>
      <c r="D8610" t="s">
        <v>7223</v>
      </c>
      <c r="E8610">
        <v>131.29</v>
      </c>
      <c r="F8610">
        <v>0.02</v>
      </c>
      <c r="G8610" t="s">
        <v>12</v>
      </c>
      <c r="I8610" t="s">
        <v>1050</v>
      </c>
    </row>
    <row r="8611" spans="1:9" hidden="1" x14ac:dyDescent="0.25">
      <c r="A8611" t="s">
        <v>7125</v>
      </c>
      <c r="B8611" t="s">
        <v>539</v>
      </c>
      <c r="C8611" s="2">
        <f>HYPERLINK("https://cao.dolgi.msk.ru/account/1080273088/", 1080273088)</f>
        <v>1080273088</v>
      </c>
      <c r="D8611" t="s">
        <v>7224</v>
      </c>
      <c r="E8611">
        <v>-920.14</v>
      </c>
      <c r="F8611">
        <v>-1.29</v>
      </c>
      <c r="G8611" t="s">
        <v>12</v>
      </c>
      <c r="I8611" t="s">
        <v>1050</v>
      </c>
    </row>
    <row r="8612" spans="1:9" hidden="1" x14ac:dyDescent="0.25">
      <c r="A8612" t="s">
        <v>7125</v>
      </c>
      <c r="B8612" t="s">
        <v>539</v>
      </c>
      <c r="C8612" s="2">
        <f>HYPERLINK("https://cao.dolgi.msk.ru/account/1083274772/", 1083274772)</f>
        <v>1083274772</v>
      </c>
      <c r="D8612" t="s">
        <v>7225</v>
      </c>
      <c r="E8612">
        <v>-3266.5</v>
      </c>
      <c r="F8612">
        <v>-1.2</v>
      </c>
      <c r="G8612" t="s">
        <v>12</v>
      </c>
      <c r="I8612" t="s">
        <v>1050</v>
      </c>
    </row>
    <row r="8613" spans="1:9" hidden="1" x14ac:dyDescent="0.25">
      <c r="A8613" t="s">
        <v>7125</v>
      </c>
      <c r="B8613" t="s">
        <v>541</v>
      </c>
      <c r="C8613" s="2">
        <f>HYPERLINK("https://cao.dolgi.msk.ru/account/1080273061/", 1080273061)</f>
        <v>1080273061</v>
      </c>
      <c r="D8613" t="s">
        <v>7226</v>
      </c>
      <c r="E8613">
        <v>-3371.86</v>
      </c>
      <c r="F8613">
        <v>-1.1000000000000001</v>
      </c>
      <c r="G8613" t="s">
        <v>12</v>
      </c>
      <c r="I8613" t="s">
        <v>1050</v>
      </c>
    </row>
    <row r="8614" spans="1:9" hidden="1" x14ac:dyDescent="0.25">
      <c r="A8614" t="s">
        <v>7125</v>
      </c>
      <c r="B8614" t="s">
        <v>543</v>
      </c>
      <c r="C8614" s="2">
        <f>HYPERLINK("https://cao.dolgi.msk.ru/account/1080273096/", 1080273096)</f>
        <v>1080273096</v>
      </c>
      <c r="D8614" t="s">
        <v>7227</v>
      </c>
      <c r="E8614">
        <v>199.71</v>
      </c>
      <c r="F8614">
        <v>0.04</v>
      </c>
      <c r="G8614" t="s">
        <v>12</v>
      </c>
      <c r="I8614" t="s">
        <v>1050</v>
      </c>
    </row>
    <row r="8615" spans="1:9" hidden="1" x14ac:dyDescent="0.25">
      <c r="A8615" t="s">
        <v>7125</v>
      </c>
      <c r="B8615" t="s">
        <v>545</v>
      </c>
      <c r="C8615" s="2">
        <f>HYPERLINK("https://cao.dolgi.msk.ru/account/1080273109/", 1080273109)</f>
        <v>1080273109</v>
      </c>
      <c r="D8615" t="s">
        <v>7228</v>
      </c>
      <c r="E8615">
        <v>-7919.7</v>
      </c>
      <c r="F8615">
        <v>-1.0900000000000001</v>
      </c>
      <c r="G8615" t="s">
        <v>12</v>
      </c>
      <c r="H8615" t="s">
        <v>7</v>
      </c>
      <c r="I8615" t="s">
        <v>1050</v>
      </c>
    </row>
    <row r="8616" spans="1:9" hidden="1" x14ac:dyDescent="0.25">
      <c r="A8616" t="s">
        <v>7125</v>
      </c>
      <c r="B8616" t="s">
        <v>545</v>
      </c>
      <c r="C8616" s="2">
        <f>HYPERLINK("https://cao.dolgi.msk.ru/account/1080273117/", 1080273117)</f>
        <v>1080273117</v>
      </c>
      <c r="D8616" t="s">
        <v>7229</v>
      </c>
      <c r="E8616">
        <v>-1789.83</v>
      </c>
      <c r="F8616">
        <v>-1.22</v>
      </c>
      <c r="G8616" t="s">
        <v>12</v>
      </c>
      <c r="H8616" t="s">
        <v>7</v>
      </c>
      <c r="I8616" t="s">
        <v>1050</v>
      </c>
    </row>
    <row r="8617" spans="1:9" hidden="1" x14ac:dyDescent="0.25">
      <c r="A8617" t="s">
        <v>7125</v>
      </c>
      <c r="B8617" t="s">
        <v>546</v>
      </c>
      <c r="C8617" s="2">
        <f>HYPERLINK("https://cao.dolgi.msk.ru/account/1080273125/", 1080273125)</f>
        <v>1080273125</v>
      </c>
      <c r="D8617" t="s">
        <v>7230</v>
      </c>
      <c r="E8617">
        <v>28.95</v>
      </c>
      <c r="F8617">
        <v>0.01</v>
      </c>
      <c r="G8617" t="s">
        <v>12</v>
      </c>
      <c r="I8617" t="s">
        <v>1050</v>
      </c>
    </row>
    <row r="8618" spans="1:9" hidden="1" x14ac:dyDescent="0.25">
      <c r="A8618" t="s">
        <v>7125</v>
      </c>
      <c r="B8618" t="s">
        <v>548</v>
      </c>
      <c r="C8618" s="2">
        <f>HYPERLINK("https://cao.dolgi.msk.ru/account/1080273133/", 1080273133)</f>
        <v>1080273133</v>
      </c>
      <c r="D8618" t="s">
        <v>7231</v>
      </c>
      <c r="E8618">
        <v>-4736.96</v>
      </c>
      <c r="F8618">
        <v>-1.21</v>
      </c>
      <c r="G8618" t="s">
        <v>12</v>
      </c>
      <c r="I8618" t="s">
        <v>1050</v>
      </c>
    </row>
    <row r="8619" spans="1:9" hidden="1" x14ac:dyDescent="0.25">
      <c r="A8619" t="s">
        <v>7125</v>
      </c>
      <c r="B8619" t="s">
        <v>727</v>
      </c>
      <c r="C8619" s="2">
        <f>HYPERLINK("https://cao.dolgi.msk.ru/account/1080273141/", 1080273141)</f>
        <v>1080273141</v>
      </c>
      <c r="D8619" t="s">
        <v>7232</v>
      </c>
      <c r="E8619">
        <v>-10334.67</v>
      </c>
      <c r="F8619">
        <v>-1.17</v>
      </c>
      <c r="G8619" t="s">
        <v>12</v>
      </c>
      <c r="I8619" t="s">
        <v>1050</v>
      </c>
    </row>
    <row r="8620" spans="1:9" hidden="1" x14ac:dyDescent="0.25">
      <c r="A8620" t="s">
        <v>7125</v>
      </c>
      <c r="B8620" t="s">
        <v>551</v>
      </c>
      <c r="C8620" s="2">
        <f>HYPERLINK("https://cao.dolgi.msk.ru/account/1080273168/", 1080273168)</f>
        <v>1080273168</v>
      </c>
      <c r="D8620" t="s">
        <v>7233</v>
      </c>
      <c r="E8620">
        <v>-9722.8700000000008</v>
      </c>
      <c r="F8620">
        <v>-1.1000000000000001</v>
      </c>
      <c r="G8620" t="s">
        <v>12</v>
      </c>
      <c r="I8620" t="s">
        <v>1050</v>
      </c>
    </row>
    <row r="8621" spans="1:9" hidden="1" x14ac:dyDescent="0.25">
      <c r="A8621" t="s">
        <v>7125</v>
      </c>
      <c r="B8621" t="s">
        <v>730</v>
      </c>
      <c r="C8621" s="2">
        <f>HYPERLINK("https://cao.dolgi.msk.ru/account/1080273176/", 1080273176)</f>
        <v>1080273176</v>
      </c>
      <c r="D8621" t="s">
        <v>7234</v>
      </c>
      <c r="E8621">
        <v>-4399.66</v>
      </c>
      <c r="F8621">
        <v>-1.01</v>
      </c>
      <c r="G8621" t="s">
        <v>12</v>
      </c>
      <c r="I8621" t="s">
        <v>1050</v>
      </c>
    </row>
    <row r="8622" spans="1:9" hidden="1" x14ac:dyDescent="0.25">
      <c r="A8622" t="s">
        <v>7125</v>
      </c>
      <c r="B8622" t="s">
        <v>732</v>
      </c>
      <c r="C8622" s="2">
        <f>HYPERLINK("https://cao.dolgi.msk.ru/account/1080273184/", 1080273184)</f>
        <v>1080273184</v>
      </c>
      <c r="D8622" t="s">
        <v>7235</v>
      </c>
      <c r="E8622">
        <v>-5148.1400000000003</v>
      </c>
      <c r="F8622">
        <v>-1.19</v>
      </c>
      <c r="G8622" t="s">
        <v>12</v>
      </c>
      <c r="I8622" t="s">
        <v>1050</v>
      </c>
    </row>
    <row r="8623" spans="1:9" hidden="1" x14ac:dyDescent="0.25">
      <c r="A8623" t="s">
        <v>7125</v>
      </c>
      <c r="B8623" t="s">
        <v>553</v>
      </c>
      <c r="C8623" s="2">
        <f>HYPERLINK("https://cao.dolgi.msk.ru/account/1080273192/", 1080273192)</f>
        <v>1080273192</v>
      </c>
      <c r="D8623" t="s">
        <v>7236</v>
      </c>
      <c r="E8623">
        <v>-5554.8</v>
      </c>
      <c r="F8623">
        <v>-0.85</v>
      </c>
      <c r="G8623" t="s">
        <v>12</v>
      </c>
      <c r="I8623" t="s">
        <v>1050</v>
      </c>
    </row>
    <row r="8624" spans="1:9" hidden="1" x14ac:dyDescent="0.25">
      <c r="A8624" t="s">
        <v>7125</v>
      </c>
      <c r="B8624" t="s">
        <v>555</v>
      </c>
      <c r="C8624" s="2">
        <f>HYPERLINK("https://cao.dolgi.msk.ru/account/1080273205/", 1080273205)</f>
        <v>1080273205</v>
      </c>
      <c r="D8624" t="s">
        <v>7237</v>
      </c>
      <c r="E8624">
        <v>-11508.28</v>
      </c>
      <c r="F8624">
        <v>-1.1200000000000001</v>
      </c>
      <c r="G8624" t="s">
        <v>12</v>
      </c>
      <c r="I8624" t="s">
        <v>1050</v>
      </c>
    </row>
    <row r="8625" spans="1:9" hidden="1" x14ac:dyDescent="0.25">
      <c r="A8625" t="s">
        <v>7125</v>
      </c>
      <c r="B8625" t="s">
        <v>736</v>
      </c>
      <c r="C8625" s="2">
        <f>HYPERLINK("https://cao.dolgi.msk.ru/account/1080273213/", 1080273213)</f>
        <v>1080273213</v>
      </c>
      <c r="D8625" t="s">
        <v>7238</v>
      </c>
      <c r="E8625">
        <v>0</v>
      </c>
      <c r="F8625">
        <v>0</v>
      </c>
      <c r="G8625" t="s">
        <v>12</v>
      </c>
      <c r="I8625" t="s">
        <v>1050</v>
      </c>
    </row>
    <row r="8626" spans="1:9" hidden="1" x14ac:dyDescent="0.25">
      <c r="A8626" t="s">
        <v>7125</v>
      </c>
      <c r="B8626" t="s">
        <v>738</v>
      </c>
      <c r="C8626" s="2">
        <f>HYPERLINK("https://cao.dolgi.msk.ru/account/1080273221/", 1080273221)</f>
        <v>1080273221</v>
      </c>
      <c r="D8626" t="s">
        <v>7239</v>
      </c>
      <c r="E8626">
        <v>-5875.37</v>
      </c>
      <c r="F8626">
        <v>-1.28</v>
      </c>
      <c r="G8626" t="s">
        <v>12</v>
      </c>
      <c r="I8626" t="s">
        <v>1050</v>
      </c>
    </row>
    <row r="8627" spans="1:9" hidden="1" x14ac:dyDescent="0.25">
      <c r="A8627" t="s">
        <v>7125</v>
      </c>
      <c r="B8627" t="s">
        <v>740</v>
      </c>
      <c r="C8627" s="2">
        <f>HYPERLINK("https://cao.dolgi.msk.ru/account/1080273248/", 1080273248)</f>
        <v>1080273248</v>
      </c>
      <c r="D8627" t="s">
        <v>7240</v>
      </c>
      <c r="E8627">
        <v>1407.66</v>
      </c>
      <c r="F8627">
        <v>0.78</v>
      </c>
      <c r="G8627" t="s">
        <v>12</v>
      </c>
      <c r="H8627" t="s">
        <v>7</v>
      </c>
      <c r="I8627" t="s">
        <v>1050</v>
      </c>
    </row>
    <row r="8628" spans="1:9" hidden="1" x14ac:dyDescent="0.25">
      <c r="A8628" t="s">
        <v>7125</v>
      </c>
      <c r="B8628" t="s">
        <v>740</v>
      </c>
      <c r="C8628" s="2">
        <f>HYPERLINK("https://cao.dolgi.msk.ru/account/1080273256/", 1080273256)</f>
        <v>1080273256</v>
      </c>
      <c r="D8628" t="s">
        <v>7240</v>
      </c>
      <c r="E8628">
        <v>-7498.04</v>
      </c>
      <c r="F8628">
        <v>-1.17</v>
      </c>
      <c r="G8628" t="s">
        <v>12</v>
      </c>
      <c r="H8628" t="s">
        <v>7</v>
      </c>
      <c r="I8628" t="s">
        <v>1050</v>
      </c>
    </row>
    <row r="8629" spans="1:9" hidden="1" x14ac:dyDescent="0.25">
      <c r="A8629" t="s">
        <v>7125</v>
      </c>
      <c r="B8629" t="s">
        <v>742</v>
      </c>
      <c r="C8629" s="2">
        <f>HYPERLINK("https://cao.dolgi.msk.ru/account/1080273264/", 1080273264)</f>
        <v>1080273264</v>
      </c>
      <c r="D8629" t="s">
        <v>7241</v>
      </c>
      <c r="E8629">
        <v>0</v>
      </c>
      <c r="F8629">
        <v>0</v>
      </c>
      <c r="G8629" t="s">
        <v>12</v>
      </c>
      <c r="I8629" t="s">
        <v>1050</v>
      </c>
    </row>
    <row r="8630" spans="1:9" hidden="1" x14ac:dyDescent="0.25">
      <c r="A8630" t="s">
        <v>7125</v>
      </c>
      <c r="B8630" t="s">
        <v>557</v>
      </c>
      <c r="C8630" s="2">
        <f>HYPERLINK("https://cao.dolgi.msk.ru/account/1080273272/", 1080273272)</f>
        <v>1080273272</v>
      </c>
      <c r="D8630" t="s">
        <v>7242</v>
      </c>
      <c r="E8630">
        <v>-2867.72</v>
      </c>
      <c r="F8630">
        <v>-1.21</v>
      </c>
      <c r="G8630" t="s">
        <v>12</v>
      </c>
      <c r="I8630" t="s">
        <v>1050</v>
      </c>
    </row>
    <row r="8631" spans="1:9" hidden="1" x14ac:dyDescent="0.25">
      <c r="A8631" t="s">
        <v>7125</v>
      </c>
      <c r="B8631" t="s">
        <v>558</v>
      </c>
      <c r="C8631" s="2">
        <f>HYPERLINK("https://cao.dolgi.msk.ru/account/1080273299/", 1080273299)</f>
        <v>1080273299</v>
      </c>
      <c r="D8631" t="s">
        <v>7243</v>
      </c>
      <c r="E8631">
        <v>-5402.17</v>
      </c>
      <c r="F8631">
        <v>-1.21</v>
      </c>
      <c r="G8631" t="s">
        <v>12</v>
      </c>
      <c r="I8631" t="s">
        <v>1050</v>
      </c>
    </row>
    <row r="8632" spans="1:9" hidden="1" x14ac:dyDescent="0.25">
      <c r="A8632" t="s">
        <v>7125</v>
      </c>
      <c r="B8632" t="s">
        <v>746</v>
      </c>
      <c r="C8632" s="2">
        <f>HYPERLINK("https://cao.dolgi.msk.ru/account/1080273301/", 1080273301)</f>
        <v>1080273301</v>
      </c>
      <c r="D8632" t="s">
        <v>7244</v>
      </c>
      <c r="E8632">
        <v>-6489.98</v>
      </c>
      <c r="F8632">
        <v>-1.05</v>
      </c>
      <c r="G8632" t="s">
        <v>12</v>
      </c>
      <c r="I8632" t="s">
        <v>1050</v>
      </c>
    </row>
    <row r="8633" spans="1:9" hidden="1" x14ac:dyDescent="0.25">
      <c r="A8633" t="s">
        <v>7125</v>
      </c>
      <c r="B8633" t="s">
        <v>748</v>
      </c>
      <c r="C8633" s="2">
        <f>HYPERLINK("https://cao.dolgi.msk.ru/account/1080273328/", 1080273328)</f>
        <v>1080273328</v>
      </c>
      <c r="D8633" t="s">
        <v>736</v>
      </c>
      <c r="E8633">
        <v>0</v>
      </c>
      <c r="F8633">
        <v>0</v>
      </c>
      <c r="G8633" t="s">
        <v>12</v>
      </c>
      <c r="I8633" t="s">
        <v>1050</v>
      </c>
    </row>
    <row r="8634" spans="1:9" hidden="1" x14ac:dyDescent="0.25">
      <c r="A8634" t="s">
        <v>7125</v>
      </c>
      <c r="B8634" t="s">
        <v>750</v>
      </c>
      <c r="C8634" s="2">
        <f>HYPERLINK("https://cao.dolgi.msk.ru/account/1080273336/", 1080273336)</f>
        <v>1080273336</v>
      </c>
      <c r="D8634" t="s">
        <v>7245</v>
      </c>
      <c r="E8634">
        <v>-3880.79</v>
      </c>
      <c r="F8634">
        <v>-1.21</v>
      </c>
      <c r="G8634" t="s">
        <v>12</v>
      </c>
      <c r="H8634" t="s">
        <v>7</v>
      </c>
      <c r="I8634" t="s">
        <v>1050</v>
      </c>
    </row>
    <row r="8635" spans="1:9" hidden="1" x14ac:dyDescent="0.25">
      <c r="A8635" t="s">
        <v>7125</v>
      </c>
      <c r="B8635" t="s">
        <v>750</v>
      </c>
      <c r="C8635" s="2">
        <f>HYPERLINK("https://cao.dolgi.msk.ru/account/1080273344/", 1080273344)</f>
        <v>1080273344</v>
      </c>
      <c r="D8635" t="s">
        <v>7246</v>
      </c>
      <c r="E8635">
        <v>-2299.9699999999998</v>
      </c>
      <c r="F8635">
        <v>-1.19</v>
      </c>
      <c r="G8635" t="s">
        <v>12</v>
      </c>
      <c r="H8635" t="s">
        <v>7</v>
      </c>
      <c r="I8635" t="s">
        <v>1050</v>
      </c>
    </row>
    <row r="8636" spans="1:9" hidden="1" x14ac:dyDescent="0.25">
      <c r="A8636" t="s">
        <v>7125</v>
      </c>
      <c r="B8636" t="s">
        <v>752</v>
      </c>
      <c r="C8636" s="2">
        <f>HYPERLINK("https://cao.dolgi.msk.ru/account/1080273352/", 1080273352)</f>
        <v>1080273352</v>
      </c>
      <c r="D8636" t="s">
        <v>7247</v>
      </c>
      <c r="E8636">
        <v>-7708.32</v>
      </c>
      <c r="F8636">
        <v>-1.08</v>
      </c>
      <c r="G8636" t="s">
        <v>12</v>
      </c>
      <c r="I8636" t="s">
        <v>1050</v>
      </c>
    </row>
    <row r="8637" spans="1:9" hidden="1" x14ac:dyDescent="0.25">
      <c r="A8637" t="s">
        <v>7125</v>
      </c>
      <c r="B8637" t="s">
        <v>754</v>
      </c>
      <c r="C8637" s="2">
        <f>HYPERLINK("https://cao.dolgi.msk.ru/account/1080273379/", 1080273379)</f>
        <v>1080273379</v>
      </c>
      <c r="D8637" t="s">
        <v>7248</v>
      </c>
      <c r="E8637">
        <v>-7781</v>
      </c>
      <c r="F8637">
        <v>-1.25</v>
      </c>
      <c r="G8637" t="s">
        <v>12</v>
      </c>
      <c r="I8637" t="s">
        <v>1050</v>
      </c>
    </row>
    <row r="8638" spans="1:9" hidden="1" x14ac:dyDescent="0.25">
      <c r="A8638" t="s">
        <v>7125</v>
      </c>
      <c r="B8638" t="s">
        <v>756</v>
      </c>
      <c r="C8638" s="2">
        <f>HYPERLINK("https://cao.dolgi.msk.ru/account/1080273387/", 1080273387)</f>
        <v>1080273387</v>
      </c>
      <c r="D8638" t="s">
        <v>7249</v>
      </c>
      <c r="E8638">
        <v>-3391.6</v>
      </c>
      <c r="F8638">
        <v>-1.1399999999999999</v>
      </c>
      <c r="G8638" t="s">
        <v>12</v>
      </c>
      <c r="I8638" t="s">
        <v>1050</v>
      </c>
    </row>
    <row r="8639" spans="1:9" hidden="1" x14ac:dyDescent="0.25">
      <c r="A8639" t="s">
        <v>7125</v>
      </c>
      <c r="B8639" t="s">
        <v>758</v>
      </c>
      <c r="C8639" s="2">
        <f>HYPERLINK("https://cao.dolgi.msk.ru/account/1080273395/", 1080273395)</f>
        <v>1080273395</v>
      </c>
      <c r="D8639" t="s">
        <v>7250</v>
      </c>
      <c r="E8639">
        <v>-6582.03</v>
      </c>
      <c r="F8639">
        <v>-1.18</v>
      </c>
      <c r="G8639" t="s">
        <v>12</v>
      </c>
      <c r="I8639" t="s">
        <v>1050</v>
      </c>
    </row>
    <row r="8640" spans="1:9" hidden="1" x14ac:dyDescent="0.25">
      <c r="A8640" t="s">
        <v>7125</v>
      </c>
      <c r="B8640" t="s">
        <v>760</v>
      </c>
      <c r="C8640" s="2">
        <f>HYPERLINK("https://cao.dolgi.msk.ru/account/1080273408/", 1080273408)</f>
        <v>1080273408</v>
      </c>
      <c r="D8640" t="s">
        <v>7251</v>
      </c>
      <c r="E8640">
        <v>-9207.57</v>
      </c>
      <c r="F8640">
        <v>-2.13</v>
      </c>
      <c r="G8640" t="s">
        <v>12</v>
      </c>
      <c r="I8640" t="s">
        <v>1050</v>
      </c>
    </row>
    <row r="8641" spans="1:9" hidden="1" x14ac:dyDescent="0.25">
      <c r="A8641" t="s">
        <v>7125</v>
      </c>
      <c r="B8641" t="s">
        <v>762</v>
      </c>
      <c r="C8641" s="2">
        <f>HYPERLINK("https://cao.dolgi.msk.ru/account/1080273416/", 1080273416)</f>
        <v>1080273416</v>
      </c>
      <c r="D8641" t="s">
        <v>7252</v>
      </c>
      <c r="E8641">
        <v>-6.31</v>
      </c>
      <c r="F8641">
        <v>0</v>
      </c>
      <c r="G8641" t="s">
        <v>12</v>
      </c>
      <c r="I8641" t="s">
        <v>1050</v>
      </c>
    </row>
    <row r="8642" spans="1:9" hidden="1" x14ac:dyDescent="0.25">
      <c r="A8642" t="s">
        <v>7125</v>
      </c>
      <c r="B8642" t="s">
        <v>762</v>
      </c>
      <c r="C8642" s="2">
        <f>HYPERLINK("https://cao.dolgi.msk.ru/account/1080273424/", 1080273424)</f>
        <v>1080273424</v>
      </c>
      <c r="D8642" t="s">
        <v>7252</v>
      </c>
      <c r="E8642">
        <v>0</v>
      </c>
      <c r="G8642" t="s">
        <v>14</v>
      </c>
      <c r="I8642" t="s">
        <v>1050</v>
      </c>
    </row>
    <row r="8643" spans="1:9" hidden="1" x14ac:dyDescent="0.25">
      <c r="A8643" t="s">
        <v>7125</v>
      </c>
      <c r="B8643" t="s">
        <v>764</v>
      </c>
      <c r="C8643" s="2">
        <f>HYPERLINK("https://cao.dolgi.msk.ru/account/1080273432/", 1080273432)</f>
        <v>1080273432</v>
      </c>
      <c r="D8643" t="s">
        <v>7253</v>
      </c>
      <c r="E8643">
        <v>0</v>
      </c>
      <c r="F8643">
        <v>0</v>
      </c>
      <c r="G8643" t="s">
        <v>12</v>
      </c>
      <c r="I8643" t="s">
        <v>1050</v>
      </c>
    </row>
    <row r="8644" spans="1:9" hidden="1" x14ac:dyDescent="0.25">
      <c r="A8644" t="s">
        <v>7125</v>
      </c>
      <c r="B8644" t="s">
        <v>766</v>
      </c>
      <c r="C8644" s="2">
        <f>HYPERLINK("https://cao.dolgi.msk.ru/account/1080273459/", 1080273459)</f>
        <v>1080273459</v>
      </c>
      <c r="D8644" t="s">
        <v>7254</v>
      </c>
      <c r="E8644">
        <v>-6385.23</v>
      </c>
      <c r="F8644">
        <v>-1.03</v>
      </c>
      <c r="G8644" t="s">
        <v>12</v>
      </c>
      <c r="I8644" t="s">
        <v>1050</v>
      </c>
    </row>
    <row r="8645" spans="1:9" hidden="1" x14ac:dyDescent="0.25">
      <c r="A8645" t="s">
        <v>7125</v>
      </c>
      <c r="B8645" t="s">
        <v>768</v>
      </c>
      <c r="C8645" s="2">
        <f>HYPERLINK("https://cao.dolgi.msk.ru/account/1080273467/", 1080273467)</f>
        <v>1080273467</v>
      </c>
      <c r="D8645" t="s">
        <v>7255</v>
      </c>
      <c r="E8645">
        <v>-21.31</v>
      </c>
      <c r="F8645">
        <v>-0.01</v>
      </c>
      <c r="G8645" t="s">
        <v>12</v>
      </c>
      <c r="I8645" t="s">
        <v>1050</v>
      </c>
    </row>
    <row r="8646" spans="1:9" hidden="1" x14ac:dyDescent="0.25">
      <c r="A8646" t="s">
        <v>7125</v>
      </c>
      <c r="B8646" t="s">
        <v>770</v>
      </c>
      <c r="C8646" s="2">
        <f>HYPERLINK("https://cao.dolgi.msk.ru/account/1080273475/", 1080273475)</f>
        <v>1080273475</v>
      </c>
      <c r="D8646" t="s">
        <v>7256</v>
      </c>
      <c r="E8646">
        <v>-11935.39</v>
      </c>
      <c r="F8646">
        <v>-1</v>
      </c>
      <c r="G8646" t="s">
        <v>12</v>
      </c>
      <c r="I8646" t="s">
        <v>1050</v>
      </c>
    </row>
    <row r="8647" spans="1:9" hidden="1" x14ac:dyDescent="0.25">
      <c r="A8647" t="s">
        <v>7125</v>
      </c>
      <c r="B8647" t="s">
        <v>772</v>
      </c>
      <c r="C8647" s="2">
        <f>HYPERLINK("https://cao.dolgi.msk.ru/account/1080273483/", 1080273483)</f>
        <v>1080273483</v>
      </c>
      <c r="D8647" t="s">
        <v>7257</v>
      </c>
      <c r="E8647">
        <v>-5035.34</v>
      </c>
      <c r="F8647">
        <v>-1.26</v>
      </c>
      <c r="G8647" t="s">
        <v>12</v>
      </c>
      <c r="I8647" t="s">
        <v>1050</v>
      </c>
    </row>
    <row r="8648" spans="1:9" hidden="1" x14ac:dyDescent="0.25">
      <c r="A8648" t="s">
        <v>7125</v>
      </c>
      <c r="B8648" t="s">
        <v>774</v>
      </c>
      <c r="C8648" s="2">
        <f>HYPERLINK("https://cao.dolgi.msk.ru/account/1080273491/", 1080273491)</f>
        <v>1080273491</v>
      </c>
      <c r="D8648" t="s">
        <v>7258</v>
      </c>
      <c r="E8648">
        <v>-31.22</v>
      </c>
      <c r="F8648">
        <v>-0.01</v>
      </c>
      <c r="G8648" t="s">
        <v>12</v>
      </c>
      <c r="I8648" t="s">
        <v>1050</v>
      </c>
    </row>
    <row r="8649" spans="1:9" hidden="1" x14ac:dyDescent="0.25">
      <c r="A8649" t="s">
        <v>7125</v>
      </c>
      <c r="B8649" t="s">
        <v>776</v>
      </c>
      <c r="C8649" s="2">
        <f>HYPERLINK("https://cao.dolgi.msk.ru/account/1080273504/", 1080273504)</f>
        <v>1080273504</v>
      </c>
      <c r="D8649" t="s">
        <v>7259</v>
      </c>
      <c r="E8649">
        <v>0</v>
      </c>
      <c r="F8649">
        <v>0</v>
      </c>
      <c r="G8649" t="s">
        <v>12</v>
      </c>
      <c r="I8649" t="s">
        <v>1050</v>
      </c>
    </row>
    <row r="8650" spans="1:9" hidden="1" x14ac:dyDescent="0.25">
      <c r="A8650" t="s">
        <v>7125</v>
      </c>
      <c r="B8650" t="s">
        <v>778</v>
      </c>
      <c r="C8650" s="2">
        <f>HYPERLINK("https://cao.dolgi.msk.ru/account/1080273512/", 1080273512)</f>
        <v>1080273512</v>
      </c>
      <c r="D8650" t="s">
        <v>7260</v>
      </c>
      <c r="E8650">
        <v>-5393.08</v>
      </c>
      <c r="F8650">
        <v>-1.25</v>
      </c>
      <c r="G8650" t="s">
        <v>12</v>
      </c>
      <c r="I8650" t="s">
        <v>1050</v>
      </c>
    </row>
    <row r="8651" spans="1:9" hidden="1" x14ac:dyDescent="0.25">
      <c r="A8651" t="s">
        <v>7125</v>
      </c>
      <c r="B8651" t="s">
        <v>780</v>
      </c>
      <c r="C8651" s="2">
        <f>HYPERLINK("https://cao.dolgi.msk.ru/account/1080273539/", 1080273539)</f>
        <v>1080273539</v>
      </c>
      <c r="D8651" t="s">
        <v>7261</v>
      </c>
      <c r="E8651">
        <v>4.1900000000000004</v>
      </c>
      <c r="F8651">
        <v>0</v>
      </c>
      <c r="G8651" t="s">
        <v>12</v>
      </c>
      <c r="I8651" t="s">
        <v>1050</v>
      </c>
    </row>
    <row r="8652" spans="1:9" hidden="1" x14ac:dyDescent="0.25">
      <c r="A8652" t="s">
        <v>7125</v>
      </c>
      <c r="B8652" t="s">
        <v>781</v>
      </c>
      <c r="C8652" s="2">
        <f>HYPERLINK("https://cao.dolgi.msk.ru/account/1080273547/", 1080273547)</f>
        <v>1080273547</v>
      </c>
      <c r="D8652" t="s">
        <v>7262</v>
      </c>
      <c r="E8652">
        <v>-146.01</v>
      </c>
      <c r="F8652">
        <v>-0.02</v>
      </c>
      <c r="G8652" t="s">
        <v>12</v>
      </c>
      <c r="I8652" t="s">
        <v>1050</v>
      </c>
    </row>
    <row r="8653" spans="1:9" hidden="1" x14ac:dyDescent="0.25">
      <c r="A8653" t="s">
        <v>7125</v>
      </c>
      <c r="B8653" t="s">
        <v>782</v>
      </c>
      <c r="C8653" s="2">
        <f>HYPERLINK("https://cao.dolgi.msk.ru/account/1080273555/", 1080273555)</f>
        <v>1080273555</v>
      </c>
      <c r="D8653" t="s">
        <v>7263</v>
      </c>
      <c r="E8653">
        <v>-11283.09</v>
      </c>
      <c r="F8653">
        <v>-3.52</v>
      </c>
      <c r="G8653" t="s">
        <v>12</v>
      </c>
      <c r="I8653" t="s">
        <v>1050</v>
      </c>
    </row>
    <row r="8654" spans="1:9" hidden="1" x14ac:dyDescent="0.25">
      <c r="A8654" t="s">
        <v>7125</v>
      </c>
      <c r="B8654" t="s">
        <v>784</v>
      </c>
      <c r="C8654" s="2">
        <f>HYPERLINK("https://cao.dolgi.msk.ru/account/1080273563/", 1080273563)</f>
        <v>1080273563</v>
      </c>
      <c r="D8654" t="s">
        <v>7264</v>
      </c>
      <c r="E8654">
        <v>-5507.85</v>
      </c>
      <c r="F8654">
        <v>-1.17</v>
      </c>
      <c r="G8654" t="s">
        <v>12</v>
      </c>
      <c r="I8654" t="s">
        <v>1050</v>
      </c>
    </row>
    <row r="8655" spans="1:9" hidden="1" x14ac:dyDescent="0.25">
      <c r="A8655" t="s">
        <v>7125</v>
      </c>
      <c r="B8655" t="s">
        <v>786</v>
      </c>
      <c r="C8655" s="2">
        <f>HYPERLINK("https://cao.dolgi.msk.ru/account/1080273571/", 1080273571)</f>
        <v>1080273571</v>
      </c>
      <c r="D8655" t="s">
        <v>7265</v>
      </c>
      <c r="E8655">
        <v>-6267.13</v>
      </c>
      <c r="F8655">
        <v>-1.45</v>
      </c>
      <c r="G8655" t="s">
        <v>12</v>
      </c>
      <c r="I8655" t="s">
        <v>1050</v>
      </c>
    </row>
    <row r="8656" spans="1:9" hidden="1" x14ac:dyDescent="0.25">
      <c r="A8656" t="s">
        <v>7125</v>
      </c>
      <c r="B8656" t="s">
        <v>788</v>
      </c>
      <c r="C8656" s="2">
        <f>HYPERLINK("https://cao.dolgi.msk.ru/account/1080273598/", 1080273598)</f>
        <v>1080273598</v>
      </c>
      <c r="D8656" t="s">
        <v>7266</v>
      </c>
      <c r="E8656">
        <v>-925.21</v>
      </c>
      <c r="F8656">
        <v>-0.2</v>
      </c>
      <c r="G8656" t="s">
        <v>12</v>
      </c>
      <c r="I8656" t="s">
        <v>1050</v>
      </c>
    </row>
    <row r="8657" spans="1:9" hidden="1" x14ac:dyDescent="0.25">
      <c r="A8657" t="s">
        <v>7125</v>
      </c>
      <c r="B8657" t="s">
        <v>788</v>
      </c>
      <c r="C8657" s="2">
        <f>HYPERLINK("https://cao.dolgi.msk.ru/account/1080325474/", 1080325474)</f>
        <v>1080325474</v>
      </c>
      <c r="D8657" t="s">
        <v>7266</v>
      </c>
      <c r="E8657">
        <v>-611.29</v>
      </c>
      <c r="F8657">
        <v>-0.27</v>
      </c>
      <c r="G8657" t="s">
        <v>12</v>
      </c>
      <c r="I8657" t="s">
        <v>1050</v>
      </c>
    </row>
    <row r="8658" spans="1:9" hidden="1" x14ac:dyDescent="0.25">
      <c r="A8658" t="s">
        <v>7125</v>
      </c>
      <c r="B8658" t="s">
        <v>789</v>
      </c>
      <c r="C8658" s="2">
        <f>HYPERLINK("https://cao.dolgi.msk.ru/account/1080273619/", 1080273619)</f>
        <v>1080273619</v>
      </c>
      <c r="D8658" t="s">
        <v>7267</v>
      </c>
      <c r="E8658">
        <v>-3116</v>
      </c>
      <c r="F8658">
        <v>-1.1499999999999999</v>
      </c>
      <c r="G8658" t="s">
        <v>12</v>
      </c>
      <c r="I8658" t="s">
        <v>1050</v>
      </c>
    </row>
    <row r="8659" spans="1:9" hidden="1" x14ac:dyDescent="0.25">
      <c r="A8659" t="s">
        <v>7268</v>
      </c>
      <c r="B8659" t="s">
        <v>10</v>
      </c>
      <c r="C8659" s="2">
        <f>HYPERLINK("https://cao.dolgi.msk.ru/account/1089122817/", 1089122817)</f>
        <v>1089122817</v>
      </c>
      <c r="D8659" t="s">
        <v>15</v>
      </c>
      <c r="E8659">
        <v>-4866</v>
      </c>
      <c r="F8659">
        <v>-1.08</v>
      </c>
      <c r="G8659" t="s">
        <v>12</v>
      </c>
      <c r="I8659" t="s">
        <v>1050</v>
      </c>
    </row>
    <row r="8660" spans="1:9" hidden="1" x14ac:dyDescent="0.25">
      <c r="A8660" t="s">
        <v>7268</v>
      </c>
      <c r="B8660" t="s">
        <v>16</v>
      </c>
      <c r="C8660" s="2">
        <f>HYPERLINK("https://cao.dolgi.msk.ru/account/1080273635/", 1080273635)</f>
        <v>1080273635</v>
      </c>
      <c r="D8660" t="s">
        <v>7269</v>
      </c>
      <c r="E8660">
        <v>0</v>
      </c>
      <c r="F8660">
        <v>0</v>
      </c>
      <c r="G8660" t="s">
        <v>12</v>
      </c>
      <c r="I8660" t="s">
        <v>1050</v>
      </c>
    </row>
    <row r="8661" spans="1:9" hidden="1" x14ac:dyDescent="0.25">
      <c r="A8661" t="s">
        <v>7268</v>
      </c>
      <c r="B8661" t="s">
        <v>18</v>
      </c>
      <c r="C8661" s="2">
        <f>HYPERLINK("https://cao.dolgi.msk.ru/account/1080273643/", 1080273643)</f>
        <v>1080273643</v>
      </c>
      <c r="D8661" t="s">
        <v>7270</v>
      </c>
      <c r="E8661">
        <v>-2713.16</v>
      </c>
      <c r="F8661">
        <v>-0.94</v>
      </c>
      <c r="G8661" t="s">
        <v>12</v>
      </c>
      <c r="I8661" t="s">
        <v>1050</v>
      </c>
    </row>
    <row r="8662" spans="1:9" hidden="1" x14ac:dyDescent="0.25">
      <c r="A8662" t="s">
        <v>7268</v>
      </c>
      <c r="B8662" t="s">
        <v>21</v>
      </c>
      <c r="C8662" s="2">
        <f>HYPERLINK("https://cao.dolgi.msk.ru/account/1080273678/", 1080273678)</f>
        <v>1080273678</v>
      </c>
      <c r="D8662" t="s">
        <v>7271</v>
      </c>
      <c r="E8662">
        <v>-3454.8</v>
      </c>
      <c r="F8662">
        <v>-0.97</v>
      </c>
      <c r="G8662" t="s">
        <v>12</v>
      </c>
      <c r="I8662" t="s">
        <v>1050</v>
      </c>
    </row>
    <row r="8663" spans="1:9" hidden="1" x14ac:dyDescent="0.25">
      <c r="A8663" t="s">
        <v>7268</v>
      </c>
      <c r="B8663" t="s">
        <v>22</v>
      </c>
      <c r="C8663" s="2">
        <f>HYPERLINK("https://cao.dolgi.msk.ru/account/1080273686/", 1080273686)</f>
        <v>1080273686</v>
      </c>
      <c r="D8663" t="s">
        <v>7272</v>
      </c>
      <c r="E8663">
        <v>-58.2</v>
      </c>
      <c r="F8663">
        <v>-0.01</v>
      </c>
      <c r="G8663" t="s">
        <v>12</v>
      </c>
      <c r="I8663" t="s">
        <v>1050</v>
      </c>
    </row>
    <row r="8664" spans="1:9" hidden="1" x14ac:dyDescent="0.25">
      <c r="A8664" t="s">
        <v>7268</v>
      </c>
      <c r="B8664" t="s">
        <v>23</v>
      </c>
      <c r="C8664" s="2">
        <f>HYPERLINK("https://cao.dolgi.msk.ru/account/1080273694/", 1080273694)</f>
        <v>1080273694</v>
      </c>
      <c r="D8664" t="s">
        <v>7273</v>
      </c>
      <c r="E8664">
        <v>-2682.23</v>
      </c>
      <c r="F8664">
        <v>-1.04</v>
      </c>
      <c r="G8664" t="s">
        <v>12</v>
      </c>
      <c r="I8664" t="s">
        <v>1050</v>
      </c>
    </row>
    <row r="8665" spans="1:9" hidden="1" x14ac:dyDescent="0.25">
      <c r="A8665" t="s">
        <v>7268</v>
      </c>
      <c r="B8665" t="s">
        <v>24</v>
      </c>
      <c r="C8665" s="2">
        <f>HYPERLINK("https://cao.dolgi.msk.ru/account/1080273707/", 1080273707)</f>
        <v>1080273707</v>
      </c>
      <c r="D8665" t="s">
        <v>7274</v>
      </c>
      <c r="E8665">
        <v>-5116.63</v>
      </c>
      <c r="F8665">
        <v>-1</v>
      </c>
      <c r="G8665" t="s">
        <v>12</v>
      </c>
      <c r="I8665" t="s">
        <v>1050</v>
      </c>
    </row>
    <row r="8666" spans="1:9" hidden="1" x14ac:dyDescent="0.25">
      <c r="A8666" t="s">
        <v>7268</v>
      </c>
      <c r="B8666" t="s">
        <v>27</v>
      </c>
      <c r="C8666" s="2">
        <f>HYPERLINK("https://cao.dolgi.msk.ru/account/1080273715/", 1080273715)</f>
        <v>1080273715</v>
      </c>
      <c r="D8666" t="s">
        <v>7275</v>
      </c>
      <c r="E8666">
        <v>-4171.62</v>
      </c>
      <c r="F8666">
        <v>-1.57</v>
      </c>
      <c r="G8666" t="s">
        <v>12</v>
      </c>
      <c r="I8666" t="s">
        <v>1050</v>
      </c>
    </row>
    <row r="8667" spans="1:9" hidden="1" x14ac:dyDescent="0.25">
      <c r="A8667" t="s">
        <v>7268</v>
      </c>
      <c r="B8667" t="s">
        <v>29</v>
      </c>
      <c r="C8667" s="2">
        <f>HYPERLINK("https://cao.dolgi.msk.ru/account/1080273723/", 1080273723)</f>
        <v>1080273723</v>
      </c>
      <c r="D8667" t="s">
        <v>7276</v>
      </c>
      <c r="E8667">
        <v>6848.55</v>
      </c>
      <c r="F8667">
        <v>1</v>
      </c>
      <c r="G8667" t="s">
        <v>12</v>
      </c>
      <c r="I8667" t="s">
        <v>1050</v>
      </c>
    </row>
    <row r="8668" spans="1:9" hidden="1" x14ac:dyDescent="0.25">
      <c r="A8668" t="s">
        <v>7268</v>
      </c>
      <c r="B8668" t="s">
        <v>31</v>
      </c>
      <c r="C8668" s="2">
        <f>HYPERLINK("https://cao.dolgi.msk.ru/account/1080273731/", 1080273731)</f>
        <v>1080273731</v>
      </c>
      <c r="D8668" t="s">
        <v>7277</v>
      </c>
      <c r="E8668">
        <v>2937.01</v>
      </c>
      <c r="F8668">
        <v>0.95</v>
      </c>
      <c r="G8668" t="s">
        <v>12</v>
      </c>
      <c r="I8668" t="s">
        <v>1050</v>
      </c>
    </row>
    <row r="8669" spans="1:9" hidden="1" x14ac:dyDescent="0.25">
      <c r="A8669" t="s">
        <v>7268</v>
      </c>
      <c r="B8669" t="s">
        <v>33</v>
      </c>
      <c r="C8669" s="2">
        <f>HYPERLINK("https://cao.dolgi.msk.ru/account/1080273758/", 1080273758)</f>
        <v>1080273758</v>
      </c>
      <c r="D8669" t="s">
        <v>7278</v>
      </c>
      <c r="E8669">
        <v>-1368.07</v>
      </c>
      <c r="F8669">
        <v>-0.8</v>
      </c>
      <c r="G8669" t="s">
        <v>12</v>
      </c>
      <c r="I8669" t="s">
        <v>1050</v>
      </c>
    </row>
    <row r="8670" spans="1:9" x14ac:dyDescent="0.25">
      <c r="A8670" t="s">
        <v>7268</v>
      </c>
      <c r="B8670" t="s">
        <v>34</v>
      </c>
      <c r="C8670" s="2">
        <f>HYPERLINK("https://cao.dolgi.msk.ru/account/1080273766/", 1080273766)</f>
        <v>1080273766</v>
      </c>
      <c r="D8670" t="s">
        <v>1414</v>
      </c>
      <c r="E8670">
        <v>17469.21</v>
      </c>
      <c r="F8670">
        <v>4.3899999999999997</v>
      </c>
      <c r="G8670" t="s">
        <v>12</v>
      </c>
      <c r="I8670" t="s">
        <v>1050</v>
      </c>
    </row>
    <row r="8671" spans="1:9" hidden="1" x14ac:dyDescent="0.25">
      <c r="A8671" t="s">
        <v>7268</v>
      </c>
      <c r="B8671" t="s">
        <v>36</v>
      </c>
      <c r="C8671" s="2">
        <f>HYPERLINK("https://cao.dolgi.msk.ru/account/1080273774/", 1080273774)</f>
        <v>1080273774</v>
      </c>
      <c r="D8671" t="s">
        <v>7279</v>
      </c>
      <c r="E8671">
        <v>-6190.3</v>
      </c>
      <c r="F8671">
        <v>-1.32</v>
      </c>
      <c r="G8671" t="s">
        <v>12</v>
      </c>
      <c r="I8671" t="s">
        <v>1050</v>
      </c>
    </row>
    <row r="8672" spans="1:9" hidden="1" x14ac:dyDescent="0.25">
      <c r="A8672" t="s">
        <v>7268</v>
      </c>
      <c r="B8672" t="s">
        <v>38</v>
      </c>
      <c r="C8672" s="2">
        <f>HYPERLINK("https://cao.dolgi.msk.ru/account/1080273782/", 1080273782)</f>
        <v>1080273782</v>
      </c>
      <c r="D8672" t="s">
        <v>7280</v>
      </c>
      <c r="E8672">
        <v>0.24</v>
      </c>
      <c r="F8672">
        <v>0</v>
      </c>
      <c r="G8672" t="s">
        <v>12</v>
      </c>
      <c r="I8672" t="s">
        <v>1050</v>
      </c>
    </row>
    <row r="8673" spans="1:9" hidden="1" x14ac:dyDescent="0.25">
      <c r="A8673" t="s">
        <v>7268</v>
      </c>
      <c r="B8673" t="s">
        <v>39</v>
      </c>
      <c r="C8673" s="2">
        <f>HYPERLINK("https://cao.dolgi.msk.ru/account/1080273803/", 1080273803)</f>
        <v>1080273803</v>
      </c>
      <c r="D8673" t="s">
        <v>7281</v>
      </c>
      <c r="E8673">
        <v>0</v>
      </c>
      <c r="F8673">
        <v>0</v>
      </c>
      <c r="G8673" t="s">
        <v>12</v>
      </c>
      <c r="I8673" t="s">
        <v>1050</v>
      </c>
    </row>
    <row r="8674" spans="1:9" hidden="1" x14ac:dyDescent="0.25">
      <c r="A8674" t="s">
        <v>7268</v>
      </c>
      <c r="B8674" t="s">
        <v>40</v>
      </c>
      <c r="C8674" s="2">
        <f>HYPERLINK("https://cao.dolgi.msk.ru/account/1080273811/", 1080273811)</f>
        <v>1080273811</v>
      </c>
      <c r="D8674" t="s">
        <v>7282</v>
      </c>
      <c r="E8674">
        <v>-3378.39</v>
      </c>
      <c r="F8674">
        <v>-1.1399999999999999</v>
      </c>
      <c r="G8674" t="s">
        <v>12</v>
      </c>
      <c r="I8674" t="s">
        <v>1050</v>
      </c>
    </row>
    <row r="8675" spans="1:9" hidden="1" x14ac:dyDescent="0.25">
      <c r="A8675" t="s">
        <v>7268</v>
      </c>
      <c r="B8675" t="s">
        <v>41</v>
      </c>
      <c r="C8675" s="2">
        <f>HYPERLINK("https://cao.dolgi.msk.ru/account/1080273838/", 1080273838)</f>
        <v>1080273838</v>
      </c>
      <c r="D8675" t="s">
        <v>7283</v>
      </c>
      <c r="E8675">
        <v>-7499.7</v>
      </c>
      <c r="F8675">
        <v>-2.04</v>
      </c>
      <c r="G8675" t="s">
        <v>12</v>
      </c>
      <c r="I8675" t="s">
        <v>1050</v>
      </c>
    </row>
    <row r="8676" spans="1:9" hidden="1" x14ac:dyDescent="0.25">
      <c r="A8676" t="s">
        <v>7268</v>
      </c>
      <c r="B8676" t="s">
        <v>42</v>
      </c>
      <c r="C8676" s="2">
        <f>HYPERLINK("https://cao.dolgi.msk.ru/account/1080273846/", 1080273846)</f>
        <v>1080273846</v>
      </c>
      <c r="D8676" t="s">
        <v>7284</v>
      </c>
      <c r="E8676">
        <v>-2234.63</v>
      </c>
      <c r="F8676">
        <v>-1.24</v>
      </c>
      <c r="G8676" t="s">
        <v>12</v>
      </c>
      <c r="I8676" t="s">
        <v>1050</v>
      </c>
    </row>
    <row r="8677" spans="1:9" x14ac:dyDescent="0.25">
      <c r="A8677" t="s">
        <v>7268</v>
      </c>
      <c r="B8677" t="s">
        <v>44</v>
      </c>
      <c r="C8677" s="2">
        <f>HYPERLINK("https://cao.dolgi.msk.ru/account/1080273854/", 1080273854)</f>
        <v>1080273854</v>
      </c>
      <c r="D8677" t="s">
        <v>7285</v>
      </c>
      <c r="E8677">
        <v>6148.65</v>
      </c>
      <c r="F8677">
        <v>1.21</v>
      </c>
      <c r="G8677" t="s">
        <v>12</v>
      </c>
      <c r="I8677" t="s">
        <v>1050</v>
      </c>
    </row>
    <row r="8678" spans="1:9" hidden="1" x14ac:dyDescent="0.25">
      <c r="A8678" t="s">
        <v>7268</v>
      </c>
      <c r="B8678" t="s">
        <v>66</v>
      </c>
      <c r="C8678" s="2">
        <f>HYPERLINK("https://cao.dolgi.msk.ru/account/1080273862/", 1080273862)</f>
        <v>1080273862</v>
      </c>
      <c r="D8678" t="s">
        <v>7286</v>
      </c>
      <c r="E8678">
        <v>-6836.8</v>
      </c>
      <c r="F8678">
        <v>-1.31</v>
      </c>
      <c r="G8678" t="s">
        <v>12</v>
      </c>
      <c r="I8678" t="s">
        <v>1050</v>
      </c>
    </row>
    <row r="8679" spans="1:9" hidden="1" x14ac:dyDescent="0.25">
      <c r="A8679" t="s">
        <v>7268</v>
      </c>
      <c r="B8679" t="s">
        <v>68</v>
      </c>
      <c r="C8679" s="2">
        <f>HYPERLINK("https://cao.dolgi.msk.ru/account/1080273889/", 1080273889)</f>
        <v>1080273889</v>
      </c>
      <c r="D8679" t="s">
        <v>7287</v>
      </c>
      <c r="E8679">
        <v>-4522.04</v>
      </c>
      <c r="F8679">
        <v>-1.17</v>
      </c>
      <c r="G8679" t="s">
        <v>12</v>
      </c>
      <c r="I8679" t="s">
        <v>1050</v>
      </c>
    </row>
    <row r="8680" spans="1:9" hidden="1" x14ac:dyDescent="0.25">
      <c r="A8680" t="s">
        <v>7268</v>
      </c>
      <c r="B8680" t="s">
        <v>70</v>
      </c>
      <c r="C8680" s="2">
        <f>HYPERLINK("https://cao.dolgi.msk.ru/account/1080273897/", 1080273897)</f>
        <v>1080273897</v>
      </c>
      <c r="D8680" t="s">
        <v>7288</v>
      </c>
      <c r="E8680">
        <v>-3327.88</v>
      </c>
      <c r="F8680">
        <v>-0.95</v>
      </c>
      <c r="G8680" t="s">
        <v>12</v>
      </c>
      <c r="I8680" t="s">
        <v>1050</v>
      </c>
    </row>
    <row r="8681" spans="1:9" hidden="1" x14ac:dyDescent="0.25">
      <c r="A8681" t="s">
        <v>7268</v>
      </c>
      <c r="B8681" t="s">
        <v>72</v>
      </c>
      <c r="C8681" s="2">
        <f>HYPERLINK("https://cao.dolgi.msk.ru/account/1080273918/", 1080273918)</f>
        <v>1080273918</v>
      </c>
      <c r="D8681" t="s">
        <v>7289</v>
      </c>
      <c r="E8681">
        <v>-10694.87</v>
      </c>
      <c r="F8681">
        <v>-1.6</v>
      </c>
      <c r="G8681" t="s">
        <v>12</v>
      </c>
      <c r="I8681" t="s">
        <v>1050</v>
      </c>
    </row>
    <row r="8682" spans="1:9" hidden="1" x14ac:dyDescent="0.25">
      <c r="A8682" t="s">
        <v>7268</v>
      </c>
      <c r="B8682" t="s">
        <v>74</v>
      </c>
      <c r="C8682" s="2">
        <f>HYPERLINK("https://cao.dolgi.msk.ru/account/1080273926/", 1080273926)</f>
        <v>1080273926</v>
      </c>
      <c r="D8682" t="s">
        <v>7290</v>
      </c>
      <c r="E8682">
        <v>-7814.67</v>
      </c>
      <c r="F8682">
        <v>-1</v>
      </c>
      <c r="G8682" t="s">
        <v>12</v>
      </c>
      <c r="I8682" t="s">
        <v>1050</v>
      </c>
    </row>
    <row r="8683" spans="1:9" hidden="1" x14ac:dyDescent="0.25">
      <c r="A8683" t="s">
        <v>7268</v>
      </c>
      <c r="B8683" t="s">
        <v>76</v>
      </c>
      <c r="C8683" s="2">
        <f>HYPERLINK("https://cao.dolgi.msk.ru/account/1080273934/", 1080273934)</f>
        <v>1080273934</v>
      </c>
      <c r="D8683" t="s">
        <v>62</v>
      </c>
      <c r="E8683">
        <v>-6031</v>
      </c>
      <c r="F8683">
        <v>-1.06</v>
      </c>
      <c r="G8683" t="s">
        <v>12</v>
      </c>
      <c r="I8683" t="s">
        <v>1050</v>
      </c>
    </row>
    <row r="8684" spans="1:9" hidden="1" x14ac:dyDescent="0.25">
      <c r="A8684" t="s">
        <v>7268</v>
      </c>
      <c r="B8684" t="s">
        <v>78</v>
      </c>
      <c r="C8684" s="2">
        <f>HYPERLINK("https://cao.dolgi.msk.ru/account/1080273942/", 1080273942)</f>
        <v>1080273942</v>
      </c>
      <c r="D8684" t="s">
        <v>7291</v>
      </c>
      <c r="E8684">
        <v>8.6</v>
      </c>
      <c r="F8684">
        <v>0</v>
      </c>
      <c r="G8684" t="s">
        <v>12</v>
      </c>
      <c r="I8684" t="s">
        <v>1050</v>
      </c>
    </row>
    <row r="8685" spans="1:9" hidden="1" x14ac:dyDescent="0.25">
      <c r="A8685" t="s">
        <v>7268</v>
      </c>
      <c r="B8685" t="s">
        <v>80</v>
      </c>
      <c r="C8685" s="2">
        <f>HYPERLINK("https://cao.dolgi.msk.ru/account/1080273969/", 1080273969)</f>
        <v>1080273969</v>
      </c>
      <c r="D8685" t="s">
        <v>7292</v>
      </c>
      <c r="E8685">
        <v>-4860.2299999999996</v>
      </c>
      <c r="F8685">
        <v>-0.92</v>
      </c>
      <c r="G8685" t="s">
        <v>12</v>
      </c>
      <c r="I8685" t="s">
        <v>1050</v>
      </c>
    </row>
    <row r="8686" spans="1:9" hidden="1" x14ac:dyDescent="0.25">
      <c r="A8686" t="s">
        <v>7268</v>
      </c>
      <c r="B8686" t="s">
        <v>82</v>
      </c>
      <c r="C8686" s="2">
        <f>HYPERLINK("https://cao.dolgi.msk.ru/account/1080273977/", 1080273977)</f>
        <v>1080273977</v>
      </c>
      <c r="D8686" t="s">
        <v>7293</v>
      </c>
      <c r="E8686">
        <v>-78.760000000000005</v>
      </c>
      <c r="F8686">
        <v>-0.01</v>
      </c>
      <c r="G8686" t="s">
        <v>12</v>
      </c>
      <c r="I8686" t="s">
        <v>1050</v>
      </c>
    </row>
    <row r="8687" spans="1:9" hidden="1" x14ac:dyDescent="0.25">
      <c r="A8687" t="s">
        <v>7268</v>
      </c>
      <c r="B8687" t="s">
        <v>84</v>
      </c>
      <c r="C8687" s="2">
        <f>HYPERLINK("https://cao.dolgi.msk.ru/account/1080273985/", 1080273985)</f>
        <v>1080273985</v>
      </c>
      <c r="D8687" t="s">
        <v>7294</v>
      </c>
      <c r="E8687">
        <v>-2131.5100000000002</v>
      </c>
      <c r="F8687">
        <v>-1.05</v>
      </c>
      <c r="G8687" t="s">
        <v>12</v>
      </c>
      <c r="I8687" t="s">
        <v>1050</v>
      </c>
    </row>
    <row r="8688" spans="1:9" hidden="1" x14ac:dyDescent="0.25">
      <c r="A8688" t="s">
        <v>7268</v>
      </c>
      <c r="B8688" t="s">
        <v>86</v>
      </c>
      <c r="C8688" s="2">
        <f>HYPERLINK("https://cao.dolgi.msk.ru/account/1080273993/", 1080273993)</f>
        <v>1080273993</v>
      </c>
      <c r="D8688" t="s">
        <v>7295</v>
      </c>
      <c r="E8688">
        <v>-5066.1400000000003</v>
      </c>
      <c r="F8688">
        <v>-1.62</v>
      </c>
      <c r="G8688" t="s">
        <v>12</v>
      </c>
      <c r="I8688" t="s">
        <v>1050</v>
      </c>
    </row>
    <row r="8689" spans="1:9" hidden="1" x14ac:dyDescent="0.25">
      <c r="A8689" t="s">
        <v>7268</v>
      </c>
      <c r="B8689" t="s">
        <v>88</v>
      </c>
      <c r="C8689" s="2">
        <f>HYPERLINK("https://cao.dolgi.msk.ru/account/1080274005/", 1080274005)</f>
        <v>1080274005</v>
      </c>
      <c r="D8689" t="s">
        <v>7296</v>
      </c>
      <c r="E8689">
        <v>-6226.91</v>
      </c>
      <c r="F8689">
        <v>-1.1200000000000001</v>
      </c>
      <c r="G8689" t="s">
        <v>12</v>
      </c>
      <c r="I8689" t="s">
        <v>1050</v>
      </c>
    </row>
    <row r="8690" spans="1:9" hidden="1" x14ac:dyDescent="0.25">
      <c r="A8690" t="s">
        <v>7268</v>
      </c>
      <c r="B8690" t="s">
        <v>88</v>
      </c>
      <c r="C8690" s="2">
        <f>HYPERLINK("https://cao.dolgi.msk.ru/account/1080324447/", 1080324447)</f>
        <v>1080324447</v>
      </c>
      <c r="D8690" t="s">
        <v>15</v>
      </c>
      <c r="G8690" t="s">
        <v>14</v>
      </c>
      <c r="I8690" t="s">
        <v>1050</v>
      </c>
    </row>
    <row r="8691" spans="1:9" hidden="1" x14ac:dyDescent="0.25">
      <c r="A8691" t="s">
        <v>7268</v>
      </c>
      <c r="B8691" t="s">
        <v>90</v>
      </c>
      <c r="C8691" s="2">
        <f>HYPERLINK("https://cao.dolgi.msk.ru/account/1080274013/", 1080274013)</f>
        <v>1080274013</v>
      </c>
      <c r="D8691" t="s">
        <v>7297</v>
      </c>
      <c r="E8691">
        <v>-4363.79</v>
      </c>
      <c r="F8691">
        <v>-1</v>
      </c>
      <c r="G8691" t="s">
        <v>12</v>
      </c>
      <c r="I8691" t="s">
        <v>1050</v>
      </c>
    </row>
    <row r="8692" spans="1:9" hidden="1" x14ac:dyDescent="0.25">
      <c r="A8692" t="s">
        <v>7268</v>
      </c>
      <c r="B8692" t="s">
        <v>92</v>
      </c>
      <c r="C8692" s="2">
        <f>HYPERLINK("https://cao.dolgi.msk.ru/account/1080274021/", 1080274021)</f>
        <v>1080274021</v>
      </c>
      <c r="D8692" t="s">
        <v>7298</v>
      </c>
      <c r="E8692">
        <v>-4343.88</v>
      </c>
      <c r="F8692">
        <v>-1.1000000000000001</v>
      </c>
      <c r="G8692" t="s">
        <v>12</v>
      </c>
      <c r="I8692" t="s">
        <v>1050</v>
      </c>
    </row>
    <row r="8693" spans="1:9" hidden="1" x14ac:dyDescent="0.25">
      <c r="A8693" t="s">
        <v>7268</v>
      </c>
      <c r="B8693" t="s">
        <v>94</v>
      </c>
      <c r="C8693" s="2">
        <f>HYPERLINK("https://cao.dolgi.msk.ru/account/1080274048/", 1080274048)</f>
        <v>1080274048</v>
      </c>
      <c r="D8693" t="s">
        <v>7299</v>
      </c>
      <c r="E8693">
        <v>-4583.5600000000004</v>
      </c>
      <c r="F8693">
        <v>-1.05</v>
      </c>
      <c r="G8693" t="s">
        <v>12</v>
      </c>
      <c r="I8693" t="s">
        <v>1050</v>
      </c>
    </row>
    <row r="8694" spans="1:9" hidden="1" x14ac:dyDescent="0.25">
      <c r="A8694" t="s">
        <v>7268</v>
      </c>
      <c r="B8694" t="s">
        <v>96</v>
      </c>
      <c r="C8694" s="2">
        <f>HYPERLINK("https://cao.dolgi.msk.ru/account/1080274056/", 1080274056)</f>
        <v>1080274056</v>
      </c>
      <c r="D8694" t="s">
        <v>7300</v>
      </c>
      <c r="E8694">
        <v>-4663.97</v>
      </c>
      <c r="F8694">
        <v>-1.29</v>
      </c>
      <c r="G8694" t="s">
        <v>12</v>
      </c>
      <c r="I8694" t="s">
        <v>1050</v>
      </c>
    </row>
    <row r="8695" spans="1:9" x14ac:dyDescent="0.25">
      <c r="A8695" t="s">
        <v>7268</v>
      </c>
      <c r="B8695" t="s">
        <v>98</v>
      </c>
      <c r="C8695" s="2">
        <f>HYPERLINK("https://cao.dolgi.msk.ru/account/1080274064/", 1080274064)</f>
        <v>1080274064</v>
      </c>
      <c r="D8695" t="s">
        <v>7301</v>
      </c>
      <c r="E8695">
        <v>6507.17</v>
      </c>
      <c r="F8695">
        <v>1.32</v>
      </c>
      <c r="G8695" t="s">
        <v>12</v>
      </c>
      <c r="I8695" t="s">
        <v>1050</v>
      </c>
    </row>
    <row r="8696" spans="1:9" hidden="1" x14ac:dyDescent="0.25">
      <c r="A8696" t="s">
        <v>7268</v>
      </c>
      <c r="B8696" t="s">
        <v>100</v>
      </c>
      <c r="C8696" s="2">
        <f>HYPERLINK("https://cao.dolgi.msk.ru/account/1080274072/", 1080274072)</f>
        <v>1080274072</v>
      </c>
      <c r="D8696" t="s">
        <v>62</v>
      </c>
      <c r="E8696">
        <v>-3830.85</v>
      </c>
      <c r="F8696">
        <v>-0.99</v>
      </c>
      <c r="G8696" t="s">
        <v>12</v>
      </c>
      <c r="I8696" t="s">
        <v>1050</v>
      </c>
    </row>
    <row r="8697" spans="1:9" x14ac:dyDescent="0.25">
      <c r="A8697" t="s">
        <v>7268</v>
      </c>
      <c r="B8697" t="s">
        <v>102</v>
      </c>
      <c r="C8697" s="2">
        <f>HYPERLINK("https://cao.dolgi.msk.ru/account/1080274099/", 1080274099)</f>
        <v>1080274099</v>
      </c>
      <c r="D8697" t="s">
        <v>7302</v>
      </c>
      <c r="E8697">
        <v>6130.78</v>
      </c>
      <c r="F8697">
        <v>1.74</v>
      </c>
      <c r="G8697" t="s">
        <v>12</v>
      </c>
      <c r="I8697" t="s">
        <v>1050</v>
      </c>
    </row>
    <row r="8698" spans="1:9" hidden="1" x14ac:dyDescent="0.25">
      <c r="A8698" t="s">
        <v>7268</v>
      </c>
      <c r="B8698" t="s">
        <v>104</v>
      </c>
      <c r="C8698" s="2">
        <f>HYPERLINK("https://cao.dolgi.msk.ru/account/1080274101/", 1080274101)</f>
        <v>1080274101</v>
      </c>
      <c r="D8698" t="s">
        <v>7303</v>
      </c>
      <c r="E8698">
        <v>81.260000000000005</v>
      </c>
      <c r="F8698">
        <v>0.01</v>
      </c>
      <c r="G8698" t="s">
        <v>12</v>
      </c>
      <c r="I8698" t="s">
        <v>1050</v>
      </c>
    </row>
    <row r="8699" spans="1:9" hidden="1" x14ac:dyDescent="0.25">
      <c r="A8699" t="s">
        <v>7268</v>
      </c>
      <c r="B8699" t="s">
        <v>106</v>
      </c>
      <c r="C8699" s="2">
        <f>HYPERLINK("https://cao.dolgi.msk.ru/account/1080274128/", 1080274128)</f>
        <v>1080274128</v>
      </c>
      <c r="D8699" t="s">
        <v>7304</v>
      </c>
      <c r="E8699">
        <v>-2900.39</v>
      </c>
      <c r="F8699">
        <v>-1.1499999999999999</v>
      </c>
      <c r="G8699" t="s">
        <v>12</v>
      </c>
      <c r="I8699" t="s">
        <v>1050</v>
      </c>
    </row>
    <row r="8700" spans="1:9" hidden="1" x14ac:dyDescent="0.25">
      <c r="A8700" t="s">
        <v>7268</v>
      </c>
      <c r="B8700" t="s">
        <v>108</v>
      </c>
      <c r="C8700" s="2">
        <f>HYPERLINK("https://cao.dolgi.msk.ru/account/1080274136/", 1080274136)</f>
        <v>1080274136</v>
      </c>
      <c r="D8700" t="s">
        <v>7305</v>
      </c>
      <c r="E8700">
        <v>-2982.96</v>
      </c>
      <c r="F8700">
        <v>-0.91</v>
      </c>
      <c r="G8700" t="s">
        <v>12</v>
      </c>
      <c r="I8700" t="s">
        <v>1050</v>
      </c>
    </row>
    <row r="8701" spans="1:9" hidden="1" x14ac:dyDescent="0.25">
      <c r="A8701" t="s">
        <v>7268</v>
      </c>
      <c r="B8701" t="s">
        <v>110</v>
      </c>
      <c r="C8701" s="2">
        <f>HYPERLINK("https://cao.dolgi.msk.ru/account/1080274144/", 1080274144)</f>
        <v>1080274144</v>
      </c>
      <c r="D8701" t="s">
        <v>7306</v>
      </c>
      <c r="E8701">
        <v>-4401.38</v>
      </c>
      <c r="F8701">
        <v>-1.18</v>
      </c>
      <c r="G8701" t="s">
        <v>12</v>
      </c>
      <c r="I8701" t="s">
        <v>1050</v>
      </c>
    </row>
    <row r="8702" spans="1:9" hidden="1" x14ac:dyDescent="0.25">
      <c r="A8702" t="s">
        <v>7268</v>
      </c>
      <c r="B8702" t="s">
        <v>112</v>
      </c>
      <c r="C8702" s="2">
        <f>HYPERLINK("https://cao.dolgi.msk.ru/account/1080274152/", 1080274152)</f>
        <v>1080274152</v>
      </c>
      <c r="D8702" t="s">
        <v>7307</v>
      </c>
      <c r="E8702">
        <v>-5970.73</v>
      </c>
      <c r="F8702">
        <v>-1.18</v>
      </c>
      <c r="G8702" t="s">
        <v>12</v>
      </c>
      <c r="I8702" t="s">
        <v>1050</v>
      </c>
    </row>
    <row r="8703" spans="1:9" hidden="1" x14ac:dyDescent="0.25">
      <c r="A8703" t="s">
        <v>7268</v>
      </c>
      <c r="B8703" t="s">
        <v>114</v>
      </c>
      <c r="C8703" s="2">
        <f>HYPERLINK("https://cao.dolgi.msk.ru/account/1080274179/", 1080274179)</f>
        <v>1080274179</v>
      </c>
      <c r="D8703" t="s">
        <v>7308</v>
      </c>
      <c r="E8703">
        <v>-7353.2</v>
      </c>
      <c r="F8703">
        <v>-0.93</v>
      </c>
      <c r="G8703" t="s">
        <v>12</v>
      </c>
      <c r="I8703" t="s">
        <v>1050</v>
      </c>
    </row>
    <row r="8704" spans="1:9" x14ac:dyDescent="0.25">
      <c r="A8704" t="s">
        <v>7268</v>
      </c>
      <c r="B8704" t="s">
        <v>116</v>
      </c>
      <c r="C8704" s="2">
        <f>HYPERLINK("https://cao.dolgi.msk.ru/account/1080274187/", 1080274187)</f>
        <v>1080274187</v>
      </c>
      <c r="D8704" t="s">
        <v>7309</v>
      </c>
      <c r="E8704">
        <v>11829.15</v>
      </c>
      <c r="F8704">
        <v>2.0499999999999998</v>
      </c>
      <c r="G8704" t="s">
        <v>12</v>
      </c>
      <c r="I8704" t="s">
        <v>1050</v>
      </c>
    </row>
    <row r="8705" spans="1:9" hidden="1" x14ac:dyDescent="0.25">
      <c r="A8705" t="s">
        <v>7268</v>
      </c>
      <c r="B8705" t="s">
        <v>118</v>
      </c>
      <c r="C8705" s="2">
        <f>HYPERLINK("https://cao.dolgi.msk.ru/account/1080274195/", 1080274195)</f>
        <v>1080274195</v>
      </c>
      <c r="D8705" t="s">
        <v>7310</v>
      </c>
      <c r="E8705">
        <v>-5615.21</v>
      </c>
      <c r="F8705">
        <v>-1.26</v>
      </c>
      <c r="G8705" t="s">
        <v>12</v>
      </c>
      <c r="I8705" t="s">
        <v>1050</v>
      </c>
    </row>
    <row r="8706" spans="1:9" hidden="1" x14ac:dyDescent="0.25">
      <c r="A8706" t="s">
        <v>7268</v>
      </c>
      <c r="B8706" t="s">
        <v>120</v>
      </c>
      <c r="C8706" s="2">
        <f>HYPERLINK("https://cao.dolgi.msk.ru/account/1080274208/", 1080274208)</f>
        <v>1080274208</v>
      </c>
      <c r="D8706" t="s">
        <v>7311</v>
      </c>
      <c r="E8706">
        <v>-7194.94</v>
      </c>
      <c r="F8706">
        <v>-1.04</v>
      </c>
      <c r="G8706" t="s">
        <v>12</v>
      </c>
      <c r="I8706" t="s">
        <v>1050</v>
      </c>
    </row>
    <row r="8707" spans="1:9" hidden="1" x14ac:dyDescent="0.25">
      <c r="A8707" t="s">
        <v>7268</v>
      </c>
      <c r="B8707" t="s">
        <v>122</v>
      </c>
      <c r="C8707" s="2">
        <f>HYPERLINK("https://cao.dolgi.msk.ru/account/1080274216/", 1080274216)</f>
        <v>1080274216</v>
      </c>
      <c r="D8707" t="s">
        <v>7312</v>
      </c>
      <c r="E8707">
        <v>-5256.82</v>
      </c>
      <c r="F8707">
        <v>-1.17</v>
      </c>
      <c r="G8707" t="s">
        <v>12</v>
      </c>
      <c r="I8707" t="s">
        <v>1050</v>
      </c>
    </row>
    <row r="8708" spans="1:9" hidden="1" x14ac:dyDescent="0.25">
      <c r="A8708" t="s">
        <v>7268</v>
      </c>
      <c r="B8708" t="s">
        <v>124</v>
      </c>
      <c r="C8708" s="2">
        <f>HYPERLINK("https://cao.dolgi.msk.ru/account/1080274224/", 1080274224)</f>
        <v>1080274224</v>
      </c>
      <c r="D8708" t="s">
        <v>15</v>
      </c>
      <c r="E8708">
        <v>-4101.66</v>
      </c>
      <c r="F8708">
        <v>-1.2</v>
      </c>
      <c r="G8708" t="s">
        <v>12</v>
      </c>
      <c r="I8708" t="s">
        <v>1050</v>
      </c>
    </row>
    <row r="8709" spans="1:9" hidden="1" x14ac:dyDescent="0.25">
      <c r="A8709" t="s">
        <v>7268</v>
      </c>
      <c r="B8709" t="s">
        <v>126</v>
      </c>
      <c r="C8709" s="2">
        <f>HYPERLINK("https://cao.dolgi.msk.ru/account/1080274232/", 1080274232)</f>
        <v>1080274232</v>
      </c>
      <c r="D8709" t="s">
        <v>7313</v>
      </c>
      <c r="E8709">
        <v>-6755.96</v>
      </c>
      <c r="F8709">
        <v>-1.04</v>
      </c>
      <c r="G8709" t="s">
        <v>12</v>
      </c>
      <c r="I8709" t="s">
        <v>1050</v>
      </c>
    </row>
    <row r="8710" spans="1:9" hidden="1" x14ac:dyDescent="0.25">
      <c r="A8710" t="s">
        <v>7268</v>
      </c>
      <c r="B8710" t="s">
        <v>128</v>
      </c>
      <c r="C8710" s="2">
        <f>HYPERLINK("https://cao.dolgi.msk.ru/account/1080274259/", 1080274259)</f>
        <v>1080274259</v>
      </c>
      <c r="D8710" t="s">
        <v>7314</v>
      </c>
      <c r="E8710">
        <v>-9454.64</v>
      </c>
      <c r="F8710">
        <v>-1.79</v>
      </c>
      <c r="G8710" t="s">
        <v>12</v>
      </c>
      <c r="I8710" t="s">
        <v>1050</v>
      </c>
    </row>
    <row r="8711" spans="1:9" hidden="1" x14ac:dyDescent="0.25">
      <c r="A8711" t="s">
        <v>7268</v>
      </c>
      <c r="B8711" t="s">
        <v>130</v>
      </c>
      <c r="C8711" s="2">
        <f>HYPERLINK("https://cao.dolgi.msk.ru/account/1080274267/", 1080274267)</f>
        <v>1080274267</v>
      </c>
      <c r="D8711" t="s">
        <v>7315</v>
      </c>
      <c r="E8711">
        <v>-30200.26</v>
      </c>
      <c r="F8711">
        <v>-6.38</v>
      </c>
      <c r="G8711" t="s">
        <v>12</v>
      </c>
      <c r="I8711" t="s">
        <v>1050</v>
      </c>
    </row>
    <row r="8712" spans="1:9" hidden="1" x14ac:dyDescent="0.25">
      <c r="A8712" t="s">
        <v>7268</v>
      </c>
      <c r="B8712" t="s">
        <v>132</v>
      </c>
      <c r="C8712" s="2">
        <f>HYPERLINK("https://cao.dolgi.msk.ru/account/1080274275/", 1080274275)</f>
        <v>1080274275</v>
      </c>
      <c r="D8712" t="s">
        <v>7316</v>
      </c>
      <c r="E8712">
        <v>-2260.8200000000002</v>
      </c>
      <c r="F8712">
        <v>-1.1599999999999999</v>
      </c>
      <c r="G8712" t="s">
        <v>12</v>
      </c>
      <c r="I8712" t="s">
        <v>1050</v>
      </c>
    </row>
    <row r="8713" spans="1:9" hidden="1" x14ac:dyDescent="0.25">
      <c r="A8713" t="s">
        <v>7268</v>
      </c>
      <c r="B8713" t="s">
        <v>133</v>
      </c>
      <c r="C8713" s="2">
        <f>HYPERLINK("https://cao.dolgi.msk.ru/account/1080274283/", 1080274283)</f>
        <v>1080274283</v>
      </c>
      <c r="D8713" t="s">
        <v>7317</v>
      </c>
      <c r="E8713">
        <v>0</v>
      </c>
      <c r="F8713">
        <v>0</v>
      </c>
      <c r="G8713" t="s">
        <v>12</v>
      </c>
      <c r="I8713" t="s">
        <v>1050</v>
      </c>
    </row>
    <row r="8714" spans="1:9" hidden="1" x14ac:dyDescent="0.25">
      <c r="A8714" t="s">
        <v>7268</v>
      </c>
      <c r="B8714" t="s">
        <v>135</v>
      </c>
      <c r="C8714" s="2">
        <f>HYPERLINK("https://cao.dolgi.msk.ru/account/1080274291/", 1080274291)</f>
        <v>1080274291</v>
      </c>
      <c r="D8714" t="s">
        <v>7318</v>
      </c>
      <c r="E8714">
        <v>4858.76</v>
      </c>
      <c r="F8714">
        <v>0.85</v>
      </c>
      <c r="G8714" t="s">
        <v>12</v>
      </c>
      <c r="I8714" t="s">
        <v>1050</v>
      </c>
    </row>
    <row r="8715" spans="1:9" hidden="1" x14ac:dyDescent="0.25">
      <c r="A8715" t="s">
        <v>7268</v>
      </c>
      <c r="B8715" t="s">
        <v>137</v>
      </c>
      <c r="C8715" s="2">
        <f>HYPERLINK("https://cao.dolgi.msk.ru/account/1080274304/", 1080274304)</f>
        <v>1080274304</v>
      </c>
      <c r="D8715" t="s">
        <v>7319</v>
      </c>
      <c r="E8715">
        <v>-5716.58</v>
      </c>
      <c r="F8715">
        <v>-1.1200000000000001</v>
      </c>
      <c r="G8715" t="s">
        <v>12</v>
      </c>
      <c r="I8715" t="s">
        <v>1050</v>
      </c>
    </row>
    <row r="8716" spans="1:9" hidden="1" x14ac:dyDescent="0.25">
      <c r="A8716" t="s">
        <v>7268</v>
      </c>
      <c r="B8716" t="s">
        <v>139</v>
      </c>
      <c r="C8716" s="2">
        <f>HYPERLINK("https://cao.dolgi.msk.ru/account/1080274312/", 1080274312)</f>
        <v>1080274312</v>
      </c>
      <c r="D8716" t="s">
        <v>7320</v>
      </c>
      <c r="E8716">
        <v>-1502.37</v>
      </c>
      <c r="F8716">
        <v>-1.1000000000000001</v>
      </c>
      <c r="G8716" t="s">
        <v>12</v>
      </c>
      <c r="I8716" t="s">
        <v>1050</v>
      </c>
    </row>
    <row r="8717" spans="1:9" hidden="1" x14ac:dyDescent="0.25">
      <c r="A8717" t="s">
        <v>7268</v>
      </c>
      <c r="B8717" t="s">
        <v>141</v>
      </c>
      <c r="C8717" s="2">
        <f>HYPERLINK("https://cao.dolgi.msk.ru/account/1080274339/", 1080274339)</f>
        <v>1080274339</v>
      </c>
      <c r="D8717" t="s">
        <v>7321</v>
      </c>
      <c r="E8717">
        <v>-3695.64</v>
      </c>
      <c r="F8717">
        <v>-1.07</v>
      </c>
      <c r="G8717" t="s">
        <v>12</v>
      </c>
      <c r="I8717" t="s">
        <v>1050</v>
      </c>
    </row>
    <row r="8718" spans="1:9" x14ac:dyDescent="0.25">
      <c r="A8718" t="s">
        <v>7268</v>
      </c>
      <c r="B8718" t="s">
        <v>143</v>
      </c>
      <c r="C8718" s="2">
        <f>HYPERLINK("https://cao.dolgi.msk.ru/account/1080274347/", 1080274347)</f>
        <v>1080274347</v>
      </c>
      <c r="D8718" t="s">
        <v>7322</v>
      </c>
      <c r="E8718">
        <v>12465.91</v>
      </c>
      <c r="F8718">
        <v>2.86</v>
      </c>
      <c r="G8718" t="s">
        <v>12</v>
      </c>
      <c r="I8718" t="s">
        <v>1050</v>
      </c>
    </row>
    <row r="8719" spans="1:9" hidden="1" x14ac:dyDescent="0.25">
      <c r="A8719" t="s">
        <v>7268</v>
      </c>
      <c r="B8719" t="s">
        <v>145</v>
      </c>
      <c r="C8719" s="2">
        <f>HYPERLINK("https://cao.dolgi.msk.ru/account/1080274355/", 1080274355)</f>
        <v>1080274355</v>
      </c>
      <c r="D8719" t="s">
        <v>7323</v>
      </c>
      <c r="E8719">
        <v>6.68</v>
      </c>
      <c r="F8719">
        <v>0</v>
      </c>
      <c r="G8719" t="s">
        <v>12</v>
      </c>
      <c r="I8719" t="s">
        <v>1050</v>
      </c>
    </row>
    <row r="8720" spans="1:9" hidden="1" x14ac:dyDescent="0.25">
      <c r="A8720" t="s">
        <v>7268</v>
      </c>
      <c r="B8720" t="s">
        <v>147</v>
      </c>
      <c r="C8720" s="2">
        <f>HYPERLINK("https://cao.dolgi.msk.ru/account/1080274363/", 1080274363)</f>
        <v>1080274363</v>
      </c>
      <c r="D8720" t="s">
        <v>7324</v>
      </c>
      <c r="E8720">
        <v>-4064.93</v>
      </c>
      <c r="F8720">
        <v>-1.27</v>
      </c>
      <c r="G8720" t="s">
        <v>12</v>
      </c>
      <c r="I8720" t="s">
        <v>1050</v>
      </c>
    </row>
    <row r="8721" spans="1:9" hidden="1" x14ac:dyDescent="0.25">
      <c r="A8721" t="s">
        <v>7268</v>
      </c>
      <c r="B8721" t="s">
        <v>149</v>
      </c>
      <c r="C8721" s="2">
        <f>HYPERLINK("https://cao.dolgi.msk.ru/account/1080274371/", 1080274371)</f>
        <v>1080274371</v>
      </c>
      <c r="D8721" t="s">
        <v>7325</v>
      </c>
      <c r="E8721">
        <v>-3966.23</v>
      </c>
      <c r="F8721">
        <v>-1.01</v>
      </c>
      <c r="G8721" t="s">
        <v>12</v>
      </c>
      <c r="I8721" t="s">
        <v>1050</v>
      </c>
    </row>
    <row r="8722" spans="1:9" hidden="1" x14ac:dyDescent="0.25">
      <c r="A8722" t="s">
        <v>7268</v>
      </c>
      <c r="B8722" t="s">
        <v>151</v>
      </c>
      <c r="C8722" s="2">
        <f>HYPERLINK("https://cao.dolgi.msk.ru/account/1080274398/", 1080274398)</f>
        <v>1080274398</v>
      </c>
      <c r="D8722" t="s">
        <v>7326</v>
      </c>
      <c r="E8722">
        <v>-5357</v>
      </c>
      <c r="F8722">
        <v>-1.1299999999999999</v>
      </c>
      <c r="G8722" t="s">
        <v>12</v>
      </c>
      <c r="I8722" t="s">
        <v>1050</v>
      </c>
    </row>
    <row r="8723" spans="1:9" hidden="1" x14ac:dyDescent="0.25">
      <c r="A8723" t="s">
        <v>7268</v>
      </c>
      <c r="B8723" t="s">
        <v>153</v>
      </c>
      <c r="C8723" s="2">
        <f>HYPERLINK("https://cao.dolgi.msk.ru/account/1080274419/", 1080274419)</f>
        <v>1080274419</v>
      </c>
      <c r="D8723" t="s">
        <v>7327</v>
      </c>
      <c r="E8723">
        <v>-17917.43</v>
      </c>
      <c r="F8723">
        <v>-2.15</v>
      </c>
      <c r="G8723" t="s">
        <v>12</v>
      </c>
      <c r="I8723" t="s">
        <v>1050</v>
      </c>
    </row>
    <row r="8724" spans="1:9" hidden="1" x14ac:dyDescent="0.25">
      <c r="A8724" t="s">
        <v>7268</v>
      </c>
      <c r="B8724" t="s">
        <v>155</v>
      </c>
      <c r="C8724" s="2">
        <f>HYPERLINK("https://cao.dolgi.msk.ru/account/1080274427/", 1080274427)</f>
        <v>1080274427</v>
      </c>
      <c r="D8724" t="s">
        <v>7328</v>
      </c>
      <c r="E8724">
        <v>-5083.8999999999996</v>
      </c>
      <c r="F8724">
        <v>-1.55</v>
      </c>
      <c r="G8724" t="s">
        <v>12</v>
      </c>
      <c r="I8724" t="s">
        <v>1050</v>
      </c>
    </row>
    <row r="8725" spans="1:9" hidden="1" x14ac:dyDescent="0.25">
      <c r="A8725" t="s">
        <v>7268</v>
      </c>
      <c r="B8725" t="s">
        <v>157</v>
      </c>
      <c r="C8725" s="2">
        <f>HYPERLINK("https://cao.dolgi.msk.ru/account/1080274435/", 1080274435)</f>
        <v>1080274435</v>
      </c>
      <c r="D8725" t="s">
        <v>15</v>
      </c>
      <c r="E8725">
        <v>-6405.31</v>
      </c>
      <c r="F8725">
        <v>-0.96</v>
      </c>
      <c r="G8725" t="s">
        <v>12</v>
      </c>
      <c r="I8725" t="s">
        <v>1050</v>
      </c>
    </row>
    <row r="8726" spans="1:9" hidden="1" x14ac:dyDescent="0.25">
      <c r="A8726" t="s">
        <v>7268</v>
      </c>
      <c r="B8726" t="s">
        <v>159</v>
      </c>
      <c r="C8726" s="2">
        <f>HYPERLINK("https://cao.dolgi.msk.ru/account/1080274443/", 1080274443)</f>
        <v>1080274443</v>
      </c>
      <c r="D8726" t="s">
        <v>15</v>
      </c>
      <c r="E8726">
        <v>-343.72</v>
      </c>
      <c r="F8726">
        <v>-0.06</v>
      </c>
      <c r="G8726" t="s">
        <v>12</v>
      </c>
      <c r="I8726" t="s">
        <v>1050</v>
      </c>
    </row>
    <row r="8727" spans="1:9" hidden="1" x14ac:dyDescent="0.25">
      <c r="A8727" t="s">
        <v>7268</v>
      </c>
      <c r="B8727" t="s">
        <v>161</v>
      </c>
      <c r="C8727" s="2">
        <f>HYPERLINK("https://cao.dolgi.msk.ru/account/1080274451/", 1080274451)</f>
        <v>1080274451</v>
      </c>
      <c r="D8727" t="s">
        <v>7329</v>
      </c>
      <c r="E8727">
        <v>-9404.3799999999992</v>
      </c>
      <c r="F8727">
        <v>-1.07</v>
      </c>
      <c r="G8727" t="s">
        <v>12</v>
      </c>
      <c r="I8727" t="s">
        <v>1050</v>
      </c>
    </row>
    <row r="8728" spans="1:9" hidden="1" x14ac:dyDescent="0.25">
      <c r="A8728" t="s">
        <v>7268</v>
      </c>
      <c r="B8728" t="s">
        <v>163</v>
      </c>
      <c r="C8728" s="2">
        <f>HYPERLINK("https://cao.dolgi.msk.ru/account/1080274478/", 1080274478)</f>
        <v>1080274478</v>
      </c>
      <c r="D8728" t="s">
        <v>7330</v>
      </c>
      <c r="E8728">
        <v>-315.75</v>
      </c>
      <c r="F8728">
        <v>-0.14000000000000001</v>
      </c>
      <c r="G8728" t="s">
        <v>12</v>
      </c>
      <c r="I8728" t="s">
        <v>1050</v>
      </c>
    </row>
    <row r="8729" spans="1:9" hidden="1" x14ac:dyDescent="0.25">
      <c r="A8729" t="s">
        <v>7268</v>
      </c>
      <c r="B8729" t="s">
        <v>571</v>
      </c>
      <c r="C8729" s="2">
        <f>HYPERLINK("https://cao.dolgi.msk.ru/account/1080274486/", 1080274486)</f>
        <v>1080274486</v>
      </c>
      <c r="D8729" t="s">
        <v>7331</v>
      </c>
      <c r="E8729">
        <v>-4398.38</v>
      </c>
      <c r="F8729">
        <v>-2.52</v>
      </c>
      <c r="G8729" t="s">
        <v>12</v>
      </c>
      <c r="I8729" t="s">
        <v>1050</v>
      </c>
    </row>
    <row r="8730" spans="1:9" hidden="1" x14ac:dyDescent="0.25">
      <c r="A8730" t="s">
        <v>7268</v>
      </c>
      <c r="B8730" t="s">
        <v>682</v>
      </c>
      <c r="C8730" s="2">
        <f>HYPERLINK("https://cao.dolgi.msk.ru/account/1080274494/", 1080274494)</f>
        <v>1080274494</v>
      </c>
      <c r="D8730" t="s">
        <v>15</v>
      </c>
      <c r="E8730">
        <v>-2311.56</v>
      </c>
      <c r="F8730">
        <v>-1.22</v>
      </c>
      <c r="G8730" t="s">
        <v>12</v>
      </c>
      <c r="I8730" t="s">
        <v>1050</v>
      </c>
    </row>
    <row r="8731" spans="1:9" hidden="1" x14ac:dyDescent="0.25">
      <c r="A8731" t="s">
        <v>7268</v>
      </c>
      <c r="B8731" t="s">
        <v>578</v>
      </c>
      <c r="C8731" s="2">
        <f>HYPERLINK("https://cao.dolgi.msk.ru/account/1080274507/", 1080274507)</f>
        <v>1080274507</v>
      </c>
      <c r="D8731" t="s">
        <v>7332</v>
      </c>
      <c r="E8731">
        <v>-4381.2299999999996</v>
      </c>
      <c r="F8731">
        <v>-1.1399999999999999</v>
      </c>
      <c r="G8731" t="s">
        <v>12</v>
      </c>
      <c r="I8731" t="s">
        <v>1050</v>
      </c>
    </row>
    <row r="8732" spans="1:9" hidden="1" x14ac:dyDescent="0.25">
      <c r="A8732" t="s">
        <v>7268</v>
      </c>
      <c r="B8732" t="s">
        <v>580</v>
      </c>
      <c r="C8732" s="2">
        <f>HYPERLINK("https://cao.dolgi.msk.ru/account/1080274515/", 1080274515)</f>
        <v>1080274515</v>
      </c>
      <c r="D8732" t="s">
        <v>7333</v>
      </c>
      <c r="E8732">
        <v>0</v>
      </c>
      <c r="G8732" t="s">
        <v>12</v>
      </c>
      <c r="I8732" t="s">
        <v>1050</v>
      </c>
    </row>
    <row r="8733" spans="1:9" hidden="1" x14ac:dyDescent="0.25">
      <c r="A8733" t="s">
        <v>7268</v>
      </c>
      <c r="B8733" t="s">
        <v>686</v>
      </c>
      <c r="C8733" s="2">
        <f>HYPERLINK("https://cao.dolgi.msk.ru/account/1080274523/", 1080274523)</f>
        <v>1080274523</v>
      </c>
      <c r="D8733" t="s">
        <v>7334</v>
      </c>
      <c r="E8733">
        <v>-7681.96</v>
      </c>
      <c r="F8733">
        <v>-1.61</v>
      </c>
      <c r="G8733" t="s">
        <v>12</v>
      </c>
      <c r="I8733" t="s">
        <v>1050</v>
      </c>
    </row>
    <row r="8734" spans="1:9" hidden="1" x14ac:dyDescent="0.25">
      <c r="A8734" t="s">
        <v>7268</v>
      </c>
      <c r="B8734" t="s">
        <v>582</v>
      </c>
      <c r="C8734" s="2">
        <f>HYPERLINK("https://cao.dolgi.msk.ru/account/1080274531/", 1080274531)</f>
        <v>1080274531</v>
      </c>
      <c r="D8734" t="s">
        <v>7335</v>
      </c>
      <c r="E8734">
        <v>-2753.91</v>
      </c>
      <c r="F8734">
        <v>-1.0900000000000001</v>
      </c>
      <c r="G8734" t="s">
        <v>12</v>
      </c>
      <c r="I8734" t="s">
        <v>1050</v>
      </c>
    </row>
    <row r="8735" spans="1:9" hidden="1" x14ac:dyDescent="0.25">
      <c r="A8735" t="s">
        <v>7268</v>
      </c>
      <c r="B8735" t="s">
        <v>584</v>
      </c>
      <c r="C8735" s="2">
        <f>HYPERLINK("https://cao.dolgi.msk.ru/account/1080274558/", 1080274558)</f>
        <v>1080274558</v>
      </c>
      <c r="D8735" t="s">
        <v>7336</v>
      </c>
      <c r="E8735">
        <v>-5649.87</v>
      </c>
      <c r="F8735">
        <v>-1.0900000000000001</v>
      </c>
      <c r="G8735" t="s">
        <v>12</v>
      </c>
      <c r="I8735" t="s">
        <v>1050</v>
      </c>
    </row>
    <row r="8736" spans="1:9" hidden="1" x14ac:dyDescent="0.25">
      <c r="A8736" t="s">
        <v>7268</v>
      </c>
      <c r="B8736" t="s">
        <v>586</v>
      </c>
      <c r="C8736" s="2">
        <f>HYPERLINK("https://cao.dolgi.msk.ru/account/1080274566/", 1080274566)</f>
        <v>1080274566</v>
      </c>
      <c r="D8736" t="s">
        <v>7337</v>
      </c>
      <c r="E8736">
        <v>-3347.47</v>
      </c>
      <c r="F8736">
        <v>-1.1200000000000001</v>
      </c>
      <c r="G8736" t="s">
        <v>12</v>
      </c>
      <c r="I8736" t="s">
        <v>1050</v>
      </c>
    </row>
    <row r="8737" spans="1:9" hidden="1" x14ac:dyDescent="0.25">
      <c r="A8737" t="s">
        <v>7268</v>
      </c>
      <c r="B8737" t="s">
        <v>588</v>
      </c>
      <c r="C8737" s="2">
        <f>HYPERLINK("https://cao.dolgi.msk.ru/account/1080274574/", 1080274574)</f>
        <v>1080274574</v>
      </c>
      <c r="D8737" t="s">
        <v>7338</v>
      </c>
      <c r="E8737">
        <v>-4301.21</v>
      </c>
      <c r="F8737">
        <v>-1.23</v>
      </c>
      <c r="G8737" t="s">
        <v>12</v>
      </c>
      <c r="I8737" t="s">
        <v>1050</v>
      </c>
    </row>
    <row r="8738" spans="1:9" hidden="1" x14ac:dyDescent="0.25">
      <c r="A8738" t="s">
        <v>7268</v>
      </c>
      <c r="B8738" t="s">
        <v>590</v>
      </c>
      <c r="C8738" s="2">
        <f>HYPERLINK("https://cao.dolgi.msk.ru/account/1080274582/", 1080274582)</f>
        <v>1080274582</v>
      </c>
      <c r="D8738" t="s">
        <v>7339</v>
      </c>
      <c r="E8738">
        <v>-1745.94</v>
      </c>
      <c r="F8738">
        <v>-0.75</v>
      </c>
      <c r="G8738" t="s">
        <v>12</v>
      </c>
      <c r="I8738" t="s">
        <v>1050</v>
      </c>
    </row>
    <row r="8739" spans="1:9" hidden="1" x14ac:dyDescent="0.25">
      <c r="A8739" t="s">
        <v>7340</v>
      </c>
      <c r="B8739" t="s">
        <v>10</v>
      </c>
      <c r="C8739" s="2">
        <f>HYPERLINK("https://cao.dolgi.msk.ru/account/1080274611/", 1080274611)</f>
        <v>1080274611</v>
      </c>
      <c r="D8739" t="s">
        <v>7341</v>
      </c>
      <c r="E8739">
        <v>-4222.84</v>
      </c>
      <c r="F8739">
        <v>-1.1599999999999999</v>
      </c>
      <c r="G8739" t="s">
        <v>12</v>
      </c>
      <c r="I8739" t="s">
        <v>1050</v>
      </c>
    </row>
    <row r="8740" spans="1:9" hidden="1" x14ac:dyDescent="0.25">
      <c r="A8740" t="s">
        <v>7340</v>
      </c>
      <c r="B8740" t="s">
        <v>16</v>
      </c>
      <c r="C8740" s="2">
        <f>HYPERLINK("https://cao.dolgi.msk.ru/account/1080274638/", 1080274638)</f>
        <v>1080274638</v>
      </c>
      <c r="D8740" t="s">
        <v>7342</v>
      </c>
      <c r="E8740">
        <v>-10782.78</v>
      </c>
      <c r="F8740">
        <v>-1.44</v>
      </c>
      <c r="G8740" t="s">
        <v>12</v>
      </c>
      <c r="I8740" t="s">
        <v>1050</v>
      </c>
    </row>
    <row r="8741" spans="1:9" hidden="1" x14ac:dyDescent="0.25">
      <c r="A8741" t="s">
        <v>7340</v>
      </c>
      <c r="B8741" t="s">
        <v>18</v>
      </c>
      <c r="C8741" s="2">
        <f>HYPERLINK("https://cao.dolgi.msk.ru/account/1080274646/", 1080274646)</f>
        <v>1080274646</v>
      </c>
      <c r="D8741" t="s">
        <v>7343</v>
      </c>
      <c r="E8741">
        <v>0</v>
      </c>
      <c r="F8741">
        <v>0</v>
      </c>
      <c r="G8741" t="s">
        <v>12</v>
      </c>
      <c r="I8741" t="s">
        <v>1050</v>
      </c>
    </row>
    <row r="8742" spans="1:9" hidden="1" x14ac:dyDescent="0.25">
      <c r="A8742" t="s">
        <v>7340</v>
      </c>
      <c r="B8742" t="s">
        <v>20</v>
      </c>
      <c r="C8742" s="2">
        <f>HYPERLINK("https://cao.dolgi.msk.ru/account/1080274603/", 1080274603)</f>
        <v>1080274603</v>
      </c>
      <c r="D8742" t="s">
        <v>7344</v>
      </c>
      <c r="E8742">
        <v>892.53</v>
      </c>
      <c r="F8742">
        <v>0.27</v>
      </c>
      <c r="G8742" t="s">
        <v>12</v>
      </c>
      <c r="H8742" t="s">
        <v>7</v>
      </c>
      <c r="I8742" t="s">
        <v>1050</v>
      </c>
    </row>
    <row r="8743" spans="1:9" hidden="1" x14ac:dyDescent="0.25">
      <c r="A8743" t="s">
        <v>7340</v>
      </c>
      <c r="B8743" t="s">
        <v>20</v>
      </c>
      <c r="C8743" s="2">
        <f>HYPERLINK("https://cao.dolgi.msk.ru/account/1080274654/", 1080274654)</f>
        <v>1080274654</v>
      </c>
      <c r="D8743" t="s">
        <v>7345</v>
      </c>
      <c r="E8743">
        <v>2621.2600000000002</v>
      </c>
      <c r="F8743">
        <v>1</v>
      </c>
      <c r="G8743" t="s">
        <v>12</v>
      </c>
      <c r="H8743" t="s">
        <v>7</v>
      </c>
      <c r="I8743" t="s">
        <v>1050</v>
      </c>
    </row>
    <row r="8744" spans="1:9" x14ac:dyDescent="0.25">
      <c r="A8744" t="s">
        <v>7340</v>
      </c>
      <c r="B8744" t="s">
        <v>21</v>
      </c>
      <c r="C8744" s="2">
        <f>HYPERLINK("https://cao.dolgi.msk.ru/account/1080274662/", 1080274662)</f>
        <v>1080274662</v>
      </c>
      <c r="D8744" t="s">
        <v>7346</v>
      </c>
      <c r="E8744">
        <v>5255.53</v>
      </c>
      <c r="F8744">
        <v>1.03</v>
      </c>
      <c r="G8744" t="s">
        <v>12</v>
      </c>
      <c r="I8744" t="s">
        <v>1050</v>
      </c>
    </row>
    <row r="8745" spans="1:9" hidden="1" x14ac:dyDescent="0.25">
      <c r="A8745" t="s">
        <v>7340</v>
      </c>
      <c r="B8745" t="s">
        <v>22</v>
      </c>
      <c r="C8745" s="2">
        <f>HYPERLINK("https://cao.dolgi.msk.ru/account/1080274689/", 1080274689)</f>
        <v>1080274689</v>
      </c>
      <c r="D8745" t="s">
        <v>7347</v>
      </c>
      <c r="G8745" t="s">
        <v>14</v>
      </c>
      <c r="I8745" t="s">
        <v>1050</v>
      </c>
    </row>
    <row r="8746" spans="1:9" x14ac:dyDescent="0.25">
      <c r="A8746" t="s">
        <v>7340</v>
      </c>
      <c r="B8746" t="s">
        <v>22</v>
      </c>
      <c r="C8746" s="2">
        <f>HYPERLINK("https://cao.dolgi.msk.ru/account/1080274697/", 1080274697)</f>
        <v>1080274697</v>
      </c>
      <c r="D8746" t="s">
        <v>7348</v>
      </c>
      <c r="E8746">
        <v>33154.75</v>
      </c>
      <c r="F8746">
        <v>2.54</v>
      </c>
      <c r="G8746" t="s">
        <v>12</v>
      </c>
      <c r="I8746" t="s">
        <v>1050</v>
      </c>
    </row>
    <row r="8747" spans="1:9" hidden="1" x14ac:dyDescent="0.25">
      <c r="A8747" t="s">
        <v>7340</v>
      </c>
      <c r="B8747" t="s">
        <v>23</v>
      </c>
      <c r="C8747" s="2">
        <f>HYPERLINK("https://cao.dolgi.msk.ru/account/1080274718/", 1080274718)</f>
        <v>1080274718</v>
      </c>
      <c r="D8747" t="s">
        <v>7349</v>
      </c>
      <c r="E8747">
        <v>-7212.23</v>
      </c>
      <c r="F8747">
        <v>-1.1000000000000001</v>
      </c>
      <c r="G8747" t="s">
        <v>12</v>
      </c>
      <c r="I8747" t="s">
        <v>1050</v>
      </c>
    </row>
    <row r="8748" spans="1:9" hidden="1" x14ac:dyDescent="0.25">
      <c r="A8748" t="s">
        <v>7340</v>
      </c>
      <c r="B8748" t="s">
        <v>24</v>
      </c>
      <c r="C8748" s="2">
        <f>HYPERLINK("https://cao.dolgi.msk.ru/account/1080274726/", 1080274726)</f>
        <v>1080274726</v>
      </c>
      <c r="D8748" t="s">
        <v>15</v>
      </c>
      <c r="E8748">
        <v>4351.5</v>
      </c>
      <c r="F8748">
        <v>1</v>
      </c>
      <c r="G8748" t="s">
        <v>12</v>
      </c>
      <c r="H8748" t="s">
        <v>7</v>
      </c>
      <c r="I8748" t="s">
        <v>1050</v>
      </c>
    </row>
    <row r="8749" spans="1:9" hidden="1" x14ac:dyDescent="0.25">
      <c r="A8749" t="s">
        <v>7340</v>
      </c>
      <c r="B8749" t="s">
        <v>24</v>
      </c>
      <c r="C8749" s="2">
        <f>HYPERLINK("https://cao.dolgi.msk.ru/account/1080274734/", 1080274734)</f>
        <v>1080274734</v>
      </c>
      <c r="D8749" t="s">
        <v>7350</v>
      </c>
      <c r="E8749">
        <v>-2664.91</v>
      </c>
      <c r="F8749">
        <v>-1.1200000000000001</v>
      </c>
      <c r="G8749" t="s">
        <v>12</v>
      </c>
      <c r="H8749" t="s">
        <v>7</v>
      </c>
      <c r="I8749" t="s">
        <v>1050</v>
      </c>
    </row>
    <row r="8750" spans="1:9" hidden="1" x14ac:dyDescent="0.25">
      <c r="A8750" t="s">
        <v>7340</v>
      </c>
      <c r="B8750" t="s">
        <v>27</v>
      </c>
      <c r="C8750" s="2">
        <f>HYPERLINK("https://cao.dolgi.msk.ru/account/1080274769/", 1080274769)</f>
        <v>1080274769</v>
      </c>
      <c r="D8750" t="s">
        <v>7351</v>
      </c>
      <c r="E8750">
        <v>-5867.18</v>
      </c>
      <c r="F8750">
        <v>-1.27</v>
      </c>
      <c r="G8750" t="s">
        <v>12</v>
      </c>
      <c r="I8750" t="s">
        <v>1050</v>
      </c>
    </row>
    <row r="8751" spans="1:9" hidden="1" x14ac:dyDescent="0.25">
      <c r="A8751" t="s">
        <v>7340</v>
      </c>
      <c r="B8751" t="s">
        <v>29</v>
      </c>
      <c r="C8751" s="2">
        <f>HYPERLINK("https://cao.dolgi.msk.ru/account/1080274742/", 1080274742)</f>
        <v>1080274742</v>
      </c>
      <c r="D8751" t="s">
        <v>7352</v>
      </c>
      <c r="E8751">
        <v>-5957.3</v>
      </c>
      <c r="F8751">
        <v>-1.1499999999999999</v>
      </c>
      <c r="G8751" t="s">
        <v>12</v>
      </c>
      <c r="I8751" t="s">
        <v>1050</v>
      </c>
    </row>
    <row r="8752" spans="1:9" hidden="1" x14ac:dyDescent="0.25">
      <c r="A8752" t="s">
        <v>7340</v>
      </c>
      <c r="B8752" t="s">
        <v>31</v>
      </c>
      <c r="C8752" s="2">
        <f>HYPERLINK("https://cao.dolgi.msk.ru/account/1080274777/", 1080274777)</f>
        <v>1080274777</v>
      </c>
      <c r="D8752" t="s">
        <v>7353</v>
      </c>
      <c r="E8752">
        <v>-6356.18</v>
      </c>
      <c r="F8752">
        <v>-1.08</v>
      </c>
      <c r="G8752" t="s">
        <v>12</v>
      </c>
      <c r="I8752" t="s">
        <v>1050</v>
      </c>
    </row>
    <row r="8753" spans="1:9" x14ac:dyDescent="0.25">
      <c r="A8753" t="s">
        <v>7340</v>
      </c>
      <c r="B8753" t="s">
        <v>33</v>
      </c>
      <c r="C8753" s="2">
        <f>HYPERLINK("https://cao.dolgi.msk.ru/account/1080274785/", 1080274785)</f>
        <v>1080274785</v>
      </c>
      <c r="D8753" t="s">
        <v>7354</v>
      </c>
      <c r="E8753">
        <v>10205.709999999999</v>
      </c>
      <c r="F8753">
        <v>1.02</v>
      </c>
      <c r="G8753" t="s">
        <v>12</v>
      </c>
      <c r="I8753" t="s">
        <v>1050</v>
      </c>
    </row>
    <row r="8754" spans="1:9" hidden="1" x14ac:dyDescent="0.25">
      <c r="A8754" t="s">
        <v>7340</v>
      </c>
      <c r="B8754" t="s">
        <v>34</v>
      </c>
      <c r="C8754" s="2">
        <f>HYPERLINK("https://cao.dolgi.msk.ru/account/1080274793/", 1080274793)</f>
        <v>1080274793</v>
      </c>
      <c r="D8754" t="s">
        <v>7355</v>
      </c>
      <c r="E8754">
        <v>-340.04</v>
      </c>
      <c r="F8754">
        <v>-0.04</v>
      </c>
      <c r="G8754" t="s">
        <v>12</v>
      </c>
      <c r="I8754" t="s">
        <v>1050</v>
      </c>
    </row>
    <row r="8755" spans="1:9" hidden="1" x14ac:dyDescent="0.25">
      <c r="A8755" t="s">
        <v>7340</v>
      </c>
      <c r="B8755" t="s">
        <v>34</v>
      </c>
      <c r="C8755" s="2">
        <f>HYPERLINK("https://cao.dolgi.msk.ru/account/1080274806/", 1080274806)</f>
        <v>1080274806</v>
      </c>
      <c r="D8755" t="s">
        <v>15</v>
      </c>
      <c r="E8755">
        <v>0</v>
      </c>
      <c r="G8755" t="s">
        <v>14</v>
      </c>
      <c r="I8755" t="s">
        <v>1050</v>
      </c>
    </row>
    <row r="8756" spans="1:9" hidden="1" x14ac:dyDescent="0.25">
      <c r="A8756" t="s">
        <v>7340</v>
      </c>
      <c r="B8756" t="s">
        <v>36</v>
      </c>
      <c r="C8756" s="2">
        <f>HYPERLINK("https://cao.dolgi.msk.ru/account/1080274814/", 1080274814)</f>
        <v>1080274814</v>
      </c>
      <c r="D8756" t="s">
        <v>7356</v>
      </c>
      <c r="E8756">
        <v>-3392.6</v>
      </c>
      <c r="F8756">
        <v>-0.27</v>
      </c>
      <c r="G8756" t="s">
        <v>12</v>
      </c>
      <c r="I8756" t="s">
        <v>1050</v>
      </c>
    </row>
    <row r="8757" spans="1:9" hidden="1" x14ac:dyDescent="0.25">
      <c r="A8757" t="s">
        <v>7340</v>
      </c>
      <c r="B8757" t="s">
        <v>38</v>
      </c>
      <c r="C8757" s="2">
        <f>HYPERLINK("https://cao.dolgi.msk.ru/account/1080274822/", 1080274822)</f>
        <v>1080274822</v>
      </c>
      <c r="D8757" t="s">
        <v>7357</v>
      </c>
      <c r="E8757">
        <v>-9557.89</v>
      </c>
      <c r="F8757">
        <v>-1.1200000000000001</v>
      </c>
      <c r="G8757" t="s">
        <v>12</v>
      </c>
      <c r="I8757" t="s">
        <v>1050</v>
      </c>
    </row>
    <row r="8758" spans="1:9" hidden="1" x14ac:dyDescent="0.25">
      <c r="A8758" t="s">
        <v>7340</v>
      </c>
      <c r="B8758" t="s">
        <v>39</v>
      </c>
      <c r="C8758" s="2">
        <f>HYPERLINK("https://cao.dolgi.msk.ru/account/1080274849/", 1080274849)</f>
        <v>1080274849</v>
      </c>
      <c r="D8758" t="s">
        <v>7358</v>
      </c>
      <c r="E8758">
        <v>-5258.17</v>
      </c>
      <c r="F8758">
        <v>-1.1299999999999999</v>
      </c>
      <c r="G8758" t="s">
        <v>12</v>
      </c>
      <c r="I8758" t="s">
        <v>1050</v>
      </c>
    </row>
    <row r="8759" spans="1:9" hidden="1" x14ac:dyDescent="0.25">
      <c r="A8759" t="s">
        <v>7340</v>
      </c>
      <c r="B8759" t="s">
        <v>40</v>
      </c>
      <c r="C8759" s="2">
        <f>HYPERLINK("https://cao.dolgi.msk.ru/account/1080274857/", 1080274857)</f>
        <v>1080274857</v>
      </c>
      <c r="D8759" t="s">
        <v>7359</v>
      </c>
      <c r="E8759">
        <v>-6670.53</v>
      </c>
      <c r="F8759">
        <v>-1.1399999999999999</v>
      </c>
      <c r="G8759" t="s">
        <v>12</v>
      </c>
      <c r="I8759" t="s">
        <v>1050</v>
      </c>
    </row>
    <row r="8760" spans="1:9" hidden="1" x14ac:dyDescent="0.25">
      <c r="A8760" t="s">
        <v>7340</v>
      </c>
      <c r="B8760" t="s">
        <v>41</v>
      </c>
      <c r="C8760" s="2">
        <f>HYPERLINK("https://cao.dolgi.msk.ru/account/1080274865/", 1080274865)</f>
        <v>1080274865</v>
      </c>
      <c r="D8760" t="s">
        <v>7360</v>
      </c>
      <c r="E8760">
        <v>0.4</v>
      </c>
      <c r="F8760">
        <v>0</v>
      </c>
      <c r="G8760" t="s">
        <v>12</v>
      </c>
      <c r="I8760" t="s">
        <v>1050</v>
      </c>
    </row>
    <row r="8761" spans="1:9" hidden="1" x14ac:dyDescent="0.25">
      <c r="A8761" t="s">
        <v>7340</v>
      </c>
      <c r="B8761" t="s">
        <v>42</v>
      </c>
      <c r="C8761" s="2">
        <f>HYPERLINK("https://cao.dolgi.msk.ru/account/1080274873/", 1080274873)</f>
        <v>1080274873</v>
      </c>
      <c r="D8761" t="s">
        <v>7361</v>
      </c>
      <c r="E8761">
        <v>-6190.33</v>
      </c>
      <c r="F8761">
        <v>-1.1299999999999999</v>
      </c>
      <c r="G8761" t="s">
        <v>12</v>
      </c>
      <c r="I8761" t="s">
        <v>1050</v>
      </c>
    </row>
    <row r="8762" spans="1:9" hidden="1" x14ac:dyDescent="0.25">
      <c r="A8762" t="s">
        <v>7340</v>
      </c>
      <c r="B8762" t="s">
        <v>44</v>
      </c>
      <c r="C8762" s="2">
        <f>HYPERLINK("https://cao.dolgi.msk.ru/account/1080274902/", 1080274902)</f>
        <v>1080274902</v>
      </c>
      <c r="D8762" t="s">
        <v>7362</v>
      </c>
      <c r="E8762">
        <v>0</v>
      </c>
      <c r="F8762">
        <v>0</v>
      </c>
      <c r="G8762" t="s">
        <v>12</v>
      </c>
      <c r="I8762" t="s">
        <v>1050</v>
      </c>
    </row>
    <row r="8763" spans="1:9" hidden="1" x14ac:dyDescent="0.25">
      <c r="A8763" t="s">
        <v>7340</v>
      </c>
      <c r="B8763" t="s">
        <v>66</v>
      </c>
      <c r="C8763" s="2">
        <f>HYPERLINK("https://cao.dolgi.msk.ru/account/1080274929/", 1080274929)</f>
        <v>1080274929</v>
      </c>
      <c r="D8763" t="s">
        <v>7363</v>
      </c>
      <c r="E8763">
        <v>0</v>
      </c>
      <c r="G8763" t="s">
        <v>14</v>
      </c>
      <c r="I8763" t="s">
        <v>1050</v>
      </c>
    </row>
    <row r="8764" spans="1:9" hidden="1" x14ac:dyDescent="0.25">
      <c r="A8764" t="s">
        <v>7340</v>
      </c>
      <c r="B8764" t="s">
        <v>68</v>
      </c>
      <c r="C8764" s="2">
        <f>HYPERLINK("https://cao.dolgi.msk.ru/account/1080274937/", 1080274937)</f>
        <v>1080274937</v>
      </c>
      <c r="D8764" t="s">
        <v>7364</v>
      </c>
      <c r="E8764">
        <v>-3913.14</v>
      </c>
      <c r="F8764">
        <v>-1.1599999999999999</v>
      </c>
      <c r="G8764" t="s">
        <v>12</v>
      </c>
      <c r="I8764" t="s">
        <v>1050</v>
      </c>
    </row>
    <row r="8765" spans="1:9" hidden="1" x14ac:dyDescent="0.25">
      <c r="A8765" t="s">
        <v>7340</v>
      </c>
      <c r="B8765" t="s">
        <v>72</v>
      </c>
      <c r="C8765" s="2">
        <f>HYPERLINK("https://cao.dolgi.msk.ru/account/1080274945/", 1080274945)</f>
        <v>1080274945</v>
      </c>
      <c r="D8765" t="s">
        <v>7365</v>
      </c>
      <c r="E8765">
        <v>-5966.34</v>
      </c>
      <c r="F8765">
        <v>-1.1299999999999999</v>
      </c>
      <c r="G8765" t="s">
        <v>12</v>
      </c>
      <c r="I8765" t="s">
        <v>1050</v>
      </c>
    </row>
    <row r="8766" spans="1:9" hidden="1" x14ac:dyDescent="0.25">
      <c r="A8766" t="s">
        <v>7340</v>
      </c>
      <c r="B8766" t="s">
        <v>74</v>
      </c>
      <c r="C8766" s="2">
        <f>HYPERLINK("https://cao.dolgi.msk.ru/account/1080274953/", 1080274953)</f>
        <v>1080274953</v>
      </c>
      <c r="D8766" t="s">
        <v>7366</v>
      </c>
      <c r="E8766">
        <v>233.84</v>
      </c>
      <c r="F8766">
        <v>0.05</v>
      </c>
      <c r="G8766" t="s">
        <v>12</v>
      </c>
      <c r="I8766" t="s">
        <v>1050</v>
      </c>
    </row>
    <row r="8767" spans="1:9" hidden="1" x14ac:dyDescent="0.25">
      <c r="A8767" t="s">
        <v>7340</v>
      </c>
      <c r="B8767" t="s">
        <v>76</v>
      </c>
      <c r="C8767" s="2">
        <f>HYPERLINK("https://cao.dolgi.msk.ru/account/1080274961/", 1080274961)</f>
        <v>1080274961</v>
      </c>
      <c r="D8767" t="s">
        <v>7367</v>
      </c>
      <c r="E8767">
        <v>495.52</v>
      </c>
      <c r="F8767">
        <v>7.0000000000000007E-2</v>
      </c>
      <c r="G8767" t="s">
        <v>12</v>
      </c>
      <c r="I8767" t="s">
        <v>1050</v>
      </c>
    </row>
    <row r="8768" spans="1:9" hidden="1" x14ac:dyDescent="0.25">
      <c r="A8768" t="s">
        <v>7340</v>
      </c>
      <c r="B8768" t="s">
        <v>78</v>
      </c>
      <c r="C8768" s="2">
        <f>HYPERLINK("https://cao.dolgi.msk.ru/account/1080274988/", 1080274988)</f>
        <v>1080274988</v>
      </c>
      <c r="D8768" t="s">
        <v>7368</v>
      </c>
      <c r="G8768" t="s">
        <v>14</v>
      </c>
      <c r="I8768" t="s">
        <v>1050</v>
      </c>
    </row>
    <row r="8769" spans="1:9" hidden="1" x14ac:dyDescent="0.25">
      <c r="A8769" t="s">
        <v>7340</v>
      </c>
      <c r="B8769" t="s">
        <v>78</v>
      </c>
      <c r="C8769" s="2">
        <f>HYPERLINK("https://cao.dolgi.msk.ru/account/1080274996/", 1080274996)</f>
        <v>1080274996</v>
      </c>
      <c r="D8769" t="s">
        <v>7369</v>
      </c>
      <c r="E8769">
        <v>-9932.92</v>
      </c>
      <c r="F8769">
        <v>-1.34</v>
      </c>
      <c r="G8769" t="s">
        <v>12</v>
      </c>
      <c r="I8769" t="s">
        <v>1050</v>
      </c>
    </row>
    <row r="8770" spans="1:9" hidden="1" x14ac:dyDescent="0.25">
      <c r="A8770" t="s">
        <v>7340</v>
      </c>
      <c r="B8770" t="s">
        <v>78</v>
      </c>
      <c r="C8770" s="2">
        <f>HYPERLINK("https://cao.dolgi.msk.ru/account/1080275008/", 1080275008)</f>
        <v>1080275008</v>
      </c>
      <c r="D8770" t="s">
        <v>7370</v>
      </c>
      <c r="G8770" t="s">
        <v>14</v>
      </c>
      <c r="I8770" t="s">
        <v>1050</v>
      </c>
    </row>
    <row r="8771" spans="1:9" hidden="1" x14ac:dyDescent="0.25">
      <c r="A8771" t="s">
        <v>7340</v>
      </c>
      <c r="B8771" t="s">
        <v>80</v>
      </c>
      <c r="C8771" s="2">
        <f>HYPERLINK("https://cao.dolgi.msk.ru/account/1080275016/", 1080275016)</f>
        <v>1080275016</v>
      </c>
      <c r="D8771" t="s">
        <v>7371</v>
      </c>
      <c r="E8771">
        <v>-4642.16</v>
      </c>
      <c r="F8771">
        <v>-1.3</v>
      </c>
      <c r="G8771" t="s">
        <v>12</v>
      </c>
      <c r="I8771" t="s">
        <v>1050</v>
      </c>
    </row>
    <row r="8772" spans="1:9" hidden="1" x14ac:dyDescent="0.25">
      <c r="A8772" t="s">
        <v>7340</v>
      </c>
      <c r="B8772" t="s">
        <v>82</v>
      </c>
      <c r="C8772" s="2">
        <f>HYPERLINK("https://cao.dolgi.msk.ru/account/1080275024/", 1080275024)</f>
        <v>1080275024</v>
      </c>
      <c r="D8772" t="s">
        <v>7372</v>
      </c>
      <c r="E8772">
        <v>-3452.07</v>
      </c>
      <c r="F8772">
        <v>-1.25</v>
      </c>
      <c r="G8772" t="s">
        <v>12</v>
      </c>
      <c r="I8772" t="s">
        <v>1050</v>
      </c>
    </row>
    <row r="8773" spans="1:9" hidden="1" x14ac:dyDescent="0.25">
      <c r="A8773" t="s">
        <v>7340</v>
      </c>
      <c r="B8773" t="s">
        <v>84</v>
      </c>
      <c r="C8773" s="2">
        <f>HYPERLINK("https://cao.dolgi.msk.ru/account/1080275032/", 1080275032)</f>
        <v>1080275032</v>
      </c>
      <c r="D8773" t="s">
        <v>7373</v>
      </c>
      <c r="E8773">
        <v>22.53</v>
      </c>
      <c r="F8773">
        <v>0</v>
      </c>
      <c r="G8773" t="s">
        <v>12</v>
      </c>
      <c r="I8773" t="s">
        <v>1050</v>
      </c>
    </row>
    <row r="8774" spans="1:9" hidden="1" x14ac:dyDescent="0.25">
      <c r="A8774" t="s">
        <v>7340</v>
      </c>
      <c r="B8774" t="s">
        <v>86</v>
      </c>
      <c r="C8774" s="2">
        <f>HYPERLINK("https://cao.dolgi.msk.ru/account/1080275059/", 1080275059)</f>
        <v>1080275059</v>
      </c>
      <c r="D8774" t="s">
        <v>7374</v>
      </c>
      <c r="E8774">
        <v>-4696.96</v>
      </c>
      <c r="F8774">
        <v>-1.05</v>
      </c>
      <c r="G8774" t="s">
        <v>12</v>
      </c>
      <c r="I8774" t="s">
        <v>1050</v>
      </c>
    </row>
    <row r="8775" spans="1:9" hidden="1" x14ac:dyDescent="0.25">
      <c r="A8775" t="s">
        <v>7340</v>
      </c>
      <c r="B8775" t="s">
        <v>88</v>
      </c>
      <c r="C8775" s="2">
        <f>HYPERLINK("https://cao.dolgi.msk.ru/account/1080275067/", 1080275067)</f>
        <v>1080275067</v>
      </c>
      <c r="D8775" t="s">
        <v>7375</v>
      </c>
      <c r="E8775">
        <v>-6372.73</v>
      </c>
      <c r="F8775">
        <v>-1.23</v>
      </c>
      <c r="G8775" t="s">
        <v>12</v>
      </c>
      <c r="I8775" t="s">
        <v>1050</v>
      </c>
    </row>
    <row r="8776" spans="1:9" hidden="1" x14ac:dyDescent="0.25">
      <c r="A8776" t="s">
        <v>7340</v>
      </c>
      <c r="B8776" t="s">
        <v>90</v>
      </c>
      <c r="C8776" s="2">
        <f>HYPERLINK("https://cao.dolgi.msk.ru/account/1080275083/", 1080275083)</f>
        <v>1080275083</v>
      </c>
      <c r="D8776" t="s">
        <v>7376</v>
      </c>
      <c r="E8776">
        <v>-473.42</v>
      </c>
      <c r="F8776">
        <v>-7.0000000000000007E-2</v>
      </c>
      <c r="G8776" t="s">
        <v>12</v>
      </c>
      <c r="I8776" t="s">
        <v>1050</v>
      </c>
    </row>
    <row r="8777" spans="1:9" hidden="1" x14ac:dyDescent="0.25">
      <c r="A8777" t="s">
        <v>7340</v>
      </c>
      <c r="B8777" t="s">
        <v>92</v>
      </c>
      <c r="C8777" s="2">
        <f>HYPERLINK("https://cao.dolgi.msk.ru/account/1080275091/", 1080275091)</f>
        <v>1080275091</v>
      </c>
      <c r="D8777" t="s">
        <v>15</v>
      </c>
      <c r="E8777">
        <v>-1383.96</v>
      </c>
      <c r="F8777">
        <v>-0.28000000000000003</v>
      </c>
      <c r="G8777" t="s">
        <v>12</v>
      </c>
      <c r="I8777" t="s">
        <v>1050</v>
      </c>
    </row>
    <row r="8778" spans="1:9" hidden="1" x14ac:dyDescent="0.25">
      <c r="A8778" t="s">
        <v>7340</v>
      </c>
      <c r="B8778" t="s">
        <v>94</v>
      </c>
      <c r="C8778" s="2">
        <f>HYPERLINK("https://cao.dolgi.msk.ru/account/1080275104/", 1080275104)</f>
        <v>1080275104</v>
      </c>
      <c r="D8778" t="s">
        <v>7377</v>
      </c>
      <c r="E8778">
        <v>0</v>
      </c>
      <c r="F8778">
        <v>0</v>
      </c>
      <c r="G8778" t="s">
        <v>12</v>
      </c>
      <c r="I8778" t="s">
        <v>1050</v>
      </c>
    </row>
    <row r="8779" spans="1:9" hidden="1" x14ac:dyDescent="0.25">
      <c r="A8779" t="s">
        <v>7340</v>
      </c>
      <c r="B8779" t="s">
        <v>96</v>
      </c>
      <c r="C8779" s="2">
        <f>HYPERLINK("https://cao.dolgi.msk.ru/account/1080275112/", 1080275112)</f>
        <v>1080275112</v>
      </c>
      <c r="D8779" t="s">
        <v>7378</v>
      </c>
      <c r="E8779">
        <v>-4182.43</v>
      </c>
      <c r="F8779">
        <v>-1.02</v>
      </c>
      <c r="G8779" t="s">
        <v>12</v>
      </c>
      <c r="I8779" t="s">
        <v>1050</v>
      </c>
    </row>
    <row r="8780" spans="1:9" hidden="1" x14ac:dyDescent="0.25">
      <c r="A8780" t="s">
        <v>7340</v>
      </c>
      <c r="B8780" t="s">
        <v>98</v>
      </c>
      <c r="C8780" s="2">
        <f>HYPERLINK("https://cao.dolgi.msk.ru/account/1080275139/", 1080275139)</f>
        <v>1080275139</v>
      </c>
      <c r="D8780" t="s">
        <v>7379</v>
      </c>
      <c r="E8780">
        <v>-31.73</v>
      </c>
      <c r="F8780">
        <v>-0.01</v>
      </c>
      <c r="G8780" t="s">
        <v>12</v>
      </c>
      <c r="H8780" t="s">
        <v>7</v>
      </c>
      <c r="I8780" t="s">
        <v>1050</v>
      </c>
    </row>
    <row r="8781" spans="1:9" hidden="1" x14ac:dyDescent="0.25">
      <c r="A8781" t="s">
        <v>7340</v>
      </c>
      <c r="B8781" t="s">
        <v>98</v>
      </c>
      <c r="C8781" s="2">
        <f>HYPERLINK("https://cao.dolgi.msk.ru/account/1080275147/", 1080275147)</f>
        <v>1080275147</v>
      </c>
      <c r="D8781" t="s">
        <v>7380</v>
      </c>
      <c r="E8781">
        <v>-2022.37</v>
      </c>
      <c r="F8781">
        <v>-1.19</v>
      </c>
      <c r="G8781" t="s">
        <v>12</v>
      </c>
      <c r="H8781" t="s">
        <v>7</v>
      </c>
      <c r="I8781" t="s">
        <v>1050</v>
      </c>
    </row>
    <row r="8782" spans="1:9" hidden="1" x14ac:dyDescent="0.25">
      <c r="A8782" t="s">
        <v>7340</v>
      </c>
      <c r="B8782" t="s">
        <v>100</v>
      </c>
      <c r="C8782" s="2">
        <f>HYPERLINK("https://cao.dolgi.msk.ru/account/1080275155/", 1080275155)</f>
        <v>1080275155</v>
      </c>
      <c r="D8782" t="s">
        <v>7381</v>
      </c>
      <c r="E8782">
        <v>-173.69</v>
      </c>
      <c r="F8782">
        <v>-0.02</v>
      </c>
      <c r="G8782" t="s">
        <v>12</v>
      </c>
      <c r="I8782" t="s">
        <v>1050</v>
      </c>
    </row>
    <row r="8783" spans="1:9" hidden="1" x14ac:dyDescent="0.25">
      <c r="A8783" t="s">
        <v>7340</v>
      </c>
      <c r="B8783" t="s">
        <v>100</v>
      </c>
      <c r="C8783" s="2">
        <f>HYPERLINK("https://cao.dolgi.msk.ru/account/1080275163/", 1080275163)</f>
        <v>1080275163</v>
      </c>
      <c r="D8783" t="s">
        <v>7382</v>
      </c>
      <c r="G8783" t="s">
        <v>14</v>
      </c>
      <c r="I8783" t="s">
        <v>1050</v>
      </c>
    </row>
    <row r="8784" spans="1:9" hidden="1" x14ac:dyDescent="0.25">
      <c r="A8784" t="s">
        <v>7340</v>
      </c>
      <c r="B8784" t="s">
        <v>100</v>
      </c>
      <c r="C8784" s="2">
        <f>HYPERLINK("https://cao.dolgi.msk.ru/account/1080275171/", 1080275171)</f>
        <v>1080275171</v>
      </c>
      <c r="D8784" t="s">
        <v>7383</v>
      </c>
      <c r="E8784">
        <v>-460.42</v>
      </c>
      <c r="G8784" t="s">
        <v>14</v>
      </c>
      <c r="I8784" t="s">
        <v>1050</v>
      </c>
    </row>
    <row r="8785" spans="1:9" hidden="1" x14ac:dyDescent="0.25">
      <c r="A8785" t="s">
        <v>7340</v>
      </c>
      <c r="B8785" t="s">
        <v>102</v>
      </c>
      <c r="C8785" s="2">
        <f>HYPERLINK("https://cao.dolgi.msk.ru/account/1080275198/", 1080275198)</f>
        <v>1080275198</v>
      </c>
      <c r="D8785" t="s">
        <v>7384</v>
      </c>
      <c r="E8785">
        <v>-5879.46</v>
      </c>
      <c r="F8785">
        <v>-2.15</v>
      </c>
      <c r="G8785" t="s">
        <v>12</v>
      </c>
      <c r="I8785" t="s">
        <v>1050</v>
      </c>
    </row>
    <row r="8786" spans="1:9" hidden="1" x14ac:dyDescent="0.25">
      <c r="A8786" t="s">
        <v>7340</v>
      </c>
      <c r="B8786" t="s">
        <v>104</v>
      </c>
      <c r="C8786" s="2">
        <f>HYPERLINK("https://cao.dolgi.msk.ru/account/1080275219/", 1080275219)</f>
        <v>1080275219</v>
      </c>
      <c r="D8786" t="s">
        <v>7385</v>
      </c>
      <c r="E8786">
        <v>-6905.57</v>
      </c>
      <c r="F8786">
        <v>-1.1200000000000001</v>
      </c>
      <c r="G8786" t="s">
        <v>12</v>
      </c>
      <c r="I8786" t="s">
        <v>1050</v>
      </c>
    </row>
    <row r="8787" spans="1:9" hidden="1" x14ac:dyDescent="0.25">
      <c r="A8787" t="s">
        <v>7340</v>
      </c>
      <c r="B8787" t="s">
        <v>106</v>
      </c>
      <c r="C8787" s="2">
        <f>HYPERLINK("https://cao.dolgi.msk.ru/account/1080275227/", 1080275227)</f>
        <v>1080275227</v>
      </c>
      <c r="D8787" t="s">
        <v>7386</v>
      </c>
      <c r="E8787">
        <v>-7026.01</v>
      </c>
      <c r="F8787">
        <v>-1.1399999999999999</v>
      </c>
      <c r="G8787" t="s">
        <v>12</v>
      </c>
      <c r="I8787" t="s">
        <v>1050</v>
      </c>
    </row>
    <row r="8788" spans="1:9" hidden="1" x14ac:dyDescent="0.25">
      <c r="A8788" t="s">
        <v>7340</v>
      </c>
      <c r="B8788" t="s">
        <v>108</v>
      </c>
      <c r="C8788" s="2">
        <f>HYPERLINK("https://cao.dolgi.msk.ru/account/1080275235/", 1080275235)</f>
        <v>1080275235</v>
      </c>
      <c r="D8788" t="s">
        <v>7387</v>
      </c>
      <c r="E8788">
        <v>-4873.6499999999996</v>
      </c>
      <c r="F8788">
        <v>-1.1499999999999999</v>
      </c>
      <c r="G8788" t="s">
        <v>12</v>
      </c>
      <c r="I8788" t="s">
        <v>1050</v>
      </c>
    </row>
    <row r="8789" spans="1:9" hidden="1" x14ac:dyDescent="0.25">
      <c r="A8789" t="s">
        <v>7340</v>
      </c>
      <c r="B8789" t="s">
        <v>110</v>
      </c>
      <c r="C8789" s="2">
        <f>HYPERLINK("https://cao.dolgi.msk.ru/account/1080275243/", 1080275243)</f>
        <v>1080275243</v>
      </c>
      <c r="D8789" t="s">
        <v>7388</v>
      </c>
      <c r="E8789">
        <v>-2838.98</v>
      </c>
      <c r="F8789">
        <v>-1.38</v>
      </c>
      <c r="G8789" t="s">
        <v>12</v>
      </c>
      <c r="H8789" t="s">
        <v>7</v>
      </c>
      <c r="I8789" t="s">
        <v>1050</v>
      </c>
    </row>
    <row r="8790" spans="1:9" hidden="1" x14ac:dyDescent="0.25">
      <c r="A8790" t="s">
        <v>7340</v>
      </c>
      <c r="B8790" t="s">
        <v>110</v>
      </c>
      <c r="C8790" s="2">
        <f>HYPERLINK("https://cao.dolgi.msk.ru/account/1080275251/", 1080275251)</f>
        <v>1080275251</v>
      </c>
      <c r="D8790" t="s">
        <v>7388</v>
      </c>
      <c r="E8790">
        <v>-3680.25</v>
      </c>
      <c r="F8790">
        <v>-1.0900000000000001</v>
      </c>
      <c r="G8790" t="s">
        <v>12</v>
      </c>
      <c r="H8790" t="s">
        <v>7</v>
      </c>
      <c r="I8790" t="s">
        <v>1050</v>
      </c>
    </row>
    <row r="8791" spans="1:9" hidden="1" x14ac:dyDescent="0.25">
      <c r="A8791" t="s">
        <v>7340</v>
      </c>
      <c r="B8791" t="s">
        <v>112</v>
      </c>
      <c r="C8791" s="2">
        <f>HYPERLINK("https://cao.dolgi.msk.ru/account/1080275278/", 1080275278)</f>
        <v>1080275278</v>
      </c>
      <c r="D8791" t="s">
        <v>7389</v>
      </c>
      <c r="E8791">
        <v>-9221.5</v>
      </c>
      <c r="F8791">
        <v>-1.1100000000000001</v>
      </c>
      <c r="G8791" t="s">
        <v>12</v>
      </c>
      <c r="I8791" t="s">
        <v>1050</v>
      </c>
    </row>
    <row r="8792" spans="1:9" hidden="1" x14ac:dyDescent="0.25">
      <c r="A8792" t="s">
        <v>7340</v>
      </c>
      <c r="B8792" t="s">
        <v>114</v>
      </c>
      <c r="C8792" s="2">
        <f>HYPERLINK("https://cao.dolgi.msk.ru/account/1080275286/", 1080275286)</f>
        <v>1080275286</v>
      </c>
      <c r="D8792" t="s">
        <v>7390</v>
      </c>
      <c r="E8792">
        <v>-5013.32</v>
      </c>
      <c r="F8792">
        <v>-1.2</v>
      </c>
      <c r="G8792" t="s">
        <v>12</v>
      </c>
      <c r="I8792" t="s">
        <v>1050</v>
      </c>
    </row>
    <row r="8793" spans="1:9" hidden="1" x14ac:dyDescent="0.25">
      <c r="A8793" t="s">
        <v>7340</v>
      </c>
      <c r="B8793" t="s">
        <v>116</v>
      </c>
      <c r="C8793" s="2">
        <f>HYPERLINK("https://cao.dolgi.msk.ru/account/1080275294/", 1080275294)</f>
        <v>1080275294</v>
      </c>
      <c r="D8793" t="s">
        <v>7391</v>
      </c>
      <c r="E8793">
        <v>-787.23</v>
      </c>
      <c r="F8793">
        <v>-0.38</v>
      </c>
      <c r="G8793" t="s">
        <v>12</v>
      </c>
      <c r="H8793" t="s">
        <v>7</v>
      </c>
      <c r="I8793" t="s">
        <v>1050</v>
      </c>
    </row>
    <row r="8794" spans="1:9" hidden="1" x14ac:dyDescent="0.25">
      <c r="A8794" t="s">
        <v>7340</v>
      </c>
      <c r="B8794" t="s">
        <v>116</v>
      </c>
      <c r="C8794" s="2">
        <f>HYPERLINK("https://cao.dolgi.msk.ru/account/1080275307/", 1080275307)</f>
        <v>1080275307</v>
      </c>
      <c r="D8794" t="s">
        <v>15</v>
      </c>
      <c r="E8794">
        <v>-168.24</v>
      </c>
      <c r="F8794">
        <v>-0.08</v>
      </c>
      <c r="G8794" t="s">
        <v>12</v>
      </c>
      <c r="H8794" t="s">
        <v>7</v>
      </c>
      <c r="I8794" t="s">
        <v>1050</v>
      </c>
    </row>
    <row r="8795" spans="1:9" hidden="1" x14ac:dyDescent="0.25">
      <c r="A8795" t="s">
        <v>7340</v>
      </c>
      <c r="B8795" t="s">
        <v>118</v>
      </c>
      <c r="C8795" s="2">
        <f>HYPERLINK("https://cao.dolgi.msk.ru/account/1080275315/", 1080275315)</f>
        <v>1080275315</v>
      </c>
      <c r="D8795" t="s">
        <v>7392</v>
      </c>
      <c r="E8795">
        <v>-1302.3399999999999</v>
      </c>
      <c r="F8795">
        <v>-0.2</v>
      </c>
      <c r="G8795" t="s">
        <v>12</v>
      </c>
      <c r="I8795" t="s">
        <v>1050</v>
      </c>
    </row>
    <row r="8796" spans="1:9" hidden="1" x14ac:dyDescent="0.25">
      <c r="A8796" t="s">
        <v>7340</v>
      </c>
      <c r="B8796" t="s">
        <v>120</v>
      </c>
      <c r="C8796" s="2">
        <f>HYPERLINK("https://cao.dolgi.msk.ru/account/1080275331/", 1080275331)</f>
        <v>1080275331</v>
      </c>
      <c r="D8796" t="s">
        <v>15</v>
      </c>
      <c r="E8796">
        <v>-44.82</v>
      </c>
      <c r="G8796" t="s">
        <v>14</v>
      </c>
      <c r="I8796" t="s">
        <v>1050</v>
      </c>
    </row>
    <row r="8797" spans="1:9" hidden="1" x14ac:dyDescent="0.25">
      <c r="A8797" t="s">
        <v>7340</v>
      </c>
      <c r="B8797" t="s">
        <v>120</v>
      </c>
      <c r="C8797" s="2">
        <f>HYPERLINK("https://cao.dolgi.msk.ru/account/1080275358/", 1080275358)</f>
        <v>1080275358</v>
      </c>
      <c r="D8797" t="s">
        <v>15</v>
      </c>
      <c r="E8797">
        <v>-26367.89</v>
      </c>
      <c r="F8797">
        <v>-3.4</v>
      </c>
      <c r="G8797" t="s">
        <v>12</v>
      </c>
      <c r="I8797" t="s">
        <v>1050</v>
      </c>
    </row>
    <row r="8798" spans="1:9" hidden="1" x14ac:dyDescent="0.25">
      <c r="A8798" t="s">
        <v>7340</v>
      </c>
      <c r="B8798" t="s">
        <v>122</v>
      </c>
      <c r="C8798" s="2">
        <f>HYPERLINK("https://cao.dolgi.msk.ru/account/1080275366/", 1080275366)</f>
        <v>1080275366</v>
      </c>
      <c r="D8798" t="s">
        <v>7393</v>
      </c>
      <c r="E8798">
        <v>-15434.65</v>
      </c>
      <c r="F8798">
        <v>-4.01</v>
      </c>
      <c r="G8798" t="s">
        <v>12</v>
      </c>
      <c r="I8798" t="s">
        <v>1050</v>
      </c>
    </row>
    <row r="8799" spans="1:9" hidden="1" x14ac:dyDescent="0.25">
      <c r="A8799" t="s">
        <v>7340</v>
      </c>
      <c r="B8799" t="s">
        <v>124</v>
      </c>
      <c r="C8799" s="2">
        <f>HYPERLINK("https://cao.dolgi.msk.ru/account/1080275374/", 1080275374)</f>
        <v>1080275374</v>
      </c>
      <c r="D8799" t="s">
        <v>7394</v>
      </c>
      <c r="E8799">
        <v>-5729.39</v>
      </c>
      <c r="F8799">
        <v>-0.99</v>
      </c>
      <c r="G8799" t="s">
        <v>12</v>
      </c>
      <c r="I8799" t="s">
        <v>1050</v>
      </c>
    </row>
    <row r="8800" spans="1:9" hidden="1" x14ac:dyDescent="0.25">
      <c r="A8800" t="s">
        <v>7340</v>
      </c>
      <c r="B8800" t="s">
        <v>126</v>
      </c>
      <c r="C8800" s="2">
        <f>HYPERLINK("https://cao.dolgi.msk.ru/account/1080275382/", 1080275382)</f>
        <v>1080275382</v>
      </c>
      <c r="D8800" t="s">
        <v>7395</v>
      </c>
      <c r="E8800">
        <v>-7274.42</v>
      </c>
      <c r="F8800">
        <v>-1.17</v>
      </c>
      <c r="G8800" t="s">
        <v>12</v>
      </c>
      <c r="I8800" t="s">
        <v>1050</v>
      </c>
    </row>
    <row r="8801" spans="1:9" hidden="1" x14ac:dyDescent="0.25">
      <c r="A8801" t="s">
        <v>7340</v>
      </c>
      <c r="B8801" t="s">
        <v>128</v>
      </c>
      <c r="C8801" s="2">
        <f>HYPERLINK("https://cao.dolgi.msk.ru/account/1080275403/", 1080275403)</f>
        <v>1080275403</v>
      </c>
      <c r="D8801" t="s">
        <v>7396</v>
      </c>
      <c r="E8801">
        <v>120.94</v>
      </c>
      <c r="F8801">
        <v>0.01</v>
      </c>
      <c r="G8801" t="s">
        <v>12</v>
      </c>
      <c r="I8801" t="s">
        <v>1050</v>
      </c>
    </row>
    <row r="8802" spans="1:9" hidden="1" x14ac:dyDescent="0.25">
      <c r="A8802" t="s">
        <v>7340</v>
      </c>
      <c r="B8802" t="s">
        <v>130</v>
      </c>
      <c r="C8802" s="2">
        <f>HYPERLINK("https://cao.dolgi.msk.ru/account/1080275411/", 1080275411)</f>
        <v>1080275411</v>
      </c>
      <c r="D8802" t="s">
        <v>7397</v>
      </c>
      <c r="E8802">
        <v>-8766.7000000000007</v>
      </c>
      <c r="F8802">
        <v>-1.0900000000000001</v>
      </c>
      <c r="G8802" t="s">
        <v>12</v>
      </c>
      <c r="I8802" t="s">
        <v>1050</v>
      </c>
    </row>
    <row r="8803" spans="1:9" hidden="1" x14ac:dyDescent="0.25">
      <c r="A8803" t="s">
        <v>7340</v>
      </c>
      <c r="B8803" t="s">
        <v>132</v>
      </c>
      <c r="C8803" s="2">
        <f>HYPERLINK("https://cao.dolgi.msk.ru/account/1080275438/", 1080275438)</f>
        <v>1080275438</v>
      </c>
      <c r="D8803" t="s">
        <v>7398</v>
      </c>
      <c r="E8803">
        <v>-6103.64</v>
      </c>
      <c r="F8803">
        <v>-1.28</v>
      </c>
      <c r="G8803" t="s">
        <v>12</v>
      </c>
      <c r="I8803" t="s">
        <v>1050</v>
      </c>
    </row>
    <row r="8804" spans="1:9" hidden="1" x14ac:dyDescent="0.25">
      <c r="A8804" t="s">
        <v>7340</v>
      </c>
      <c r="B8804" t="s">
        <v>133</v>
      </c>
      <c r="C8804" s="2">
        <f>HYPERLINK("https://cao.dolgi.msk.ru/account/1080275446/", 1080275446)</f>
        <v>1080275446</v>
      </c>
      <c r="D8804" t="s">
        <v>7399</v>
      </c>
      <c r="E8804">
        <v>-8567.31</v>
      </c>
      <c r="F8804">
        <v>-1.1200000000000001</v>
      </c>
      <c r="G8804" t="s">
        <v>12</v>
      </c>
      <c r="I8804" t="s">
        <v>1050</v>
      </c>
    </row>
    <row r="8805" spans="1:9" x14ac:dyDescent="0.25">
      <c r="A8805" t="s">
        <v>7400</v>
      </c>
      <c r="B8805" t="s">
        <v>10</v>
      </c>
      <c r="C8805" s="2">
        <f>HYPERLINK("https://cao.dolgi.msk.ru/account/1080276457/", 1080276457)</f>
        <v>1080276457</v>
      </c>
      <c r="D8805" t="s">
        <v>7401</v>
      </c>
      <c r="E8805">
        <v>512481.78</v>
      </c>
      <c r="F8805">
        <v>48.19</v>
      </c>
      <c r="G8805" t="s">
        <v>12</v>
      </c>
      <c r="I8805" t="s">
        <v>1050</v>
      </c>
    </row>
    <row r="8806" spans="1:9" x14ac:dyDescent="0.25">
      <c r="A8806" t="s">
        <v>7400</v>
      </c>
      <c r="B8806" t="s">
        <v>231</v>
      </c>
      <c r="C8806" s="2">
        <f>HYPERLINK("https://cao.dolgi.msk.ru/account/1089126674/", 1089126674)</f>
        <v>1089126674</v>
      </c>
      <c r="D8806" t="s">
        <v>15</v>
      </c>
      <c r="E8806">
        <v>7385.32</v>
      </c>
      <c r="F8806">
        <v>1.81</v>
      </c>
      <c r="G8806" t="s">
        <v>12</v>
      </c>
      <c r="I8806" t="s">
        <v>1050</v>
      </c>
    </row>
    <row r="8807" spans="1:9" hidden="1" x14ac:dyDescent="0.25">
      <c r="A8807" t="s">
        <v>7400</v>
      </c>
      <c r="B8807" t="s">
        <v>16</v>
      </c>
      <c r="C8807" s="2">
        <f>HYPERLINK("https://cao.dolgi.msk.ru/account/1080276465/", 1080276465)</f>
        <v>1080276465</v>
      </c>
      <c r="D8807" t="s">
        <v>7402</v>
      </c>
      <c r="E8807">
        <v>-2939.5</v>
      </c>
      <c r="F8807">
        <v>-0.96</v>
      </c>
      <c r="G8807" t="s">
        <v>12</v>
      </c>
      <c r="I8807" t="s">
        <v>1050</v>
      </c>
    </row>
    <row r="8808" spans="1:9" hidden="1" x14ac:dyDescent="0.25">
      <c r="A8808" t="s">
        <v>7400</v>
      </c>
      <c r="B8808" t="s">
        <v>16</v>
      </c>
      <c r="C8808" s="2">
        <f>HYPERLINK("https://cao.dolgi.msk.ru/account/1083274174/", 1083274174)</f>
        <v>1083274174</v>
      </c>
      <c r="D8808" t="s">
        <v>15</v>
      </c>
      <c r="E8808">
        <v>-2861.5</v>
      </c>
      <c r="F8808">
        <v>-0.93</v>
      </c>
      <c r="G8808" t="s">
        <v>12</v>
      </c>
      <c r="I8808" t="s">
        <v>1050</v>
      </c>
    </row>
    <row r="8809" spans="1:9" x14ac:dyDescent="0.25">
      <c r="A8809" t="s">
        <v>7400</v>
      </c>
      <c r="B8809" t="s">
        <v>18</v>
      </c>
      <c r="C8809" s="2">
        <f>HYPERLINK("https://cao.dolgi.msk.ru/account/1080276473/", 1080276473)</f>
        <v>1080276473</v>
      </c>
      <c r="D8809" t="s">
        <v>7403</v>
      </c>
      <c r="E8809">
        <v>11459.11</v>
      </c>
      <c r="F8809">
        <v>2</v>
      </c>
      <c r="G8809" t="s">
        <v>12</v>
      </c>
      <c r="I8809" t="s">
        <v>1050</v>
      </c>
    </row>
    <row r="8810" spans="1:9" hidden="1" x14ac:dyDescent="0.25">
      <c r="A8810" t="s">
        <v>7400</v>
      </c>
      <c r="B8810" t="s">
        <v>20</v>
      </c>
      <c r="C8810" s="2">
        <f>HYPERLINK("https://cao.dolgi.msk.ru/account/1080276481/", 1080276481)</f>
        <v>1080276481</v>
      </c>
      <c r="D8810" t="s">
        <v>7404</v>
      </c>
      <c r="E8810">
        <v>-2606.98</v>
      </c>
      <c r="F8810">
        <v>-0.97</v>
      </c>
      <c r="G8810" t="s">
        <v>12</v>
      </c>
      <c r="H8810" t="s">
        <v>7</v>
      </c>
      <c r="I8810" t="s">
        <v>1050</v>
      </c>
    </row>
    <row r="8811" spans="1:9" hidden="1" x14ac:dyDescent="0.25">
      <c r="A8811" t="s">
        <v>7400</v>
      </c>
      <c r="B8811" t="s">
        <v>20</v>
      </c>
      <c r="C8811" s="2">
        <f>HYPERLINK("https://cao.dolgi.msk.ru/account/1080276502/", 1080276502)</f>
        <v>1080276502</v>
      </c>
      <c r="D8811" t="s">
        <v>7405</v>
      </c>
      <c r="E8811">
        <v>-2239.54</v>
      </c>
      <c r="F8811">
        <v>-0.96</v>
      </c>
      <c r="G8811" t="s">
        <v>12</v>
      </c>
      <c r="H8811" t="s">
        <v>7</v>
      </c>
      <c r="I8811" t="s">
        <v>1050</v>
      </c>
    </row>
    <row r="8812" spans="1:9" hidden="1" x14ac:dyDescent="0.25">
      <c r="A8812" t="s">
        <v>7400</v>
      </c>
      <c r="B8812" t="s">
        <v>21</v>
      </c>
      <c r="C8812" s="2">
        <f>HYPERLINK("https://cao.dolgi.msk.ru/account/1080276529/", 1080276529)</f>
        <v>1080276529</v>
      </c>
      <c r="D8812" t="s">
        <v>7406</v>
      </c>
      <c r="E8812">
        <v>-2062.67</v>
      </c>
      <c r="F8812">
        <v>-1.06</v>
      </c>
      <c r="G8812" t="s">
        <v>12</v>
      </c>
      <c r="I8812" t="s">
        <v>1050</v>
      </c>
    </row>
    <row r="8813" spans="1:9" hidden="1" x14ac:dyDescent="0.25">
      <c r="A8813" t="s">
        <v>7400</v>
      </c>
      <c r="B8813" t="s">
        <v>22</v>
      </c>
      <c r="C8813" s="2">
        <f>HYPERLINK("https://cao.dolgi.msk.ru/account/1080276537/", 1080276537)</f>
        <v>1080276537</v>
      </c>
      <c r="D8813" t="s">
        <v>7407</v>
      </c>
      <c r="E8813">
        <v>-4218.01</v>
      </c>
      <c r="F8813">
        <v>-1.23</v>
      </c>
      <c r="G8813" t="s">
        <v>12</v>
      </c>
      <c r="I8813" t="s">
        <v>1050</v>
      </c>
    </row>
    <row r="8814" spans="1:9" hidden="1" x14ac:dyDescent="0.25">
      <c r="A8814" t="s">
        <v>7400</v>
      </c>
      <c r="B8814" t="s">
        <v>23</v>
      </c>
      <c r="C8814" s="2">
        <f>HYPERLINK("https://cao.dolgi.msk.ru/account/1080276545/", 1080276545)</f>
        <v>1080276545</v>
      </c>
      <c r="D8814" t="s">
        <v>7408</v>
      </c>
      <c r="E8814">
        <v>-6678.06</v>
      </c>
      <c r="F8814">
        <v>-1.1100000000000001</v>
      </c>
      <c r="G8814" t="s">
        <v>12</v>
      </c>
      <c r="I8814" t="s">
        <v>1050</v>
      </c>
    </row>
    <row r="8815" spans="1:9" hidden="1" x14ac:dyDescent="0.25">
      <c r="A8815" t="s">
        <v>7400</v>
      </c>
      <c r="B8815" t="s">
        <v>24</v>
      </c>
      <c r="C8815" s="2">
        <f>HYPERLINK("https://cao.dolgi.msk.ru/account/1080276553/", 1080276553)</f>
        <v>1080276553</v>
      </c>
      <c r="D8815" t="s">
        <v>7409</v>
      </c>
      <c r="E8815">
        <v>-5896.67</v>
      </c>
      <c r="F8815">
        <v>-0.95</v>
      </c>
      <c r="G8815" t="s">
        <v>12</v>
      </c>
      <c r="I8815" t="s">
        <v>1050</v>
      </c>
    </row>
    <row r="8816" spans="1:9" hidden="1" x14ac:dyDescent="0.25">
      <c r="A8816" t="s">
        <v>7400</v>
      </c>
      <c r="B8816" t="s">
        <v>27</v>
      </c>
      <c r="C8816" s="2">
        <f>HYPERLINK("https://cao.dolgi.msk.ru/account/1080276561/", 1080276561)</f>
        <v>1080276561</v>
      </c>
      <c r="D8816" t="s">
        <v>7410</v>
      </c>
      <c r="E8816">
        <v>0</v>
      </c>
      <c r="F8816">
        <v>0</v>
      </c>
      <c r="G8816" t="s">
        <v>12</v>
      </c>
      <c r="I8816" t="s">
        <v>1050</v>
      </c>
    </row>
    <row r="8817" spans="1:9" hidden="1" x14ac:dyDescent="0.25">
      <c r="A8817" t="s">
        <v>7400</v>
      </c>
      <c r="B8817" t="s">
        <v>29</v>
      </c>
      <c r="C8817" s="2">
        <f>HYPERLINK("https://cao.dolgi.msk.ru/account/1080276588/", 1080276588)</f>
        <v>1080276588</v>
      </c>
      <c r="D8817" t="s">
        <v>7411</v>
      </c>
      <c r="E8817">
        <v>523.95000000000005</v>
      </c>
      <c r="F8817">
        <v>0.15</v>
      </c>
      <c r="G8817" t="s">
        <v>12</v>
      </c>
      <c r="I8817" t="s">
        <v>1050</v>
      </c>
    </row>
    <row r="8818" spans="1:9" hidden="1" x14ac:dyDescent="0.25">
      <c r="A8818" t="s">
        <v>7400</v>
      </c>
      <c r="B8818" t="s">
        <v>31</v>
      </c>
      <c r="C8818" s="2">
        <f>HYPERLINK("https://cao.dolgi.msk.ru/account/1080276596/", 1080276596)</f>
        <v>1080276596</v>
      </c>
      <c r="D8818" t="s">
        <v>7412</v>
      </c>
      <c r="E8818">
        <v>-92.13</v>
      </c>
      <c r="F8818">
        <v>-0.02</v>
      </c>
      <c r="G8818" t="s">
        <v>12</v>
      </c>
      <c r="I8818" t="s">
        <v>1050</v>
      </c>
    </row>
    <row r="8819" spans="1:9" hidden="1" x14ac:dyDescent="0.25">
      <c r="A8819" t="s">
        <v>7400</v>
      </c>
      <c r="B8819" t="s">
        <v>33</v>
      </c>
      <c r="C8819" s="2">
        <f>HYPERLINK("https://cao.dolgi.msk.ru/account/1080276609/", 1080276609)</f>
        <v>1080276609</v>
      </c>
      <c r="D8819" t="s">
        <v>7413</v>
      </c>
      <c r="E8819">
        <v>-6644.03</v>
      </c>
      <c r="F8819">
        <v>-1.27</v>
      </c>
      <c r="G8819" t="s">
        <v>12</v>
      </c>
      <c r="I8819" t="s">
        <v>1050</v>
      </c>
    </row>
    <row r="8820" spans="1:9" hidden="1" x14ac:dyDescent="0.25">
      <c r="A8820" t="s">
        <v>7400</v>
      </c>
      <c r="B8820" t="s">
        <v>34</v>
      </c>
      <c r="C8820" s="2">
        <f>HYPERLINK("https://cao.dolgi.msk.ru/account/1080276617/", 1080276617)</f>
        <v>1080276617</v>
      </c>
      <c r="D8820" t="s">
        <v>7414</v>
      </c>
      <c r="E8820">
        <v>-23.92</v>
      </c>
      <c r="F8820">
        <v>-0.01</v>
      </c>
      <c r="G8820" t="s">
        <v>12</v>
      </c>
      <c r="I8820" t="s">
        <v>1050</v>
      </c>
    </row>
    <row r="8821" spans="1:9" hidden="1" x14ac:dyDescent="0.25">
      <c r="A8821" t="s">
        <v>7400</v>
      </c>
      <c r="B8821" t="s">
        <v>36</v>
      </c>
      <c r="C8821" s="2">
        <f>HYPERLINK("https://cao.dolgi.msk.ru/account/1080276625/", 1080276625)</f>
        <v>1080276625</v>
      </c>
      <c r="D8821" t="s">
        <v>7415</v>
      </c>
      <c r="E8821">
        <v>-5631.46</v>
      </c>
      <c r="F8821">
        <v>-1.01</v>
      </c>
      <c r="G8821" t="s">
        <v>12</v>
      </c>
      <c r="I8821" t="s">
        <v>1050</v>
      </c>
    </row>
    <row r="8822" spans="1:9" hidden="1" x14ac:dyDescent="0.25">
      <c r="A8822" t="s">
        <v>7400</v>
      </c>
      <c r="B8822" t="s">
        <v>38</v>
      </c>
      <c r="C8822" s="2">
        <f>HYPERLINK("https://cao.dolgi.msk.ru/account/1080276633/", 1080276633)</f>
        <v>1080276633</v>
      </c>
      <c r="D8822" t="s">
        <v>7416</v>
      </c>
      <c r="E8822">
        <v>7498.26</v>
      </c>
      <c r="F8822">
        <v>0.96</v>
      </c>
      <c r="G8822" t="s">
        <v>12</v>
      </c>
      <c r="I8822" t="s">
        <v>1050</v>
      </c>
    </row>
    <row r="8823" spans="1:9" hidden="1" x14ac:dyDescent="0.25">
      <c r="A8823" t="s">
        <v>7400</v>
      </c>
      <c r="B8823" t="s">
        <v>39</v>
      </c>
      <c r="C8823" s="2">
        <f>HYPERLINK("https://cao.dolgi.msk.ru/account/1080276641/", 1080276641)</f>
        <v>1080276641</v>
      </c>
      <c r="D8823" t="s">
        <v>7417</v>
      </c>
      <c r="E8823">
        <v>-5611.62</v>
      </c>
      <c r="F8823">
        <v>-1.04</v>
      </c>
      <c r="G8823" t="s">
        <v>12</v>
      </c>
      <c r="I8823" t="s">
        <v>1050</v>
      </c>
    </row>
    <row r="8824" spans="1:9" hidden="1" x14ac:dyDescent="0.25">
      <c r="A8824" t="s">
        <v>7400</v>
      </c>
      <c r="B8824" t="s">
        <v>40</v>
      </c>
      <c r="C8824" s="2">
        <f>HYPERLINK("https://cao.dolgi.msk.ru/account/1080276668/", 1080276668)</f>
        <v>1080276668</v>
      </c>
      <c r="D8824" t="s">
        <v>7418</v>
      </c>
      <c r="E8824">
        <v>-2375.5700000000002</v>
      </c>
      <c r="F8824">
        <v>-0.36</v>
      </c>
      <c r="G8824" t="s">
        <v>12</v>
      </c>
      <c r="I8824" t="s">
        <v>1050</v>
      </c>
    </row>
    <row r="8825" spans="1:9" hidden="1" x14ac:dyDescent="0.25">
      <c r="A8825" t="s">
        <v>7400</v>
      </c>
      <c r="B8825" t="s">
        <v>41</v>
      </c>
      <c r="C8825" s="2">
        <f>HYPERLINK("https://cao.dolgi.msk.ru/account/1080276676/", 1080276676)</f>
        <v>1080276676</v>
      </c>
      <c r="D8825" t="s">
        <v>7419</v>
      </c>
      <c r="E8825">
        <v>-5551.16</v>
      </c>
      <c r="F8825">
        <v>-1.02</v>
      </c>
      <c r="G8825" t="s">
        <v>12</v>
      </c>
      <c r="I8825" t="s">
        <v>1050</v>
      </c>
    </row>
    <row r="8826" spans="1:9" hidden="1" x14ac:dyDescent="0.25">
      <c r="A8826" t="s">
        <v>7400</v>
      </c>
      <c r="B8826" t="s">
        <v>42</v>
      </c>
      <c r="C8826" s="2">
        <f>HYPERLINK("https://cao.dolgi.msk.ru/account/1080276684/", 1080276684)</f>
        <v>1080276684</v>
      </c>
      <c r="D8826" t="s">
        <v>7420</v>
      </c>
      <c r="E8826">
        <v>-7053.93</v>
      </c>
      <c r="F8826">
        <v>-2.13</v>
      </c>
      <c r="G8826" t="s">
        <v>12</v>
      </c>
      <c r="I8826" t="s">
        <v>1050</v>
      </c>
    </row>
    <row r="8827" spans="1:9" hidden="1" x14ac:dyDescent="0.25">
      <c r="A8827" t="s">
        <v>7400</v>
      </c>
      <c r="B8827" t="s">
        <v>44</v>
      </c>
      <c r="C8827" s="2">
        <f>HYPERLINK("https://cao.dolgi.msk.ru/account/1080276692/", 1080276692)</f>
        <v>1080276692</v>
      </c>
      <c r="D8827" t="s">
        <v>7421</v>
      </c>
      <c r="E8827">
        <v>-3894.45</v>
      </c>
      <c r="F8827">
        <v>-1.03</v>
      </c>
      <c r="G8827" t="s">
        <v>12</v>
      </c>
      <c r="I8827" t="s">
        <v>1050</v>
      </c>
    </row>
    <row r="8828" spans="1:9" hidden="1" x14ac:dyDescent="0.25">
      <c r="A8828" t="s">
        <v>7400</v>
      </c>
      <c r="B8828" t="s">
        <v>66</v>
      </c>
      <c r="C8828" s="2">
        <f>HYPERLINK("https://cao.dolgi.msk.ru/account/1080276705/", 1080276705)</f>
        <v>1080276705</v>
      </c>
      <c r="D8828" t="s">
        <v>7422</v>
      </c>
      <c r="E8828">
        <v>-3585.21</v>
      </c>
      <c r="F8828">
        <v>-0.77</v>
      </c>
      <c r="G8828" t="s">
        <v>12</v>
      </c>
      <c r="I8828" t="s">
        <v>1050</v>
      </c>
    </row>
    <row r="8829" spans="1:9" hidden="1" x14ac:dyDescent="0.25">
      <c r="A8829" t="s">
        <v>7400</v>
      </c>
      <c r="B8829" t="s">
        <v>68</v>
      </c>
      <c r="C8829" s="2">
        <f>HYPERLINK("https://cao.dolgi.msk.ru/account/1080276713/", 1080276713)</f>
        <v>1080276713</v>
      </c>
      <c r="D8829" t="s">
        <v>7423</v>
      </c>
      <c r="E8829">
        <v>-4927.1400000000003</v>
      </c>
      <c r="F8829">
        <v>-1.08</v>
      </c>
      <c r="G8829" t="s">
        <v>12</v>
      </c>
      <c r="I8829" t="s">
        <v>1050</v>
      </c>
    </row>
    <row r="8830" spans="1:9" hidden="1" x14ac:dyDescent="0.25">
      <c r="A8830" t="s">
        <v>7400</v>
      </c>
      <c r="B8830" t="s">
        <v>70</v>
      </c>
      <c r="C8830" s="2">
        <f>HYPERLINK("https://cao.dolgi.msk.ru/account/1080276721/", 1080276721)</f>
        <v>1080276721</v>
      </c>
      <c r="D8830" t="s">
        <v>7424</v>
      </c>
      <c r="E8830">
        <v>-4394.96</v>
      </c>
      <c r="F8830">
        <v>-0.54</v>
      </c>
      <c r="G8830" t="s">
        <v>12</v>
      </c>
      <c r="I8830" t="s">
        <v>1050</v>
      </c>
    </row>
    <row r="8831" spans="1:9" hidden="1" x14ac:dyDescent="0.25">
      <c r="A8831" t="s">
        <v>7400</v>
      </c>
      <c r="B8831" t="s">
        <v>72</v>
      </c>
      <c r="C8831" s="2">
        <f>HYPERLINK("https://cao.dolgi.msk.ru/account/1080276748/", 1080276748)</f>
        <v>1080276748</v>
      </c>
      <c r="D8831" t="s">
        <v>7425</v>
      </c>
      <c r="E8831">
        <v>-5979.13</v>
      </c>
      <c r="F8831">
        <v>-1.1000000000000001</v>
      </c>
      <c r="G8831" t="s">
        <v>12</v>
      </c>
      <c r="I8831" t="s">
        <v>1050</v>
      </c>
    </row>
    <row r="8832" spans="1:9" hidden="1" x14ac:dyDescent="0.25">
      <c r="A8832" t="s">
        <v>7400</v>
      </c>
      <c r="B8832" t="s">
        <v>74</v>
      </c>
      <c r="C8832" s="2">
        <f>HYPERLINK("https://cao.dolgi.msk.ru/account/1080276756/", 1080276756)</f>
        <v>1080276756</v>
      </c>
      <c r="D8832" t="s">
        <v>7426</v>
      </c>
      <c r="E8832">
        <v>-2593.4899999999998</v>
      </c>
      <c r="F8832">
        <v>-1.02</v>
      </c>
      <c r="G8832" t="s">
        <v>12</v>
      </c>
      <c r="I8832" t="s">
        <v>1050</v>
      </c>
    </row>
    <row r="8833" spans="1:9" hidden="1" x14ac:dyDescent="0.25">
      <c r="A8833" t="s">
        <v>7400</v>
      </c>
      <c r="B8833" t="s">
        <v>76</v>
      </c>
      <c r="C8833" s="2">
        <f>HYPERLINK("https://cao.dolgi.msk.ru/account/1080276764/", 1080276764)</f>
        <v>1080276764</v>
      </c>
      <c r="D8833" t="s">
        <v>7427</v>
      </c>
      <c r="E8833">
        <v>-2041.9</v>
      </c>
      <c r="F8833">
        <v>-1.02</v>
      </c>
      <c r="G8833" t="s">
        <v>12</v>
      </c>
      <c r="I8833" t="s">
        <v>1050</v>
      </c>
    </row>
    <row r="8834" spans="1:9" hidden="1" x14ac:dyDescent="0.25">
      <c r="A8834" t="s">
        <v>7400</v>
      </c>
      <c r="B8834" t="s">
        <v>78</v>
      </c>
      <c r="C8834" s="2">
        <f>HYPERLINK("https://cao.dolgi.msk.ru/account/1080276772/", 1080276772)</f>
        <v>1080276772</v>
      </c>
      <c r="D8834" t="s">
        <v>7428</v>
      </c>
      <c r="E8834">
        <v>-3444.83</v>
      </c>
      <c r="F8834">
        <v>-1.01</v>
      </c>
      <c r="G8834" t="s">
        <v>12</v>
      </c>
      <c r="I8834" t="s">
        <v>1050</v>
      </c>
    </row>
    <row r="8835" spans="1:9" hidden="1" x14ac:dyDescent="0.25">
      <c r="A8835" t="s">
        <v>7400</v>
      </c>
      <c r="B8835" t="s">
        <v>80</v>
      </c>
      <c r="C8835" s="2">
        <f>HYPERLINK("https://cao.dolgi.msk.ru/account/1080276799/", 1080276799)</f>
        <v>1080276799</v>
      </c>
      <c r="D8835" t="s">
        <v>62</v>
      </c>
      <c r="E8835">
        <v>-4920.42</v>
      </c>
      <c r="F8835">
        <v>-1.03</v>
      </c>
      <c r="G8835" t="s">
        <v>12</v>
      </c>
      <c r="I8835" t="s">
        <v>1050</v>
      </c>
    </row>
    <row r="8836" spans="1:9" hidden="1" x14ac:dyDescent="0.25">
      <c r="A8836" t="s">
        <v>7400</v>
      </c>
      <c r="B8836" t="s">
        <v>82</v>
      </c>
      <c r="C8836" s="2">
        <f>HYPERLINK("https://cao.dolgi.msk.ru/account/1080276801/", 1080276801)</f>
        <v>1080276801</v>
      </c>
      <c r="D8836" t="s">
        <v>7429</v>
      </c>
      <c r="E8836">
        <v>-10598.67</v>
      </c>
      <c r="F8836">
        <v>-1.02</v>
      </c>
      <c r="G8836" t="s">
        <v>12</v>
      </c>
      <c r="I8836" t="s">
        <v>1050</v>
      </c>
    </row>
    <row r="8837" spans="1:9" hidden="1" x14ac:dyDescent="0.25">
      <c r="A8837" t="s">
        <v>7400</v>
      </c>
      <c r="B8837" t="s">
        <v>84</v>
      </c>
      <c r="C8837" s="2">
        <f>HYPERLINK("https://cao.dolgi.msk.ru/account/1080276828/", 1080276828)</f>
        <v>1080276828</v>
      </c>
      <c r="D8837" t="s">
        <v>7430</v>
      </c>
      <c r="E8837">
        <v>0</v>
      </c>
      <c r="F8837">
        <v>0</v>
      </c>
      <c r="G8837" t="s">
        <v>12</v>
      </c>
      <c r="I8837" t="s">
        <v>1050</v>
      </c>
    </row>
    <row r="8838" spans="1:9" hidden="1" x14ac:dyDescent="0.25">
      <c r="A8838" t="s">
        <v>7400</v>
      </c>
      <c r="B8838" t="s">
        <v>86</v>
      </c>
      <c r="C8838" s="2">
        <f>HYPERLINK("https://cao.dolgi.msk.ru/account/1080276836/", 1080276836)</f>
        <v>1080276836</v>
      </c>
      <c r="D8838" t="s">
        <v>7431</v>
      </c>
      <c r="E8838">
        <v>-4784.18</v>
      </c>
      <c r="F8838">
        <v>-0.99</v>
      </c>
      <c r="G8838" t="s">
        <v>12</v>
      </c>
      <c r="I8838" t="s">
        <v>1050</v>
      </c>
    </row>
    <row r="8839" spans="1:9" hidden="1" x14ac:dyDescent="0.25">
      <c r="A8839" t="s">
        <v>7400</v>
      </c>
      <c r="B8839" t="s">
        <v>88</v>
      </c>
      <c r="C8839" s="2">
        <f>HYPERLINK("https://cao.dolgi.msk.ru/account/1080276844/", 1080276844)</f>
        <v>1080276844</v>
      </c>
      <c r="D8839" t="s">
        <v>1958</v>
      </c>
      <c r="E8839">
        <v>-270.37</v>
      </c>
      <c r="F8839">
        <v>-0.05</v>
      </c>
      <c r="G8839" t="s">
        <v>12</v>
      </c>
      <c r="I8839" t="s">
        <v>1050</v>
      </c>
    </row>
    <row r="8840" spans="1:9" hidden="1" x14ac:dyDescent="0.25">
      <c r="A8840" t="s">
        <v>7400</v>
      </c>
      <c r="B8840" t="s">
        <v>90</v>
      </c>
      <c r="C8840" s="2">
        <f>HYPERLINK("https://cao.dolgi.msk.ru/account/1080276852/", 1080276852)</f>
        <v>1080276852</v>
      </c>
      <c r="D8840" t="s">
        <v>7432</v>
      </c>
      <c r="E8840">
        <v>-2698.36</v>
      </c>
      <c r="F8840">
        <v>-1.02</v>
      </c>
      <c r="G8840" t="s">
        <v>12</v>
      </c>
      <c r="I8840" t="s">
        <v>1050</v>
      </c>
    </row>
    <row r="8841" spans="1:9" hidden="1" x14ac:dyDescent="0.25">
      <c r="A8841" t="s">
        <v>7400</v>
      </c>
      <c r="B8841" t="s">
        <v>92</v>
      </c>
      <c r="C8841" s="2">
        <f>HYPERLINK("https://cao.dolgi.msk.ru/account/1080276879/", 1080276879)</f>
        <v>1080276879</v>
      </c>
      <c r="D8841" t="s">
        <v>7433</v>
      </c>
      <c r="E8841">
        <v>-2030.01</v>
      </c>
      <c r="F8841">
        <v>-0.96</v>
      </c>
      <c r="G8841" t="s">
        <v>12</v>
      </c>
      <c r="I8841" t="s">
        <v>1050</v>
      </c>
    </row>
    <row r="8842" spans="1:9" hidden="1" x14ac:dyDescent="0.25">
      <c r="A8842" t="s">
        <v>7400</v>
      </c>
      <c r="B8842" t="s">
        <v>94</v>
      </c>
      <c r="C8842" s="2">
        <f>HYPERLINK("https://cao.dolgi.msk.ru/account/1080276887/", 1080276887)</f>
        <v>1080276887</v>
      </c>
      <c r="D8842" t="s">
        <v>7434</v>
      </c>
      <c r="E8842">
        <v>-6786.15</v>
      </c>
      <c r="F8842">
        <v>-1.01</v>
      </c>
      <c r="G8842" t="s">
        <v>12</v>
      </c>
      <c r="I8842" t="s">
        <v>1050</v>
      </c>
    </row>
    <row r="8843" spans="1:9" x14ac:dyDescent="0.25">
      <c r="A8843" t="s">
        <v>7400</v>
      </c>
      <c r="B8843" t="s">
        <v>96</v>
      </c>
      <c r="C8843" s="2">
        <f>HYPERLINK("https://cao.dolgi.msk.ru/account/1080276895/", 1080276895)</f>
        <v>1080276895</v>
      </c>
      <c r="D8843" t="s">
        <v>7435</v>
      </c>
      <c r="E8843">
        <v>12484.69</v>
      </c>
      <c r="F8843">
        <v>2.06</v>
      </c>
      <c r="G8843" t="s">
        <v>12</v>
      </c>
      <c r="I8843" t="s">
        <v>1050</v>
      </c>
    </row>
    <row r="8844" spans="1:9" hidden="1" x14ac:dyDescent="0.25">
      <c r="A8844" t="s">
        <v>7400</v>
      </c>
      <c r="B8844" t="s">
        <v>98</v>
      </c>
      <c r="C8844" s="2">
        <f>HYPERLINK("https://cao.dolgi.msk.ru/account/1080276908/", 1080276908)</f>
        <v>1080276908</v>
      </c>
      <c r="D8844" t="s">
        <v>7436</v>
      </c>
      <c r="E8844">
        <v>-12204.16</v>
      </c>
      <c r="F8844">
        <v>-1.38</v>
      </c>
      <c r="G8844" t="s">
        <v>12</v>
      </c>
      <c r="I8844" t="s">
        <v>1050</v>
      </c>
    </row>
    <row r="8845" spans="1:9" hidden="1" x14ac:dyDescent="0.25">
      <c r="A8845" t="s">
        <v>7400</v>
      </c>
      <c r="B8845" t="s">
        <v>98</v>
      </c>
      <c r="C8845" s="2">
        <f>HYPERLINK("https://cao.dolgi.msk.ru/account/1089131262/", 1089131262)</f>
        <v>1089131262</v>
      </c>
      <c r="D8845" t="s">
        <v>15</v>
      </c>
      <c r="E8845">
        <v>1487.89</v>
      </c>
      <c r="G8845" t="s">
        <v>14</v>
      </c>
      <c r="I8845" t="s">
        <v>1050</v>
      </c>
    </row>
    <row r="8846" spans="1:9" hidden="1" x14ac:dyDescent="0.25">
      <c r="A8846" t="s">
        <v>7400</v>
      </c>
      <c r="B8846" t="s">
        <v>100</v>
      </c>
      <c r="C8846" s="2">
        <f>HYPERLINK("https://cao.dolgi.msk.ru/account/1080276916/", 1080276916)</f>
        <v>1080276916</v>
      </c>
      <c r="D8846" t="s">
        <v>7437</v>
      </c>
      <c r="E8846">
        <v>-6360.03</v>
      </c>
      <c r="F8846">
        <v>-1.28</v>
      </c>
      <c r="G8846" t="s">
        <v>12</v>
      </c>
      <c r="I8846" t="s">
        <v>1050</v>
      </c>
    </row>
    <row r="8847" spans="1:9" hidden="1" x14ac:dyDescent="0.25">
      <c r="A8847" t="s">
        <v>7400</v>
      </c>
      <c r="B8847" t="s">
        <v>102</v>
      </c>
      <c r="C8847" s="2">
        <f>HYPERLINK("https://cao.dolgi.msk.ru/account/1080276924/", 1080276924)</f>
        <v>1080276924</v>
      </c>
      <c r="D8847" t="s">
        <v>62</v>
      </c>
      <c r="E8847">
        <v>-6591.48</v>
      </c>
      <c r="F8847">
        <v>-1</v>
      </c>
      <c r="G8847" t="s">
        <v>12</v>
      </c>
      <c r="I8847" t="s">
        <v>1050</v>
      </c>
    </row>
    <row r="8848" spans="1:9" hidden="1" x14ac:dyDescent="0.25">
      <c r="A8848" t="s">
        <v>7400</v>
      </c>
      <c r="B8848" t="s">
        <v>104</v>
      </c>
      <c r="C8848" s="2">
        <f>HYPERLINK("https://cao.dolgi.msk.ru/account/1080276932/", 1080276932)</f>
        <v>1080276932</v>
      </c>
      <c r="D8848" t="s">
        <v>7438</v>
      </c>
      <c r="E8848">
        <v>-4205.09</v>
      </c>
      <c r="F8848">
        <v>-1.02</v>
      </c>
      <c r="G8848" t="s">
        <v>12</v>
      </c>
      <c r="I8848" t="s">
        <v>1050</v>
      </c>
    </row>
    <row r="8849" spans="1:9" hidden="1" x14ac:dyDescent="0.25">
      <c r="A8849" t="s">
        <v>7400</v>
      </c>
      <c r="B8849" t="s">
        <v>106</v>
      </c>
      <c r="C8849" s="2">
        <f>HYPERLINK("https://cao.dolgi.msk.ru/account/1080276959/", 1080276959)</f>
        <v>1080276959</v>
      </c>
      <c r="D8849" t="s">
        <v>15</v>
      </c>
      <c r="E8849">
        <v>-7.0000000000000007E-2</v>
      </c>
      <c r="F8849">
        <v>0</v>
      </c>
      <c r="G8849" t="s">
        <v>12</v>
      </c>
      <c r="I8849" t="s">
        <v>1050</v>
      </c>
    </row>
    <row r="8850" spans="1:9" hidden="1" x14ac:dyDescent="0.25">
      <c r="A8850" t="s">
        <v>7400</v>
      </c>
      <c r="B8850" t="s">
        <v>108</v>
      </c>
      <c r="C8850" s="2">
        <f>HYPERLINK("https://cao.dolgi.msk.ru/account/1080276967/", 1080276967)</f>
        <v>1080276967</v>
      </c>
      <c r="D8850" t="s">
        <v>7439</v>
      </c>
      <c r="E8850">
        <v>-6316.37</v>
      </c>
      <c r="F8850">
        <v>-1.78</v>
      </c>
      <c r="G8850" t="s">
        <v>12</v>
      </c>
      <c r="I8850" t="s">
        <v>1050</v>
      </c>
    </row>
    <row r="8851" spans="1:9" hidden="1" x14ac:dyDescent="0.25">
      <c r="A8851" t="s">
        <v>7400</v>
      </c>
      <c r="B8851" t="s">
        <v>110</v>
      </c>
      <c r="C8851" s="2">
        <f>HYPERLINK("https://cao.dolgi.msk.ru/account/1080276975/", 1080276975)</f>
        <v>1080276975</v>
      </c>
      <c r="D8851" t="s">
        <v>7440</v>
      </c>
      <c r="E8851">
        <v>-4720.1000000000004</v>
      </c>
      <c r="F8851">
        <v>-1.01</v>
      </c>
      <c r="G8851" t="s">
        <v>12</v>
      </c>
      <c r="I8851" t="s">
        <v>1050</v>
      </c>
    </row>
    <row r="8852" spans="1:9" hidden="1" x14ac:dyDescent="0.25">
      <c r="A8852" t="s">
        <v>7400</v>
      </c>
      <c r="B8852" t="s">
        <v>112</v>
      </c>
      <c r="C8852" s="2">
        <f>HYPERLINK("https://cao.dolgi.msk.ru/account/1080276983/", 1080276983)</f>
        <v>1080276983</v>
      </c>
      <c r="D8852" t="s">
        <v>7441</v>
      </c>
      <c r="E8852">
        <v>-8592.51</v>
      </c>
      <c r="F8852">
        <v>-1.23</v>
      </c>
      <c r="G8852" t="s">
        <v>12</v>
      </c>
      <c r="I8852" t="s">
        <v>1050</v>
      </c>
    </row>
    <row r="8853" spans="1:9" hidden="1" x14ac:dyDescent="0.25">
      <c r="A8853" t="s">
        <v>7400</v>
      </c>
      <c r="B8853" t="s">
        <v>114</v>
      </c>
      <c r="C8853" s="2">
        <f>HYPERLINK("https://cao.dolgi.msk.ru/account/1080276991/", 1080276991)</f>
        <v>1080276991</v>
      </c>
      <c r="D8853" t="s">
        <v>7442</v>
      </c>
      <c r="E8853">
        <v>-6284.95</v>
      </c>
      <c r="F8853">
        <v>-1.2</v>
      </c>
      <c r="G8853" t="s">
        <v>12</v>
      </c>
      <c r="I8853" t="s">
        <v>1050</v>
      </c>
    </row>
    <row r="8854" spans="1:9" hidden="1" x14ac:dyDescent="0.25">
      <c r="A8854" t="s">
        <v>7400</v>
      </c>
      <c r="B8854" t="s">
        <v>116</v>
      </c>
      <c r="C8854" s="2">
        <f>HYPERLINK("https://cao.dolgi.msk.ru/account/1080277003/", 1080277003)</f>
        <v>1080277003</v>
      </c>
      <c r="D8854" t="s">
        <v>7443</v>
      </c>
      <c r="E8854">
        <v>-7629.92</v>
      </c>
      <c r="F8854">
        <v>-0.97</v>
      </c>
      <c r="G8854" t="s">
        <v>12</v>
      </c>
      <c r="I8854" t="s">
        <v>1050</v>
      </c>
    </row>
    <row r="8855" spans="1:9" hidden="1" x14ac:dyDescent="0.25">
      <c r="A8855" t="s">
        <v>7400</v>
      </c>
      <c r="B8855" t="s">
        <v>118</v>
      </c>
      <c r="C8855" s="2">
        <f>HYPERLINK("https://cao.dolgi.msk.ru/account/1080277011/", 1080277011)</f>
        <v>1080277011</v>
      </c>
      <c r="D8855" t="s">
        <v>7444</v>
      </c>
      <c r="E8855">
        <v>0</v>
      </c>
      <c r="F8855">
        <v>0</v>
      </c>
      <c r="G8855" t="s">
        <v>12</v>
      </c>
      <c r="I8855" t="s">
        <v>1050</v>
      </c>
    </row>
    <row r="8856" spans="1:9" hidden="1" x14ac:dyDescent="0.25">
      <c r="A8856" t="s">
        <v>7400</v>
      </c>
      <c r="B8856" t="s">
        <v>120</v>
      </c>
      <c r="C8856" s="2">
        <f>HYPERLINK("https://cao.dolgi.msk.ru/account/1080277038/", 1080277038)</f>
        <v>1080277038</v>
      </c>
      <c r="D8856" t="s">
        <v>7445</v>
      </c>
      <c r="E8856">
        <v>-6174.9</v>
      </c>
      <c r="F8856">
        <v>-1.75</v>
      </c>
      <c r="G8856" t="s">
        <v>12</v>
      </c>
      <c r="I8856" t="s">
        <v>1050</v>
      </c>
    </row>
    <row r="8857" spans="1:9" hidden="1" x14ac:dyDescent="0.25">
      <c r="A8857" t="s">
        <v>7400</v>
      </c>
      <c r="B8857" t="s">
        <v>122</v>
      </c>
      <c r="C8857" s="2">
        <f>HYPERLINK("https://cao.dolgi.msk.ru/account/1080277046/", 1080277046)</f>
        <v>1080277046</v>
      </c>
      <c r="D8857" t="s">
        <v>7446</v>
      </c>
      <c r="E8857">
        <v>-6105.74</v>
      </c>
      <c r="F8857">
        <v>-1.07</v>
      </c>
      <c r="G8857" t="s">
        <v>12</v>
      </c>
      <c r="I8857" t="s">
        <v>1050</v>
      </c>
    </row>
    <row r="8858" spans="1:9" hidden="1" x14ac:dyDescent="0.25">
      <c r="A8858" t="s">
        <v>7400</v>
      </c>
      <c r="B8858" t="s">
        <v>124</v>
      </c>
      <c r="C8858" s="2">
        <f>HYPERLINK("https://cao.dolgi.msk.ru/account/1080277054/", 1080277054)</f>
        <v>1080277054</v>
      </c>
      <c r="D8858" t="s">
        <v>7447</v>
      </c>
      <c r="E8858">
        <v>-7418.79</v>
      </c>
      <c r="F8858">
        <v>-1.08</v>
      </c>
      <c r="G8858" t="s">
        <v>12</v>
      </c>
      <c r="I8858" t="s">
        <v>1050</v>
      </c>
    </row>
    <row r="8859" spans="1:9" hidden="1" x14ac:dyDescent="0.25">
      <c r="A8859" t="s">
        <v>7400</v>
      </c>
      <c r="B8859" t="s">
        <v>126</v>
      </c>
      <c r="C8859" s="2">
        <f>HYPERLINK("https://cao.dolgi.msk.ru/account/1080277062/", 1080277062)</f>
        <v>1080277062</v>
      </c>
      <c r="D8859" t="s">
        <v>7448</v>
      </c>
      <c r="E8859">
        <v>-7229.6</v>
      </c>
      <c r="F8859">
        <v>-1.72</v>
      </c>
      <c r="G8859" t="s">
        <v>12</v>
      </c>
      <c r="I8859" t="s">
        <v>1050</v>
      </c>
    </row>
    <row r="8860" spans="1:9" hidden="1" x14ac:dyDescent="0.25">
      <c r="A8860" t="s">
        <v>7400</v>
      </c>
      <c r="B8860" t="s">
        <v>128</v>
      </c>
      <c r="C8860" s="2">
        <f>HYPERLINK("https://cao.dolgi.msk.ru/account/1080277089/", 1080277089)</f>
        <v>1080277089</v>
      </c>
      <c r="D8860" t="s">
        <v>7449</v>
      </c>
      <c r="E8860">
        <v>-3405.62</v>
      </c>
      <c r="F8860">
        <v>-1.39</v>
      </c>
      <c r="G8860" t="s">
        <v>12</v>
      </c>
      <c r="I8860" t="s">
        <v>1050</v>
      </c>
    </row>
    <row r="8861" spans="1:9" hidden="1" x14ac:dyDescent="0.25">
      <c r="A8861" t="s">
        <v>7400</v>
      </c>
      <c r="B8861" t="s">
        <v>130</v>
      </c>
      <c r="C8861" s="2">
        <f>HYPERLINK("https://cao.dolgi.msk.ru/account/1080277097/", 1080277097)</f>
        <v>1080277097</v>
      </c>
      <c r="D8861" t="s">
        <v>7450</v>
      </c>
      <c r="E8861">
        <v>-3799.16</v>
      </c>
      <c r="F8861">
        <v>-1.03</v>
      </c>
      <c r="G8861" t="s">
        <v>12</v>
      </c>
      <c r="I8861" t="s">
        <v>1050</v>
      </c>
    </row>
    <row r="8862" spans="1:9" hidden="1" x14ac:dyDescent="0.25">
      <c r="A8862" t="s">
        <v>7400</v>
      </c>
      <c r="B8862" t="s">
        <v>132</v>
      </c>
      <c r="C8862" s="2">
        <f>HYPERLINK("https://cao.dolgi.msk.ru/account/1080277118/", 1080277118)</f>
        <v>1080277118</v>
      </c>
      <c r="D8862" t="s">
        <v>7451</v>
      </c>
      <c r="E8862">
        <v>-4402.25</v>
      </c>
      <c r="F8862">
        <v>-0.94</v>
      </c>
      <c r="G8862" t="s">
        <v>12</v>
      </c>
      <c r="I8862" t="s">
        <v>1050</v>
      </c>
    </row>
    <row r="8863" spans="1:9" hidden="1" x14ac:dyDescent="0.25">
      <c r="A8863" t="s">
        <v>7400</v>
      </c>
      <c r="B8863" t="s">
        <v>133</v>
      </c>
      <c r="C8863" s="2">
        <f>HYPERLINK("https://cao.dolgi.msk.ru/account/1080277126/", 1080277126)</f>
        <v>1080277126</v>
      </c>
      <c r="D8863" t="s">
        <v>7452</v>
      </c>
      <c r="E8863">
        <v>-3209.91</v>
      </c>
      <c r="F8863">
        <v>-0.98</v>
      </c>
      <c r="G8863" t="s">
        <v>12</v>
      </c>
      <c r="I8863" t="s">
        <v>1050</v>
      </c>
    </row>
    <row r="8864" spans="1:9" x14ac:dyDescent="0.25">
      <c r="A8864" t="s">
        <v>7400</v>
      </c>
      <c r="B8864" t="s">
        <v>135</v>
      </c>
      <c r="C8864" s="2">
        <f>HYPERLINK("https://cao.dolgi.msk.ru/account/1080277134/", 1080277134)</f>
        <v>1080277134</v>
      </c>
      <c r="D8864" t="s">
        <v>7453</v>
      </c>
      <c r="E8864">
        <v>17869.080000000002</v>
      </c>
      <c r="F8864">
        <v>3.68</v>
      </c>
      <c r="G8864" t="s">
        <v>12</v>
      </c>
      <c r="I8864" t="s">
        <v>1050</v>
      </c>
    </row>
    <row r="8865" spans="1:9" hidden="1" x14ac:dyDescent="0.25">
      <c r="A8865" t="s">
        <v>7400</v>
      </c>
      <c r="B8865" t="s">
        <v>137</v>
      </c>
      <c r="C8865" s="2">
        <f>HYPERLINK("https://cao.dolgi.msk.ru/account/1080277142/", 1080277142)</f>
        <v>1080277142</v>
      </c>
      <c r="D8865" t="s">
        <v>7454</v>
      </c>
      <c r="E8865">
        <v>-7659.05</v>
      </c>
      <c r="F8865">
        <v>-1.01</v>
      </c>
      <c r="G8865" t="s">
        <v>12</v>
      </c>
      <c r="I8865" t="s">
        <v>1050</v>
      </c>
    </row>
    <row r="8866" spans="1:9" hidden="1" x14ac:dyDescent="0.25">
      <c r="A8866" t="s">
        <v>7400</v>
      </c>
      <c r="B8866" t="s">
        <v>139</v>
      </c>
      <c r="C8866" s="2">
        <f>HYPERLINK("https://cao.dolgi.msk.ru/account/1080277169/", 1080277169)</f>
        <v>1080277169</v>
      </c>
      <c r="D8866" t="s">
        <v>7455</v>
      </c>
      <c r="E8866">
        <v>-6659.82</v>
      </c>
      <c r="F8866">
        <v>-1.38</v>
      </c>
      <c r="G8866" t="s">
        <v>12</v>
      </c>
      <c r="I8866" t="s">
        <v>1050</v>
      </c>
    </row>
    <row r="8867" spans="1:9" hidden="1" x14ac:dyDescent="0.25">
      <c r="A8867" t="s">
        <v>7400</v>
      </c>
      <c r="B8867" t="s">
        <v>141</v>
      </c>
      <c r="C8867" s="2">
        <f>HYPERLINK("https://cao.dolgi.msk.ru/account/1080277177/", 1080277177)</f>
        <v>1080277177</v>
      </c>
      <c r="D8867" t="s">
        <v>7456</v>
      </c>
      <c r="E8867">
        <v>-1885</v>
      </c>
      <c r="F8867">
        <v>-0.41</v>
      </c>
      <c r="G8867" t="s">
        <v>12</v>
      </c>
      <c r="I8867" t="s">
        <v>1050</v>
      </c>
    </row>
    <row r="8868" spans="1:9" hidden="1" x14ac:dyDescent="0.25">
      <c r="A8868" t="s">
        <v>7400</v>
      </c>
      <c r="B8868" t="s">
        <v>143</v>
      </c>
      <c r="C8868" s="2">
        <f>HYPERLINK("https://cao.dolgi.msk.ru/account/1080277185/", 1080277185)</f>
        <v>1080277185</v>
      </c>
      <c r="D8868" t="s">
        <v>7457</v>
      </c>
      <c r="E8868">
        <v>5098.29</v>
      </c>
      <c r="F8868">
        <v>0.83</v>
      </c>
      <c r="G8868" t="s">
        <v>12</v>
      </c>
      <c r="I8868" t="s">
        <v>1050</v>
      </c>
    </row>
    <row r="8869" spans="1:9" hidden="1" x14ac:dyDescent="0.25">
      <c r="A8869" t="s">
        <v>7400</v>
      </c>
      <c r="B8869" t="s">
        <v>145</v>
      </c>
      <c r="C8869" s="2">
        <f>HYPERLINK("https://cao.dolgi.msk.ru/account/1080277193/", 1080277193)</f>
        <v>1080277193</v>
      </c>
      <c r="D8869" t="s">
        <v>7458</v>
      </c>
      <c r="E8869">
        <v>-3773.93</v>
      </c>
      <c r="F8869">
        <v>-0.98</v>
      </c>
      <c r="G8869" t="s">
        <v>12</v>
      </c>
      <c r="I8869" t="s">
        <v>1050</v>
      </c>
    </row>
    <row r="8870" spans="1:9" hidden="1" x14ac:dyDescent="0.25">
      <c r="A8870" t="s">
        <v>7400</v>
      </c>
      <c r="B8870" t="s">
        <v>147</v>
      </c>
      <c r="C8870" s="2">
        <f>HYPERLINK("https://cao.dolgi.msk.ru/account/1080277206/", 1080277206)</f>
        <v>1080277206</v>
      </c>
      <c r="D8870" t="s">
        <v>7459</v>
      </c>
      <c r="E8870">
        <v>-1937.8</v>
      </c>
      <c r="F8870">
        <v>-1.03</v>
      </c>
      <c r="G8870" t="s">
        <v>12</v>
      </c>
      <c r="I8870" t="s">
        <v>1050</v>
      </c>
    </row>
    <row r="8871" spans="1:9" hidden="1" x14ac:dyDescent="0.25">
      <c r="A8871" t="s">
        <v>7400</v>
      </c>
      <c r="B8871" t="s">
        <v>149</v>
      </c>
      <c r="C8871" s="2">
        <f>HYPERLINK("https://cao.dolgi.msk.ru/account/1080277214/", 1080277214)</f>
        <v>1080277214</v>
      </c>
      <c r="D8871" t="s">
        <v>7460</v>
      </c>
      <c r="E8871">
        <v>-2121.62</v>
      </c>
      <c r="F8871">
        <v>-1.02</v>
      </c>
      <c r="G8871" t="s">
        <v>12</v>
      </c>
      <c r="I8871" t="s">
        <v>1050</v>
      </c>
    </row>
    <row r="8872" spans="1:9" hidden="1" x14ac:dyDescent="0.25">
      <c r="A8872" t="s">
        <v>7400</v>
      </c>
      <c r="B8872" t="s">
        <v>151</v>
      </c>
      <c r="C8872" s="2">
        <f>HYPERLINK("https://cao.dolgi.msk.ru/account/1080277222/", 1080277222)</f>
        <v>1080277222</v>
      </c>
      <c r="D8872" t="s">
        <v>7461</v>
      </c>
      <c r="E8872">
        <v>-10578.62</v>
      </c>
      <c r="F8872">
        <v>-1.01</v>
      </c>
      <c r="G8872" t="s">
        <v>12</v>
      </c>
      <c r="I8872" t="s">
        <v>1050</v>
      </c>
    </row>
    <row r="8873" spans="1:9" hidden="1" x14ac:dyDescent="0.25">
      <c r="A8873" t="s">
        <v>7400</v>
      </c>
      <c r="B8873" t="s">
        <v>153</v>
      </c>
      <c r="C8873" s="2">
        <f>HYPERLINK("https://cao.dolgi.msk.ru/account/1080277249/", 1080277249)</f>
        <v>1080277249</v>
      </c>
      <c r="D8873" t="s">
        <v>7462</v>
      </c>
      <c r="E8873">
        <v>-54.47</v>
      </c>
      <c r="F8873">
        <v>-0.01</v>
      </c>
      <c r="G8873" t="s">
        <v>12</v>
      </c>
      <c r="I8873" t="s">
        <v>1050</v>
      </c>
    </row>
    <row r="8874" spans="1:9" hidden="1" x14ac:dyDescent="0.25">
      <c r="A8874" t="s">
        <v>7400</v>
      </c>
      <c r="B8874" t="s">
        <v>155</v>
      </c>
      <c r="C8874" s="2">
        <f>HYPERLINK("https://cao.dolgi.msk.ru/account/1080277257/", 1080277257)</f>
        <v>1080277257</v>
      </c>
      <c r="D8874" t="s">
        <v>7463</v>
      </c>
      <c r="E8874">
        <v>-173.92</v>
      </c>
      <c r="F8874">
        <v>-0.06</v>
      </c>
      <c r="G8874" t="s">
        <v>12</v>
      </c>
      <c r="I8874" t="s">
        <v>1050</v>
      </c>
    </row>
    <row r="8875" spans="1:9" hidden="1" x14ac:dyDescent="0.25">
      <c r="A8875" t="s">
        <v>7400</v>
      </c>
      <c r="B8875" t="s">
        <v>157</v>
      </c>
      <c r="C8875" s="2">
        <f>HYPERLINK("https://cao.dolgi.msk.ru/account/1080277265/", 1080277265)</f>
        <v>1080277265</v>
      </c>
      <c r="D8875" t="s">
        <v>7464</v>
      </c>
      <c r="E8875">
        <v>-6728.25</v>
      </c>
      <c r="F8875">
        <v>-0.95</v>
      </c>
      <c r="G8875" t="s">
        <v>12</v>
      </c>
      <c r="I8875" t="s">
        <v>1050</v>
      </c>
    </row>
    <row r="8876" spans="1:9" hidden="1" x14ac:dyDescent="0.25">
      <c r="A8876" t="s">
        <v>7400</v>
      </c>
      <c r="B8876" t="s">
        <v>159</v>
      </c>
      <c r="C8876" s="2">
        <f>HYPERLINK("https://cao.dolgi.msk.ru/account/1080277273/", 1080277273)</f>
        <v>1080277273</v>
      </c>
      <c r="D8876" t="s">
        <v>7465</v>
      </c>
      <c r="E8876">
        <v>-6396.44</v>
      </c>
      <c r="F8876">
        <v>-1.1000000000000001</v>
      </c>
      <c r="G8876" t="s">
        <v>12</v>
      </c>
      <c r="I8876" t="s">
        <v>1050</v>
      </c>
    </row>
    <row r="8877" spans="1:9" hidden="1" x14ac:dyDescent="0.25">
      <c r="A8877" t="s">
        <v>7400</v>
      </c>
      <c r="B8877" t="s">
        <v>161</v>
      </c>
      <c r="C8877" s="2">
        <f>HYPERLINK("https://cao.dolgi.msk.ru/account/1080277281/", 1080277281)</f>
        <v>1080277281</v>
      </c>
      <c r="D8877" t="s">
        <v>7466</v>
      </c>
      <c r="E8877">
        <v>-4023.62</v>
      </c>
      <c r="F8877">
        <v>-0.92</v>
      </c>
      <c r="G8877" t="s">
        <v>12</v>
      </c>
      <c r="I8877" t="s">
        <v>1050</v>
      </c>
    </row>
    <row r="8878" spans="1:9" hidden="1" x14ac:dyDescent="0.25">
      <c r="A8878" t="s">
        <v>7400</v>
      </c>
      <c r="B8878" t="s">
        <v>163</v>
      </c>
      <c r="C8878" s="2">
        <f>HYPERLINK("https://cao.dolgi.msk.ru/account/1080277302/", 1080277302)</f>
        <v>1080277302</v>
      </c>
      <c r="D8878" t="s">
        <v>7467</v>
      </c>
      <c r="E8878">
        <v>0</v>
      </c>
      <c r="F8878">
        <v>0</v>
      </c>
      <c r="G8878" t="s">
        <v>12</v>
      </c>
      <c r="I8878" t="s">
        <v>1050</v>
      </c>
    </row>
    <row r="8879" spans="1:9" hidden="1" x14ac:dyDescent="0.25">
      <c r="A8879" t="s">
        <v>7400</v>
      </c>
      <c r="B8879" t="s">
        <v>571</v>
      </c>
      <c r="C8879" s="2">
        <f>HYPERLINK("https://cao.dolgi.msk.ru/account/1080277329/", 1080277329)</f>
        <v>1080277329</v>
      </c>
      <c r="D8879" t="s">
        <v>7468</v>
      </c>
      <c r="E8879">
        <v>-16.89</v>
      </c>
      <c r="F8879">
        <v>0</v>
      </c>
      <c r="G8879" t="s">
        <v>12</v>
      </c>
      <c r="I8879" t="s">
        <v>1050</v>
      </c>
    </row>
    <row r="8880" spans="1:9" hidden="1" x14ac:dyDescent="0.25">
      <c r="A8880" t="s">
        <v>7400</v>
      </c>
      <c r="B8880" t="s">
        <v>682</v>
      </c>
      <c r="C8880" s="2">
        <f>HYPERLINK("https://cao.dolgi.msk.ru/account/1080277337/", 1080277337)</f>
        <v>1080277337</v>
      </c>
      <c r="D8880" t="s">
        <v>7469</v>
      </c>
      <c r="E8880">
        <v>-3915.23</v>
      </c>
      <c r="F8880">
        <v>-1.02</v>
      </c>
      <c r="G8880" t="s">
        <v>12</v>
      </c>
      <c r="I8880" t="s">
        <v>1050</v>
      </c>
    </row>
    <row r="8881" spans="1:9" hidden="1" x14ac:dyDescent="0.25">
      <c r="A8881" t="s">
        <v>7400</v>
      </c>
      <c r="B8881" t="s">
        <v>578</v>
      </c>
      <c r="C8881" s="2">
        <f>HYPERLINK("https://cao.dolgi.msk.ru/account/1080277345/", 1080277345)</f>
        <v>1080277345</v>
      </c>
      <c r="D8881" t="s">
        <v>7470</v>
      </c>
      <c r="E8881">
        <v>-5354.7</v>
      </c>
      <c r="F8881">
        <v>-1.08</v>
      </c>
      <c r="G8881" t="s">
        <v>12</v>
      </c>
      <c r="I8881" t="s">
        <v>1050</v>
      </c>
    </row>
    <row r="8882" spans="1:9" hidden="1" x14ac:dyDescent="0.25">
      <c r="A8882" t="s">
        <v>7400</v>
      </c>
      <c r="B8882" t="s">
        <v>580</v>
      </c>
      <c r="C8882" s="2">
        <f>HYPERLINK("https://cao.dolgi.msk.ru/account/1080277353/", 1080277353)</f>
        <v>1080277353</v>
      </c>
      <c r="D8882" t="s">
        <v>7471</v>
      </c>
      <c r="E8882">
        <v>-5427.54</v>
      </c>
      <c r="F8882">
        <v>-1.03</v>
      </c>
      <c r="G8882" t="s">
        <v>12</v>
      </c>
      <c r="I8882" t="s">
        <v>1050</v>
      </c>
    </row>
    <row r="8883" spans="1:9" hidden="1" x14ac:dyDescent="0.25">
      <c r="A8883" t="s">
        <v>7400</v>
      </c>
      <c r="B8883" t="s">
        <v>686</v>
      </c>
      <c r="C8883" s="2">
        <f>HYPERLINK("https://cao.dolgi.msk.ru/account/1080277361/", 1080277361)</f>
        <v>1080277361</v>
      </c>
      <c r="D8883" t="s">
        <v>7472</v>
      </c>
      <c r="E8883">
        <v>-3691.04</v>
      </c>
      <c r="F8883">
        <v>-1.02</v>
      </c>
      <c r="G8883" t="s">
        <v>12</v>
      </c>
      <c r="I8883" t="s">
        <v>1050</v>
      </c>
    </row>
    <row r="8884" spans="1:9" hidden="1" x14ac:dyDescent="0.25">
      <c r="A8884" t="s">
        <v>7400</v>
      </c>
      <c r="B8884" t="s">
        <v>582</v>
      </c>
      <c r="C8884" s="2">
        <f>HYPERLINK("https://cao.dolgi.msk.ru/account/1080277388/", 1080277388)</f>
        <v>1080277388</v>
      </c>
      <c r="D8884" t="s">
        <v>7473</v>
      </c>
      <c r="E8884">
        <v>4009.13</v>
      </c>
      <c r="F8884">
        <v>0.79</v>
      </c>
      <c r="G8884" t="s">
        <v>12</v>
      </c>
      <c r="I8884" t="s">
        <v>1050</v>
      </c>
    </row>
    <row r="8885" spans="1:9" hidden="1" x14ac:dyDescent="0.25">
      <c r="A8885" t="s">
        <v>7400</v>
      </c>
      <c r="B8885" t="s">
        <v>584</v>
      </c>
      <c r="C8885" s="2">
        <f>HYPERLINK("https://cao.dolgi.msk.ru/account/1080277396/", 1080277396)</f>
        <v>1080277396</v>
      </c>
      <c r="D8885" t="s">
        <v>62</v>
      </c>
      <c r="E8885">
        <v>3077.14</v>
      </c>
      <c r="F8885">
        <v>0.9</v>
      </c>
      <c r="G8885" t="s">
        <v>12</v>
      </c>
      <c r="I8885" t="s">
        <v>1050</v>
      </c>
    </row>
    <row r="8886" spans="1:9" hidden="1" x14ac:dyDescent="0.25">
      <c r="A8886" t="s">
        <v>7400</v>
      </c>
      <c r="B8886" t="s">
        <v>586</v>
      </c>
      <c r="C8886" s="2">
        <f>HYPERLINK("https://cao.dolgi.msk.ru/account/1080277409/", 1080277409)</f>
        <v>1080277409</v>
      </c>
      <c r="D8886" t="s">
        <v>7474</v>
      </c>
      <c r="E8886">
        <v>-10464.06</v>
      </c>
      <c r="F8886">
        <v>-1</v>
      </c>
      <c r="G8886" t="s">
        <v>12</v>
      </c>
      <c r="I8886" t="s">
        <v>1050</v>
      </c>
    </row>
    <row r="8887" spans="1:9" x14ac:dyDescent="0.25">
      <c r="A8887" t="s">
        <v>7400</v>
      </c>
      <c r="B8887" t="s">
        <v>588</v>
      </c>
      <c r="C8887" s="2">
        <f>HYPERLINK("https://cao.dolgi.msk.ru/account/1080277417/", 1080277417)</f>
        <v>1080277417</v>
      </c>
      <c r="D8887" t="s">
        <v>7475</v>
      </c>
      <c r="E8887">
        <v>29841.759999999998</v>
      </c>
      <c r="F8887">
        <v>4</v>
      </c>
      <c r="G8887" t="s">
        <v>12</v>
      </c>
      <c r="I8887" t="s">
        <v>1050</v>
      </c>
    </row>
    <row r="8888" spans="1:9" hidden="1" x14ac:dyDescent="0.25">
      <c r="A8888" t="s">
        <v>7400</v>
      </c>
      <c r="B8888" t="s">
        <v>590</v>
      </c>
      <c r="C8888" s="2">
        <f>HYPERLINK("https://cao.dolgi.msk.ru/account/1080277425/", 1080277425)</f>
        <v>1080277425</v>
      </c>
      <c r="D8888" t="s">
        <v>7476</v>
      </c>
      <c r="E8888">
        <v>-3110.23</v>
      </c>
      <c r="F8888">
        <v>-1.01</v>
      </c>
      <c r="G8888" t="s">
        <v>12</v>
      </c>
      <c r="I8888" t="s">
        <v>1050</v>
      </c>
    </row>
    <row r="8889" spans="1:9" hidden="1" x14ac:dyDescent="0.25">
      <c r="A8889" t="s">
        <v>7400</v>
      </c>
      <c r="B8889" t="s">
        <v>693</v>
      </c>
      <c r="C8889" s="2">
        <f>HYPERLINK("https://cao.dolgi.msk.ru/account/1080277433/", 1080277433)</f>
        <v>1080277433</v>
      </c>
      <c r="D8889" t="s">
        <v>7477</v>
      </c>
      <c r="E8889">
        <v>-5320.78</v>
      </c>
      <c r="F8889">
        <v>-1.01</v>
      </c>
      <c r="G8889" t="s">
        <v>12</v>
      </c>
      <c r="I8889" t="s">
        <v>1050</v>
      </c>
    </row>
    <row r="8890" spans="1:9" hidden="1" x14ac:dyDescent="0.25">
      <c r="A8890" t="s">
        <v>7400</v>
      </c>
      <c r="B8890" t="s">
        <v>694</v>
      </c>
      <c r="C8890" s="2">
        <f>HYPERLINK("https://cao.dolgi.msk.ru/account/1080277441/", 1080277441)</f>
        <v>1080277441</v>
      </c>
      <c r="D8890" t="s">
        <v>7478</v>
      </c>
      <c r="E8890">
        <v>-6137.08</v>
      </c>
      <c r="F8890">
        <v>-1.17</v>
      </c>
      <c r="G8890" t="s">
        <v>12</v>
      </c>
      <c r="I8890" t="s">
        <v>1050</v>
      </c>
    </row>
    <row r="8891" spans="1:9" hidden="1" x14ac:dyDescent="0.25">
      <c r="A8891" t="s">
        <v>7400</v>
      </c>
      <c r="B8891" t="s">
        <v>696</v>
      </c>
      <c r="C8891" s="2">
        <f>HYPERLINK("https://cao.dolgi.msk.ru/account/1080277468/", 1080277468)</f>
        <v>1080277468</v>
      </c>
      <c r="D8891" t="s">
        <v>7479</v>
      </c>
      <c r="E8891">
        <v>-3.8</v>
      </c>
      <c r="F8891">
        <v>0</v>
      </c>
      <c r="G8891" t="s">
        <v>12</v>
      </c>
      <c r="I8891" t="s">
        <v>1050</v>
      </c>
    </row>
    <row r="8892" spans="1:9" hidden="1" x14ac:dyDescent="0.25">
      <c r="A8892" t="s">
        <v>7400</v>
      </c>
      <c r="B8892" t="s">
        <v>698</v>
      </c>
      <c r="C8892" s="2">
        <f>HYPERLINK("https://cao.dolgi.msk.ru/account/1080277476/", 1080277476)</f>
        <v>1080277476</v>
      </c>
      <c r="D8892" t="s">
        <v>7480</v>
      </c>
      <c r="E8892">
        <v>-4109.7299999999996</v>
      </c>
      <c r="F8892">
        <v>-0.95</v>
      </c>
      <c r="G8892" t="s">
        <v>12</v>
      </c>
      <c r="I8892" t="s">
        <v>1050</v>
      </c>
    </row>
    <row r="8893" spans="1:9" hidden="1" x14ac:dyDescent="0.25">
      <c r="A8893" t="s">
        <v>7400</v>
      </c>
      <c r="B8893" t="s">
        <v>700</v>
      </c>
      <c r="C8893" s="2">
        <f>HYPERLINK("https://cao.dolgi.msk.ru/account/1080277484/", 1080277484)</f>
        <v>1080277484</v>
      </c>
      <c r="D8893" t="s">
        <v>7481</v>
      </c>
      <c r="E8893">
        <v>-639.79</v>
      </c>
      <c r="F8893">
        <v>-0.1</v>
      </c>
      <c r="G8893" t="s">
        <v>12</v>
      </c>
      <c r="I8893" t="s">
        <v>1050</v>
      </c>
    </row>
    <row r="8894" spans="1:9" hidden="1" x14ac:dyDescent="0.25">
      <c r="A8894" t="s">
        <v>7400</v>
      </c>
      <c r="B8894" t="s">
        <v>702</v>
      </c>
      <c r="C8894" s="2">
        <f>HYPERLINK("https://cao.dolgi.msk.ru/account/1080277492/", 1080277492)</f>
        <v>1080277492</v>
      </c>
      <c r="D8894" t="s">
        <v>7482</v>
      </c>
      <c r="E8894">
        <v>-3734.23</v>
      </c>
      <c r="F8894">
        <v>-0.99</v>
      </c>
      <c r="G8894" t="s">
        <v>12</v>
      </c>
      <c r="I8894" t="s">
        <v>1050</v>
      </c>
    </row>
    <row r="8895" spans="1:9" hidden="1" x14ac:dyDescent="0.25">
      <c r="A8895" t="s">
        <v>7400</v>
      </c>
      <c r="B8895" t="s">
        <v>703</v>
      </c>
      <c r="C8895" s="2">
        <f>HYPERLINK("https://cao.dolgi.msk.ru/account/1080277505/", 1080277505)</f>
        <v>1080277505</v>
      </c>
      <c r="D8895" t="s">
        <v>7483</v>
      </c>
      <c r="E8895">
        <v>-5364.14</v>
      </c>
      <c r="F8895">
        <v>-1.07</v>
      </c>
      <c r="G8895" t="s">
        <v>12</v>
      </c>
      <c r="I8895" t="s">
        <v>1050</v>
      </c>
    </row>
    <row r="8896" spans="1:9" hidden="1" x14ac:dyDescent="0.25">
      <c r="A8896" t="s">
        <v>7400</v>
      </c>
      <c r="B8896" t="s">
        <v>705</v>
      </c>
      <c r="C8896" s="2">
        <f>HYPERLINK("https://cao.dolgi.msk.ru/account/1080277513/", 1080277513)</f>
        <v>1080277513</v>
      </c>
      <c r="D8896" t="s">
        <v>7484</v>
      </c>
      <c r="E8896">
        <v>-2554.9</v>
      </c>
      <c r="F8896">
        <v>-0.99</v>
      </c>
      <c r="G8896" t="s">
        <v>12</v>
      </c>
      <c r="I8896" t="s">
        <v>1050</v>
      </c>
    </row>
    <row r="8897" spans="1:9" hidden="1" x14ac:dyDescent="0.25">
      <c r="A8897" t="s">
        <v>7400</v>
      </c>
      <c r="B8897" t="s">
        <v>707</v>
      </c>
      <c r="C8897" s="2">
        <f>HYPERLINK("https://cao.dolgi.msk.ru/account/1080277521/", 1080277521)</f>
        <v>1080277521</v>
      </c>
      <c r="D8897" t="s">
        <v>62</v>
      </c>
      <c r="E8897">
        <v>-2405.35</v>
      </c>
      <c r="F8897">
        <v>-0.48</v>
      </c>
      <c r="G8897" t="s">
        <v>12</v>
      </c>
      <c r="I8897" t="s">
        <v>1050</v>
      </c>
    </row>
    <row r="8898" spans="1:9" hidden="1" x14ac:dyDescent="0.25">
      <c r="A8898" t="s">
        <v>7400</v>
      </c>
      <c r="B8898" t="s">
        <v>709</v>
      </c>
      <c r="C8898" s="2">
        <f>HYPERLINK("https://cao.dolgi.msk.ru/account/1080277548/", 1080277548)</f>
        <v>1080277548</v>
      </c>
      <c r="D8898" t="s">
        <v>7485</v>
      </c>
      <c r="E8898">
        <v>0</v>
      </c>
      <c r="F8898">
        <v>0</v>
      </c>
      <c r="G8898" t="s">
        <v>12</v>
      </c>
      <c r="I8898" t="s">
        <v>1050</v>
      </c>
    </row>
    <row r="8899" spans="1:9" hidden="1" x14ac:dyDescent="0.25">
      <c r="A8899" t="s">
        <v>7400</v>
      </c>
      <c r="B8899" t="s">
        <v>711</v>
      </c>
      <c r="C8899" s="2">
        <f>HYPERLINK("https://cao.dolgi.msk.ru/account/1080277556/", 1080277556)</f>
        <v>1080277556</v>
      </c>
      <c r="D8899" t="s">
        <v>7486</v>
      </c>
      <c r="E8899">
        <v>-7872.46</v>
      </c>
      <c r="F8899">
        <v>-1.01</v>
      </c>
      <c r="G8899" t="s">
        <v>12</v>
      </c>
      <c r="I8899" t="s">
        <v>1050</v>
      </c>
    </row>
    <row r="8900" spans="1:9" hidden="1" x14ac:dyDescent="0.25">
      <c r="A8900" t="s">
        <v>7400</v>
      </c>
      <c r="B8900" t="s">
        <v>713</v>
      </c>
      <c r="C8900" s="2">
        <f>HYPERLINK("https://cao.dolgi.msk.ru/account/1080277564/", 1080277564)</f>
        <v>1080277564</v>
      </c>
      <c r="D8900" t="s">
        <v>7487</v>
      </c>
      <c r="E8900">
        <v>-4006.48</v>
      </c>
      <c r="F8900">
        <v>-0.91</v>
      </c>
      <c r="G8900" t="s">
        <v>12</v>
      </c>
      <c r="I8900" t="s">
        <v>1050</v>
      </c>
    </row>
    <row r="8901" spans="1:9" hidden="1" x14ac:dyDescent="0.25">
      <c r="A8901" t="s">
        <v>7400</v>
      </c>
      <c r="B8901" t="s">
        <v>528</v>
      </c>
      <c r="C8901" s="2">
        <f>HYPERLINK("https://cao.dolgi.msk.ru/account/1080277572/", 1080277572)</f>
        <v>1080277572</v>
      </c>
      <c r="D8901" t="s">
        <v>7488</v>
      </c>
      <c r="E8901">
        <v>-2930.25</v>
      </c>
      <c r="F8901">
        <v>-0.73</v>
      </c>
      <c r="G8901" t="s">
        <v>12</v>
      </c>
      <c r="I8901" t="s">
        <v>1050</v>
      </c>
    </row>
    <row r="8902" spans="1:9" hidden="1" x14ac:dyDescent="0.25">
      <c r="A8902" t="s">
        <v>7400</v>
      </c>
      <c r="B8902" t="s">
        <v>530</v>
      </c>
      <c r="C8902" s="2">
        <f>HYPERLINK("https://cao.dolgi.msk.ru/account/1080277599/", 1080277599)</f>
        <v>1080277599</v>
      </c>
      <c r="D8902" t="s">
        <v>7489</v>
      </c>
      <c r="E8902">
        <v>0</v>
      </c>
      <c r="F8902">
        <v>0</v>
      </c>
      <c r="G8902" t="s">
        <v>12</v>
      </c>
      <c r="I8902" t="s">
        <v>1050</v>
      </c>
    </row>
    <row r="8903" spans="1:9" hidden="1" x14ac:dyDescent="0.25">
      <c r="A8903" t="s">
        <v>7400</v>
      </c>
      <c r="B8903" t="s">
        <v>532</v>
      </c>
      <c r="C8903" s="2">
        <f>HYPERLINK("https://cao.dolgi.msk.ru/account/1080277601/", 1080277601)</f>
        <v>1080277601</v>
      </c>
      <c r="D8903" t="s">
        <v>7490</v>
      </c>
      <c r="E8903">
        <v>-3453.77</v>
      </c>
      <c r="F8903">
        <v>-1.03</v>
      </c>
      <c r="G8903" t="s">
        <v>12</v>
      </c>
      <c r="I8903" t="s">
        <v>1050</v>
      </c>
    </row>
    <row r="8904" spans="1:9" hidden="1" x14ac:dyDescent="0.25">
      <c r="A8904" t="s">
        <v>7400</v>
      </c>
      <c r="B8904" t="s">
        <v>534</v>
      </c>
      <c r="C8904" s="2">
        <f>HYPERLINK("https://cao.dolgi.msk.ru/account/1080277628/", 1080277628)</f>
        <v>1080277628</v>
      </c>
      <c r="D8904" t="s">
        <v>7491</v>
      </c>
      <c r="E8904">
        <v>-4577.87</v>
      </c>
      <c r="F8904">
        <v>-1.06</v>
      </c>
      <c r="G8904" t="s">
        <v>12</v>
      </c>
      <c r="I8904" t="s">
        <v>1050</v>
      </c>
    </row>
    <row r="8905" spans="1:9" hidden="1" x14ac:dyDescent="0.25">
      <c r="A8905" t="s">
        <v>7400</v>
      </c>
      <c r="B8905" t="s">
        <v>536</v>
      </c>
      <c r="C8905" s="2">
        <f>HYPERLINK("https://cao.dolgi.msk.ru/account/1080277636/", 1080277636)</f>
        <v>1080277636</v>
      </c>
      <c r="D8905" t="s">
        <v>7492</v>
      </c>
      <c r="E8905">
        <v>-4110.7700000000004</v>
      </c>
      <c r="F8905">
        <v>-0.97</v>
      </c>
      <c r="G8905" t="s">
        <v>12</v>
      </c>
      <c r="I8905" t="s">
        <v>1050</v>
      </c>
    </row>
    <row r="8906" spans="1:9" hidden="1" x14ac:dyDescent="0.25">
      <c r="A8906" t="s">
        <v>7493</v>
      </c>
      <c r="B8906" t="s">
        <v>10</v>
      </c>
      <c r="C8906" s="2">
        <f>HYPERLINK("https://cao.dolgi.msk.ru/account/1080275454/", 1080275454)</f>
        <v>1080275454</v>
      </c>
      <c r="D8906" t="s">
        <v>7494</v>
      </c>
      <c r="E8906">
        <v>4381.8500000000004</v>
      </c>
      <c r="F8906">
        <v>0.99</v>
      </c>
      <c r="G8906" t="s">
        <v>12</v>
      </c>
      <c r="I8906" t="s">
        <v>1050</v>
      </c>
    </row>
    <row r="8907" spans="1:9" x14ac:dyDescent="0.25">
      <c r="A8907" t="s">
        <v>7493</v>
      </c>
      <c r="B8907" t="s">
        <v>16</v>
      </c>
      <c r="C8907" s="2">
        <f>HYPERLINK("https://cao.dolgi.msk.ru/account/1080275462/", 1080275462)</f>
        <v>1080275462</v>
      </c>
      <c r="D8907" t="s">
        <v>7495</v>
      </c>
      <c r="E8907">
        <v>7389.2</v>
      </c>
      <c r="F8907">
        <v>1.91</v>
      </c>
      <c r="G8907" t="s">
        <v>12</v>
      </c>
      <c r="I8907" t="s">
        <v>1050</v>
      </c>
    </row>
    <row r="8908" spans="1:9" hidden="1" x14ac:dyDescent="0.25">
      <c r="A8908" t="s">
        <v>7493</v>
      </c>
      <c r="B8908" t="s">
        <v>18</v>
      </c>
      <c r="C8908" s="2">
        <f>HYPERLINK("https://cao.dolgi.msk.ru/account/1080275489/", 1080275489)</f>
        <v>1080275489</v>
      </c>
      <c r="D8908" t="s">
        <v>7496</v>
      </c>
      <c r="E8908">
        <v>-13910.2</v>
      </c>
      <c r="F8908">
        <v>-2.4500000000000002</v>
      </c>
      <c r="G8908" t="s">
        <v>12</v>
      </c>
      <c r="I8908" t="s">
        <v>1050</v>
      </c>
    </row>
    <row r="8909" spans="1:9" hidden="1" x14ac:dyDescent="0.25">
      <c r="A8909" t="s">
        <v>7493</v>
      </c>
      <c r="B8909" t="s">
        <v>20</v>
      </c>
      <c r="C8909" s="2">
        <f>HYPERLINK("https://cao.dolgi.msk.ru/account/1080275497/", 1080275497)</f>
        <v>1080275497</v>
      </c>
      <c r="D8909" t="s">
        <v>7497</v>
      </c>
      <c r="E8909">
        <v>-2166.9299999999998</v>
      </c>
      <c r="F8909">
        <v>-1.24</v>
      </c>
      <c r="G8909" t="s">
        <v>12</v>
      </c>
      <c r="I8909" t="s">
        <v>1050</v>
      </c>
    </row>
    <row r="8910" spans="1:9" hidden="1" x14ac:dyDescent="0.25">
      <c r="A8910" t="s">
        <v>7493</v>
      </c>
      <c r="B8910" t="s">
        <v>21</v>
      </c>
      <c r="C8910" s="2">
        <f>HYPERLINK("https://cao.dolgi.msk.ru/account/1080275518/", 1080275518)</f>
        <v>1080275518</v>
      </c>
      <c r="D8910" t="s">
        <v>7498</v>
      </c>
      <c r="E8910">
        <v>-9251.7000000000007</v>
      </c>
      <c r="F8910">
        <v>-1.1100000000000001</v>
      </c>
      <c r="G8910" t="s">
        <v>12</v>
      </c>
      <c r="I8910" t="s">
        <v>1050</v>
      </c>
    </row>
    <row r="8911" spans="1:9" hidden="1" x14ac:dyDescent="0.25">
      <c r="A8911" t="s">
        <v>7493</v>
      </c>
      <c r="B8911" t="s">
        <v>22</v>
      </c>
      <c r="C8911" s="2">
        <f>HYPERLINK("https://cao.dolgi.msk.ru/account/1080275526/", 1080275526)</f>
        <v>1080275526</v>
      </c>
      <c r="D8911" t="s">
        <v>7499</v>
      </c>
      <c r="E8911">
        <v>-3842.15</v>
      </c>
      <c r="F8911">
        <v>-1</v>
      </c>
      <c r="G8911" t="s">
        <v>12</v>
      </c>
      <c r="I8911" t="s">
        <v>1050</v>
      </c>
    </row>
    <row r="8912" spans="1:9" hidden="1" x14ac:dyDescent="0.25">
      <c r="A8912" t="s">
        <v>7493</v>
      </c>
      <c r="B8912" t="s">
        <v>23</v>
      </c>
      <c r="C8912" s="2">
        <f>HYPERLINK("https://cao.dolgi.msk.ru/account/1080275534/", 1080275534)</f>
        <v>1080275534</v>
      </c>
      <c r="D8912" t="s">
        <v>7500</v>
      </c>
      <c r="E8912">
        <v>-2411.4899999999998</v>
      </c>
      <c r="F8912">
        <v>-0.65</v>
      </c>
      <c r="G8912" t="s">
        <v>12</v>
      </c>
      <c r="I8912" t="s">
        <v>1050</v>
      </c>
    </row>
    <row r="8913" spans="1:9" hidden="1" x14ac:dyDescent="0.25">
      <c r="A8913" t="s">
        <v>7493</v>
      </c>
      <c r="B8913" t="s">
        <v>24</v>
      </c>
      <c r="C8913" s="2">
        <f>HYPERLINK("https://cao.dolgi.msk.ru/account/1080275542/", 1080275542)</f>
        <v>1080275542</v>
      </c>
      <c r="D8913" t="s">
        <v>15</v>
      </c>
      <c r="E8913">
        <v>-2224.15</v>
      </c>
      <c r="F8913">
        <v>-1.4</v>
      </c>
      <c r="G8913" t="s">
        <v>12</v>
      </c>
      <c r="I8913" t="s">
        <v>1050</v>
      </c>
    </row>
    <row r="8914" spans="1:9" hidden="1" x14ac:dyDescent="0.25">
      <c r="A8914" t="s">
        <v>7493</v>
      </c>
      <c r="B8914" t="s">
        <v>27</v>
      </c>
      <c r="C8914" s="2">
        <f>HYPERLINK("https://cao.dolgi.msk.ru/account/1080275569/", 1080275569)</f>
        <v>1080275569</v>
      </c>
      <c r="D8914" t="s">
        <v>7501</v>
      </c>
      <c r="E8914">
        <v>-5766.09</v>
      </c>
      <c r="F8914">
        <v>-1.1000000000000001</v>
      </c>
      <c r="G8914" t="s">
        <v>12</v>
      </c>
      <c r="I8914" t="s">
        <v>1050</v>
      </c>
    </row>
    <row r="8915" spans="1:9" hidden="1" x14ac:dyDescent="0.25">
      <c r="A8915" t="s">
        <v>7493</v>
      </c>
      <c r="B8915" t="s">
        <v>29</v>
      </c>
      <c r="C8915" s="2">
        <f>HYPERLINK("https://cao.dolgi.msk.ru/account/1080275577/", 1080275577)</f>
        <v>1080275577</v>
      </c>
      <c r="D8915" t="s">
        <v>7502</v>
      </c>
      <c r="E8915">
        <v>0</v>
      </c>
      <c r="G8915" t="s">
        <v>12</v>
      </c>
      <c r="I8915" t="s">
        <v>1050</v>
      </c>
    </row>
    <row r="8916" spans="1:9" hidden="1" x14ac:dyDescent="0.25">
      <c r="A8916" t="s">
        <v>7493</v>
      </c>
      <c r="B8916" t="s">
        <v>31</v>
      </c>
      <c r="C8916" s="2">
        <f>HYPERLINK("https://cao.dolgi.msk.ru/account/1080275585/", 1080275585)</f>
        <v>1080275585</v>
      </c>
      <c r="D8916" t="s">
        <v>7503</v>
      </c>
      <c r="E8916">
        <v>-5189.5</v>
      </c>
      <c r="F8916">
        <v>-0.99</v>
      </c>
      <c r="G8916" t="s">
        <v>12</v>
      </c>
      <c r="I8916" t="s">
        <v>1050</v>
      </c>
    </row>
    <row r="8917" spans="1:9" hidden="1" x14ac:dyDescent="0.25">
      <c r="A8917" t="s">
        <v>7493</v>
      </c>
      <c r="B8917" t="s">
        <v>33</v>
      </c>
      <c r="C8917" s="2">
        <f>HYPERLINK("https://cao.dolgi.msk.ru/account/1080275593/", 1080275593)</f>
        <v>1080275593</v>
      </c>
      <c r="D8917" t="s">
        <v>7504</v>
      </c>
      <c r="E8917">
        <v>-74.41</v>
      </c>
      <c r="F8917">
        <v>-0.01</v>
      </c>
      <c r="G8917" t="s">
        <v>12</v>
      </c>
      <c r="I8917" t="s">
        <v>1050</v>
      </c>
    </row>
    <row r="8918" spans="1:9" hidden="1" x14ac:dyDescent="0.25">
      <c r="A8918" t="s">
        <v>7493</v>
      </c>
      <c r="B8918" t="s">
        <v>34</v>
      </c>
      <c r="C8918" s="2">
        <f>HYPERLINK("https://cao.dolgi.msk.ru/account/1080275606/", 1080275606)</f>
        <v>1080275606</v>
      </c>
      <c r="D8918" t="s">
        <v>7505</v>
      </c>
      <c r="E8918">
        <v>-150.44999999999999</v>
      </c>
      <c r="F8918">
        <v>-0.02</v>
      </c>
      <c r="G8918" t="s">
        <v>12</v>
      </c>
      <c r="I8918" t="s">
        <v>1050</v>
      </c>
    </row>
    <row r="8919" spans="1:9" hidden="1" x14ac:dyDescent="0.25">
      <c r="A8919" t="s">
        <v>7493</v>
      </c>
      <c r="B8919" t="s">
        <v>36</v>
      </c>
      <c r="C8919" s="2">
        <f>HYPERLINK("https://cao.dolgi.msk.ru/account/1080275614/", 1080275614)</f>
        <v>1080275614</v>
      </c>
      <c r="D8919" t="s">
        <v>7506</v>
      </c>
      <c r="E8919">
        <v>5.0999999999999996</v>
      </c>
      <c r="F8919">
        <v>0</v>
      </c>
      <c r="G8919" t="s">
        <v>12</v>
      </c>
      <c r="I8919" t="s">
        <v>1050</v>
      </c>
    </row>
    <row r="8920" spans="1:9" hidden="1" x14ac:dyDescent="0.25">
      <c r="A8920" t="s">
        <v>7493</v>
      </c>
      <c r="B8920" t="s">
        <v>38</v>
      </c>
      <c r="C8920" s="2">
        <f>HYPERLINK("https://cao.dolgi.msk.ru/account/1080275622/", 1080275622)</f>
        <v>1080275622</v>
      </c>
      <c r="D8920" t="s">
        <v>7507</v>
      </c>
      <c r="E8920">
        <v>-3100.92</v>
      </c>
      <c r="F8920">
        <v>-1.05</v>
      </c>
      <c r="G8920" t="s">
        <v>12</v>
      </c>
      <c r="I8920" t="s">
        <v>1050</v>
      </c>
    </row>
    <row r="8921" spans="1:9" hidden="1" x14ac:dyDescent="0.25">
      <c r="A8921" t="s">
        <v>7493</v>
      </c>
      <c r="B8921" t="s">
        <v>39</v>
      </c>
      <c r="C8921" s="2">
        <f>HYPERLINK("https://cao.dolgi.msk.ru/account/1080275649/", 1080275649)</f>
        <v>1080275649</v>
      </c>
      <c r="D8921" t="s">
        <v>7508</v>
      </c>
      <c r="E8921">
        <v>-4564.84</v>
      </c>
      <c r="F8921">
        <v>-2.81</v>
      </c>
      <c r="G8921" t="s">
        <v>12</v>
      </c>
      <c r="I8921" t="s">
        <v>1050</v>
      </c>
    </row>
    <row r="8922" spans="1:9" hidden="1" x14ac:dyDescent="0.25">
      <c r="A8922" t="s">
        <v>7493</v>
      </c>
      <c r="B8922" t="s">
        <v>40</v>
      </c>
      <c r="C8922" s="2">
        <f>HYPERLINK("https://cao.dolgi.msk.ru/account/1080275657/", 1080275657)</f>
        <v>1080275657</v>
      </c>
      <c r="D8922" t="s">
        <v>7509</v>
      </c>
      <c r="E8922">
        <v>-32.67</v>
      </c>
      <c r="F8922">
        <v>0</v>
      </c>
      <c r="G8922" t="s">
        <v>12</v>
      </c>
      <c r="I8922" t="s">
        <v>1050</v>
      </c>
    </row>
    <row r="8923" spans="1:9" x14ac:dyDescent="0.25">
      <c r="A8923" t="s">
        <v>7493</v>
      </c>
      <c r="B8923" t="s">
        <v>41</v>
      </c>
      <c r="C8923" s="2">
        <f>HYPERLINK("https://cao.dolgi.msk.ru/account/1080275665/", 1080275665)</f>
        <v>1080275665</v>
      </c>
      <c r="D8923" t="s">
        <v>15</v>
      </c>
      <c r="E8923">
        <v>78794.83</v>
      </c>
      <c r="F8923">
        <v>65.099999999999994</v>
      </c>
      <c r="G8923" t="s">
        <v>12</v>
      </c>
      <c r="I8923" t="s">
        <v>1050</v>
      </c>
    </row>
    <row r="8924" spans="1:9" hidden="1" x14ac:dyDescent="0.25">
      <c r="A8924" t="s">
        <v>7493</v>
      </c>
      <c r="B8924" t="s">
        <v>41</v>
      </c>
      <c r="C8924" s="2">
        <f>HYPERLINK("https://cao.dolgi.msk.ru/account/1089122331/", 1089122331)</f>
        <v>1089122331</v>
      </c>
      <c r="D8924" t="s">
        <v>15</v>
      </c>
      <c r="E8924">
        <v>-4092.11</v>
      </c>
      <c r="F8924">
        <v>-1.1100000000000001</v>
      </c>
      <c r="G8924" t="s">
        <v>12</v>
      </c>
      <c r="I8924" t="s">
        <v>1050</v>
      </c>
    </row>
    <row r="8925" spans="1:9" x14ac:dyDescent="0.25">
      <c r="A8925" t="s">
        <v>7493</v>
      </c>
      <c r="B8925" t="s">
        <v>42</v>
      </c>
      <c r="C8925" s="2">
        <f>HYPERLINK("https://cao.dolgi.msk.ru/account/1080275673/", 1080275673)</f>
        <v>1080275673</v>
      </c>
      <c r="D8925" t="s">
        <v>7510</v>
      </c>
      <c r="E8925">
        <v>119058.89</v>
      </c>
      <c r="F8925">
        <v>15.51</v>
      </c>
      <c r="G8925" t="s">
        <v>12</v>
      </c>
      <c r="I8925" t="s">
        <v>1050</v>
      </c>
    </row>
    <row r="8926" spans="1:9" x14ac:dyDescent="0.25">
      <c r="A8926" t="s">
        <v>7493</v>
      </c>
      <c r="B8926" t="s">
        <v>44</v>
      </c>
      <c r="C8926" s="2">
        <f>HYPERLINK("https://cao.dolgi.msk.ru/account/1080275681/", 1080275681)</f>
        <v>1080275681</v>
      </c>
      <c r="D8926" t="s">
        <v>7511</v>
      </c>
      <c r="E8926">
        <v>16106.43</v>
      </c>
      <c r="F8926">
        <v>2.84</v>
      </c>
      <c r="G8926" t="s">
        <v>12</v>
      </c>
      <c r="I8926" t="s">
        <v>1050</v>
      </c>
    </row>
    <row r="8927" spans="1:9" hidden="1" x14ac:dyDescent="0.25">
      <c r="A8927" t="s">
        <v>7493</v>
      </c>
      <c r="B8927" t="s">
        <v>66</v>
      </c>
      <c r="C8927" s="2">
        <f>HYPERLINK("https://cao.dolgi.msk.ru/account/1080275702/", 1080275702)</f>
        <v>1080275702</v>
      </c>
      <c r="D8927" t="s">
        <v>7512</v>
      </c>
      <c r="E8927">
        <v>-1668.84</v>
      </c>
      <c r="F8927">
        <v>-1.1000000000000001</v>
      </c>
      <c r="G8927" t="s">
        <v>12</v>
      </c>
      <c r="I8927" t="s">
        <v>1050</v>
      </c>
    </row>
    <row r="8928" spans="1:9" hidden="1" x14ac:dyDescent="0.25">
      <c r="A8928" t="s">
        <v>7493</v>
      </c>
      <c r="B8928" t="s">
        <v>68</v>
      </c>
      <c r="C8928" s="2">
        <f>HYPERLINK("https://cao.dolgi.msk.ru/account/1080275729/", 1080275729)</f>
        <v>1080275729</v>
      </c>
      <c r="D8928" t="s">
        <v>7513</v>
      </c>
      <c r="E8928">
        <v>-5559.71</v>
      </c>
      <c r="F8928">
        <v>-1.05</v>
      </c>
      <c r="G8928" t="s">
        <v>12</v>
      </c>
      <c r="I8928" t="s">
        <v>1050</v>
      </c>
    </row>
    <row r="8929" spans="1:9" hidden="1" x14ac:dyDescent="0.25">
      <c r="A8929" t="s">
        <v>7493</v>
      </c>
      <c r="B8929" t="s">
        <v>70</v>
      </c>
      <c r="C8929" s="2">
        <f>HYPERLINK("https://cao.dolgi.msk.ru/account/1080275737/", 1080275737)</f>
        <v>1080275737</v>
      </c>
      <c r="D8929" t="s">
        <v>7514</v>
      </c>
      <c r="E8929">
        <v>-3539.07</v>
      </c>
      <c r="F8929">
        <v>-1.07</v>
      </c>
      <c r="G8929" t="s">
        <v>12</v>
      </c>
      <c r="I8929" t="s">
        <v>1050</v>
      </c>
    </row>
    <row r="8930" spans="1:9" hidden="1" x14ac:dyDescent="0.25">
      <c r="A8930" t="s">
        <v>7493</v>
      </c>
      <c r="B8930" t="s">
        <v>72</v>
      </c>
      <c r="C8930" s="2">
        <f>HYPERLINK("https://cao.dolgi.msk.ru/account/1080275745/", 1080275745)</f>
        <v>1080275745</v>
      </c>
      <c r="D8930" t="s">
        <v>7515</v>
      </c>
      <c r="E8930">
        <v>-4.1500000000000004</v>
      </c>
      <c r="F8930">
        <v>0</v>
      </c>
      <c r="G8930" t="s">
        <v>12</v>
      </c>
      <c r="I8930" t="s">
        <v>1050</v>
      </c>
    </row>
    <row r="8931" spans="1:9" hidden="1" x14ac:dyDescent="0.25">
      <c r="A8931" t="s">
        <v>7493</v>
      </c>
      <c r="B8931" t="s">
        <v>74</v>
      </c>
      <c r="C8931" s="2">
        <f>HYPERLINK("https://cao.dolgi.msk.ru/account/1080275753/", 1080275753)</f>
        <v>1080275753</v>
      </c>
      <c r="D8931" t="s">
        <v>7516</v>
      </c>
      <c r="E8931">
        <v>-6405.08</v>
      </c>
      <c r="F8931">
        <v>-1.06</v>
      </c>
      <c r="G8931" t="s">
        <v>12</v>
      </c>
      <c r="H8931" t="s">
        <v>7</v>
      </c>
      <c r="I8931" t="s">
        <v>1050</v>
      </c>
    </row>
    <row r="8932" spans="1:9" hidden="1" x14ac:dyDescent="0.25">
      <c r="A8932" t="s">
        <v>7493</v>
      </c>
      <c r="B8932" t="s">
        <v>74</v>
      </c>
      <c r="C8932" s="2">
        <f>HYPERLINK("https://cao.dolgi.msk.ru/account/1080275761/", 1080275761)</f>
        <v>1080275761</v>
      </c>
      <c r="D8932" t="s">
        <v>62</v>
      </c>
      <c r="E8932">
        <v>-2892.48</v>
      </c>
      <c r="F8932">
        <v>-1.05</v>
      </c>
      <c r="G8932" t="s">
        <v>12</v>
      </c>
      <c r="H8932" t="s">
        <v>7</v>
      </c>
      <c r="I8932" t="s">
        <v>1050</v>
      </c>
    </row>
    <row r="8933" spans="1:9" hidden="1" x14ac:dyDescent="0.25">
      <c r="A8933" t="s">
        <v>7493</v>
      </c>
      <c r="B8933" t="s">
        <v>76</v>
      </c>
      <c r="C8933" s="2">
        <f>HYPERLINK("https://cao.dolgi.msk.ru/account/1080275788/", 1080275788)</f>
        <v>1080275788</v>
      </c>
      <c r="D8933" t="s">
        <v>7517</v>
      </c>
      <c r="E8933">
        <v>-2983.47</v>
      </c>
      <c r="F8933">
        <v>-1.0900000000000001</v>
      </c>
      <c r="G8933" t="s">
        <v>12</v>
      </c>
      <c r="I8933" t="s">
        <v>1050</v>
      </c>
    </row>
    <row r="8934" spans="1:9" hidden="1" x14ac:dyDescent="0.25">
      <c r="A8934" t="s">
        <v>7493</v>
      </c>
      <c r="B8934" t="s">
        <v>78</v>
      </c>
      <c r="C8934" s="2">
        <f>HYPERLINK("https://cao.dolgi.msk.ru/account/1080275796/", 1080275796)</f>
        <v>1080275796</v>
      </c>
      <c r="D8934" t="s">
        <v>7518</v>
      </c>
      <c r="E8934">
        <v>0.15</v>
      </c>
      <c r="F8934">
        <v>0</v>
      </c>
      <c r="G8934" t="s">
        <v>12</v>
      </c>
      <c r="I8934" t="s">
        <v>1050</v>
      </c>
    </row>
    <row r="8935" spans="1:9" hidden="1" x14ac:dyDescent="0.25">
      <c r="A8935" t="s">
        <v>7493</v>
      </c>
      <c r="B8935" t="s">
        <v>78</v>
      </c>
      <c r="C8935" s="2">
        <f>HYPERLINK("https://cao.dolgi.msk.ru/account/1083283468/", 1083283468)</f>
        <v>1083283468</v>
      </c>
      <c r="D8935" t="s">
        <v>15</v>
      </c>
      <c r="E8935">
        <v>0</v>
      </c>
      <c r="G8935" t="s">
        <v>14</v>
      </c>
      <c r="I8935" t="s">
        <v>1050</v>
      </c>
    </row>
    <row r="8936" spans="1:9" hidden="1" x14ac:dyDescent="0.25">
      <c r="A8936" t="s">
        <v>7493</v>
      </c>
      <c r="B8936" t="s">
        <v>80</v>
      </c>
      <c r="C8936" s="2">
        <f>HYPERLINK("https://cao.dolgi.msk.ru/account/1080275809/", 1080275809)</f>
        <v>1080275809</v>
      </c>
      <c r="D8936" t="s">
        <v>7519</v>
      </c>
      <c r="E8936">
        <v>-5317.13</v>
      </c>
      <c r="F8936">
        <v>-0.47</v>
      </c>
      <c r="G8936" t="s">
        <v>12</v>
      </c>
      <c r="I8936" t="s">
        <v>1050</v>
      </c>
    </row>
    <row r="8937" spans="1:9" hidden="1" x14ac:dyDescent="0.25">
      <c r="A8937" t="s">
        <v>7493</v>
      </c>
      <c r="B8937" t="s">
        <v>82</v>
      </c>
      <c r="C8937" s="2">
        <f>HYPERLINK("https://cao.dolgi.msk.ru/account/1080275817/", 1080275817)</f>
        <v>1080275817</v>
      </c>
      <c r="D8937" t="s">
        <v>7520</v>
      </c>
      <c r="E8937">
        <v>-5347.77</v>
      </c>
      <c r="F8937">
        <v>-1.02</v>
      </c>
      <c r="G8937" t="s">
        <v>12</v>
      </c>
      <c r="I8937" t="s">
        <v>1050</v>
      </c>
    </row>
    <row r="8938" spans="1:9" hidden="1" x14ac:dyDescent="0.25">
      <c r="A8938" t="s">
        <v>7493</v>
      </c>
      <c r="B8938" t="s">
        <v>84</v>
      </c>
      <c r="C8938" s="2">
        <f>HYPERLINK("https://cao.dolgi.msk.ru/account/1080275825/", 1080275825)</f>
        <v>1080275825</v>
      </c>
      <c r="D8938" t="s">
        <v>7521</v>
      </c>
      <c r="E8938">
        <v>-3417.59</v>
      </c>
      <c r="F8938">
        <v>-1.1000000000000001</v>
      </c>
      <c r="G8938" t="s">
        <v>12</v>
      </c>
      <c r="I8938" t="s">
        <v>1050</v>
      </c>
    </row>
    <row r="8939" spans="1:9" hidden="1" x14ac:dyDescent="0.25">
      <c r="A8939" t="s">
        <v>7493</v>
      </c>
      <c r="B8939" t="s">
        <v>86</v>
      </c>
      <c r="C8939" s="2">
        <f>HYPERLINK("https://cao.dolgi.msk.ru/account/1080275833/", 1080275833)</f>
        <v>1080275833</v>
      </c>
      <c r="D8939" t="s">
        <v>7522</v>
      </c>
      <c r="E8939">
        <v>0</v>
      </c>
      <c r="F8939">
        <v>0</v>
      </c>
      <c r="G8939" t="s">
        <v>12</v>
      </c>
      <c r="I8939" t="s">
        <v>1050</v>
      </c>
    </row>
    <row r="8940" spans="1:9" hidden="1" x14ac:dyDescent="0.25">
      <c r="A8940" t="s">
        <v>7493</v>
      </c>
      <c r="B8940" t="s">
        <v>88</v>
      </c>
      <c r="C8940" s="2">
        <f>HYPERLINK("https://cao.dolgi.msk.ru/account/1080275841/", 1080275841)</f>
        <v>1080275841</v>
      </c>
      <c r="D8940" t="s">
        <v>7523</v>
      </c>
      <c r="E8940">
        <v>-6725.47</v>
      </c>
      <c r="F8940">
        <v>-1.06</v>
      </c>
      <c r="G8940" t="s">
        <v>12</v>
      </c>
      <c r="I8940" t="s">
        <v>1050</v>
      </c>
    </row>
    <row r="8941" spans="1:9" hidden="1" x14ac:dyDescent="0.25">
      <c r="A8941" t="s">
        <v>7493</v>
      </c>
      <c r="B8941" t="s">
        <v>90</v>
      </c>
      <c r="C8941" s="2">
        <f>HYPERLINK("https://cao.dolgi.msk.ru/account/1080275868/", 1080275868)</f>
        <v>1080275868</v>
      </c>
      <c r="D8941" t="s">
        <v>7524</v>
      </c>
      <c r="E8941">
        <v>-3538.45</v>
      </c>
      <c r="F8941">
        <v>-1.07</v>
      </c>
      <c r="G8941" t="s">
        <v>12</v>
      </c>
      <c r="I8941" t="s">
        <v>1050</v>
      </c>
    </row>
    <row r="8942" spans="1:9" hidden="1" x14ac:dyDescent="0.25">
      <c r="A8942" t="s">
        <v>7493</v>
      </c>
      <c r="B8942" t="s">
        <v>92</v>
      </c>
      <c r="C8942" s="2">
        <f>HYPERLINK("https://cao.dolgi.msk.ru/account/1080275876/", 1080275876)</f>
        <v>1080275876</v>
      </c>
      <c r="D8942" t="s">
        <v>7525</v>
      </c>
      <c r="E8942">
        <v>-1683.23</v>
      </c>
      <c r="F8942">
        <v>-1.1000000000000001</v>
      </c>
      <c r="G8942" t="s">
        <v>12</v>
      </c>
      <c r="I8942" t="s">
        <v>1050</v>
      </c>
    </row>
    <row r="8943" spans="1:9" hidden="1" x14ac:dyDescent="0.25">
      <c r="A8943" t="s">
        <v>7493</v>
      </c>
      <c r="B8943" t="s">
        <v>94</v>
      </c>
      <c r="C8943" s="2">
        <f>HYPERLINK("https://cao.dolgi.msk.ru/account/1080275884/", 1080275884)</f>
        <v>1080275884</v>
      </c>
      <c r="D8943" t="s">
        <v>7526</v>
      </c>
      <c r="E8943">
        <v>3467.46</v>
      </c>
      <c r="F8943">
        <v>0.34</v>
      </c>
      <c r="G8943" t="s">
        <v>12</v>
      </c>
      <c r="I8943" t="s">
        <v>1050</v>
      </c>
    </row>
    <row r="8944" spans="1:9" hidden="1" x14ac:dyDescent="0.25">
      <c r="A8944" t="s">
        <v>7493</v>
      </c>
      <c r="B8944" t="s">
        <v>96</v>
      </c>
      <c r="C8944" s="2">
        <f>HYPERLINK("https://cao.dolgi.msk.ru/account/1080275892/", 1080275892)</f>
        <v>1080275892</v>
      </c>
      <c r="D8944" t="s">
        <v>7527</v>
      </c>
      <c r="E8944">
        <v>5661.89</v>
      </c>
      <c r="F8944">
        <v>0.93</v>
      </c>
      <c r="G8944" t="s">
        <v>12</v>
      </c>
      <c r="I8944" t="s">
        <v>1050</v>
      </c>
    </row>
    <row r="8945" spans="1:9" hidden="1" x14ac:dyDescent="0.25">
      <c r="A8945" t="s">
        <v>7493</v>
      </c>
      <c r="B8945" t="s">
        <v>96</v>
      </c>
      <c r="C8945" s="2">
        <f>HYPERLINK("https://cao.dolgi.msk.ru/account/1089125399/", 1089125399)</f>
        <v>1089125399</v>
      </c>
      <c r="D8945" t="s">
        <v>7528</v>
      </c>
      <c r="G8945" t="s">
        <v>14</v>
      </c>
      <c r="I8945" t="s">
        <v>1050</v>
      </c>
    </row>
    <row r="8946" spans="1:9" hidden="1" x14ac:dyDescent="0.25">
      <c r="A8946" t="s">
        <v>7493</v>
      </c>
      <c r="B8946" t="s">
        <v>98</v>
      </c>
      <c r="C8946" s="2">
        <f>HYPERLINK("https://cao.dolgi.msk.ru/account/1080275905/", 1080275905)</f>
        <v>1080275905</v>
      </c>
      <c r="D8946" t="s">
        <v>7529</v>
      </c>
      <c r="E8946">
        <v>-5345.6</v>
      </c>
      <c r="F8946">
        <v>-0.99</v>
      </c>
      <c r="G8946" t="s">
        <v>12</v>
      </c>
      <c r="I8946" t="s">
        <v>1050</v>
      </c>
    </row>
    <row r="8947" spans="1:9" hidden="1" x14ac:dyDescent="0.25">
      <c r="A8947" t="s">
        <v>7493</v>
      </c>
      <c r="B8947" t="s">
        <v>100</v>
      </c>
      <c r="C8947" s="2">
        <f>HYPERLINK("https://cao.dolgi.msk.ru/account/1080275913/", 1080275913)</f>
        <v>1080275913</v>
      </c>
      <c r="D8947" t="s">
        <v>7530</v>
      </c>
      <c r="E8947">
        <v>-51.36</v>
      </c>
      <c r="F8947">
        <v>-0.02</v>
      </c>
      <c r="G8947" t="s">
        <v>12</v>
      </c>
      <c r="I8947" t="s">
        <v>1050</v>
      </c>
    </row>
    <row r="8948" spans="1:9" hidden="1" x14ac:dyDescent="0.25">
      <c r="A8948" t="s">
        <v>7493</v>
      </c>
      <c r="B8948" t="s">
        <v>102</v>
      </c>
      <c r="C8948" s="2">
        <f>HYPERLINK("https://cao.dolgi.msk.ru/account/1080275921/", 1080275921)</f>
        <v>1080275921</v>
      </c>
      <c r="D8948" t="s">
        <v>7531</v>
      </c>
      <c r="E8948">
        <v>-29.1</v>
      </c>
      <c r="F8948">
        <v>-0.01</v>
      </c>
      <c r="G8948" t="s">
        <v>12</v>
      </c>
      <c r="I8948" t="s">
        <v>1050</v>
      </c>
    </row>
    <row r="8949" spans="1:9" hidden="1" x14ac:dyDescent="0.25">
      <c r="A8949" t="s">
        <v>7493</v>
      </c>
      <c r="B8949" t="s">
        <v>104</v>
      </c>
      <c r="C8949" s="2">
        <f>HYPERLINK("https://cao.dolgi.msk.ru/account/1080275948/", 1080275948)</f>
        <v>1080275948</v>
      </c>
      <c r="D8949" t="s">
        <v>7532</v>
      </c>
      <c r="E8949">
        <v>-6187.59</v>
      </c>
      <c r="F8949">
        <v>-1.08</v>
      </c>
      <c r="G8949" t="s">
        <v>12</v>
      </c>
      <c r="I8949" t="s">
        <v>1050</v>
      </c>
    </row>
    <row r="8950" spans="1:9" hidden="1" x14ac:dyDescent="0.25">
      <c r="A8950" t="s">
        <v>7493</v>
      </c>
      <c r="B8950" t="s">
        <v>106</v>
      </c>
      <c r="C8950" s="2">
        <f>HYPERLINK("https://cao.dolgi.msk.ru/account/1080275956/", 1080275956)</f>
        <v>1080275956</v>
      </c>
      <c r="D8950" t="s">
        <v>62</v>
      </c>
      <c r="E8950">
        <v>-4921.05</v>
      </c>
      <c r="F8950">
        <v>-1.1000000000000001</v>
      </c>
      <c r="G8950" t="s">
        <v>12</v>
      </c>
      <c r="I8950" t="s">
        <v>1050</v>
      </c>
    </row>
    <row r="8951" spans="1:9" hidden="1" x14ac:dyDescent="0.25">
      <c r="A8951" t="s">
        <v>7493</v>
      </c>
      <c r="B8951" t="s">
        <v>108</v>
      </c>
      <c r="C8951" s="2">
        <f>HYPERLINK("https://cao.dolgi.msk.ru/account/1080275964/", 1080275964)</f>
        <v>1080275964</v>
      </c>
      <c r="D8951" t="s">
        <v>7533</v>
      </c>
      <c r="E8951">
        <v>-6092.55</v>
      </c>
      <c r="F8951">
        <v>-1.3</v>
      </c>
      <c r="G8951" t="s">
        <v>12</v>
      </c>
      <c r="I8951" t="s">
        <v>1050</v>
      </c>
    </row>
    <row r="8952" spans="1:9" hidden="1" x14ac:dyDescent="0.25">
      <c r="A8952" t="s">
        <v>7493</v>
      </c>
      <c r="B8952" t="s">
        <v>110</v>
      </c>
      <c r="C8952" s="2">
        <f>HYPERLINK("https://cao.dolgi.msk.ru/account/1080275972/", 1080275972)</f>
        <v>1080275972</v>
      </c>
      <c r="D8952" t="s">
        <v>7534</v>
      </c>
      <c r="E8952">
        <v>-12032.45</v>
      </c>
      <c r="F8952">
        <v>-1.1100000000000001</v>
      </c>
      <c r="G8952" t="s">
        <v>12</v>
      </c>
      <c r="I8952" t="s">
        <v>1050</v>
      </c>
    </row>
    <row r="8953" spans="1:9" hidden="1" x14ac:dyDescent="0.25">
      <c r="A8953" t="s">
        <v>7493</v>
      </c>
      <c r="B8953" t="s">
        <v>112</v>
      </c>
      <c r="C8953" s="2">
        <f>HYPERLINK("https://cao.dolgi.msk.ru/account/1080275999/", 1080275999)</f>
        <v>1080275999</v>
      </c>
      <c r="D8953" t="s">
        <v>7535</v>
      </c>
      <c r="E8953">
        <v>-388.34</v>
      </c>
      <c r="F8953">
        <v>-0.33</v>
      </c>
      <c r="G8953" t="s">
        <v>12</v>
      </c>
      <c r="I8953" t="s">
        <v>1050</v>
      </c>
    </row>
    <row r="8954" spans="1:9" hidden="1" x14ac:dyDescent="0.25">
      <c r="A8954" t="s">
        <v>7493</v>
      </c>
      <c r="B8954" t="s">
        <v>114</v>
      </c>
      <c r="C8954" s="2">
        <f>HYPERLINK("https://cao.dolgi.msk.ru/account/1080276019/", 1080276019)</f>
        <v>1080276019</v>
      </c>
      <c r="D8954" t="s">
        <v>7536</v>
      </c>
      <c r="E8954">
        <v>-8334.74</v>
      </c>
      <c r="F8954">
        <v>-1.1000000000000001</v>
      </c>
      <c r="G8954" t="s">
        <v>12</v>
      </c>
      <c r="I8954" t="s">
        <v>1050</v>
      </c>
    </row>
    <row r="8955" spans="1:9" hidden="1" x14ac:dyDescent="0.25">
      <c r="A8955" t="s">
        <v>7493</v>
      </c>
      <c r="B8955" t="s">
        <v>116</v>
      </c>
      <c r="C8955" s="2">
        <f>HYPERLINK("https://cao.dolgi.msk.ru/account/1080276027/", 1080276027)</f>
        <v>1080276027</v>
      </c>
      <c r="D8955" t="s">
        <v>7537</v>
      </c>
      <c r="E8955">
        <v>-3771.8</v>
      </c>
      <c r="F8955">
        <v>-1.04</v>
      </c>
      <c r="G8955" t="s">
        <v>12</v>
      </c>
      <c r="I8955" t="s">
        <v>1050</v>
      </c>
    </row>
    <row r="8956" spans="1:9" hidden="1" x14ac:dyDescent="0.25">
      <c r="A8956" t="s">
        <v>7493</v>
      </c>
      <c r="B8956" t="s">
        <v>118</v>
      </c>
      <c r="C8956" s="2">
        <f>HYPERLINK("https://cao.dolgi.msk.ru/account/1080276035/", 1080276035)</f>
        <v>1080276035</v>
      </c>
      <c r="D8956" t="s">
        <v>7538</v>
      </c>
      <c r="E8956">
        <v>-2368.61</v>
      </c>
      <c r="F8956">
        <v>-1.05</v>
      </c>
      <c r="G8956" t="s">
        <v>12</v>
      </c>
      <c r="I8956" t="s">
        <v>1050</v>
      </c>
    </row>
    <row r="8957" spans="1:9" hidden="1" x14ac:dyDescent="0.25">
      <c r="A8957" t="s">
        <v>7493</v>
      </c>
      <c r="B8957" t="s">
        <v>120</v>
      </c>
      <c r="C8957" s="2">
        <f>HYPERLINK("https://cao.dolgi.msk.ru/account/1080276043/", 1080276043)</f>
        <v>1080276043</v>
      </c>
      <c r="D8957" t="s">
        <v>7539</v>
      </c>
      <c r="E8957">
        <v>2104.8200000000002</v>
      </c>
      <c r="F8957">
        <v>0.43</v>
      </c>
      <c r="G8957" t="s">
        <v>12</v>
      </c>
      <c r="I8957" t="s">
        <v>1050</v>
      </c>
    </row>
    <row r="8958" spans="1:9" hidden="1" x14ac:dyDescent="0.25">
      <c r="A8958" t="s">
        <v>7493</v>
      </c>
      <c r="B8958" t="s">
        <v>122</v>
      </c>
      <c r="C8958" s="2">
        <f>HYPERLINK("https://cao.dolgi.msk.ru/account/1080276051/", 1080276051)</f>
        <v>1080276051</v>
      </c>
      <c r="D8958" t="s">
        <v>7540</v>
      </c>
      <c r="E8958">
        <v>38.799999999999997</v>
      </c>
      <c r="F8958">
        <v>0.01</v>
      </c>
      <c r="G8958" t="s">
        <v>12</v>
      </c>
      <c r="I8958" t="s">
        <v>1050</v>
      </c>
    </row>
    <row r="8959" spans="1:9" hidden="1" x14ac:dyDescent="0.25">
      <c r="A8959" t="s">
        <v>7493</v>
      </c>
      <c r="B8959" t="s">
        <v>124</v>
      </c>
      <c r="C8959" s="2">
        <f>HYPERLINK("https://cao.dolgi.msk.ru/account/1080276078/", 1080276078)</f>
        <v>1080276078</v>
      </c>
      <c r="D8959" t="s">
        <v>62</v>
      </c>
      <c r="E8959">
        <v>-9354.73</v>
      </c>
      <c r="F8959">
        <v>-2.7</v>
      </c>
      <c r="G8959" t="s">
        <v>12</v>
      </c>
      <c r="I8959" t="s">
        <v>1050</v>
      </c>
    </row>
    <row r="8960" spans="1:9" hidden="1" x14ac:dyDescent="0.25">
      <c r="A8960" t="s">
        <v>7493</v>
      </c>
      <c r="B8960" t="s">
        <v>126</v>
      </c>
      <c r="C8960" s="2">
        <f>HYPERLINK("https://cao.dolgi.msk.ru/account/1080276086/", 1080276086)</f>
        <v>1080276086</v>
      </c>
      <c r="D8960" t="s">
        <v>7541</v>
      </c>
      <c r="E8960">
        <v>-3122.82</v>
      </c>
      <c r="F8960">
        <v>-1.17</v>
      </c>
      <c r="G8960" t="s">
        <v>12</v>
      </c>
      <c r="I8960" t="s">
        <v>1050</v>
      </c>
    </row>
    <row r="8961" spans="1:9" hidden="1" x14ac:dyDescent="0.25">
      <c r="A8961" t="s">
        <v>7493</v>
      </c>
      <c r="B8961" t="s">
        <v>128</v>
      </c>
      <c r="C8961" s="2">
        <f>HYPERLINK("https://cao.dolgi.msk.ru/account/1080276094/", 1080276094)</f>
        <v>1080276094</v>
      </c>
      <c r="D8961" t="s">
        <v>7542</v>
      </c>
      <c r="E8961">
        <v>397.29</v>
      </c>
      <c r="F8961">
        <v>0.06</v>
      </c>
      <c r="G8961" t="s">
        <v>12</v>
      </c>
      <c r="I8961" t="s">
        <v>1050</v>
      </c>
    </row>
    <row r="8962" spans="1:9" hidden="1" x14ac:dyDescent="0.25">
      <c r="A8962" t="s">
        <v>7493</v>
      </c>
      <c r="B8962" t="s">
        <v>130</v>
      </c>
      <c r="C8962" s="2">
        <f>HYPERLINK("https://cao.dolgi.msk.ru/account/1080276107/", 1080276107)</f>
        <v>1080276107</v>
      </c>
      <c r="D8962" t="s">
        <v>7543</v>
      </c>
      <c r="E8962">
        <v>-5922.28</v>
      </c>
      <c r="F8962">
        <v>-1.04</v>
      </c>
      <c r="G8962" t="s">
        <v>12</v>
      </c>
      <c r="I8962" t="s">
        <v>1050</v>
      </c>
    </row>
    <row r="8963" spans="1:9" hidden="1" x14ac:dyDescent="0.25">
      <c r="A8963" t="s">
        <v>7493</v>
      </c>
      <c r="B8963" t="s">
        <v>132</v>
      </c>
      <c r="C8963" s="2">
        <f>HYPERLINK("https://cao.dolgi.msk.ru/account/1080276115/", 1080276115)</f>
        <v>1080276115</v>
      </c>
      <c r="D8963" t="s">
        <v>7544</v>
      </c>
      <c r="E8963">
        <v>-1745.66</v>
      </c>
      <c r="F8963">
        <v>-1.06</v>
      </c>
      <c r="G8963" t="s">
        <v>12</v>
      </c>
      <c r="I8963" t="s">
        <v>1050</v>
      </c>
    </row>
    <row r="8964" spans="1:9" hidden="1" x14ac:dyDescent="0.25">
      <c r="A8964" t="s">
        <v>7493</v>
      </c>
      <c r="B8964" t="s">
        <v>133</v>
      </c>
      <c r="C8964" s="2">
        <f>HYPERLINK("https://cao.dolgi.msk.ru/account/1080276123/", 1080276123)</f>
        <v>1080276123</v>
      </c>
      <c r="D8964" t="s">
        <v>7545</v>
      </c>
      <c r="E8964">
        <v>-7001.91</v>
      </c>
      <c r="F8964">
        <v>-1.08</v>
      </c>
      <c r="G8964" t="s">
        <v>12</v>
      </c>
      <c r="I8964" t="s">
        <v>1050</v>
      </c>
    </row>
    <row r="8965" spans="1:9" hidden="1" x14ac:dyDescent="0.25">
      <c r="A8965" t="s">
        <v>7493</v>
      </c>
      <c r="B8965" t="s">
        <v>135</v>
      </c>
      <c r="C8965" s="2">
        <f>HYPERLINK("https://cao.dolgi.msk.ru/account/1080276131/", 1080276131)</f>
        <v>1080276131</v>
      </c>
      <c r="D8965" t="s">
        <v>7546</v>
      </c>
      <c r="E8965">
        <v>0</v>
      </c>
      <c r="F8965">
        <v>0</v>
      </c>
      <c r="G8965" t="s">
        <v>12</v>
      </c>
      <c r="I8965" t="s">
        <v>1050</v>
      </c>
    </row>
    <row r="8966" spans="1:9" hidden="1" x14ac:dyDescent="0.25">
      <c r="A8966" t="s">
        <v>7493</v>
      </c>
      <c r="B8966" t="s">
        <v>137</v>
      </c>
      <c r="C8966" s="2">
        <f>HYPERLINK("https://cao.dolgi.msk.ru/account/1080276158/", 1080276158)</f>
        <v>1080276158</v>
      </c>
      <c r="D8966" t="s">
        <v>7547</v>
      </c>
      <c r="E8966">
        <v>-4487.63</v>
      </c>
      <c r="F8966">
        <v>-1.1100000000000001</v>
      </c>
      <c r="G8966" t="s">
        <v>12</v>
      </c>
      <c r="I8966" t="s">
        <v>1050</v>
      </c>
    </row>
    <row r="8967" spans="1:9" hidden="1" x14ac:dyDescent="0.25">
      <c r="A8967" t="s">
        <v>7493</v>
      </c>
      <c r="B8967" t="s">
        <v>139</v>
      </c>
      <c r="C8967" s="2">
        <f>HYPERLINK("https://cao.dolgi.msk.ru/account/1080276166/", 1080276166)</f>
        <v>1080276166</v>
      </c>
      <c r="D8967" t="s">
        <v>7548</v>
      </c>
      <c r="E8967">
        <v>-6194.41</v>
      </c>
      <c r="F8967">
        <v>-1.0900000000000001</v>
      </c>
      <c r="G8967" t="s">
        <v>12</v>
      </c>
      <c r="I8967" t="s">
        <v>1050</v>
      </c>
    </row>
    <row r="8968" spans="1:9" hidden="1" x14ac:dyDescent="0.25">
      <c r="A8968" t="s">
        <v>7493</v>
      </c>
      <c r="B8968" t="s">
        <v>141</v>
      </c>
      <c r="C8968" s="2">
        <f>HYPERLINK("https://cao.dolgi.msk.ru/account/1080276174/", 1080276174)</f>
        <v>1080276174</v>
      </c>
      <c r="D8968" t="s">
        <v>7549</v>
      </c>
      <c r="E8968">
        <v>3631.74</v>
      </c>
      <c r="F8968">
        <v>1</v>
      </c>
      <c r="G8968" t="s">
        <v>12</v>
      </c>
      <c r="I8968" t="s">
        <v>1050</v>
      </c>
    </row>
    <row r="8969" spans="1:9" hidden="1" x14ac:dyDescent="0.25">
      <c r="A8969" t="s">
        <v>7493</v>
      </c>
      <c r="B8969" t="s">
        <v>143</v>
      </c>
      <c r="C8969" s="2">
        <f>HYPERLINK("https://cao.dolgi.msk.ru/account/1080276182/", 1080276182)</f>
        <v>1080276182</v>
      </c>
      <c r="D8969" t="s">
        <v>7550</v>
      </c>
      <c r="E8969">
        <v>-560.32000000000005</v>
      </c>
      <c r="F8969">
        <v>-0.12</v>
      </c>
      <c r="G8969" t="s">
        <v>12</v>
      </c>
      <c r="I8969" t="s">
        <v>1050</v>
      </c>
    </row>
    <row r="8970" spans="1:9" hidden="1" x14ac:dyDescent="0.25">
      <c r="A8970" t="s">
        <v>7493</v>
      </c>
      <c r="B8970" t="s">
        <v>145</v>
      </c>
      <c r="C8970" s="2">
        <f>HYPERLINK("https://cao.dolgi.msk.ru/account/1080276203/", 1080276203)</f>
        <v>1080276203</v>
      </c>
      <c r="D8970" t="s">
        <v>7551</v>
      </c>
      <c r="E8970">
        <v>-3538.05</v>
      </c>
      <c r="F8970">
        <v>-1.07</v>
      </c>
      <c r="G8970" t="s">
        <v>12</v>
      </c>
      <c r="I8970" t="s">
        <v>1050</v>
      </c>
    </row>
    <row r="8971" spans="1:9" hidden="1" x14ac:dyDescent="0.25">
      <c r="A8971" t="s">
        <v>7493</v>
      </c>
      <c r="B8971" t="s">
        <v>147</v>
      </c>
      <c r="C8971" s="2">
        <f>HYPERLINK("https://cao.dolgi.msk.ru/account/1080276211/", 1080276211)</f>
        <v>1080276211</v>
      </c>
      <c r="D8971" t="s">
        <v>7552</v>
      </c>
      <c r="E8971">
        <v>-6324.9</v>
      </c>
      <c r="F8971">
        <v>-1.08</v>
      </c>
      <c r="G8971" t="s">
        <v>12</v>
      </c>
      <c r="I8971" t="s">
        <v>1050</v>
      </c>
    </row>
    <row r="8972" spans="1:9" hidden="1" x14ac:dyDescent="0.25">
      <c r="A8972" t="s">
        <v>7493</v>
      </c>
      <c r="B8972" t="s">
        <v>149</v>
      </c>
      <c r="C8972" s="2">
        <f>HYPERLINK("https://cao.dolgi.msk.ru/account/1080276238/", 1080276238)</f>
        <v>1080276238</v>
      </c>
      <c r="D8972" t="s">
        <v>7553</v>
      </c>
      <c r="E8972">
        <v>-2826.12</v>
      </c>
      <c r="F8972">
        <v>-1.1499999999999999</v>
      </c>
      <c r="G8972" t="s">
        <v>12</v>
      </c>
      <c r="I8972" t="s">
        <v>1050</v>
      </c>
    </row>
    <row r="8973" spans="1:9" hidden="1" x14ac:dyDescent="0.25">
      <c r="A8973" t="s">
        <v>7493</v>
      </c>
      <c r="B8973" t="s">
        <v>151</v>
      </c>
      <c r="C8973" s="2">
        <f>HYPERLINK("https://cao.dolgi.msk.ru/account/1080276246/", 1080276246)</f>
        <v>1080276246</v>
      </c>
      <c r="D8973" t="s">
        <v>7554</v>
      </c>
      <c r="E8973">
        <v>-2416.83</v>
      </c>
      <c r="F8973">
        <v>-1.1200000000000001</v>
      </c>
      <c r="G8973" t="s">
        <v>12</v>
      </c>
      <c r="I8973" t="s">
        <v>1050</v>
      </c>
    </row>
    <row r="8974" spans="1:9" hidden="1" x14ac:dyDescent="0.25">
      <c r="A8974" t="s">
        <v>7493</v>
      </c>
      <c r="B8974" t="s">
        <v>153</v>
      </c>
      <c r="C8974" s="2">
        <f>HYPERLINK("https://cao.dolgi.msk.ru/account/1080276254/", 1080276254)</f>
        <v>1080276254</v>
      </c>
      <c r="D8974" t="s">
        <v>7555</v>
      </c>
      <c r="E8974">
        <v>-3090.81</v>
      </c>
      <c r="F8974">
        <v>-0.96</v>
      </c>
      <c r="G8974" t="s">
        <v>12</v>
      </c>
      <c r="I8974" t="s">
        <v>1050</v>
      </c>
    </row>
    <row r="8975" spans="1:9" hidden="1" x14ac:dyDescent="0.25">
      <c r="A8975" t="s">
        <v>7493</v>
      </c>
      <c r="B8975" t="s">
        <v>155</v>
      </c>
      <c r="C8975" s="2">
        <f>HYPERLINK("https://cao.dolgi.msk.ru/account/1080276262/", 1080276262)</f>
        <v>1080276262</v>
      </c>
      <c r="D8975" t="s">
        <v>7556</v>
      </c>
      <c r="E8975">
        <v>-3507.93</v>
      </c>
      <c r="F8975">
        <v>-1.18</v>
      </c>
      <c r="G8975" t="s">
        <v>12</v>
      </c>
      <c r="I8975" t="s">
        <v>1050</v>
      </c>
    </row>
    <row r="8976" spans="1:9" hidden="1" x14ac:dyDescent="0.25">
      <c r="A8976" t="s">
        <v>7493</v>
      </c>
      <c r="B8976" t="s">
        <v>157</v>
      </c>
      <c r="C8976" s="2">
        <f>HYPERLINK("https://cao.dolgi.msk.ru/account/1080276289/", 1080276289)</f>
        <v>1080276289</v>
      </c>
      <c r="D8976" t="s">
        <v>15</v>
      </c>
      <c r="E8976">
        <v>-385.35</v>
      </c>
      <c r="F8976">
        <v>-0.1</v>
      </c>
      <c r="G8976" t="s">
        <v>12</v>
      </c>
      <c r="I8976" t="s">
        <v>1050</v>
      </c>
    </row>
    <row r="8977" spans="1:9" hidden="1" x14ac:dyDescent="0.25">
      <c r="A8977" t="s">
        <v>7493</v>
      </c>
      <c r="B8977" t="s">
        <v>159</v>
      </c>
      <c r="C8977" s="2">
        <f>HYPERLINK("https://cao.dolgi.msk.ru/account/1080276297/", 1080276297)</f>
        <v>1080276297</v>
      </c>
      <c r="D8977" t="s">
        <v>7557</v>
      </c>
      <c r="E8977">
        <v>-4842.29</v>
      </c>
      <c r="F8977">
        <v>-1.01</v>
      </c>
      <c r="G8977" t="s">
        <v>12</v>
      </c>
      <c r="I8977" t="s">
        <v>1050</v>
      </c>
    </row>
    <row r="8978" spans="1:9" hidden="1" x14ac:dyDescent="0.25">
      <c r="A8978" t="s">
        <v>7493</v>
      </c>
      <c r="B8978" t="s">
        <v>161</v>
      </c>
      <c r="C8978" s="2">
        <f>HYPERLINK("https://cao.dolgi.msk.ru/account/1080276318/", 1080276318)</f>
        <v>1080276318</v>
      </c>
      <c r="D8978" t="s">
        <v>7558</v>
      </c>
      <c r="E8978">
        <v>-2987.93</v>
      </c>
      <c r="F8978">
        <v>-1.1200000000000001</v>
      </c>
      <c r="G8978" t="s">
        <v>12</v>
      </c>
      <c r="I8978" t="s">
        <v>1050</v>
      </c>
    </row>
    <row r="8979" spans="1:9" hidden="1" x14ac:dyDescent="0.25">
      <c r="A8979" t="s">
        <v>7493</v>
      </c>
      <c r="B8979" t="s">
        <v>163</v>
      </c>
      <c r="C8979" s="2">
        <f>HYPERLINK("https://cao.dolgi.msk.ru/account/1080276326/", 1080276326)</f>
        <v>1080276326</v>
      </c>
      <c r="D8979" t="s">
        <v>7559</v>
      </c>
      <c r="E8979">
        <v>-5479.91</v>
      </c>
      <c r="F8979">
        <v>-1.06</v>
      </c>
      <c r="G8979" t="s">
        <v>12</v>
      </c>
      <c r="I8979" t="s">
        <v>1050</v>
      </c>
    </row>
    <row r="8980" spans="1:9" hidden="1" x14ac:dyDescent="0.25">
      <c r="A8980" t="s">
        <v>7493</v>
      </c>
      <c r="B8980" t="s">
        <v>571</v>
      </c>
      <c r="C8980" s="2">
        <f>HYPERLINK("https://cao.dolgi.msk.ru/account/1080276334/", 1080276334)</f>
        <v>1080276334</v>
      </c>
      <c r="D8980" t="s">
        <v>7560</v>
      </c>
      <c r="E8980">
        <v>-1784.85</v>
      </c>
      <c r="F8980">
        <v>-1.1299999999999999</v>
      </c>
      <c r="G8980" t="s">
        <v>12</v>
      </c>
      <c r="I8980" t="s">
        <v>1050</v>
      </c>
    </row>
    <row r="8981" spans="1:9" hidden="1" x14ac:dyDescent="0.25">
      <c r="A8981" t="s">
        <v>7493</v>
      </c>
      <c r="B8981" t="s">
        <v>682</v>
      </c>
      <c r="C8981" s="2">
        <f>HYPERLINK("https://cao.dolgi.msk.ru/account/1080276342/", 1080276342)</f>
        <v>1080276342</v>
      </c>
      <c r="D8981" t="s">
        <v>7561</v>
      </c>
      <c r="E8981">
        <v>-4754.7700000000004</v>
      </c>
      <c r="F8981">
        <v>-1.21</v>
      </c>
      <c r="G8981" t="s">
        <v>12</v>
      </c>
      <c r="I8981" t="s">
        <v>1050</v>
      </c>
    </row>
    <row r="8982" spans="1:9" hidden="1" x14ac:dyDescent="0.25">
      <c r="A8982" t="s">
        <v>7493</v>
      </c>
      <c r="B8982" t="s">
        <v>578</v>
      </c>
      <c r="C8982" s="2">
        <f>HYPERLINK("https://cao.dolgi.msk.ru/account/1080276369/", 1080276369)</f>
        <v>1080276369</v>
      </c>
      <c r="D8982" t="s">
        <v>62</v>
      </c>
      <c r="E8982">
        <v>-5389.25</v>
      </c>
      <c r="F8982">
        <v>-1.66</v>
      </c>
      <c r="G8982" t="s">
        <v>12</v>
      </c>
      <c r="I8982" t="s">
        <v>1050</v>
      </c>
    </row>
    <row r="8983" spans="1:9" hidden="1" x14ac:dyDescent="0.25">
      <c r="A8983" t="s">
        <v>7493</v>
      </c>
      <c r="B8983" t="s">
        <v>580</v>
      </c>
      <c r="C8983" s="2">
        <f>HYPERLINK("https://cao.dolgi.msk.ru/account/1080276377/", 1080276377)</f>
        <v>1080276377</v>
      </c>
      <c r="D8983" t="s">
        <v>7562</v>
      </c>
      <c r="E8983">
        <v>-4101.05</v>
      </c>
      <c r="F8983">
        <v>-1.01</v>
      </c>
      <c r="G8983" t="s">
        <v>12</v>
      </c>
      <c r="I8983" t="s">
        <v>1050</v>
      </c>
    </row>
    <row r="8984" spans="1:9" hidden="1" x14ac:dyDescent="0.25">
      <c r="A8984" t="s">
        <v>7493</v>
      </c>
      <c r="B8984" t="s">
        <v>686</v>
      </c>
      <c r="C8984" s="2">
        <f>HYPERLINK("https://cao.dolgi.msk.ru/account/1080276385/", 1080276385)</f>
        <v>1080276385</v>
      </c>
      <c r="D8984" t="s">
        <v>7563</v>
      </c>
      <c r="E8984">
        <v>-4036.48</v>
      </c>
      <c r="F8984">
        <v>-1.18</v>
      </c>
      <c r="G8984" t="s">
        <v>12</v>
      </c>
      <c r="I8984" t="s">
        <v>1050</v>
      </c>
    </row>
    <row r="8985" spans="1:9" hidden="1" x14ac:dyDescent="0.25">
      <c r="A8985" t="s">
        <v>7493</v>
      </c>
      <c r="B8985" t="s">
        <v>582</v>
      </c>
      <c r="C8985" s="2">
        <f>HYPERLINK("https://cao.dolgi.msk.ru/account/1080276393/", 1080276393)</f>
        <v>1080276393</v>
      </c>
      <c r="D8985" t="s">
        <v>15</v>
      </c>
      <c r="E8985">
        <v>787.18</v>
      </c>
      <c r="G8985" t="s">
        <v>14</v>
      </c>
      <c r="I8985" t="s">
        <v>1050</v>
      </c>
    </row>
    <row r="8986" spans="1:9" hidden="1" x14ac:dyDescent="0.25">
      <c r="A8986" t="s">
        <v>7493</v>
      </c>
      <c r="B8986" t="s">
        <v>582</v>
      </c>
      <c r="C8986" s="2">
        <f>HYPERLINK("https://cao.dolgi.msk.ru/account/1089124695/", 1089124695)</f>
        <v>1089124695</v>
      </c>
      <c r="D8986" t="s">
        <v>15</v>
      </c>
      <c r="E8986">
        <v>8954.49</v>
      </c>
      <c r="F8986">
        <v>0.87</v>
      </c>
      <c r="G8986" t="s">
        <v>12</v>
      </c>
      <c r="I8986" t="s">
        <v>1050</v>
      </c>
    </row>
    <row r="8987" spans="1:9" hidden="1" x14ac:dyDescent="0.25">
      <c r="A8987" t="s">
        <v>7493</v>
      </c>
      <c r="B8987" t="s">
        <v>584</v>
      </c>
      <c r="C8987" s="2">
        <f>HYPERLINK("https://cao.dolgi.msk.ru/account/1080276406/", 1080276406)</f>
        <v>1080276406</v>
      </c>
      <c r="D8987" t="s">
        <v>7564</v>
      </c>
      <c r="E8987">
        <v>-5322.78</v>
      </c>
      <c r="F8987">
        <v>-2.5</v>
      </c>
      <c r="G8987" t="s">
        <v>12</v>
      </c>
      <c r="I8987" t="s">
        <v>1050</v>
      </c>
    </row>
    <row r="8988" spans="1:9" hidden="1" x14ac:dyDescent="0.25">
      <c r="A8988" t="s">
        <v>7493</v>
      </c>
      <c r="B8988" t="s">
        <v>586</v>
      </c>
      <c r="C8988" s="2">
        <f>HYPERLINK("https://cao.dolgi.msk.ru/account/1080276414/", 1080276414)</f>
        <v>1080276414</v>
      </c>
      <c r="D8988" t="s">
        <v>7565</v>
      </c>
      <c r="E8988">
        <v>-4488.5600000000004</v>
      </c>
      <c r="F8988">
        <v>-1.21</v>
      </c>
      <c r="G8988" t="s">
        <v>12</v>
      </c>
      <c r="I8988" t="s">
        <v>1050</v>
      </c>
    </row>
    <row r="8989" spans="1:9" hidden="1" x14ac:dyDescent="0.25">
      <c r="A8989" t="s">
        <v>7493</v>
      </c>
      <c r="B8989" t="s">
        <v>588</v>
      </c>
      <c r="C8989" s="2">
        <f>HYPERLINK("https://cao.dolgi.msk.ru/account/1080276422/", 1080276422)</f>
        <v>1080276422</v>
      </c>
      <c r="D8989" t="s">
        <v>7566</v>
      </c>
      <c r="E8989">
        <v>-4349.7</v>
      </c>
      <c r="F8989">
        <v>-1.3</v>
      </c>
      <c r="G8989" t="s">
        <v>12</v>
      </c>
      <c r="I8989" t="s">
        <v>1050</v>
      </c>
    </row>
    <row r="8990" spans="1:9" hidden="1" x14ac:dyDescent="0.25">
      <c r="A8990" t="s">
        <v>7493</v>
      </c>
      <c r="B8990" t="s">
        <v>590</v>
      </c>
      <c r="C8990" s="2">
        <f>HYPERLINK("https://cao.dolgi.msk.ru/account/1080276449/", 1080276449)</f>
        <v>1080276449</v>
      </c>
      <c r="D8990" t="s">
        <v>7567</v>
      </c>
      <c r="E8990">
        <v>35.85</v>
      </c>
      <c r="F8990">
        <v>0.01</v>
      </c>
      <c r="G8990" t="s">
        <v>12</v>
      </c>
      <c r="I8990" t="s">
        <v>1050</v>
      </c>
    </row>
    <row r="8991" spans="1:9" hidden="1" x14ac:dyDescent="0.25">
      <c r="A8991" t="s">
        <v>7493</v>
      </c>
      <c r="B8991" t="s">
        <v>590</v>
      </c>
      <c r="C8991" s="2">
        <f>HYPERLINK("https://cao.dolgi.msk.ru/account/1083282713/", 1083282713)</f>
        <v>1083282713</v>
      </c>
      <c r="D8991" t="s">
        <v>15</v>
      </c>
      <c r="E8991">
        <v>73.48</v>
      </c>
      <c r="G8991" t="s">
        <v>14</v>
      </c>
      <c r="I8991" t="s">
        <v>1050</v>
      </c>
    </row>
    <row r="8992" spans="1:9" hidden="1" x14ac:dyDescent="0.25">
      <c r="A8992" t="s">
        <v>7568</v>
      </c>
      <c r="B8992" t="s">
        <v>10</v>
      </c>
      <c r="C8992" s="2">
        <f>HYPERLINK("https://cao.dolgi.msk.ru/account/1080043215/", 1080043215)</f>
        <v>1080043215</v>
      </c>
      <c r="D8992" t="s">
        <v>7569</v>
      </c>
      <c r="E8992">
        <v>114.73</v>
      </c>
      <c r="G8992" t="s">
        <v>14</v>
      </c>
      <c r="I8992" t="s">
        <v>13</v>
      </c>
    </row>
    <row r="8993" spans="1:9" hidden="1" x14ac:dyDescent="0.25">
      <c r="A8993" t="s">
        <v>7568</v>
      </c>
      <c r="B8993" t="s">
        <v>10</v>
      </c>
      <c r="C8993" s="2">
        <f>HYPERLINK("https://cao.dolgi.msk.ru/account/1083386379/", 1083386379)</f>
        <v>1083386379</v>
      </c>
      <c r="D8993" t="s">
        <v>7569</v>
      </c>
      <c r="E8993">
        <v>0</v>
      </c>
      <c r="F8993">
        <v>0</v>
      </c>
      <c r="G8993" t="s">
        <v>12</v>
      </c>
      <c r="I8993" t="s">
        <v>13</v>
      </c>
    </row>
    <row r="8994" spans="1:9" hidden="1" x14ac:dyDescent="0.25">
      <c r="A8994" t="s">
        <v>7568</v>
      </c>
      <c r="B8994" t="s">
        <v>16</v>
      </c>
      <c r="C8994" s="2">
        <f>HYPERLINK("https://cao.dolgi.msk.ru/account/1080030684/", 1080030684)</f>
        <v>1080030684</v>
      </c>
      <c r="D8994" t="s">
        <v>7570</v>
      </c>
      <c r="E8994">
        <v>180.74</v>
      </c>
      <c r="G8994" t="s">
        <v>14</v>
      </c>
      <c r="I8994" t="s">
        <v>13</v>
      </c>
    </row>
    <row r="8995" spans="1:9" hidden="1" x14ac:dyDescent="0.25">
      <c r="A8995" t="s">
        <v>7568</v>
      </c>
      <c r="B8995" t="s">
        <v>16</v>
      </c>
      <c r="C8995" s="2">
        <f>HYPERLINK("https://cao.dolgi.msk.ru/account/1083386387/", 1083386387)</f>
        <v>1083386387</v>
      </c>
      <c r="D8995" t="s">
        <v>7570</v>
      </c>
      <c r="E8995">
        <v>-6624.09</v>
      </c>
      <c r="F8995">
        <v>-1.1499999999999999</v>
      </c>
      <c r="G8995" t="s">
        <v>12</v>
      </c>
      <c r="I8995" t="s">
        <v>13</v>
      </c>
    </row>
    <row r="8996" spans="1:9" hidden="1" x14ac:dyDescent="0.25">
      <c r="A8996" t="s">
        <v>7568</v>
      </c>
      <c r="B8996" t="s">
        <v>18</v>
      </c>
      <c r="C8996" s="2">
        <f>HYPERLINK("https://cao.dolgi.msk.ru/account/1080042749/", 1080042749)</f>
        <v>1080042749</v>
      </c>
      <c r="D8996" t="s">
        <v>7571</v>
      </c>
      <c r="E8996">
        <v>11578.01</v>
      </c>
      <c r="F8996">
        <v>3.47</v>
      </c>
      <c r="G8996" t="s">
        <v>14</v>
      </c>
      <c r="I8996" t="s">
        <v>13</v>
      </c>
    </row>
    <row r="8997" spans="1:9" x14ac:dyDescent="0.25">
      <c r="A8997" t="s">
        <v>7568</v>
      </c>
      <c r="B8997" t="s">
        <v>18</v>
      </c>
      <c r="C8997" s="2">
        <f>HYPERLINK("https://cao.dolgi.msk.ru/account/1083386408/", 1083386408)</f>
        <v>1083386408</v>
      </c>
      <c r="D8997" t="s">
        <v>7571</v>
      </c>
      <c r="E8997">
        <v>12313.96</v>
      </c>
      <c r="F8997">
        <v>1.96</v>
      </c>
      <c r="G8997" t="s">
        <v>12</v>
      </c>
      <c r="I8997" t="s">
        <v>13</v>
      </c>
    </row>
    <row r="8998" spans="1:9" hidden="1" x14ac:dyDescent="0.25">
      <c r="A8998" t="s">
        <v>7568</v>
      </c>
      <c r="B8998" t="s">
        <v>20</v>
      </c>
      <c r="C8998" s="2">
        <f>HYPERLINK("https://cao.dolgi.msk.ru/account/1080042933/", 1080042933)</f>
        <v>1080042933</v>
      </c>
      <c r="D8998" t="s">
        <v>7572</v>
      </c>
      <c r="E8998">
        <v>119.54</v>
      </c>
      <c r="G8998" t="s">
        <v>14</v>
      </c>
      <c r="I8998" t="s">
        <v>13</v>
      </c>
    </row>
    <row r="8999" spans="1:9" hidden="1" x14ac:dyDescent="0.25">
      <c r="A8999" t="s">
        <v>7568</v>
      </c>
      <c r="B8999" t="s">
        <v>20</v>
      </c>
      <c r="C8999" s="2">
        <f>HYPERLINK("https://cao.dolgi.msk.ru/account/1083386619/", 1083386619)</f>
        <v>1083386619</v>
      </c>
      <c r="D8999" t="s">
        <v>7572</v>
      </c>
      <c r="E8999">
        <v>-204</v>
      </c>
      <c r="F8999">
        <v>-0.03</v>
      </c>
      <c r="G8999" t="s">
        <v>12</v>
      </c>
      <c r="I8999" t="s">
        <v>13</v>
      </c>
    </row>
    <row r="9000" spans="1:9" hidden="1" x14ac:dyDescent="0.25">
      <c r="A9000" t="s">
        <v>7568</v>
      </c>
      <c r="B9000" t="s">
        <v>21</v>
      </c>
      <c r="C9000" s="2">
        <f>HYPERLINK("https://cao.dolgi.msk.ru/account/1080042896/", 1080042896)</f>
        <v>1080042896</v>
      </c>
      <c r="D9000" t="s">
        <v>7573</v>
      </c>
      <c r="E9000">
        <v>1558.23</v>
      </c>
      <c r="F9000">
        <v>1.08</v>
      </c>
      <c r="G9000" t="s">
        <v>14</v>
      </c>
      <c r="I9000" t="s">
        <v>13</v>
      </c>
    </row>
    <row r="9001" spans="1:9" hidden="1" x14ac:dyDescent="0.25">
      <c r="A9001" t="s">
        <v>7568</v>
      </c>
      <c r="B9001" t="s">
        <v>21</v>
      </c>
      <c r="C9001" s="2">
        <f>HYPERLINK("https://cao.dolgi.msk.ru/account/1083386555/", 1083386555)</f>
        <v>1083386555</v>
      </c>
      <c r="D9001" t="s">
        <v>7573</v>
      </c>
      <c r="E9001">
        <v>-10568.06</v>
      </c>
      <c r="F9001">
        <v>-1.08</v>
      </c>
      <c r="G9001" t="s">
        <v>12</v>
      </c>
      <c r="I9001" t="s">
        <v>13</v>
      </c>
    </row>
    <row r="9002" spans="1:9" hidden="1" x14ac:dyDescent="0.25">
      <c r="A9002" t="s">
        <v>7568</v>
      </c>
      <c r="B9002" t="s">
        <v>22</v>
      </c>
      <c r="C9002" s="2">
        <f>HYPERLINK("https://cao.dolgi.msk.ru/account/1080042052/", 1080042052)</f>
        <v>1080042052</v>
      </c>
      <c r="D9002" t="s">
        <v>7574</v>
      </c>
      <c r="E9002">
        <v>205.35</v>
      </c>
      <c r="F9002">
        <v>1.51</v>
      </c>
      <c r="G9002" t="s">
        <v>14</v>
      </c>
      <c r="I9002" t="s">
        <v>13</v>
      </c>
    </row>
    <row r="9003" spans="1:9" hidden="1" x14ac:dyDescent="0.25">
      <c r="A9003" t="s">
        <v>7568</v>
      </c>
      <c r="B9003" t="s">
        <v>22</v>
      </c>
      <c r="C9003" s="2">
        <f>HYPERLINK("https://cao.dolgi.msk.ru/account/1083386539/", 1083386539)</f>
        <v>1083386539</v>
      </c>
      <c r="D9003" t="s">
        <v>7574</v>
      </c>
      <c r="E9003">
        <v>-5481.04</v>
      </c>
      <c r="F9003">
        <v>-1.1499999999999999</v>
      </c>
      <c r="G9003" t="s">
        <v>12</v>
      </c>
      <c r="I9003" t="s">
        <v>13</v>
      </c>
    </row>
    <row r="9004" spans="1:9" hidden="1" x14ac:dyDescent="0.25">
      <c r="A9004" t="s">
        <v>7568</v>
      </c>
      <c r="B9004" t="s">
        <v>23</v>
      </c>
      <c r="C9004" s="2">
        <f>HYPERLINK("https://cao.dolgi.msk.ru/account/1080042917/", 1080042917)</f>
        <v>1080042917</v>
      </c>
      <c r="D9004" t="s">
        <v>7575</v>
      </c>
      <c r="E9004">
        <v>0</v>
      </c>
      <c r="G9004" t="s">
        <v>14</v>
      </c>
      <c r="I9004" t="s">
        <v>13</v>
      </c>
    </row>
    <row r="9005" spans="1:9" hidden="1" x14ac:dyDescent="0.25">
      <c r="A9005" t="s">
        <v>7568</v>
      </c>
      <c r="B9005" t="s">
        <v>23</v>
      </c>
      <c r="C9005" s="2">
        <f>HYPERLINK("https://cao.dolgi.msk.ru/account/1083386352/", 1083386352)</f>
        <v>1083386352</v>
      </c>
      <c r="D9005" t="s">
        <v>7576</v>
      </c>
      <c r="E9005">
        <v>2414.48</v>
      </c>
      <c r="F9005">
        <v>0.36</v>
      </c>
      <c r="G9005" t="s">
        <v>12</v>
      </c>
      <c r="I9005" t="s">
        <v>13</v>
      </c>
    </row>
    <row r="9006" spans="1:9" hidden="1" x14ac:dyDescent="0.25">
      <c r="A9006" t="s">
        <v>7568</v>
      </c>
      <c r="B9006" t="s">
        <v>24</v>
      </c>
      <c r="C9006" s="2">
        <f>HYPERLINK("https://cao.dolgi.msk.ru/account/1080042845/", 1080042845)</f>
        <v>1080042845</v>
      </c>
      <c r="D9006" t="s">
        <v>7577</v>
      </c>
      <c r="E9006">
        <v>2033.47</v>
      </c>
      <c r="F9006">
        <v>1.06</v>
      </c>
      <c r="G9006" t="s">
        <v>14</v>
      </c>
      <c r="I9006" t="s">
        <v>13</v>
      </c>
    </row>
    <row r="9007" spans="1:9" hidden="1" x14ac:dyDescent="0.25">
      <c r="A9007" t="s">
        <v>7568</v>
      </c>
      <c r="B9007" t="s">
        <v>24</v>
      </c>
      <c r="C9007" s="2">
        <f>HYPERLINK("https://cao.dolgi.msk.ru/account/1083386459/", 1083386459)</f>
        <v>1083386459</v>
      </c>
      <c r="D9007" t="s">
        <v>7577</v>
      </c>
      <c r="E9007">
        <v>-6976.42</v>
      </c>
      <c r="F9007">
        <v>-1.06</v>
      </c>
      <c r="G9007" t="s">
        <v>12</v>
      </c>
      <c r="I9007" t="s">
        <v>13</v>
      </c>
    </row>
    <row r="9008" spans="1:9" hidden="1" x14ac:dyDescent="0.25">
      <c r="A9008" t="s">
        <v>7568</v>
      </c>
      <c r="B9008" t="s">
        <v>27</v>
      </c>
      <c r="C9008" s="2">
        <f>HYPERLINK("https://cao.dolgi.msk.ru/account/1080042722/", 1080042722)</f>
        <v>1080042722</v>
      </c>
      <c r="D9008" t="s">
        <v>7578</v>
      </c>
      <c r="E9008">
        <v>333.83</v>
      </c>
      <c r="F9008">
        <v>1.54</v>
      </c>
      <c r="G9008" t="s">
        <v>14</v>
      </c>
      <c r="I9008" t="s">
        <v>13</v>
      </c>
    </row>
    <row r="9009" spans="1:9" hidden="1" x14ac:dyDescent="0.25">
      <c r="A9009" t="s">
        <v>7568</v>
      </c>
      <c r="B9009" t="s">
        <v>27</v>
      </c>
      <c r="C9009" s="2">
        <f>HYPERLINK("https://cao.dolgi.msk.ru/account/1083386467/", 1083386467)</f>
        <v>1083386467</v>
      </c>
      <c r="D9009" t="s">
        <v>7578</v>
      </c>
      <c r="E9009">
        <v>-7251.67</v>
      </c>
      <c r="F9009">
        <v>-0.63</v>
      </c>
      <c r="G9009" t="s">
        <v>12</v>
      </c>
      <c r="I9009" t="s">
        <v>13</v>
      </c>
    </row>
    <row r="9010" spans="1:9" hidden="1" x14ac:dyDescent="0.25">
      <c r="A9010" t="s">
        <v>7568</v>
      </c>
      <c r="B9010" t="s">
        <v>29</v>
      </c>
      <c r="C9010" s="2">
        <f>HYPERLINK("https://cao.dolgi.msk.ru/account/1080042829/", 1080042829)</f>
        <v>1080042829</v>
      </c>
      <c r="D9010" t="s">
        <v>7579</v>
      </c>
      <c r="E9010">
        <v>60.31</v>
      </c>
      <c r="G9010" t="s">
        <v>14</v>
      </c>
      <c r="I9010" t="s">
        <v>13</v>
      </c>
    </row>
    <row r="9011" spans="1:9" hidden="1" x14ac:dyDescent="0.25">
      <c r="A9011" t="s">
        <v>7568</v>
      </c>
      <c r="B9011" t="s">
        <v>29</v>
      </c>
      <c r="C9011" s="2">
        <f>HYPERLINK("https://cao.dolgi.msk.ru/account/1083386491/", 1083386491)</f>
        <v>1083386491</v>
      </c>
      <c r="D9011" t="s">
        <v>7579</v>
      </c>
      <c r="E9011">
        <v>-5782.57</v>
      </c>
      <c r="F9011">
        <v>-1.1299999999999999</v>
      </c>
      <c r="G9011" t="s">
        <v>12</v>
      </c>
      <c r="I9011" t="s">
        <v>13</v>
      </c>
    </row>
    <row r="9012" spans="1:9" hidden="1" x14ac:dyDescent="0.25">
      <c r="A9012" t="s">
        <v>7568</v>
      </c>
      <c r="B9012" t="s">
        <v>31</v>
      </c>
      <c r="C9012" s="2">
        <f>HYPERLINK("https://cao.dolgi.msk.ru/account/1080042837/", 1080042837)</f>
        <v>1080042837</v>
      </c>
      <c r="D9012" t="s">
        <v>7580</v>
      </c>
      <c r="E9012">
        <v>365.65</v>
      </c>
      <c r="F9012">
        <v>1.19</v>
      </c>
      <c r="G9012" t="s">
        <v>14</v>
      </c>
      <c r="I9012" t="s">
        <v>13</v>
      </c>
    </row>
    <row r="9013" spans="1:9" hidden="1" x14ac:dyDescent="0.25">
      <c r="A9013" t="s">
        <v>7568</v>
      </c>
      <c r="B9013" t="s">
        <v>31</v>
      </c>
      <c r="C9013" s="2">
        <f>HYPERLINK("https://cao.dolgi.msk.ru/account/1083386635/", 1083386635)</f>
        <v>1083386635</v>
      </c>
      <c r="D9013" t="s">
        <v>7581</v>
      </c>
      <c r="E9013">
        <v>0</v>
      </c>
      <c r="F9013">
        <v>0</v>
      </c>
      <c r="G9013" t="s">
        <v>12</v>
      </c>
      <c r="I9013" t="s">
        <v>13</v>
      </c>
    </row>
    <row r="9014" spans="1:9" hidden="1" x14ac:dyDescent="0.25">
      <c r="A9014" t="s">
        <v>7568</v>
      </c>
      <c r="B9014" t="s">
        <v>33</v>
      </c>
      <c r="C9014" s="2">
        <f>HYPERLINK("https://cao.dolgi.msk.ru/account/1080042781/", 1080042781)</f>
        <v>1080042781</v>
      </c>
      <c r="D9014" t="s">
        <v>7582</v>
      </c>
      <c r="E9014">
        <v>1053.1300000000001</v>
      </c>
      <c r="F9014">
        <v>1.1299999999999999</v>
      </c>
      <c r="G9014" t="s">
        <v>14</v>
      </c>
      <c r="I9014" t="s">
        <v>13</v>
      </c>
    </row>
    <row r="9015" spans="1:9" hidden="1" x14ac:dyDescent="0.25">
      <c r="A9015" t="s">
        <v>7568</v>
      </c>
      <c r="B9015" t="s">
        <v>33</v>
      </c>
      <c r="C9015" s="2">
        <f>HYPERLINK("https://cao.dolgi.msk.ru/account/1083386483/", 1083386483)</f>
        <v>1083386483</v>
      </c>
      <c r="D9015" t="s">
        <v>7582</v>
      </c>
      <c r="E9015">
        <v>0</v>
      </c>
      <c r="F9015">
        <v>0</v>
      </c>
      <c r="G9015" t="s">
        <v>12</v>
      </c>
      <c r="I9015" t="s">
        <v>13</v>
      </c>
    </row>
    <row r="9016" spans="1:9" hidden="1" x14ac:dyDescent="0.25">
      <c r="A9016" t="s">
        <v>7568</v>
      </c>
      <c r="B9016" t="s">
        <v>34</v>
      </c>
      <c r="C9016" s="2">
        <f>HYPERLINK("https://cao.dolgi.msk.ru/account/1080042909/", 1080042909)</f>
        <v>1080042909</v>
      </c>
      <c r="D9016" t="s">
        <v>7583</v>
      </c>
      <c r="E9016">
        <v>-205.54</v>
      </c>
      <c r="F9016">
        <v>-1.82</v>
      </c>
      <c r="G9016" t="s">
        <v>14</v>
      </c>
      <c r="I9016" t="s">
        <v>13</v>
      </c>
    </row>
    <row r="9017" spans="1:9" hidden="1" x14ac:dyDescent="0.25">
      <c r="A9017" t="s">
        <v>7568</v>
      </c>
      <c r="B9017" t="s">
        <v>34</v>
      </c>
      <c r="C9017" s="2">
        <f>HYPERLINK("https://cao.dolgi.msk.ru/account/1083386563/", 1083386563)</f>
        <v>1083386563</v>
      </c>
      <c r="D9017" t="s">
        <v>7583</v>
      </c>
      <c r="E9017">
        <v>-20564.12</v>
      </c>
      <c r="F9017">
        <v>-3.44</v>
      </c>
      <c r="G9017" t="s">
        <v>12</v>
      </c>
      <c r="I9017" t="s">
        <v>13</v>
      </c>
    </row>
    <row r="9018" spans="1:9" hidden="1" x14ac:dyDescent="0.25">
      <c r="A9018" t="s">
        <v>7568</v>
      </c>
      <c r="B9018" t="s">
        <v>36</v>
      </c>
      <c r="C9018" s="2">
        <f>HYPERLINK("https://cao.dolgi.msk.ru/account/1080042925/", 1080042925)</f>
        <v>1080042925</v>
      </c>
      <c r="D9018" t="s">
        <v>7584</v>
      </c>
      <c r="E9018">
        <v>982.59</v>
      </c>
      <c r="F9018">
        <v>1.06</v>
      </c>
      <c r="G9018" t="s">
        <v>14</v>
      </c>
      <c r="I9018" t="s">
        <v>13</v>
      </c>
    </row>
    <row r="9019" spans="1:9" hidden="1" x14ac:dyDescent="0.25">
      <c r="A9019" t="s">
        <v>7568</v>
      </c>
      <c r="B9019" t="s">
        <v>36</v>
      </c>
      <c r="C9019" s="2">
        <f>HYPERLINK("https://cao.dolgi.msk.ru/account/1083386504/", 1083386504)</f>
        <v>1083386504</v>
      </c>
      <c r="D9019" t="s">
        <v>7584</v>
      </c>
      <c r="E9019">
        <v>-7234.52</v>
      </c>
      <c r="F9019">
        <v>-1.1299999999999999</v>
      </c>
      <c r="G9019" t="s">
        <v>12</v>
      </c>
      <c r="I9019" t="s">
        <v>13</v>
      </c>
    </row>
    <row r="9020" spans="1:9" hidden="1" x14ac:dyDescent="0.25">
      <c r="A9020" t="s">
        <v>7568</v>
      </c>
      <c r="B9020" t="s">
        <v>38</v>
      </c>
      <c r="C9020" s="2">
        <f>HYPERLINK("https://cao.dolgi.msk.ru/account/1080042888/", 1080042888)</f>
        <v>1080042888</v>
      </c>
      <c r="D9020" t="s">
        <v>7585</v>
      </c>
      <c r="E9020">
        <v>1040.3800000000001</v>
      </c>
      <c r="G9020" t="s">
        <v>14</v>
      </c>
      <c r="I9020" t="s">
        <v>13</v>
      </c>
    </row>
    <row r="9021" spans="1:9" hidden="1" x14ac:dyDescent="0.25">
      <c r="A9021" t="s">
        <v>7568</v>
      </c>
      <c r="B9021" t="s">
        <v>38</v>
      </c>
      <c r="C9021" s="2">
        <f>HYPERLINK("https://cao.dolgi.msk.ru/account/1083386424/", 1083386424)</f>
        <v>1083386424</v>
      </c>
      <c r="D9021" t="s">
        <v>7585</v>
      </c>
      <c r="E9021">
        <v>-4982.63</v>
      </c>
      <c r="F9021">
        <v>-1.1399999999999999</v>
      </c>
      <c r="G9021" t="s">
        <v>12</v>
      </c>
      <c r="I9021" t="s">
        <v>13</v>
      </c>
    </row>
    <row r="9022" spans="1:9" hidden="1" x14ac:dyDescent="0.25">
      <c r="A9022" t="s">
        <v>7568</v>
      </c>
      <c r="B9022" t="s">
        <v>39</v>
      </c>
      <c r="C9022" s="2">
        <f>HYPERLINK("https://cao.dolgi.msk.ru/account/1080036461/", 1080036461)</f>
        <v>1080036461</v>
      </c>
      <c r="D9022" t="s">
        <v>7586</v>
      </c>
      <c r="E9022">
        <v>-342.38</v>
      </c>
      <c r="G9022" t="s">
        <v>14</v>
      </c>
      <c r="I9022" t="s">
        <v>13</v>
      </c>
    </row>
    <row r="9023" spans="1:9" x14ac:dyDescent="0.25">
      <c r="A9023" t="s">
        <v>7568</v>
      </c>
      <c r="B9023" t="s">
        <v>39</v>
      </c>
      <c r="C9023" s="2">
        <f>HYPERLINK("https://cao.dolgi.msk.ru/account/1083386571/", 1083386571)</f>
        <v>1083386571</v>
      </c>
      <c r="D9023" t="s">
        <v>7586</v>
      </c>
      <c r="E9023">
        <v>4614.79</v>
      </c>
      <c r="F9023">
        <v>1.1100000000000001</v>
      </c>
      <c r="G9023" t="s">
        <v>12</v>
      </c>
      <c r="I9023" t="s">
        <v>13</v>
      </c>
    </row>
    <row r="9024" spans="1:9" hidden="1" x14ac:dyDescent="0.25">
      <c r="A9024" t="s">
        <v>7568</v>
      </c>
      <c r="B9024" t="s">
        <v>40</v>
      </c>
      <c r="C9024" s="2">
        <f>HYPERLINK("https://cao.dolgi.msk.ru/account/1080042757/", 1080042757)</f>
        <v>1080042757</v>
      </c>
      <c r="D9024" t="s">
        <v>7587</v>
      </c>
      <c r="E9024">
        <v>-158.72999999999999</v>
      </c>
      <c r="G9024" t="s">
        <v>14</v>
      </c>
      <c r="I9024" t="s">
        <v>13</v>
      </c>
    </row>
    <row r="9025" spans="1:9" hidden="1" x14ac:dyDescent="0.25">
      <c r="A9025" t="s">
        <v>7568</v>
      </c>
      <c r="B9025" t="s">
        <v>40</v>
      </c>
      <c r="C9025" s="2">
        <f>HYPERLINK("https://cao.dolgi.msk.ru/account/1083386475/", 1083386475)</f>
        <v>1083386475</v>
      </c>
      <c r="D9025" t="s">
        <v>15</v>
      </c>
      <c r="E9025">
        <v>0</v>
      </c>
      <c r="F9025">
        <v>0</v>
      </c>
      <c r="G9025" t="s">
        <v>12</v>
      </c>
      <c r="I9025" t="s">
        <v>13</v>
      </c>
    </row>
    <row r="9026" spans="1:9" hidden="1" x14ac:dyDescent="0.25">
      <c r="A9026" t="s">
        <v>7568</v>
      </c>
      <c r="B9026" t="s">
        <v>41</v>
      </c>
      <c r="C9026" s="2">
        <f>HYPERLINK("https://cao.dolgi.msk.ru/account/1080042802/", 1080042802)</f>
        <v>1080042802</v>
      </c>
      <c r="D9026" t="s">
        <v>7588</v>
      </c>
      <c r="E9026">
        <v>118.09</v>
      </c>
      <c r="G9026" t="s">
        <v>14</v>
      </c>
      <c r="I9026" t="s">
        <v>13</v>
      </c>
    </row>
    <row r="9027" spans="1:9" hidden="1" x14ac:dyDescent="0.25">
      <c r="A9027" t="s">
        <v>7568</v>
      </c>
      <c r="B9027" t="s">
        <v>41</v>
      </c>
      <c r="C9027" s="2">
        <f>HYPERLINK("https://cao.dolgi.msk.ru/account/1083386598/", 1083386598)</f>
        <v>1083386598</v>
      </c>
      <c r="D9027" t="s">
        <v>7588</v>
      </c>
      <c r="E9027">
        <v>-3471.91</v>
      </c>
      <c r="F9027">
        <v>-1.08</v>
      </c>
      <c r="G9027" t="s">
        <v>12</v>
      </c>
      <c r="I9027" t="s">
        <v>13</v>
      </c>
    </row>
    <row r="9028" spans="1:9" hidden="1" x14ac:dyDescent="0.25">
      <c r="A9028" t="s">
        <v>7568</v>
      </c>
      <c r="B9028" t="s">
        <v>42</v>
      </c>
      <c r="C9028" s="2">
        <f>HYPERLINK("https://cao.dolgi.msk.ru/account/1080042861/", 1080042861)</f>
        <v>1080042861</v>
      </c>
      <c r="D9028" t="s">
        <v>62</v>
      </c>
      <c r="E9028">
        <v>66.069999999999993</v>
      </c>
      <c r="G9028" t="s">
        <v>14</v>
      </c>
      <c r="I9028" t="s">
        <v>13</v>
      </c>
    </row>
    <row r="9029" spans="1:9" hidden="1" x14ac:dyDescent="0.25">
      <c r="A9029" t="s">
        <v>7568</v>
      </c>
      <c r="B9029" t="s">
        <v>42</v>
      </c>
      <c r="C9029" s="2">
        <f>HYPERLINK("https://cao.dolgi.msk.ru/account/1083386416/", 1083386416)</f>
        <v>1083386416</v>
      </c>
      <c r="D9029" t="s">
        <v>62</v>
      </c>
      <c r="E9029">
        <v>-7320.68</v>
      </c>
      <c r="F9029">
        <v>-2.27</v>
      </c>
      <c r="G9029" t="s">
        <v>12</v>
      </c>
      <c r="I9029" t="s">
        <v>13</v>
      </c>
    </row>
    <row r="9030" spans="1:9" hidden="1" x14ac:dyDescent="0.25">
      <c r="A9030" t="s">
        <v>7568</v>
      </c>
      <c r="B9030" t="s">
        <v>44</v>
      </c>
      <c r="C9030" s="2">
        <f>HYPERLINK("https://cao.dolgi.msk.ru/account/1080042765/", 1080042765)</f>
        <v>1080042765</v>
      </c>
      <c r="D9030" t="s">
        <v>62</v>
      </c>
      <c r="E9030">
        <v>-140.71</v>
      </c>
      <c r="F9030">
        <v>-0.23</v>
      </c>
      <c r="G9030" t="s">
        <v>14</v>
      </c>
      <c r="I9030" t="s">
        <v>13</v>
      </c>
    </row>
    <row r="9031" spans="1:9" hidden="1" x14ac:dyDescent="0.25">
      <c r="A9031" t="s">
        <v>7568</v>
      </c>
      <c r="B9031" t="s">
        <v>44</v>
      </c>
      <c r="C9031" s="2">
        <f>HYPERLINK("https://cao.dolgi.msk.ru/account/1083386627/", 1083386627)</f>
        <v>1083386627</v>
      </c>
      <c r="D9031" t="s">
        <v>62</v>
      </c>
      <c r="E9031">
        <v>0</v>
      </c>
      <c r="F9031">
        <v>0</v>
      </c>
      <c r="G9031" t="s">
        <v>12</v>
      </c>
      <c r="I9031" t="s">
        <v>13</v>
      </c>
    </row>
    <row r="9032" spans="1:9" hidden="1" x14ac:dyDescent="0.25">
      <c r="A9032" t="s">
        <v>7568</v>
      </c>
      <c r="B9032" t="s">
        <v>66</v>
      </c>
      <c r="C9032" s="2">
        <f>HYPERLINK("https://cao.dolgi.msk.ru/account/1080042773/", 1080042773)</f>
        <v>1080042773</v>
      </c>
      <c r="D9032" t="s">
        <v>62</v>
      </c>
      <c r="E9032">
        <v>67</v>
      </c>
      <c r="G9032" t="s">
        <v>14</v>
      </c>
      <c r="I9032" t="s">
        <v>13</v>
      </c>
    </row>
    <row r="9033" spans="1:9" hidden="1" x14ac:dyDescent="0.25">
      <c r="A9033" t="s">
        <v>7568</v>
      </c>
      <c r="B9033" t="s">
        <v>66</v>
      </c>
      <c r="C9033" s="2">
        <f>HYPERLINK("https://cao.dolgi.msk.ru/account/1083386344/", 1083386344)</f>
        <v>1083386344</v>
      </c>
      <c r="D9033" t="s">
        <v>62</v>
      </c>
      <c r="E9033">
        <v>-2036.56</v>
      </c>
      <c r="F9033">
        <v>-0.51</v>
      </c>
      <c r="G9033" t="s">
        <v>12</v>
      </c>
      <c r="I9033" t="s">
        <v>13</v>
      </c>
    </row>
    <row r="9034" spans="1:9" hidden="1" x14ac:dyDescent="0.25">
      <c r="A9034" t="s">
        <v>7568</v>
      </c>
      <c r="B9034" t="s">
        <v>68</v>
      </c>
      <c r="C9034" s="2">
        <f>HYPERLINK("https://cao.dolgi.msk.ru/account/1080042968/", 1080042968)</f>
        <v>1080042968</v>
      </c>
      <c r="D9034" t="s">
        <v>7589</v>
      </c>
      <c r="E9034">
        <v>-799.66</v>
      </c>
      <c r="G9034" t="s">
        <v>14</v>
      </c>
      <c r="I9034" t="s">
        <v>13</v>
      </c>
    </row>
    <row r="9035" spans="1:9" hidden="1" x14ac:dyDescent="0.25">
      <c r="A9035" t="s">
        <v>7568</v>
      </c>
      <c r="B9035" t="s">
        <v>68</v>
      </c>
      <c r="C9035" s="2">
        <f>HYPERLINK("https://cao.dolgi.msk.ru/account/1083386512/", 1083386512)</f>
        <v>1083386512</v>
      </c>
      <c r="D9035" t="s">
        <v>7589</v>
      </c>
      <c r="E9035">
        <v>-4217.45</v>
      </c>
      <c r="F9035">
        <v>-1.1399999999999999</v>
      </c>
      <c r="G9035" t="s">
        <v>12</v>
      </c>
      <c r="I9035" t="s">
        <v>13</v>
      </c>
    </row>
    <row r="9036" spans="1:9" hidden="1" x14ac:dyDescent="0.25">
      <c r="A9036" t="s">
        <v>7568</v>
      </c>
      <c r="B9036" t="s">
        <v>70</v>
      </c>
      <c r="C9036" s="2">
        <f>HYPERLINK("https://cao.dolgi.msk.ru/account/1080042941/", 1080042941)</f>
        <v>1080042941</v>
      </c>
      <c r="D9036" t="s">
        <v>62</v>
      </c>
      <c r="E9036">
        <v>0</v>
      </c>
      <c r="G9036" t="s">
        <v>14</v>
      </c>
      <c r="I9036" t="s">
        <v>13</v>
      </c>
    </row>
    <row r="9037" spans="1:9" hidden="1" x14ac:dyDescent="0.25">
      <c r="A9037" t="s">
        <v>7568</v>
      </c>
      <c r="B9037" t="s">
        <v>70</v>
      </c>
      <c r="C9037" s="2">
        <f>HYPERLINK("https://cao.dolgi.msk.ru/account/1083386432/", 1083386432)</f>
        <v>1083386432</v>
      </c>
      <c r="D9037" t="s">
        <v>62</v>
      </c>
      <c r="E9037">
        <v>-6785.4</v>
      </c>
      <c r="F9037">
        <v>-2.5099999999999998</v>
      </c>
      <c r="G9037" t="s">
        <v>12</v>
      </c>
      <c r="I9037" t="s">
        <v>13</v>
      </c>
    </row>
    <row r="9038" spans="1:9" hidden="1" x14ac:dyDescent="0.25">
      <c r="A9038" t="s">
        <v>7568</v>
      </c>
      <c r="B9038" t="s">
        <v>72</v>
      </c>
      <c r="C9038" s="2">
        <f>HYPERLINK("https://cao.dolgi.msk.ru/account/1080042714/", 1080042714)</f>
        <v>1080042714</v>
      </c>
      <c r="D9038" t="s">
        <v>7590</v>
      </c>
      <c r="E9038">
        <v>54.25</v>
      </c>
      <c r="F9038">
        <v>1.92</v>
      </c>
      <c r="G9038" t="s">
        <v>14</v>
      </c>
      <c r="I9038" t="s">
        <v>13</v>
      </c>
    </row>
    <row r="9039" spans="1:9" hidden="1" x14ac:dyDescent="0.25">
      <c r="A9039" t="s">
        <v>7568</v>
      </c>
      <c r="B9039" t="s">
        <v>72</v>
      </c>
      <c r="C9039" s="2">
        <f>HYPERLINK("https://cao.dolgi.msk.ru/account/1083386395/", 1083386395)</f>
        <v>1083386395</v>
      </c>
      <c r="D9039" t="s">
        <v>7590</v>
      </c>
      <c r="E9039">
        <v>-2099.29</v>
      </c>
      <c r="F9039">
        <v>-1.0900000000000001</v>
      </c>
      <c r="G9039" t="s">
        <v>12</v>
      </c>
      <c r="I9039" t="s">
        <v>13</v>
      </c>
    </row>
    <row r="9040" spans="1:9" hidden="1" x14ac:dyDescent="0.25">
      <c r="A9040" t="s">
        <v>7568</v>
      </c>
      <c r="B9040" t="s">
        <v>74</v>
      </c>
      <c r="C9040" s="2">
        <f>HYPERLINK("https://cao.dolgi.msk.ru/account/1080042853/", 1080042853)</f>
        <v>1080042853</v>
      </c>
      <c r="D9040" t="s">
        <v>15</v>
      </c>
      <c r="E9040">
        <v>66.53</v>
      </c>
      <c r="G9040" t="s">
        <v>14</v>
      </c>
      <c r="I9040" t="s">
        <v>13</v>
      </c>
    </row>
    <row r="9041" spans="1:9" hidden="1" x14ac:dyDescent="0.25">
      <c r="A9041" t="s">
        <v>7568</v>
      </c>
      <c r="B9041" t="s">
        <v>74</v>
      </c>
      <c r="C9041" s="2">
        <f>HYPERLINK("https://cao.dolgi.msk.ru/account/1083386547/", 1083386547)</f>
        <v>1083386547</v>
      </c>
      <c r="D9041" t="s">
        <v>15</v>
      </c>
      <c r="E9041">
        <v>-4440.59</v>
      </c>
      <c r="F9041">
        <v>-1.02</v>
      </c>
      <c r="G9041" t="s">
        <v>12</v>
      </c>
      <c r="I9041" t="s">
        <v>13</v>
      </c>
    </row>
    <row r="9042" spans="1:9" hidden="1" x14ac:dyDescent="0.25">
      <c r="A9042" t="s">
        <v>7591</v>
      </c>
      <c r="B9042" t="s">
        <v>16</v>
      </c>
      <c r="C9042" s="2">
        <f>HYPERLINK("https://cao.dolgi.msk.ru/account/1080033906/", 1080033906)</f>
        <v>1080033906</v>
      </c>
      <c r="D9042" t="s">
        <v>7592</v>
      </c>
      <c r="E9042">
        <v>234.47</v>
      </c>
      <c r="F9042">
        <v>1</v>
      </c>
      <c r="G9042" t="s">
        <v>14</v>
      </c>
      <c r="I9042" t="s">
        <v>13</v>
      </c>
    </row>
    <row r="9043" spans="1:9" hidden="1" x14ac:dyDescent="0.25">
      <c r="A9043" t="s">
        <v>7591</v>
      </c>
      <c r="B9043" t="s">
        <v>16</v>
      </c>
      <c r="C9043" s="2">
        <f>HYPERLINK("https://cao.dolgi.msk.ru/account/1083386686/", 1083386686)</f>
        <v>1083386686</v>
      </c>
      <c r="D9043" t="s">
        <v>7592</v>
      </c>
      <c r="E9043">
        <v>-4949.8500000000004</v>
      </c>
      <c r="F9043">
        <v>-1</v>
      </c>
      <c r="G9043" t="s">
        <v>12</v>
      </c>
      <c r="I9043" t="s">
        <v>13</v>
      </c>
    </row>
    <row r="9044" spans="1:9" hidden="1" x14ac:dyDescent="0.25">
      <c r="A9044" t="s">
        <v>7591</v>
      </c>
      <c r="B9044" t="s">
        <v>18</v>
      </c>
      <c r="C9044" s="2">
        <f>HYPERLINK("https://cao.dolgi.msk.ru/account/1080033914/", 1080033914)</f>
        <v>1080033914</v>
      </c>
      <c r="D9044" t="s">
        <v>7593</v>
      </c>
      <c r="E9044">
        <v>0</v>
      </c>
      <c r="G9044" t="s">
        <v>14</v>
      </c>
      <c r="I9044" t="s">
        <v>13</v>
      </c>
    </row>
    <row r="9045" spans="1:9" hidden="1" x14ac:dyDescent="0.25">
      <c r="A9045" t="s">
        <v>7591</v>
      </c>
      <c r="B9045" t="s">
        <v>18</v>
      </c>
      <c r="C9045" s="2">
        <f>HYPERLINK("https://cao.dolgi.msk.ru/account/1083386918/", 1083386918)</f>
        <v>1083386918</v>
      </c>
      <c r="D9045" t="s">
        <v>7593</v>
      </c>
      <c r="E9045">
        <v>-5319.1</v>
      </c>
      <c r="F9045">
        <v>-1.01</v>
      </c>
      <c r="G9045" t="s">
        <v>12</v>
      </c>
      <c r="I9045" t="s">
        <v>13</v>
      </c>
    </row>
    <row r="9046" spans="1:9" hidden="1" x14ac:dyDescent="0.25">
      <c r="A9046" t="s">
        <v>7591</v>
      </c>
      <c r="B9046" t="s">
        <v>20</v>
      </c>
      <c r="C9046" s="2">
        <f>HYPERLINK("https://cao.dolgi.msk.ru/account/1080033922/", 1080033922)</f>
        <v>1080033922</v>
      </c>
      <c r="D9046" t="s">
        <v>7594</v>
      </c>
      <c r="E9046">
        <v>-3229.51</v>
      </c>
      <c r="G9046" t="s">
        <v>14</v>
      </c>
      <c r="I9046" t="s">
        <v>13</v>
      </c>
    </row>
    <row r="9047" spans="1:9" hidden="1" x14ac:dyDescent="0.25">
      <c r="A9047" t="s">
        <v>7591</v>
      </c>
      <c r="B9047" t="s">
        <v>20</v>
      </c>
      <c r="C9047" s="2">
        <f>HYPERLINK("https://cao.dolgi.msk.ru/account/1083386694/", 1083386694)</f>
        <v>1083386694</v>
      </c>
      <c r="D9047" t="s">
        <v>7594</v>
      </c>
      <c r="E9047">
        <v>-6111.18</v>
      </c>
      <c r="F9047">
        <v>-0.99</v>
      </c>
      <c r="G9047" t="s">
        <v>12</v>
      </c>
      <c r="I9047" t="s">
        <v>13</v>
      </c>
    </row>
    <row r="9048" spans="1:9" hidden="1" x14ac:dyDescent="0.25">
      <c r="A9048" t="s">
        <v>7591</v>
      </c>
      <c r="B9048" t="s">
        <v>21</v>
      </c>
      <c r="C9048" s="2">
        <f>HYPERLINK("https://cao.dolgi.msk.ru/account/1080033949/", 1080033949)</f>
        <v>1080033949</v>
      </c>
      <c r="D9048" t="s">
        <v>7595</v>
      </c>
      <c r="E9048">
        <v>1931.62</v>
      </c>
      <c r="G9048" t="s">
        <v>14</v>
      </c>
      <c r="I9048" t="s">
        <v>13</v>
      </c>
    </row>
    <row r="9049" spans="1:9" hidden="1" x14ac:dyDescent="0.25">
      <c r="A9049" t="s">
        <v>7591</v>
      </c>
      <c r="B9049" t="s">
        <v>21</v>
      </c>
      <c r="C9049" s="2">
        <f>HYPERLINK("https://cao.dolgi.msk.ru/account/1083386643/", 1083386643)</f>
        <v>1083386643</v>
      </c>
      <c r="D9049" t="s">
        <v>7595</v>
      </c>
      <c r="E9049">
        <v>-6185.18</v>
      </c>
      <c r="F9049">
        <v>-1.01</v>
      </c>
      <c r="G9049" t="s">
        <v>12</v>
      </c>
      <c r="I9049" t="s">
        <v>13</v>
      </c>
    </row>
    <row r="9050" spans="1:9" hidden="1" x14ac:dyDescent="0.25">
      <c r="A9050" t="s">
        <v>7591</v>
      </c>
      <c r="B9050" t="s">
        <v>22</v>
      </c>
      <c r="C9050" s="2">
        <f>HYPERLINK("https://cao.dolgi.msk.ru/account/1080033957/", 1080033957)</f>
        <v>1080033957</v>
      </c>
      <c r="D9050" t="s">
        <v>7596</v>
      </c>
      <c r="E9050">
        <v>128</v>
      </c>
      <c r="G9050" t="s">
        <v>14</v>
      </c>
      <c r="I9050" t="s">
        <v>13</v>
      </c>
    </row>
    <row r="9051" spans="1:9" hidden="1" x14ac:dyDescent="0.25">
      <c r="A9051" t="s">
        <v>7591</v>
      </c>
      <c r="B9051" t="s">
        <v>22</v>
      </c>
      <c r="C9051" s="2">
        <f>HYPERLINK("https://cao.dolgi.msk.ru/account/1083386707/", 1083386707)</f>
        <v>1083386707</v>
      </c>
      <c r="D9051" t="s">
        <v>7596</v>
      </c>
      <c r="E9051">
        <v>-5762.28</v>
      </c>
      <c r="F9051">
        <v>-1.02</v>
      </c>
      <c r="G9051" t="s">
        <v>12</v>
      </c>
      <c r="I9051" t="s">
        <v>13</v>
      </c>
    </row>
    <row r="9052" spans="1:9" hidden="1" x14ac:dyDescent="0.25">
      <c r="A9052" t="s">
        <v>7591</v>
      </c>
      <c r="B9052" t="s">
        <v>23</v>
      </c>
      <c r="C9052" s="2">
        <f>HYPERLINK("https://cao.dolgi.msk.ru/account/1080033973/", 1080033973)</f>
        <v>1080033973</v>
      </c>
      <c r="D9052" t="s">
        <v>15</v>
      </c>
      <c r="E9052">
        <v>76526.78</v>
      </c>
      <c r="G9052" t="s">
        <v>14</v>
      </c>
      <c r="I9052" t="s">
        <v>13</v>
      </c>
    </row>
    <row r="9053" spans="1:9" hidden="1" x14ac:dyDescent="0.25">
      <c r="A9053" t="s">
        <v>7591</v>
      </c>
      <c r="B9053" t="s">
        <v>23</v>
      </c>
      <c r="C9053" s="2">
        <f>HYPERLINK("https://cao.dolgi.msk.ru/account/1083386926/", 1083386926)</f>
        <v>1083386926</v>
      </c>
      <c r="D9053" t="s">
        <v>15</v>
      </c>
      <c r="E9053">
        <v>-13193.42</v>
      </c>
      <c r="F9053">
        <v>-1.33</v>
      </c>
      <c r="G9053" t="s">
        <v>12</v>
      </c>
      <c r="I9053" t="s">
        <v>13</v>
      </c>
    </row>
    <row r="9054" spans="1:9" hidden="1" x14ac:dyDescent="0.25">
      <c r="A9054" t="s">
        <v>7591</v>
      </c>
      <c r="B9054" t="s">
        <v>24</v>
      </c>
      <c r="C9054" s="2">
        <f>HYPERLINK("https://cao.dolgi.msk.ru/account/1080033965/", 1080033965)</f>
        <v>1080033965</v>
      </c>
      <c r="D9054" t="s">
        <v>7597</v>
      </c>
      <c r="E9054">
        <v>10851.61</v>
      </c>
      <c r="F9054">
        <v>18.39</v>
      </c>
      <c r="G9054" t="s">
        <v>14</v>
      </c>
      <c r="I9054" t="s">
        <v>13</v>
      </c>
    </row>
    <row r="9055" spans="1:9" hidden="1" x14ac:dyDescent="0.25">
      <c r="A9055" t="s">
        <v>7591</v>
      </c>
      <c r="B9055" t="s">
        <v>24</v>
      </c>
      <c r="C9055" s="2">
        <f>HYPERLINK("https://cao.dolgi.msk.ru/account/1083386811/", 1083386811)</f>
        <v>1083386811</v>
      </c>
      <c r="D9055" t="s">
        <v>7597</v>
      </c>
      <c r="E9055">
        <v>-15614.38</v>
      </c>
      <c r="F9055">
        <v>-2.68</v>
      </c>
      <c r="G9055" t="s">
        <v>12</v>
      </c>
      <c r="I9055" t="s">
        <v>13</v>
      </c>
    </row>
    <row r="9056" spans="1:9" hidden="1" x14ac:dyDescent="0.25">
      <c r="A9056" t="s">
        <v>7591</v>
      </c>
      <c r="B9056" t="s">
        <v>27</v>
      </c>
      <c r="C9056" s="2">
        <f>HYPERLINK("https://cao.dolgi.msk.ru/account/1080033981/", 1080033981)</f>
        <v>1080033981</v>
      </c>
      <c r="D9056" t="s">
        <v>7598</v>
      </c>
      <c r="E9056">
        <v>646.65</v>
      </c>
      <c r="F9056">
        <v>1.01</v>
      </c>
      <c r="G9056" t="s">
        <v>14</v>
      </c>
      <c r="I9056" t="s">
        <v>13</v>
      </c>
    </row>
    <row r="9057" spans="1:9" x14ac:dyDescent="0.25">
      <c r="A9057" t="s">
        <v>7591</v>
      </c>
      <c r="B9057" t="s">
        <v>27</v>
      </c>
      <c r="C9057" s="2">
        <f>HYPERLINK("https://cao.dolgi.msk.ru/account/1083386985/", 1083386985)</f>
        <v>1083386985</v>
      </c>
      <c r="D9057" t="s">
        <v>7598</v>
      </c>
      <c r="E9057">
        <v>26790.75</v>
      </c>
      <c r="F9057">
        <v>5.27</v>
      </c>
      <c r="G9057" t="s">
        <v>12</v>
      </c>
      <c r="I9057" t="s">
        <v>13</v>
      </c>
    </row>
    <row r="9058" spans="1:9" hidden="1" x14ac:dyDescent="0.25">
      <c r="A9058" t="s">
        <v>7591</v>
      </c>
      <c r="B9058" t="s">
        <v>29</v>
      </c>
      <c r="C9058" s="2">
        <f>HYPERLINK("https://cao.dolgi.msk.ru/account/1080034001/", 1080034001)</f>
        <v>1080034001</v>
      </c>
      <c r="D9058" t="s">
        <v>7599</v>
      </c>
      <c r="E9058">
        <v>31228.95</v>
      </c>
      <c r="G9058" t="s">
        <v>14</v>
      </c>
      <c r="I9058" t="s">
        <v>13</v>
      </c>
    </row>
    <row r="9059" spans="1:9" hidden="1" x14ac:dyDescent="0.25">
      <c r="A9059" t="s">
        <v>7591</v>
      </c>
      <c r="B9059" t="s">
        <v>29</v>
      </c>
      <c r="C9059" s="2">
        <f>HYPERLINK("https://cao.dolgi.msk.ru/account/1083386934/", 1083386934)</f>
        <v>1083386934</v>
      </c>
      <c r="D9059" t="s">
        <v>7599</v>
      </c>
      <c r="E9059">
        <v>0</v>
      </c>
      <c r="F9059">
        <v>0</v>
      </c>
      <c r="G9059" t="s">
        <v>12</v>
      </c>
      <c r="I9059" t="s">
        <v>13</v>
      </c>
    </row>
    <row r="9060" spans="1:9" hidden="1" x14ac:dyDescent="0.25">
      <c r="A9060" t="s">
        <v>7591</v>
      </c>
      <c r="B9060" t="s">
        <v>31</v>
      </c>
      <c r="C9060" s="2">
        <f>HYPERLINK("https://cao.dolgi.msk.ru/account/1080034028/", 1080034028)</f>
        <v>1080034028</v>
      </c>
      <c r="D9060" t="s">
        <v>7600</v>
      </c>
      <c r="E9060">
        <v>1277.3</v>
      </c>
      <c r="F9060">
        <v>1</v>
      </c>
      <c r="G9060" t="s">
        <v>14</v>
      </c>
      <c r="I9060" t="s">
        <v>13</v>
      </c>
    </row>
    <row r="9061" spans="1:9" hidden="1" x14ac:dyDescent="0.25">
      <c r="A9061" t="s">
        <v>7591</v>
      </c>
      <c r="B9061" t="s">
        <v>31</v>
      </c>
      <c r="C9061" s="2">
        <f>HYPERLINK("https://cao.dolgi.msk.ru/account/1083386993/", 1083386993)</f>
        <v>1083386993</v>
      </c>
      <c r="D9061" t="s">
        <v>7600</v>
      </c>
      <c r="E9061">
        <v>-7644.46</v>
      </c>
      <c r="F9061">
        <v>-1.02</v>
      </c>
      <c r="G9061" t="s">
        <v>12</v>
      </c>
      <c r="I9061" t="s">
        <v>13</v>
      </c>
    </row>
    <row r="9062" spans="1:9" hidden="1" x14ac:dyDescent="0.25">
      <c r="A9062" t="s">
        <v>7591</v>
      </c>
      <c r="B9062" t="s">
        <v>33</v>
      </c>
      <c r="C9062" s="2">
        <f>HYPERLINK("https://cao.dolgi.msk.ru/account/1080034036/", 1080034036)</f>
        <v>1080034036</v>
      </c>
      <c r="D9062" t="s">
        <v>7601</v>
      </c>
      <c r="E9062">
        <v>668.23</v>
      </c>
      <c r="F9062">
        <v>1.05</v>
      </c>
      <c r="G9062" t="s">
        <v>14</v>
      </c>
      <c r="I9062" t="s">
        <v>13</v>
      </c>
    </row>
    <row r="9063" spans="1:9" hidden="1" x14ac:dyDescent="0.25">
      <c r="A9063" t="s">
        <v>7591</v>
      </c>
      <c r="B9063" t="s">
        <v>33</v>
      </c>
      <c r="C9063" s="2">
        <f>HYPERLINK("https://cao.dolgi.msk.ru/account/1083386854/", 1083386854)</f>
        <v>1083386854</v>
      </c>
      <c r="D9063" t="s">
        <v>7601</v>
      </c>
      <c r="E9063">
        <v>-4134.5</v>
      </c>
      <c r="F9063">
        <v>-1.02</v>
      </c>
      <c r="G9063" t="s">
        <v>12</v>
      </c>
      <c r="I9063" t="s">
        <v>13</v>
      </c>
    </row>
    <row r="9064" spans="1:9" hidden="1" x14ac:dyDescent="0.25">
      <c r="A9064" t="s">
        <v>7591</v>
      </c>
      <c r="B9064" t="s">
        <v>34</v>
      </c>
      <c r="C9064" s="2">
        <f>HYPERLINK("https://cao.dolgi.msk.ru/account/1080034044/", 1080034044)</f>
        <v>1080034044</v>
      </c>
      <c r="D9064" t="s">
        <v>7602</v>
      </c>
      <c r="E9064">
        <v>6280.36</v>
      </c>
      <c r="G9064" t="s">
        <v>14</v>
      </c>
      <c r="I9064" t="s">
        <v>13</v>
      </c>
    </row>
    <row r="9065" spans="1:9" hidden="1" x14ac:dyDescent="0.25">
      <c r="A9065" t="s">
        <v>7591</v>
      </c>
      <c r="B9065" t="s">
        <v>34</v>
      </c>
      <c r="C9065" s="2">
        <f>HYPERLINK("https://cao.dolgi.msk.ru/account/1083386651/", 1083386651)</f>
        <v>1083386651</v>
      </c>
      <c r="D9065" t="s">
        <v>7602</v>
      </c>
      <c r="E9065">
        <v>0</v>
      </c>
      <c r="F9065">
        <v>0</v>
      </c>
      <c r="G9065" t="s">
        <v>12</v>
      </c>
      <c r="I9065" t="s">
        <v>13</v>
      </c>
    </row>
    <row r="9066" spans="1:9" hidden="1" x14ac:dyDescent="0.25">
      <c r="A9066" t="s">
        <v>7591</v>
      </c>
      <c r="B9066" t="s">
        <v>36</v>
      </c>
      <c r="C9066" s="2">
        <f>HYPERLINK("https://cao.dolgi.msk.ru/account/1080034052/", 1080034052)</f>
        <v>1080034052</v>
      </c>
      <c r="D9066" t="s">
        <v>7603</v>
      </c>
      <c r="E9066">
        <v>896.3</v>
      </c>
      <c r="F9066">
        <v>1</v>
      </c>
      <c r="G9066" t="s">
        <v>14</v>
      </c>
      <c r="I9066" t="s">
        <v>13</v>
      </c>
    </row>
    <row r="9067" spans="1:9" hidden="1" x14ac:dyDescent="0.25">
      <c r="A9067" t="s">
        <v>7591</v>
      </c>
      <c r="B9067" t="s">
        <v>36</v>
      </c>
      <c r="C9067" s="2">
        <f>HYPERLINK("https://cao.dolgi.msk.ru/account/1083386803/", 1083386803)</f>
        <v>1083386803</v>
      </c>
      <c r="D9067" t="s">
        <v>7603</v>
      </c>
      <c r="E9067">
        <v>-5330.93</v>
      </c>
      <c r="F9067">
        <v>-1.06</v>
      </c>
      <c r="G9067" t="s">
        <v>12</v>
      </c>
      <c r="I9067" t="s">
        <v>13</v>
      </c>
    </row>
    <row r="9068" spans="1:9" hidden="1" x14ac:dyDescent="0.25">
      <c r="A9068" t="s">
        <v>7591</v>
      </c>
      <c r="B9068" t="s">
        <v>38</v>
      </c>
      <c r="C9068" s="2">
        <f>HYPERLINK("https://cao.dolgi.msk.ru/account/1080034079/", 1080034079)</f>
        <v>1080034079</v>
      </c>
      <c r="D9068" t="s">
        <v>7604</v>
      </c>
      <c r="E9068">
        <v>1272.1099999999999</v>
      </c>
      <c r="F9068">
        <v>1</v>
      </c>
      <c r="G9068" t="s">
        <v>14</v>
      </c>
      <c r="I9068" t="s">
        <v>13</v>
      </c>
    </row>
    <row r="9069" spans="1:9" hidden="1" x14ac:dyDescent="0.25">
      <c r="A9069" t="s">
        <v>7591</v>
      </c>
      <c r="B9069" t="s">
        <v>38</v>
      </c>
      <c r="C9069" s="2">
        <f>HYPERLINK("https://cao.dolgi.msk.ru/account/1083386862/", 1083386862)</f>
        <v>1083386862</v>
      </c>
      <c r="D9069" t="s">
        <v>7604</v>
      </c>
      <c r="E9069">
        <v>-7517.93</v>
      </c>
      <c r="F9069">
        <v>-1.73</v>
      </c>
      <c r="G9069" t="s">
        <v>12</v>
      </c>
      <c r="I9069" t="s">
        <v>13</v>
      </c>
    </row>
    <row r="9070" spans="1:9" hidden="1" x14ac:dyDescent="0.25">
      <c r="A9070" t="s">
        <v>7591</v>
      </c>
      <c r="B9070" t="s">
        <v>39</v>
      </c>
      <c r="C9070" s="2">
        <f>HYPERLINK("https://cao.dolgi.msk.ru/account/1080034087/", 1080034087)</f>
        <v>1080034087</v>
      </c>
      <c r="D9070" t="s">
        <v>7605</v>
      </c>
      <c r="E9070">
        <v>-4578.83</v>
      </c>
      <c r="F9070">
        <v>-7.17</v>
      </c>
      <c r="G9070" t="s">
        <v>14</v>
      </c>
      <c r="I9070" t="s">
        <v>13</v>
      </c>
    </row>
    <row r="9071" spans="1:9" hidden="1" x14ac:dyDescent="0.25">
      <c r="A9071" t="s">
        <v>7591</v>
      </c>
      <c r="B9071" t="s">
        <v>39</v>
      </c>
      <c r="C9071" s="2">
        <f>HYPERLINK("https://cao.dolgi.msk.ru/account/1083386758/", 1083386758)</f>
        <v>1083386758</v>
      </c>
      <c r="D9071" t="s">
        <v>7605</v>
      </c>
      <c r="E9071">
        <v>-268.02999999999997</v>
      </c>
      <c r="F9071">
        <v>-0.04</v>
      </c>
      <c r="G9071" t="s">
        <v>12</v>
      </c>
      <c r="I9071" t="s">
        <v>13</v>
      </c>
    </row>
    <row r="9072" spans="1:9" hidden="1" x14ac:dyDescent="0.25">
      <c r="A9072" t="s">
        <v>7591</v>
      </c>
      <c r="B9072" t="s">
        <v>40</v>
      </c>
      <c r="C9072" s="2">
        <f>HYPERLINK("https://cao.dolgi.msk.ru/account/1080034095/", 1080034095)</f>
        <v>1080034095</v>
      </c>
      <c r="D9072" t="s">
        <v>7606</v>
      </c>
      <c r="E9072">
        <v>1263.48</v>
      </c>
      <c r="F9072">
        <v>0.99</v>
      </c>
      <c r="G9072" t="s">
        <v>14</v>
      </c>
      <c r="I9072" t="s">
        <v>13</v>
      </c>
    </row>
    <row r="9073" spans="1:9" hidden="1" x14ac:dyDescent="0.25">
      <c r="A9073" t="s">
        <v>7591</v>
      </c>
      <c r="B9073" t="s">
        <v>40</v>
      </c>
      <c r="C9073" s="2">
        <f>HYPERLINK("https://cao.dolgi.msk.ru/account/1083386889/", 1083386889)</f>
        <v>1083386889</v>
      </c>
      <c r="D9073" t="s">
        <v>7606</v>
      </c>
      <c r="E9073">
        <v>-7913.16</v>
      </c>
      <c r="F9073">
        <v>-0.98</v>
      </c>
      <c r="G9073" t="s">
        <v>12</v>
      </c>
      <c r="I9073" t="s">
        <v>13</v>
      </c>
    </row>
    <row r="9074" spans="1:9" hidden="1" x14ac:dyDescent="0.25">
      <c r="A9074" t="s">
        <v>7591</v>
      </c>
      <c r="B9074" t="s">
        <v>41</v>
      </c>
      <c r="C9074" s="2">
        <f>HYPERLINK("https://cao.dolgi.msk.ru/account/1080034108/", 1080034108)</f>
        <v>1080034108</v>
      </c>
      <c r="D9074" t="s">
        <v>7607</v>
      </c>
      <c r="E9074">
        <v>3831.9</v>
      </c>
      <c r="F9074">
        <v>1</v>
      </c>
      <c r="G9074" t="s">
        <v>14</v>
      </c>
      <c r="I9074" t="s">
        <v>13</v>
      </c>
    </row>
    <row r="9075" spans="1:9" hidden="1" x14ac:dyDescent="0.25">
      <c r="A9075" t="s">
        <v>7591</v>
      </c>
      <c r="B9075" t="s">
        <v>41</v>
      </c>
      <c r="C9075" s="2">
        <f>HYPERLINK("https://cao.dolgi.msk.ru/account/1083386678/", 1083386678)</f>
        <v>1083386678</v>
      </c>
      <c r="D9075" t="s">
        <v>7607</v>
      </c>
      <c r="E9075">
        <v>-10681.54</v>
      </c>
      <c r="F9075">
        <v>-1.01</v>
      </c>
      <c r="G9075" t="s">
        <v>12</v>
      </c>
      <c r="I9075" t="s">
        <v>13</v>
      </c>
    </row>
    <row r="9076" spans="1:9" hidden="1" x14ac:dyDescent="0.25">
      <c r="A9076" t="s">
        <v>7591</v>
      </c>
      <c r="B9076" t="s">
        <v>42</v>
      </c>
      <c r="C9076" s="2">
        <f>HYPERLINK("https://cao.dolgi.msk.ru/account/1080034116/", 1080034116)</f>
        <v>1080034116</v>
      </c>
      <c r="D9076" t="s">
        <v>7608</v>
      </c>
      <c r="E9076">
        <v>-1036.74</v>
      </c>
      <c r="G9076" t="s">
        <v>14</v>
      </c>
      <c r="I9076" t="s">
        <v>13</v>
      </c>
    </row>
    <row r="9077" spans="1:9" hidden="1" x14ac:dyDescent="0.25">
      <c r="A9077" t="s">
        <v>7591</v>
      </c>
      <c r="B9077" t="s">
        <v>42</v>
      </c>
      <c r="C9077" s="2">
        <f>HYPERLINK("https://cao.dolgi.msk.ru/account/1083386766/", 1083386766)</f>
        <v>1083386766</v>
      </c>
      <c r="D9077" t="s">
        <v>7608</v>
      </c>
      <c r="E9077">
        <v>-22913.66</v>
      </c>
      <c r="F9077">
        <v>-1.02</v>
      </c>
      <c r="G9077" t="s">
        <v>12</v>
      </c>
      <c r="I9077" t="s">
        <v>13</v>
      </c>
    </row>
    <row r="9078" spans="1:9" hidden="1" x14ac:dyDescent="0.25">
      <c r="A9078" t="s">
        <v>7591</v>
      </c>
      <c r="B9078" t="s">
        <v>44</v>
      </c>
      <c r="C9078" s="2">
        <f>HYPERLINK("https://cao.dolgi.msk.ru/account/1080034124/", 1080034124)</f>
        <v>1080034124</v>
      </c>
      <c r="D9078" t="s">
        <v>7609</v>
      </c>
      <c r="E9078">
        <v>244615.05</v>
      </c>
      <c r="G9078" t="s">
        <v>14</v>
      </c>
      <c r="I9078" t="s">
        <v>13</v>
      </c>
    </row>
    <row r="9079" spans="1:9" hidden="1" x14ac:dyDescent="0.25">
      <c r="A9079" t="s">
        <v>7591</v>
      </c>
      <c r="B9079" t="s">
        <v>44</v>
      </c>
      <c r="C9079" s="2">
        <f>HYPERLINK("https://cao.dolgi.msk.ru/account/1083386942/", 1083386942)</f>
        <v>1083386942</v>
      </c>
      <c r="D9079" t="s">
        <v>7609</v>
      </c>
      <c r="E9079">
        <v>256</v>
      </c>
      <c r="F9079">
        <v>0.02</v>
      </c>
      <c r="G9079" t="s">
        <v>12</v>
      </c>
      <c r="I9079" t="s">
        <v>13</v>
      </c>
    </row>
    <row r="9080" spans="1:9" hidden="1" x14ac:dyDescent="0.25">
      <c r="A9080" t="s">
        <v>7591</v>
      </c>
      <c r="B9080" t="s">
        <v>66</v>
      </c>
      <c r="C9080" s="2">
        <f>HYPERLINK("https://cao.dolgi.msk.ru/account/1080034132/", 1080034132)</f>
        <v>1080034132</v>
      </c>
      <c r="D9080" t="s">
        <v>7610</v>
      </c>
      <c r="E9080">
        <v>0</v>
      </c>
      <c r="G9080" t="s">
        <v>14</v>
      </c>
      <c r="I9080" t="s">
        <v>13</v>
      </c>
    </row>
    <row r="9081" spans="1:9" hidden="1" x14ac:dyDescent="0.25">
      <c r="A9081" t="s">
        <v>7591</v>
      </c>
      <c r="B9081" t="s">
        <v>66</v>
      </c>
      <c r="C9081" s="2">
        <f>HYPERLINK("https://cao.dolgi.msk.ru/account/1083386715/", 1083386715)</f>
        <v>1083386715</v>
      </c>
      <c r="D9081" t="s">
        <v>7610</v>
      </c>
      <c r="E9081">
        <v>-8556.61</v>
      </c>
      <c r="F9081">
        <v>-1.07</v>
      </c>
      <c r="G9081" t="s">
        <v>12</v>
      </c>
      <c r="I9081" t="s">
        <v>13</v>
      </c>
    </row>
    <row r="9082" spans="1:9" hidden="1" x14ac:dyDescent="0.25">
      <c r="A9082" t="s">
        <v>7591</v>
      </c>
      <c r="B9082" t="s">
        <v>68</v>
      </c>
      <c r="C9082" s="2">
        <f>HYPERLINK("https://cao.dolgi.msk.ru/account/1080034159/", 1080034159)</f>
        <v>1080034159</v>
      </c>
      <c r="D9082" t="s">
        <v>7611</v>
      </c>
      <c r="E9082">
        <v>4145.3999999999996</v>
      </c>
      <c r="G9082" t="s">
        <v>14</v>
      </c>
      <c r="I9082" t="s">
        <v>13</v>
      </c>
    </row>
    <row r="9083" spans="1:9" hidden="1" x14ac:dyDescent="0.25">
      <c r="A9083" t="s">
        <v>7591</v>
      </c>
      <c r="B9083" t="s">
        <v>68</v>
      </c>
      <c r="C9083" s="2">
        <f>HYPERLINK("https://cao.dolgi.msk.ru/account/1083386774/", 1083386774)</f>
        <v>1083386774</v>
      </c>
      <c r="D9083" t="s">
        <v>7611</v>
      </c>
      <c r="E9083">
        <v>-4.08</v>
      </c>
      <c r="F9083">
        <v>0</v>
      </c>
      <c r="G9083" t="s">
        <v>12</v>
      </c>
      <c r="I9083" t="s">
        <v>13</v>
      </c>
    </row>
    <row r="9084" spans="1:9" hidden="1" x14ac:dyDescent="0.25">
      <c r="A9084" t="s">
        <v>7591</v>
      </c>
      <c r="B9084" t="s">
        <v>70</v>
      </c>
      <c r="C9084" s="2">
        <f>HYPERLINK("https://cao.dolgi.msk.ru/account/1080034167/", 1080034167)</f>
        <v>1080034167</v>
      </c>
      <c r="D9084" t="s">
        <v>7612</v>
      </c>
      <c r="E9084">
        <v>2554.6</v>
      </c>
      <c r="F9084">
        <v>1</v>
      </c>
      <c r="G9084" t="s">
        <v>14</v>
      </c>
      <c r="I9084" t="s">
        <v>13</v>
      </c>
    </row>
    <row r="9085" spans="1:9" hidden="1" x14ac:dyDescent="0.25">
      <c r="A9085" t="s">
        <v>7591</v>
      </c>
      <c r="B9085" t="s">
        <v>70</v>
      </c>
      <c r="C9085" s="2">
        <f>HYPERLINK("https://cao.dolgi.msk.ru/account/1083386838/", 1083386838)</f>
        <v>1083386838</v>
      </c>
      <c r="D9085" t="s">
        <v>7612</v>
      </c>
      <c r="E9085">
        <v>-13551.35</v>
      </c>
      <c r="F9085">
        <v>-1.02</v>
      </c>
      <c r="G9085" t="s">
        <v>12</v>
      </c>
      <c r="I9085" t="s">
        <v>13</v>
      </c>
    </row>
    <row r="9086" spans="1:9" hidden="1" x14ac:dyDescent="0.25">
      <c r="A9086" t="s">
        <v>7591</v>
      </c>
      <c r="B9086" t="s">
        <v>72</v>
      </c>
      <c r="C9086" s="2">
        <f>HYPERLINK("https://cao.dolgi.msk.ru/account/1080034175/", 1080034175)</f>
        <v>1080034175</v>
      </c>
      <c r="D9086" t="s">
        <v>7613</v>
      </c>
      <c r="E9086">
        <v>2743.89</v>
      </c>
      <c r="F9086">
        <v>2.4900000000000002</v>
      </c>
      <c r="G9086" t="s">
        <v>14</v>
      </c>
      <c r="I9086" t="s">
        <v>13</v>
      </c>
    </row>
    <row r="9087" spans="1:9" hidden="1" x14ac:dyDescent="0.25">
      <c r="A9087" t="s">
        <v>7591</v>
      </c>
      <c r="B9087" t="s">
        <v>72</v>
      </c>
      <c r="C9087" s="2">
        <f>HYPERLINK("https://cao.dolgi.msk.ru/account/1083386723/", 1083386723)</f>
        <v>1083386723</v>
      </c>
      <c r="D9087" t="s">
        <v>7613</v>
      </c>
      <c r="E9087">
        <v>-6371.23</v>
      </c>
      <c r="F9087">
        <v>-1.02</v>
      </c>
      <c r="G9087" t="s">
        <v>12</v>
      </c>
      <c r="I9087" t="s">
        <v>13</v>
      </c>
    </row>
    <row r="9088" spans="1:9" hidden="1" x14ac:dyDescent="0.25">
      <c r="A9088" t="s">
        <v>7591</v>
      </c>
      <c r="B9088" t="s">
        <v>74</v>
      </c>
      <c r="C9088" s="2">
        <f>HYPERLINK("https://cao.dolgi.msk.ru/account/1080034183/", 1080034183)</f>
        <v>1080034183</v>
      </c>
      <c r="D9088" t="s">
        <v>7614</v>
      </c>
      <c r="E9088">
        <v>0</v>
      </c>
      <c r="G9088" t="s">
        <v>14</v>
      </c>
      <c r="I9088" t="s">
        <v>13</v>
      </c>
    </row>
    <row r="9089" spans="1:9" hidden="1" x14ac:dyDescent="0.25">
      <c r="A9089" t="s">
        <v>7591</v>
      </c>
      <c r="B9089" t="s">
        <v>74</v>
      </c>
      <c r="C9089" s="2">
        <f>HYPERLINK("https://cao.dolgi.msk.ru/account/1083386897/", 1083386897)</f>
        <v>1083386897</v>
      </c>
      <c r="D9089" t="s">
        <v>7614</v>
      </c>
      <c r="E9089">
        <v>-4081.38</v>
      </c>
      <c r="F9089">
        <v>-1</v>
      </c>
      <c r="G9089" t="s">
        <v>12</v>
      </c>
      <c r="I9089" t="s">
        <v>13</v>
      </c>
    </row>
    <row r="9090" spans="1:9" hidden="1" x14ac:dyDescent="0.25">
      <c r="A9090" t="s">
        <v>7591</v>
      </c>
      <c r="B9090" t="s">
        <v>76</v>
      </c>
      <c r="C9090" s="2">
        <f>HYPERLINK("https://cao.dolgi.msk.ru/account/1080034191/", 1080034191)</f>
        <v>1080034191</v>
      </c>
      <c r="D9090" t="s">
        <v>7615</v>
      </c>
      <c r="E9090">
        <v>589.39</v>
      </c>
      <c r="G9090" t="s">
        <v>14</v>
      </c>
      <c r="I9090" t="s">
        <v>13</v>
      </c>
    </row>
    <row r="9091" spans="1:9" hidden="1" x14ac:dyDescent="0.25">
      <c r="A9091" t="s">
        <v>7591</v>
      </c>
      <c r="B9091" t="s">
        <v>76</v>
      </c>
      <c r="C9091" s="2">
        <f>HYPERLINK("https://cao.dolgi.msk.ru/account/1083386731/", 1083386731)</f>
        <v>1083386731</v>
      </c>
      <c r="D9091" t="s">
        <v>7615</v>
      </c>
      <c r="E9091">
        <v>-7966.32</v>
      </c>
      <c r="F9091">
        <v>-1.02</v>
      </c>
      <c r="G9091" t="s">
        <v>12</v>
      </c>
      <c r="I9091" t="s">
        <v>13</v>
      </c>
    </row>
    <row r="9092" spans="1:9" hidden="1" x14ac:dyDescent="0.25">
      <c r="A9092" t="s">
        <v>7591</v>
      </c>
      <c r="B9092" t="s">
        <v>78</v>
      </c>
      <c r="C9092" s="2">
        <f>HYPERLINK("https://cao.dolgi.msk.ru/account/1080034204/", 1080034204)</f>
        <v>1080034204</v>
      </c>
      <c r="D9092" t="s">
        <v>7616</v>
      </c>
      <c r="E9092">
        <v>638.66</v>
      </c>
      <c r="F9092">
        <v>1</v>
      </c>
      <c r="G9092" t="s">
        <v>14</v>
      </c>
      <c r="I9092" t="s">
        <v>13</v>
      </c>
    </row>
    <row r="9093" spans="1:9" hidden="1" x14ac:dyDescent="0.25">
      <c r="A9093" t="s">
        <v>7591</v>
      </c>
      <c r="B9093" t="s">
        <v>78</v>
      </c>
      <c r="C9093" s="2">
        <f>HYPERLINK("https://cao.dolgi.msk.ru/account/1083386846/", 1083386846)</f>
        <v>1083386846</v>
      </c>
      <c r="D9093" t="s">
        <v>7616</v>
      </c>
      <c r="E9093">
        <v>3038.65</v>
      </c>
      <c r="G9093" t="s">
        <v>14</v>
      </c>
      <c r="I9093" t="s">
        <v>13</v>
      </c>
    </row>
    <row r="9094" spans="1:9" hidden="1" x14ac:dyDescent="0.25">
      <c r="A9094" t="s">
        <v>7591</v>
      </c>
      <c r="B9094" t="s">
        <v>78</v>
      </c>
      <c r="C9094" s="2">
        <f>HYPERLINK("https://cao.dolgi.msk.ru/account/1083391952/", 1083391952)</f>
        <v>1083391952</v>
      </c>
      <c r="D9094" t="s">
        <v>189</v>
      </c>
      <c r="E9094">
        <v>-5208.8999999999996</v>
      </c>
      <c r="F9094">
        <v>-1.02</v>
      </c>
      <c r="G9094" t="s">
        <v>12</v>
      </c>
      <c r="I9094" t="s">
        <v>13</v>
      </c>
    </row>
    <row r="9095" spans="1:9" hidden="1" x14ac:dyDescent="0.25">
      <c r="A9095" t="s">
        <v>7591</v>
      </c>
      <c r="B9095" t="s">
        <v>80</v>
      </c>
      <c r="C9095" s="2">
        <f>HYPERLINK("https://cao.dolgi.msk.ru/account/1080034212/", 1080034212)</f>
        <v>1080034212</v>
      </c>
      <c r="D9095" t="s">
        <v>7617</v>
      </c>
      <c r="E9095">
        <v>46988.800000000003</v>
      </c>
      <c r="F9095">
        <v>73.63</v>
      </c>
      <c r="G9095" t="s">
        <v>14</v>
      </c>
      <c r="I9095" t="s">
        <v>13</v>
      </c>
    </row>
    <row r="9096" spans="1:9" hidden="1" x14ac:dyDescent="0.25">
      <c r="A9096" t="s">
        <v>7591</v>
      </c>
      <c r="B9096" t="s">
        <v>80</v>
      </c>
      <c r="C9096" s="2">
        <f>HYPERLINK("https://cao.dolgi.msk.ru/account/1083386782/", 1083386782)</f>
        <v>1083386782</v>
      </c>
      <c r="D9096" t="s">
        <v>7617</v>
      </c>
      <c r="E9096">
        <v>-15691.73</v>
      </c>
      <c r="F9096">
        <v>-1.02</v>
      </c>
      <c r="G9096" t="s">
        <v>12</v>
      </c>
      <c r="I9096" t="s">
        <v>13</v>
      </c>
    </row>
    <row r="9097" spans="1:9" hidden="1" x14ac:dyDescent="0.25">
      <c r="A9097" t="s">
        <v>7591</v>
      </c>
      <c r="B9097" t="s">
        <v>82</v>
      </c>
      <c r="C9097" s="2">
        <f>HYPERLINK("https://cao.dolgi.msk.ru/account/1080034239/", 1080034239)</f>
        <v>1080034239</v>
      </c>
      <c r="D9097" t="s">
        <v>7618</v>
      </c>
      <c r="E9097">
        <v>638.66</v>
      </c>
      <c r="F9097">
        <v>1</v>
      </c>
      <c r="G9097" t="s">
        <v>14</v>
      </c>
      <c r="I9097" t="s">
        <v>13</v>
      </c>
    </row>
    <row r="9098" spans="1:9" hidden="1" x14ac:dyDescent="0.25">
      <c r="A9098" t="s">
        <v>7591</v>
      </c>
      <c r="B9098" t="s">
        <v>82</v>
      </c>
      <c r="C9098" s="2">
        <f>HYPERLINK("https://cao.dolgi.msk.ru/account/1083386969/", 1083386969)</f>
        <v>1083386969</v>
      </c>
      <c r="D9098" t="s">
        <v>7618</v>
      </c>
      <c r="E9098">
        <v>-2016.08</v>
      </c>
      <c r="F9098">
        <v>-0.32</v>
      </c>
      <c r="G9098" t="s">
        <v>12</v>
      </c>
      <c r="I9098" t="s">
        <v>13</v>
      </c>
    </row>
    <row r="9099" spans="1:9" hidden="1" x14ac:dyDescent="0.25">
      <c r="A9099" t="s">
        <v>7591</v>
      </c>
      <c r="B9099" t="s">
        <v>84</v>
      </c>
      <c r="C9099" s="2">
        <f>HYPERLINK("https://cao.dolgi.msk.ru/account/1080034247/", 1080034247)</f>
        <v>1080034247</v>
      </c>
      <c r="D9099" t="s">
        <v>7619</v>
      </c>
      <c r="E9099">
        <v>7768.76</v>
      </c>
      <c r="G9099" t="s">
        <v>14</v>
      </c>
      <c r="I9099" t="s">
        <v>13</v>
      </c>
    </row>
    <row r="9100" spans="1:9" hidden="1" x14ac:dyDescent="0.25">
      <c r="A9100" t="s">
        <v>7591</v>
      </c>
      <c r="B9100" t="s">
        <v>84</v>
      </c>
      <c r="C9100" s="2">
        <f>HYPERLINK("https://cao.dolgi.msk.ru/account/1083386977/", 1083386977)</f>
        <v>1083386977</v>
      </c>
      <c r="D9100" t="s">
        <v>7619</v>
      </c>
      <c r="E9100">
        <v>-5372.07</v>
      </c>
      <c r="F9100">
        <v>-1.01</v>
      </c>
      <c r="G9100" t="s">
        <v>12</v>
      </c>
      <c r="I9100" t="s">
        <v>13</v>
      </c>
    </row>
    <row r="9101" spans="1:9" hidden="1" x14ac:dyDescent="0.25">
      <c r="A9101" t="s">
        <v>7620</v>
      </c>
      <c r="B9101" t="s">
        <v>102</v>
      </c>
      <c r="C9101" s="2">
        <f>HYPERLINK("https://cao.dolgi.msk.ru/account/1080071574/", 1080071574)</f>
        <v>1080071574</v>
      </c>
      <c r="D9101" t="s">
        <v>7621</v>
      </c>
      <c r="E9101">
        <v>0</v>
      </c>
      <c r="G9101" t="s">
        <v>14</v>
      </c>
      <c r="I9101" t="s">
        <v>230</v>
      </c>
    </row>
    <row r="9102" spans="1:9" hidden="1" x14ac:dyDescent="0.25">
      <c r="A9102" t="s">
        <v>7622</v>
      </c>
      <c r="B9102" t="s">
        <v>10</v>
      </c>
      <c r="C9102" s="2">
        <f>HYPERLINK("https://cao.dolgi.msk.ru/account/1080071099/", 1080071099)</f>
        <v>1080071099</v>
      </c>
      <c r="D9102" t="s">
        <v>7623</v>
      </c>
      <c r="E9102">
        <v>-9066.81</v>
      </c>
      <c r="F9102">
        <v>-2.54</v>
      </c>
      <c r="G9102" t="s">
        <v>12</v>
      </c>
      <c r="I9102" t="s">
        <v>230</v>
      </c>
    </row>
    <row r="9103" spans="1:9" hidden="1" x14ac:dyDescent="0.25">
      <c r="A9103" t="s">
        <v>7622</v>
      </c>
      <c r="B9103" t="s">
        <v>16</v>
      </c>
      <c r="C9103" s="2">
        <f>HYPERLINK("https://cao.dolgi.msk.ru/account/1080071101/", 1080071101)</f>
        <v>1080071101</v>
      </c>
      <c r="D9103" t="s">
        <v>7624</v>
      </c>
      <c r="E9103">
        <v>34.5</v>
      </c>
      <c r="F9103">
        <v>0.01</v>
      </c>
      <c r="G9103" t="s">
        <v>12</v>
      </c>
      <c r="I9103" t="s">
        <v>230</v>
      </c>
    </row>
    <row r="9104" spans="1:9" hidden="1" x14ac:dyDescent="0.25">
      <c r="A9104" t="s">
        <v>7622</v>
      </c>
      <c r="B9104" t="s">
        <v>16</v>
      </c>
      <c r="C9104" s="2">
        <f>HYPERLINK("https://cao.dolgi.msk.ru/account/1080325896/", 1080325896)</f>
        <v>1080325896</v>
      </c>
      <c r="D9104" t="s">
        <v>7625</v>
      </c>
      <c r="E9104">
        <v>1147.1400000000001</v>
      </c>
      <c r="F9104">
        <v>0.76</v>
      </c>
      <c r="G9104" t="s">
        <v>12</v>
      </c>
      <c r="I9104" t="s">
        <v>230</v>
      </c>
    </row>
    <row r="9105" spans="1:9" hidden="1" x14ac:dyDescent="0.25">
      <c r="A9105" t="s">
        <v>7622</v>
      </c>
      <c r="B9105" t="s">
        <v>18</v>
      </c>
      <c r="C9105" s="2">
        <f>HYPERLINK("https://cao.dolgi.msk.ru/account/1080071128/", 1080071128)</f>
        <v>1080071128</v>
      </c>
      <c r="D9105" t="s">
        <v>7626</v>
      </c>
      <c r="E9105">
        <v>-10041.040000000001</v>
      </c>
      <c r="F9105">
        <v>-2.06</v>
      </c>
      <c r="G9105" t="s">
        <v>12</v>
      </c>
      <c r="I9105" t="s">
        <v>230</v>
      </c>
    </row>
    <row r="9106" spans="1:9" hidden="1" x14ac:dyDescent="0.25">
      <c r="A9106" t="s">
        <v>7622</v>
      </c>
      <c r="B9106" t="s">
        <v>20</v>
      </c>
      <c r="C9106" s="2">
        <f>HYPERLINK("https://cao.dolgi.msk.ru/account/1080071136/", 1080071136)</f>
        <v>1080071136</v>
      </c>
      <c r="D9106" t="s">
        <v>15</v>
      </c>
      <c r="E9106">
        <v>-7034.29</v>
      </c>
      <c r="F9106">
        <v>-1.43</v>
      </c>
      <c r="G9106" t="s">
        <v>12</v>
      </c>
      <c r="I9106" t="s">
        <v>230</v>
      </c>
    </row>
    <row r="9107" spans="1:9" hidden="1" x14ac:dyDescent="0.25">
      <c r="A9107" t="s">
        <v>7622</v>
      </c>
      <c r="B9107" t="s">
        <v>21</v>
      </c>
      <c r="C9107" s="2">
        <f>HYPERLINK("https://cao.dolgi.msk.ru/account/1080071144/", 1080071144)</f>
        <v>1080071144</v>
      </c>
      <c r="D9107" t="s">
        <v>7627</v>
      </c>
      <c r="E9107">
        <v>-7238.98</v>
      </c>
      <c r="F9107">
        <v>-1.1100000000000001</v>
      </c>
      <c r="G9107" t="s">
        <v>12</v>
      </c>
      <c r="I9107" t="s">
        <v>230</v>
      </c>
    </row>
    <row r="9108" spans="1:9" hidden="1" x14ac:dyDescent="0.25">
      <c r="A9108" t="s">
        <v>7622</v>
      </c>
      <c r="B9108" t="s">
        <v>22</v>
      </c>
      <c r="C9108" s="2">
        <f>HYPERLINK("https://cao.dolgi.msk.ru/account/1080071152/", 1080071152)</f>
        <v>1080071152</v>
      </c>
      <c r="D9108" t="s">
        <v>62</v>
      </c>
      <c r="E9108">
        <v>-5286.37</v>
      </c>
      <c r="F9108">
        <v>-0.83</v>
      </c>
      <c r="G9108" t="s">
        <v>12</v>
      </c>
      <c r="I9108" t="s">
        <v>230</v>
      </c>
    </row>
    <row r="9109" spans="1:9" hidden="1" x14ac:dyDescent="0.25">
      <c r="A9109" t="s">
        <v>7622</v>
      </c>
      <c r="B9109" t="s">
        <v>23</v>
      </c>
      <c r="C9109" s="2">
        <f>HYPERLINK("https://cao.dolgi.msk.ru/account/1080071179/", 1080071179)</f>
        <v>1080071179</v>
      </c>
      <c r="D9109" t="s">
        <v>7628</v>
      </c>
      <c r="E9109">
        <v>-1599.29</v>
      </c>
      <c r="F9109">
        <v>-0.2</v>
      </c>
      <c r="G9109" t="s">
        <v>12</v>
      </c>
      <c r="I9109" t="s">
        <v>230</v>
      </c>
    </row>
    <row r="9110" spans="1:9" hidden="1" x14ac:dyDescent="0.25">
      <c r="A9110" t="s">
        <v>7622</v>
      </c>
      <c r="B9110" t="s">
        <v>24</v>
      </c>
      <c r="C9110" s="2">
        <f>HYPERLINK("https://cao.dolgi.msk.ru/account/1080071187/", 1080071187)</f>
        <v>1080071187</v>
      </c>
      <c r="D9110" t="s">
        <v>7629</v>
      </c>
      <c r="E9110">
        <v>0</v>
      </c>
      <c r="F9110">
        <v>0</v>
      </c>
      <c r="G9110" t="s">
        <v>12</v>
      </c>
      <c r="I9110" t="s">
        <v>230</v>
      </c>
    </row>
    <row r="9111" spans="1:9" hidden="1" x14ac:dyDescent="0.25">
      <c r="A9111" t="s">
        <v>7622</v>
      </c>
      <c r="B9111" t="s">
        <v>27</v>
      </c>
      <c r="C9111" s="2">
        <f>HYPERLINK("https://cao.dolgi.msk.ru/account/1080071195/", 1080071195)</f>
        <v>1080071195</v>
      </c>
      <c r="D9111" t="s">
        <v>7630</v>
      </c>
      <c r="E9111">
        <v>-3943.45</v>
      </c>
      <c r="F9111">
        <v>-1.1299999999999999</v>
      </c>
      <c r="G9111" t="s">
        <v>12</v>
      </c>
      <c r="I9111" t="s">
        <v>230</v>
      </c>
    </row>
    <row r="9112" spans="1:9" hidden="1" x14ac:dyDescent="0.25">
      <c r="A9112" t="s">
        <v>7622</v>
      </c>
      <c r="B9112" t="s">
        <v>29</v>
      </c>
      <c r="C9112" s="2">
        <f>HYPERLINK("https://cao.dolgi.msk.ru/account/1080071208/", 1080071208)</f>
        <v>1080071208</v>
      </c>
      <c r="D9112" t="s">
        <v>7631</v>
      </c>
      <c r="E9112">
        <v>-4975.84</v>
      </c>
      <c r="F9112">
        <v>-1.07</v>
      </c>
      <c r="G9112" t="s">
        <v>12</v>
      </c>
      <c r="I9112" t="s">
        <v>230</v>
      </c>
    </row>
    <row r="9113" spans="1:9" x14ac:dyDescent="0.25">
      <c r="A9113" t="s">
        <v>7622</v>
      </c>
      <c r="B9113" t="s">
        <v>31</v>
      </c>
      <c r="C9113" s="2">
        <f>HYPERLINK("https://cao.dolgi.msk.ru/account/1080071216/", 1080071216)</f>
        <v>1080071216</v>
      </c>
      <c r="D9113" t="s">
        <v>7632</v>
      </c>
      <c r="E9113">
        <v>62366.6</v>
      </c>
      <c r="F9113">
        <v>17.21</v>
      </c>
      <c r="G9113" t="s">
        <v>12</v>
      </c>
      <c r="I9113" t="s">
        <v>230</v>
      </c>
    </row>
    <row r="9114" spans="1:9" hidden="1" x14ac:dyDescent="0.25">
      <c r="A9114" t="s">
        <v>7622</v>
      </c>
      <c r="B9114" t="s">
        <v>33</v>
      </c>
      <c r="C9114" s="2">
        <f>HYPERLINK("https://cao.dolgi.msk.ru/account/1080071224/", 1080071224)</f>
        <v>1080071224</v>
      </c>
      <c r="D9114" t="s">
        <v>7633</v>
      </c>
      <c r="E9114">
        <v>-3615.85</v>
      </c>
      <c r="F9114">
        <v>-1.18</v>
      </c>
      <c r="G9114" t="s">
        <v>12</v>
      </c>
      <c r="I9114" t="s">
        <v>230</v>
      </c>
    </row>
    <row r="9115" spans="1:9" hidden="1" x14ac:dyDescent="0.25">
      <c r="A9115" t="s">
        <v>7622</v>
      </c>
      <c r="B9115" t="s">
        <v>34</v>
      </c>
      <c r="C9115" s="2">
        <f>HYPERLINK("https://cao.dolgi.msk.ru/account/1080071232/", 1080071232)</f>
        <v>1080071232</v>
      </c>
      <c r="D9115" t="s">
        <v>7634</v>
      </c>
      <c r="E9115">
        <v>0</v>
      </c>
      <c r="F9115">
        <v>0</v>
      </c>
      <c r="G9115" t="s">
        <v>12</v>
      </c>
      <c r="I9115" t="s">
        <v>230</v>
      </c>
    </row>
    <row r="9116" spans="1:9" hidden="1" x14ac:dyDescent="0.25">
      <c r="A9116" t="s">
        <v>7622</v>
      </c>
      <c r="B9116" t="s">
        <v>36</v>
      </c>
      <c r="C9116" s="2">
        <f>HYPERLINK("https://cao.dolgi.msk.ru/account/1080071259/", 1080071259)</f>
        <v>1080071259</v>
      </c>
      <c r="D9116" t="s">
        <v>7635</v>
      </c>
      <c r="E9116">
        <v>-7808.26</v>
      </c>
      <c r="F9116">
        <v>-0.88</v>
      </c>
      <c r="G9116" t="s">
        <v>12</v>
      </c>
      <c r="I9116" t="s">
        <v>230</v>
      </c>
    </row>
    <row r="9117" spans="1:9" x14ac:dyDescent="0.25">
      <c r="A9117" t="s">
        <v>7622</v>
      </c>
      <c r="B9117" t="s">
        <v>38</v>
      </c>
      <c r="C9117" s="2">
        <f>HYPERLINK("https://cao.dolgi.msk.ru/account/1080071267/", 1080071267)</f>
        <v>1080071267</v>
      </c>
      <c r="D9117" t="s">
        <v>7636</v>
      </c>
      <c r="E9117">
        <v>3319.3</v>
      </c>
      <c r="F9117">
        <v>1.02</v>
      </c>
      <c r="G9117" t="s">
        <v>12</v>
      </c>
      <c r="I9117" t="s">
        <v>230</v>
      </c>
    </row>
    <row r="9118" spans="1:9" hidden="1" x14ac:dyDescent="0.25">
      <c r="A9118" t="s">
        <v>7622</v>
      </c>
      <c r="B9118" t="s">
        <v>39</v>
      </c>
      <c r="C9118" s="2">
        <f>HYPERLINK("https://cao.dolgi.msk.ru/account/1080071275/", 1080071275)</f>
        <v>1080071275</v>
      </c>
      <c r="D9118" t="s">
        <v>7637</v>
      </c>
      <c r="E9118">
        <v>-3263.86</v>
      </c>
      <c r="F9118">
        <v>-1.1399999999999999</v>
      </c>
      <c r="G9118" t="s">
        <v>12</v>
      </c>
      <c r="I9118" t="s">
        <v>230</v>
      </c>
    </row>
    <row r="9119" spans="1:9" hidden="1" x14ac:dyDescent="0.25">
      <c r="A9119" t="s">
        <v>7622</v>
      </c>
      <c r="B9119" t="s">
        <v>40</v>
      </c>
      <c r="C9119" s="2">
        <f>HYPERLINK("https://cao.dolgi.msk.ru/account/1080071283/", 1080071283)</f>
        <v>1080071283</v>
      </c>
      <c r="D9119" t="s">
        <v>7638</v>
      </c>
      <c r="E9119">
        <v>-4479.6099999999997</v>
      </c>
      <c r="F9119">
        <v>-1.21</v>
      </c>
      <c r="G9119" t="s">
        <v>12</v>
      </c>
      <c r="I9119" t="s">
        <v>230</v>
      </c>
    </row>
    <row r="9120" spans="1:9" hidden="1" x14ac:dyDescent="0.25">
      <c r="A9120" t="s">
        <v>7622</v>
      </c>
      <c r="B9120" t="s">
        <v>41</v>
      </c>
      <c r="C9120" s="2">
        <f>HYPERLINK("https://cao.dolgi.msk.ru/account/1080071291/", 1080071291)</f>
        <v>1080071291</v>
      </c>
      <c r="D9120" t="s">
        <v>7639</v>
      </c>
      <c r="E9120">
        <v>-4723.66</v>
      </c>
      <c r="F9120">
        <v>-1.29</v>
      </c>
      <c r="G9120" t="s">
        <v>12</v>
      </c>
      <c r="I9120" t="s">
        <v>230</v>
      </c>
    </row>
    <row r="9121" spans="1:9" hidden="1" x14ac:dyDescent="0.25">
      <c r="A9121" t="s">
        <v>7622</v>
      </c>
      <c r="B9121" t="s">
        <v>42</v>
      </c>
      <c r="C9121" s="2">
        <f>HYPERLINK("https://cao.dolgi.msk.ru/account/1080071304/", 1080071304)</f>
        <v>1080071304</v>
      </c>
      <c r="D9121" t="s">
        <v>7640</v>
      </c>
      <c r="E9121">
        <v>38.799999999999997</v>
      </c>
      <c r="F9121">
        <v>0.01</v>
      </c>
      <c r="G9121" t="s">
        <v>12</v>
      </c>
      <c r="I9121" t="s">
        <v>230</v>
      </c>
    </row>
    <row r="9122" spans="1:9" hidden="1" x14ac:dyDescent="0.25">
      <c r="A9122" t="s">
        <v>7622</v>
      </c>
      <c r="B9122" t="s">
        <v>44</v>
      </c>
      <c r="C9122" s="2">
        <f>HYPERLINK("https://cao.dolgi.msk.ru/account/1080071312/", 1080071312)</f>
        <v>1080071312</v>
      </c>
      <c r="D9122" t="s">
        <v>7641</v>
      </c>
      <c r="E9122">
        <v>-4558.67</v>
      </c>
      <c r="F9122">
        <v>-1.36</v>
      </c>
      <c r="G9122" t="s">
        <v>12</v>
      </c>
      <c r="I9122" t="s">
        <v>230</v>
      </c>
    </row>
    <row r="9123" spans="1:9" hidden="1" x14ac:dyDescent="0.25">
      <c r="A9123" t="s">
        <v>7622</v>
      </c>
      <c r="B9123" t="s">
        <v>66</v>
      </c>
      <c r="C9123" s="2">
        <f>HYPERLINK("https://cao.dolgi.msk.ru/account/1080071339/", 1080071339)</f>
        <v>1080071339</v>
      </c>
      <c r="D9123" t="s">
        <v>15</v>
      </c>
      <c r="E9123">
        <v>6660.71</v>
      </c>
      <c r="F9123">
        <v>0.67</v>
      </c>
      <c r="G9123" t="s">
        <v>12</v>
      </c>
      <c r="I9123" t="s">
        <v>230</v>
      </c>
    </row>
    <row r="9124" spans="1:9" hidden="1" x14ac:dyDescent="0.25">
      <c r="A9124" t="s">
        <v>7622</v>
      </c>
      <c r="B9124" t="s">
        <v>68</v>
      </c>
      <c r="C9124" s="2">
        <f>HYPERLINK("https://cao.dolgi.msk.ru/account/1080071347/", 1080071347)</f>
        <v>1080071347</v>
      </c>
      <c r="D9124" t="s">
        <v>7642</v>
      </c>
      <c r="E9124">
        <v>0</v>
      </c>
      <c r="F9124">
        <v>0</v>
      </c>
      <c r="G9124" t="s">
        <v>12</v>
      </c>
      <c r="I9124" t="s">
        <v>230</v>
      </c>
    </row>
    <row r="9125" spans="1:9" hidden="1" x14ac:dyDescent="0.25">
      <c r="A9125" t="s">
        <v>7622</v>
      </c>
      <c r="B9125" t="s">
        <v>70</v>
      </c>
      <c r="C9125" s="2">
        <f>HYPERLINK("https://cao.dolgi.msk.ru/account/1080071355/", 1080071355)</f>
        <v>1080071355</v>
      </c>
      <c r="D9125" t="s">
        <v>7643</v>
      </c>
      <c r="E9125">
        <v>-5069.97</v>
      </c>
      <c r="F9125">
        <v>-1.0900000000000001</v>
      </c>
      <c r="G9125" t="s">
        <v>12</v>
      </c>
      <c r="I9125" t="s">
        <v>230</v>
      </c>
    </row>
    <row r="9126" spans="1:9" hidden="1" x14ac:dyDescent="0.25">
      <c r="A9126" t="s">
        <v>7622</v>
      </c>
      <c r="B9126" t="s">
        <v>72</v>
      </c>
      <c r="C9126" s="2">
        <f>HYPERLINK("https://cao.dolgi.msk.ru/account/1080071363/", 1080071363)</f>
        <v>1080071363</v>
      </c>
      <c r="D9126" t="s">
        <v>7644</v>
      </c>
      <c r="E9126">
        <v>0</v>
      </c>
      <c r="F9126">
        <v>0</v>
      </c>
      <c r="G9126" t="s">
        <v>12</v>
      </c>
      <c r="I9126" t="s">
        <v>230</v>
      </c>
    </row>
    <row r="9127" spans="1:9" hidden="1" x14ac:dyDescent="0.25">
      <c r="A9127" t="s">
        <v>7622</v>
      </c>
      <c r="B9127" t="s">
        <v>74</v>
      </c>
      <c r="C9127" s="2">
        <f>HYPERLINK("https://cao.dolgi.msk.ru/account/1080071371/", 1080071371)</f>
        <v>1080071371</v>
      </c>
      <c r="D9127" t="s">
        <v>7645</v>
      </c>
      <c r="E9127">
        <v>-5225.5600000000004</v>
      </c>
      <c r="F9127">
        <v>-1.0900000000000001</v>
      </c>
      <c r="G9127" t="s">
        <v>12</v>
      </c>
      <c r="I9127" t="s">
        <v>230</v>
      </c>
    </row>
    <row r="9128" spans="1:9" hidden="1" x14ac:dyDescent="0.25">
      <c r="A9128" t="s">
        <v>7622</v>
      </c>
      <c r="B9128" t="s">
        <v>76</v>
      </c>
      <c r="C9128" s="2">
        <f>HYPERLINK("https://cao.dolgi.msk.ru/account/1080071398/", 1080071398)</f>
        <v>1080071398</v>
      </c>
      <c r="D9128" t="s">
        <v>7646</v>
      </c>
      <c r="E9128">
        <v>-4275.0600000000004</v>
      </c>
      <c r="F9128">
        <v>-1.1599999999999999</v>
      </c>
      <c r="G9128" t="s">
        <v>12</v>
      </c>
      <c r="I9128" t="s">
        <v>230</v>
      </c>
    </row>
    <row r="9129" spans="1:9" hidden="1" x14ac:dyDescent="0.25">
      <c r="A9129" t="s">
        <v>7622</v>
      </c>
      <c r="B9129" t="s">
        <v>78</v>
      </c>
      <c r="C9129" s="2">
        <f>HYPERLINK("https://cao.dolgi.msk.ru/account/1080071427/", 1080071427)</f>
        <v>1080071427</v>
      </c>
      <c r="D9129" t="s">
        <v>7647</v>
      </c>
      <c r="E9129">
        <v>-7142.37</v>
      </c>
      <c r="F9129">
        <v>-1.1399999999999999</v>
      </c>
      <c r="G9129" t="s">
        <v>12</v>
      </c>
      <c r="I9129" t="s">
        <v>230</v>
      </c>
    </row>
    <row r="9130" spans="1:9" hidden="1" x14ac:dyDescent="0.25">
      <c r="A9130" t="s">
        <v>7622</v>
      </c>
      <c r="B9130" t="s">
        <v>80</v>
      </c>
      <c r="C9130" s="2">
        <f>HYPERLINK("https://cao.dolgi.msk.ru/account/1080071435/", 1080071435)</f>
        <v>1080071435</v>
      </c>
      <c r="D9130" t="s">
        <v>7648</v>
      </c>
      <c r="E9130">
        <v>-5384.92</v>
      </c>
      <c r="F9130">
        <v>-1.0900000000000001</v>
      </c>
      <c r="G9130" t="s">
        <v>12</v>
      </c>
      <c r="I9130" t="s">
        <v>230</v>
      </c>
    </row>
    <row r="9131" spans="1:9" hidden="1" x14ac:dyDescent="0.25">
      <c r="A9131" t="s">
        <v>7622</v>
      </c>
      <c r="B9131" t="s">
        <v>82</v>
      </c>
      <c r="C9131" s="2">
        <f>HYPERLINK("https://cao.dolgi.msk.ru/account/1080071443/", 1080071443)</f>
        <v>1080071443</v>
      </c>
      <c r="D9131" t="s">
        <v>2554</v>
      </c>
      <c r="E9131">
        <v>-5385.84</v>
      </c>
      <c r="F9131">
        <v>-1</v>
      </c>
      <c r="G9131" t="s">
        <v>12</v>
      </c>
      <c r="I9131" t="s">
        <v>230</v>
      </c>
    </row>
    <row r="9132" spans="1:9" hidden="1" x14ac:dyDescent="0.25">
      <c r="A9132" t="s">
        <v>7622</v>
      </c>
      <c r="B9132" t="s">
        <v>84</v>
      </c>
      <c r="C9132" s="2">
        <f>HYPERLINK("https://cao.dolgi.msk.ru/account/1080071451/", 1080071451)</f>
        <v>1080071451</v>
      </c>
      <c r="D9132" t="s">
        <v>7649</v>
      </c>
      <c r="E9132">
        <v>0</v>
      </c>
      <c r="F9132">
        <v>0</v>
      </c>
      <c r="G9132" t="s">
        <v>12</v>
      </c>
      <c r="I9132" t="s">
        <v>230</v>
      </c>
    </row>
    <row r="9133" spans="1:9" hidden="1" x14ac:dyDescent="0.25">
      <c r="A9133" t="s">
        <v>7622</v>
      </c>
      <c r="B9133" t="s">
        <v>86</v>
      </c>
      <c r="C9133" s="2">
        <f>HYPERLINK("https://cao.dolgi.msk.ru/account/1080071478/", 1080071478)</f>
        <v>1080071478</v>
      </c>
      <c r="D9133" t="s">
        <v>7650</v>
      </c>
      <c r="E9133">
        <v>-7823.27</v>
      </c>
      <c r="F9133">
        <v>-1.28</v>
      </c>
      <c r="G9133" t="s">
        <v>12</v>
      </c>
      <c r="I9133" t="s">
        <v>230</v>
      </c>
    </row>
    <row r="9134" spans="1:9" hidden="1" x14ac:dyDescent="0.25">
      <c r="A9134" t="s">
        <v>7622</v>
      </c>
      <c r="B9134" t="s">
        <v>88</v>
      </c>
      <c r="C9134" s="2">
        <f>HYPERLINK("https://cao.dolgi.msk.ru/account/1080071486/", 1080071486)</f>
        <v>1080071486</v>
      </c>
      <c r="D9134" t="s">
        <v>7651</v>
      </c>
      <c r="E9134">
        <v>2006.93</v>
      </c>
      <c r="F9134">
        <v>0.7</v>
      </c>
      <c r="G9134" t="s">
        <v>12</v>
      </c>
      <c r="I9134" t="s">
        <v>230</v>
      </c>
    </row>
    <row r="9135" spans="1:9" hidden="1" x14ac:dyDescent="0.25">
      <c r="A9135" t="s">
        <v>7622</v>
      </c>
      <c r="B9135" t="s">
        <v>90</v>
      </c>
      <c r="C9135" s="2">
        <f>HYPERLINK("https://cao.dolgi.msk.ru/account/1080071494/", 1080071494)</f>
        <v>1080071494</v>
      </c>
      <c r="D9135" t="s">
        <v>62</v>
      </c>
      <c r="E9135">
        <v>-9541.92</v>
      </c>
      <c r="F9135">
        <v>-1.22</v>
      </c>
      <c r="G9135" t="s">
        <v>12</v>
      </c>
      <c r="I9135" t="s">
        <v>230</v>
      </c>
    </row>
    <row r="9136" spans="1:9" hidden="1" x14ac:dyDescent="0.25">
      <c r="A9136" t="s">
        <v>7622</v>
      </c>
      <c r="B9136" t="s">
        <v>92</v>
      </c>
      <c r="C9136" s="2">
        <f>HYPERLINK("https://cao.dolgi.msk.ru/account/1080071507/", 1080071507)</f>
        <v>1080071507</v>
      </c>
      <c r="D9136" t="s">
        <v>7652</v>
      </c>
      <c r="E9136">
        <v>-2728.81</v>
      </c>
      <c r="F9136">
        <v>-0.47</v>
      </c>
      <c r="G9136" t="s">
        <v>12</v>
      </c>
      <c r="I9136" t="s">
        <v>230</v>
      </c>
    </row>
    <row r="9137" spans="1:9" hidden="1" x14ac:dyDescent="0.25">
      <c r="A9137" t="s">
        <v>7622</v>
      </c>
      <c r="B9137" t="s">
        <v>94</v>
      </c>
      <c r="C9137" s="2">
        <f>HYPERLINK("https://cao.dolgi.msk.ru/account/1080071515/", 1080071515)</f>
        <v>1080071515</v>
      </c>
      <c r="D9137" t="s">
        <v>7653</v>
      </c>
      <c r="E9137">
        <v>-20282.07</v>
      </c>
      <c r="F9137">
        <v>-3.24</v>
      </c>
      <c r="G9137" t="s">
        <v>12</v>
      </c>
      <c r="I9137" t="s">
        <v>230</v>
      </c>
    </row>
    <row r="9138" spans="1:9" hidden="1" x14ac:dyDescent="0.25">
      <c r="A9138" t="s">
        <v>7622</v>
      </c>
      <c r="B9138" t="s">
        <v>96</v>
      </c>
      <c r="C9138" s="2">
        <f>HYPERLINK("https://cao.dolgi.msk.ru/account/1080071523/", 1080071523)</f>
        <v>1080071523</v>
      </c>
      <c r="D9138" t="s">
        <v>7654</v>
      </c>
      <c r="E9138">
        <v>-6478.83</v>
      </c>
      <c r="F9138">
        <v>-1.33</v>
      </c>
      <c r="G9138" t="s">
        <v>12</v>
      </c>
      <c r="I9138" t="s">
        <v>230</v>
      </c>
    </row>
    <row r="9139" spans="1:9" hidden="1" x14ac:dyDescent="0.25">
      <c r="A9139" t="s">
        <v>7622</v>
      </c>
      <c r="B9139" t="s">
        <v>98</v>
      </c>
      <c r="C9139" s="2">
        <f>HYPERLINK("https://cao.dolgi.msk.ru/account/1080071531/", 1080071531)</f>
        <v>1080071531</v>
      </c>
      <c r="D9139" t="s">
        <v>7655</v>
      </c>
      <c r="E9139">
        <v>-5980.96</v>
      </c>
      <c r="F9139">
        <v>-1.07</v>
      </c>
      <c r="G9139" t="s">
        <v>12</v>
      </c>
      <c r="I9139" t="s">
        <v>230</v>
      </c>
    </row>
    <row r="9140" spans="1:9" hidden="1" x14ac:dyDescent="0.25">
      <c r="A9140" t="s">
        <v>7622</v>
      </c>
      <c r="B9140" t="s">
        <v>100</v>
      </c>
      <c r="C9140" s="2">
        <f>HYPERLINK("https://cao.dolgi.msk.ru/account/1080071558/", 1080071558)</f>
        <v>1080071558</v>
      </c>
      <c r="D9140" t="s">
        <v>7656</v>
      </c>
      <c r="E9140">
        <v>-3956.89</v>
      </c>
      <c r="F9140">
        <v>-1.19</v>
      </c>
      <c r="G9140" t="s">
        <v>12</v>
      </c>
      <c r="I9140" t="s">
        <v>230</v>
      </c>
    </row>
    <row r="9141" spans="1:9" x14ac:dyDescent="0.25">
      <c r="A9141" t="s">
        <v>7622</v>
      </c>
      <c r="B9141" t="s">
        <v>102</v>
      </c>
      <c r="C9141" s="2">
        <f>HYPERLINK("https://cao.dolgi.msk.ru/account/1080071566/", 1080071566)</f>
        <v>1080071566</v>
      </c>
      <c r="D9141" t="s">
        <v>7657</v>
      </c>
      <c r="E9141">
        <v>34842.769999999997</v>
      </c>
      <c r="F9141">
        <v>8.4600000000000009</v>
      </c>
      <c r="G9141" t="s">
        <v>12</v>
      </c>
      <c r="I9141" t="s">
        <v>230</v>
      </c>
    </row>
    <row r="9142" spans="1:9" hidden="1" x14ac:dyDescent="0.25">
      <c r="A9142" t="s">
        <v>7622</v>
      </c>
      <c r="B9142" t="s">
        <v>104</v>
      </c>
      <c r="C9142" s="2">
        <f>HYPERLINK("https://cao.dolgi.msk.ru/account/1080071582/", 1080071582)</f>
        <v>1080071582</v>
      </c>
      <c r="D9142" t="s">
        <v>7658</v>
      </c>
      <c r="E9142">
        <v>-2691.4</v>
      </c>
      <c r="F9142">
        <v>-1.21</v>
      </c>
      <c r="G9142" t="s">
        <v>12</v>
      </c>
      <c r="I9142" t="s">
        <v>230</v>
      </c>
    </row>
    <row r="9143" spans="1:9" hidden="1" x14ac:dyDescent="0.25">
      <c r="A9143" t="s">
        <v>7622</v>
      </c>
      <c r="B9143" t="s">
        <v>106</v>
      </c>
      <c r="C9143" s="2">
        <f>HYPERLINK("https://cao.dolgi.msk.ru/account/1080071603/", 1080071603)</f>
        <v>1080071603</v>
      </c>
      <c r="D9143" t="s">
        <v>7659</v>
      </c>
      <c r="E9143">
        <v>-6394.88</v>
      </c>
      <c r="F9143">
        <v>-1.04</v>
      </c>
      <c r="G9143" t="s">
        <v>12</v>
      </c>
      <c r="I9143" t="s">
        <v>230</v>
      </c>
    </row>
    <row r="9144" spans="1:9" hidden="1" x14ac:dyDescent="0.25">
      <c r="A9144" t="s">
        <v>7622</v>
      </c>
      <c r="B9144" t="s">
        <v>108</v>
      </c>
      <c r="C9144" s="2">
        <f>HYPERLINK("https://cao.dolgi.msk.ru/account/1080071611/", 1080071611)</f>
        <v>1080071611</v>
      </c>
      <c r="D9144" t="s">
        <v>7660</v>
      </c>
      <c r="E9144">
        <v>-4201.92</v>
      </c>
      <c r="F9144">
        <v>-1.2</v>
      </c>
      <c r="G9144" t="s">
        <v>12</v>
      </c>
      <c r="I9144" t="s">
        <v>230</v>
      </c>
    </row>
    <row r="9145" spans="1:9" hidden="1" x14ac:dyDescent="0.25">
      <c r="A9145" t="s">
        <v>7622</v>
      </c>
      <c r="B9145" t="s">
        <v>110</v>
      </c>
      <c r="C9145" s="2">
        <f>HYPERLINK("https://cao.dolgi.msk.ru/account/1080071638/", 1080071638)</f>
        <v>1080071638</v>
      </c>
      <c r="D9145" t="s">
        <v>7661</v>
      </c>
      <c r="E9145">
        <v>-6243.17</v>
      </c>
      <c r="F9145">
        <v>-1.1200000000000001</v>
      </c>
      <c r="G9145" t="s">
        <v>12</v>
      </c>
      <c r="I9145" t="s">
        <v>230</v>
      </c>
    </row>
    <row r="9146" spans="1:9" hidden="1" x14ac:dyDescent="0.25">
      <c r="A9146" t="s">
        <v>7622</v>
      </c>
      <c r="B9146" t="s">
        <v>112</v>
      </c>
      <c r="C9146" s="2">
        <f>HYPERLINK("https://cao.dolgi.msk.ru/account/1080071646/", 1080071646)</f>
        <v>1080071646</v>
      </c>
      <c r="D9146" t="s">
        <v>7662</v>
      </c>
      <c r="E9146">
        <v>-4464.1499999999996</v>
      </c>
      <c r="F9146">
        <v>-1.07</v>
      </c>
      <c r="G9146" t="s">
        <v>12</v>
      </c>
      <c r="I9146" t="s">
        <v>230</v>
      </c>
    </row>
    <row r="9147" spans="1:9" hidden="1" x14ac:dyDescent="0.25">
      <c r="A9147" t="s">
        <v>7622</v>
      </c>
      <c r="B9147" t="s">
        <v>114</v>
      </c>
      <c r="C9147" s="2">
        <f>HYPERLINK("https://cao.dolgi.msk.ru/account/1080071654/", 1080071654)</f>
        <v>1080071654</v>
      </c>
      <c r="D9147" t="s">
        <v>7663</v>
      </c>
      <c r="E9147">
        <v>-6221.7</v>
      </c>
      <c r="F9147">
        <v>-1.1000000000000001</v>
      </c>
      <c r="G9147" t="s">
        <v>12</v>
      </c>
      <c r="I9147" t="s">
        <v>230</v>
      </c>
    </row>
    <row r="9148" spans="1:9" hidden="1" x14ac:dyDescent="0.25">
      <c r="A9148" t="s">
        <v>7664</v>
      </c>
      <c r="B9148" t="s">
        <v>36</v>
      </c>
      <c r="C9148" s="2">
        <f>HYPERLINK("https://cao.dolgi.msk.ru/account/1080067276/", 1080067276)</f>
        <v>1080067276</v>
      </c>
      <c r="D9148" t="s">
        <v>15</v>
      </c>
      <c r="G9148" t="s">
        <v>14</v>
      </c>
      <c r="I9148" t="s">
        <v>230</v>
      </c>
    </row>
    <row r="9149" spans="1:9" hidden="1" x14ac:dyDescent="0.25">
      <c r="A9149" t="s">
        <v>7664</v>
      </c>
      <c r="B9149" t="s">
        <v>36</v>
      </c>
      <c r="C9149" s="2">
        <f>HYPERLINK("https://cao.dolgi.msk.ru/account/1080067284/", 1080067284)</f>
        <v>1080067284</v>
      </c>
      <c r="D9149" t="s">
        <v>15</v>
      </c>
      <c r="G9149" t="s">
        <v>14</v>
      </c>
      <c r="I9149" t="s">
        <v>230</v>
      </c>
    </row>
    <row r="9150" spans="1:9" hidden="1" x14ac:dyDescent="0.25">
      <c r="A9150" t="s">
        <v>7664</v>
      </c>
      <c r="B9150" t="s">
        <v>7665</v>
      </c>
      <c r="C9150" s="2">
        <f>HYPERLINK("https://cao.dolgi.msk.ru/account/1080067292/", 1080067292)</f>
        <v>1080067292</v>
      </c>
      <c r="D9150" t="s">
        <v>7666</v>
      </c>
      <c r="E9150">
        <v>-3351.01</v>
      </c>
      <c r="F9150">
        <v>-1.26</v>
      </c>
      <c r="G9150" t="s">
        <v>12</v>
      </c>
      <c r="I9150" t="s">
        <v>230</v>
      </c>
    </row>
    <row r="9151" spans="1:9" hidden="1" x14ac:dyDescent="0.25">
      <c r="A9151" t="s">
        <v>7664</v>
      </c>
      <c r="B9151" t="s">
        <v>38</v>
      </c>
      <c r="C9151" s="2">
        <f>HYPERLINK("https://cao.dolgi.msk.ru/account/1080067313/", 1080067313)</f>
        <v>1080067313</v>
      </c>
      <c r="D9151" t="s">
        <v>15</v>
      </c>
      <c r="G9151" t="s">
        <v>14</v>
      </c>
      <c r="H9151" t="s">
        <v>7</v>
      </c>
      <c r="I9151" t="s">
        <v>230</v>
      </c>
    </row>
    <row r="9152" spans="1:9" hidden="1" x14ac:dyDescent="0.25">
      <c r="A9152" t="s">
        <v>7664</v>
      </c>
      <c r="B9152" t="s">
        <v>38</v>
      </c>
      <c r="C9152" s="2">
        <f>HYPERLINK("https://cao.dolgi.msk.ru/account/1080067321/", 1080067321)</f>
        <v>1080067321</v>
      </c>
      <c r="D9152" t="s">
        <v>15</v>
      </c>
      <c r="G9152" t="s">
        <v>14</v>
      </c>
      <c r="H9152" t="s">
        <v>7</v>
      </c>
      <c r="I9152" t="s">
        <v>230</v>
      </c>
    </row>
    <row r="9153" spans="1:9" hidden="1" x14ac:dyDescent="0.25">
      <c r="A9153" t="s">
        <v>7664</v>
      </c>
      <c r="B9153" t="s">
        <v>4852</v>
      </c>
      <c r="C9153" s="2">
        <f>HYPERLINK("https://cao.dolgi.msk.ru/account/1080067305/", 1080067305)</f>
        <v>1080067305</v>
      </c>
      <c r="D9153" t="s">
        <v>7667</v>
      </c>
      <c r="E9153">
        <v>-8543.16</v>
      </c>
      <c r="F9153">
        <v>-1.0900000000000001</v>
      </c>
      <c r="G9153" t="s">
        <v>12</v>
      </c>
      <c r="I9153" t="s">
        <v>230</v>
      </c>
    </row>
    <row r="9154" spans="1:9" hidden="1" x14ac:dyDescent="0.25">
      <c r="A9154" t="s">
        <v>7664</v>
      </c>
      <c r="B9154" t="s">
        <v>39</v>
      </c>
      <c r="C9154" s="2">
        <f>HYPERLINK("https://cao.dolgi.msk.ru/account/1080067356/", 1080067356)</f>
        <v>1080067356</v>
      </c>
      <c r="D9154" t="s">
        <v>15</v>
      </c>
      <c r="E9154">
        <v>0.01</v>
      </c>
      <c r="F9154">
        <v>0</v>
      </c>
      <c r="G9154" t="s">
        <v>12</v>
      </c>
      <c r="I9154" t="s">
        <v>230</v>
      </c>
    </row>
    <row r="9155" spans="1:9" hidden="1" x14ac:dyDescent="0.25">
      <c r="A9155" t="s">
        <v>7664</v>
      </c>
      <c r="B9155" t="s">
        <v>7668</v>
      </c>
      <c r="C9155" s="2">
        <f>HYPERLINK("https://cao.dolgi.msk.ru/account/1080067348/", 1080067348)</f>
        <v>1080067348</v>
      </c>
      <c r="D9155" t="s">
        <v>7669</v>
      </c>
      <c r="E9155">
        <v>-3816.64</v>
      </c>
      <c r="F9155">
        <v>-1.07</v>
      </c>
      <c r="G9155" t="s">
        <v>12</v>
      </c>
      <c r="I9155" t="s">
        <v>230</v>
      </c>
    </row>
    <row r="9156" spans="1:9" hidden="1" x14ac:dyDescent="0.25">
      <c r="A9156" t="s">
        <v>7664</v>
      </c>
      <c r="B9156" t="s">
        <v>40</v>
      </c>
      <c r="C9156" s="2">
        <f>HYPERLINK("https://cao.dolgi.msk.ru/account/1080067372/", 1080067372)</f>
        <v>1080067372</v>
      </c>
      <c r="D9156" t="s">
        <v>7670</v>
      </c>
      <c r="E9156">
        <v>-10020.030000000001</v>
      </c>
      <c r="F9156">
        <v>-1.1100000000000001</v>
      </c>
      <c r="G9156" t="s">
        <v>12</v>
      </c>
      <c r="I9156" t="s">
        <v>230</v>
      </c>
    </row>
    <row r="9157" spans="1:9" hidden="1" x14ac:dyDescent="0.25">
      <c r="A9157" t="s">
        <v>7664</v>
      </c>
      <c r="B9157" t="s">
        <v>268</v>
      </c>
      <c r="C9157" s="2">
        <f>HYPERLINK("https://cao.dolgi.msk.ru/account/1080067364/", 1080067364)</f>
        <v>1080067364</v>
      </c>
      <c r="D9157" t="s">
        <v>7671</v>
      </c>
      <c r="E9157">
        <v>-8543.9599999999991</v>
      </c>
      <c r="F9157">
        <v>-1.0900000000000001</v>
      </c>
      <c r="G9157" t="s">
        <v>12</v>
      </c>
      <c r="I9157" t="s">
        <v>230</v>
      </c>
    </row>
    <row r="9158" spans="1:9" hidden="1" x14ac:dyDescent="0.25">
      <c r="A9158" t="s">
        <v>7664</v>
      </c>
      <c r="B9158" t="s">
        <v>41</v>
      </c>
      <c r="C9158" s="2">
        <f>HYPERLINK("https://cao.dolgi.msk.ru/account/1080067401/", 1080067401)</f>
        <v>1080067401</v>
      </c>
      <c r="D9158" t="s">
        <v>62</v>
      </c>
      <c r="E9158">
        <v>-18718.89</v>
      </c>
      <c r="F9158">
        <v>-1.94</v>
      </c>
      <c r="G9158" t="s">
        <v>12</v>
      </c>
      <c r="I9158" t="s">
        <v>230</v>
      </c>
    </row>
    <row r="9159" spans="1:9" hidden="1" x14ac:dyDescent="0.25">
      <c r="A9159" t="s">
        <v>7664</v>
      </c>
      <c r="B9159" t="s">
        <v>6709</v>
      </c>
      <c r="C9159" s="2">
        <f>HYPERLINK("https://cao.dolgi.msk.ru/account/1080067399/", 1080067399)</f>
        <v>1080067399</v>
      </c>
      <c r="D9159" t="s">
        <v>7672</v>
      </c>
      <c r="E9159">
        <v>94.51</v>
      </c>
      <c r="F9159">
        <v>0.01</v>
      </c>
      <c r="G9159" t="s">
        <v>12</v>
      </c>
      <c r="I9159" t="s">
        <v>230</v>
      </c>
    </row>
    <row r="9160" spans="1:9" hidden="1" x14ac:dyDescent="0.25">
      <c r="A9160" t="s">
        <v>7664</v>
      </c>
      <c r="B9160" t="s">
        <v>42</v>
      </c>
      <c r="C9160" s="2">
        <f>HYPERLINK("https://cao.dolgi.msk.ru/account/1080067428/", 1080067428)</f>
        <v>1080067428</v>
      </c>
      <c r="D9160" t="s">
        <v>7673</v>
      </c>
      <c r="E9160">
        <v>-52631.6</v>
      </c>
      <c r="F9160">
        <v>-12.48</v>
      </c>
      <c r="G9160" t="s">
        <v>12</v>
      </c>
      <c r="I9160" t="s">
        <v>230</v>
      </c>
    </row>
    <row r="9161" spans="1:9" hidden="1" x14ac:dyDescent="0.25">
      <c r="A9161" t="s">
        <v>7664</v>
      </c>
      <c r="B9161" t="s">
        <v>272</v>
      </c>
      <c r="C9161" s="2">
        <f>HYPERLINK("https://cao.dolgi.msk.ru/account/1080067436/", 1080067436)</f>
        <v>1080067436</v>
      </c>
      <c r="D9161" t="s">
        <v>7674</v>
      </c>
      <c r="E9161">
        <v>-6542.72</v>
      </c>
      <c r="F9161">
        <v>-1.61</v>
      </c>
      <c r="G9161" t="s">
        <v>12</v>
      </c>
      <c r="I9161" t="s">
        <v>230</v>
      </c>
    </row>
    <row r="9162" spans="1:9" hidden="1" x14ac:dyDescent="0.25">
      <c r="A9162" t="s">
        <v>7664</v>
      </c>
      <c r="B9162" t="s">
        <v>44</v>
      </c>
      <c r="C9162" s="2">
        <f>HYPERLINK("https://cao.dolgi.msk.ru/account/1080067444/", 1080067444)</f>
        <v>1080067444</v>
      </c>
      <c r="D9162" t="s">
        <v>7675</v>
      </c>
      <c r="E9162">
        <v>-7786.06</v>
      </c>
      <c r="F9162">
        <v>-0.99</v>
      </c>
      <c r="G9162" t="s">
        <v>12</v>
      </c>
      <c r="H9162" t="s">
        <v>7</v>
      </c>
      <c r="I9162" t="s">
        <v>230</v>
      </c>
    </row>
    <row r="9163" spans="1:9" hidden="1" x14ac:dyDescent="0.25">
      <c r="A9163" t="s">
        <v>7664</v>
      </c>
      <c r="B9163" t="s">
        <v>44</v>
      </c>
      <c r="C9163" s="2">
        <f>HYPERLINK("https://cao.dolgi.msk.ru/account/1080067452/", 1080067452)</f>
        <v>1080067452</v>
      </c>
      <c r="D9163" t="s">
        <v>7675</v>
      </c>
      <c r="E9163">
        <v>-2704.21</v>
      </c>
      <c r="F9163">
        <v>-1.1499999999999999</v>
      </c>
      <c r="G9163" t="s">
        <v>12</v>
      </c>
      <c r="H9163" t="s">
        <v>7</v>
      </c>
      <c r="I9163" t="s">
        <v>230</v>
      </c>
    </row>
    <row r="9164" spans="1:9" hidden="1" x14ac:dyDescent="0.25">
      <c r="A9164" t="s">
        <v>7664</v>
      </c>
      <c r="B9164" t="s">
        <v>277</v>
      </c>
      <c r="C9164" s="2">
        <f>HYPERLINK("https://cao.dolgi.msk.ru/account/1080067479/", 1080067479)</f>
        <v>1080067479</v>
      </c>
      <c r="D9164" t="s">
        <v>7676</v>
      </c>
      <c r="E9164">
        <v>-15363.54</v>
      </c>
      <c r="F9164">
        <v>-1.04</v>
      </c>
      <c r="G9164" t="s">
        <v>12</v>
      </c>
      <c r="I9164" t="s">
        <v>230</v>
      </c>
    </row>
    <row r="9165" spans="1:9" hidden="1" x14ac:dyDescent="0.25">
      <c r="A9165" t="s">
        <v>7664</v>
      </c>
      <c r="B9165" t="s">
        <v>66</v>
      </c>
      <c r="C9165" s="2">
        <f>HYPERLINK("https://cao.dolgi.msk.ru/account/1080067495/", 1080067495)</f>
        <v>1080067495</v>
      </c>
      <c r="D9165" t="s">
        <v>7677</v>
      </c>
      <c r="E9165">
        <v>-9756.61</v>
      </c>
      <c r="F9165">
        <v>-1.0900000000000001</v>
      </c>
      <c r="G9165" t="s">
        <v>12</v>
      </c>
      <c r="I9165" t="s">
        <v>230</v>
      </c>
    </row>
    <row r="9166" spans="1:9" hidden="1" x14ac:dyDescent="0.25">
      <c r="A9166" t="s">
        <v>7664</v>
      </c>
      <c r="B9166" t="s">
        <v>282</v>
      </c>
      <c r="C9166" s="2">
        <f>HYPERLINK("https://cao.dolgi.msk.ru/account/1080067487/", 1080067487)</f>
        <v>1080067487</v>
      </c>
      <c r="D9166" t="s">
        <v>7678</v>
      </c>
      <c r="E9166">
        <v>-4498.01</v>
      </c>
      <c r="F9166">
        <v>-1.07</v>
      </c>
      <c r="G9166" t="s">
        <v>12</v>
      </c>
      <c r="I9166" t="s">
        <v>230</v>
      </c>
    </row>
    <row r="9167" spans="1:9" hidden="1" x14ac:dyDescent="0.25">
      <c r="A9167" t="s">
        <v>7664</v>
      </c>
      <c r="B9167" t="s">
        <v>68</v>
      </c>
      <c r="C9167" s="2">
        <f>HYPERLINK("https://cao.dolgi.msk.ru/account/1080067516/", 1080067516)</f>
        <v>1080067516</v>
      </c>
      <c r="D9167" t="s">
        <v>7679</v>
      </c>
      <c r="E9167">
        <v>-7237.41</v>
      </c>
      <c r="F9167">
        <v>-1.2</v>
      </c>
      <c r="G9167" t="s">
        <v>12</v>
      </c>
      <c r="I9167" t="s">
        <v>230</v>
      </c>
    </row>
    <row r="9168" spans="1:9" hidden="1" x14ac:dyDescent="0.25">
      <c r="A9168" t="s">
        <v>7664</v>
      </c>
      <c r="B9168" t="s">
        <v>7680</v>
      </c>
      <c r="C9168" s="2">
        <f>HYPERLINK("https://cao.dolgi.msk.ru/account/1080067508/", 1080067508)</f>
        <v>1080067508</v>
      </c>
      <c r="D9168" t="s">
        <v>7681</v>
      </c>
      <c r="E9168">
        <v>-12383.5</v>
      </c>
      <c r="F9168">
        <v>-1.06</v>
      </c>
      <c r="G9168" t="s">
        <v>12</v>
      </c>
      <c r="I9168" t="s">
        <v>230</v>
      </c>
    </row>
    <row r="9169" spans="1:9" hidden="1" x14ac:dyDescent="0.25">
      <c r="A9169" t="s">
        <v>7664</v>
      </c>
      <c r="B9169" t="s">
        <v>70</v>
      </c>
      <c r="C9169" s="2">
        <f>HYPERLINK("https://cao.dolgi.msk.ru/account/1080067532/", 1080067532)</f>
        <v>1080067532</v>
      </c>
      <c r="D9169" t="s">
        <v>7682</v>
      </c>
      <c r="E9169">
        <v>-11792.33</v>
      </c>
      <c r="F9169">
        <v>-1.1100000000000001</v>
      </c>
      <c r="G9169" t="s">
        <v>12</v>
      </c>
      <c r="I9169" t="s">
        <v>230</v>
      </c>
    </row>
    <row r="9170" spans="1:9" hidden="1" x14ac:dyDescent="0.25">
      <c r="A9170" t="s">
        <v>7664</v>
      </c>
      <c r="B9170" t="s">
        <v>285</v>
      </c>
      <c r="C9170" s="2">
        <f>HYPERLINK("https://cao.dolgi.msk.ru/account/1080067524/", 1080067524)</f>
        <v>1080067524</v>
      </c>
      <c r="D9170" t="s">
        <v>7683</v>
      </c>
      <c r="E9170">
        <v>-6872.77</v>
      </c>
      <c r="F9170">
        <v>-1.06</v>
      </c>
      <c r="G9170" t="s">
        <v>12</v>
      </c>
      <c r="I9170" t="s">
        <v>230</v>
      </c>
    </row>
    <row r="9171" spans="1:9" hidden="1" x14ac:dyDescent="0.25">
      <c r="A9171" t="s">
        <v>7664</v>
      </c>
      <c r="B9171" t="s">
        <v>72</v>
      </c>
      <c r="C9171" s="2">
        <f>HYPERLINK("https://cao.dolgi.msk.ru/account/1080067559/", 1080067559)</f>
        <v>1080067559</v>
      </c>
      <c r="D9171" t="s">
        <v>7684</v>
      </c>
      <c r="E9171">
        <v>-10133.799999999999</v>
      </c>
      <c r="F9171">
        <v>-1.32</v>
      </c>
      <c r="G9171" t="s">
        <v>12</v>
      </c>
      <c r="I9171" t="s">
        <v>230</v>
      </c>
    </row>
    <row r="9172" spans="1:9" hidden="1" x14ac:dyDescent="0.25">
      <c r="A9172" t="s">
        <v>7664</v>
      </c>
      <c r="B9172" t="s">
        <v>5342</v>
      </c>
      <c r="C9172" s="2">
        <f>HYPERLINK("https://cao.dolgi.msk.ru/account/1080067567/", 1080067567)</f>
        <v>1080067567</v>
      </c>
      <c r="D9172" t="s">
        <v>7685</v>
      </c>
      <c r="E9172">
        <v>-8510.26</v>
      </c>
      <c r="F9172">
        <v>-1.05</v>
      </c>
      <c r="G9172" t="s">
        <v>12</v>
      </c>
      <c r="I9172" t="s">
        <v>230</v>
      </c>
    </row>
    <row r="9173" spans="1:9" hidden="1" x14ac:dyDescent="0.25">
      <c r="A9173" t="s">
        <v>7664</v>
      </c>
      <c r="B9173" t="s">
        <v>74</v>
      </c>
      <c r="C9173" s="2">
        <f>HYPERLINK("https://cao.dolgi.msk.ru/account/1080067591/", 1080067591)</f>
        <v>1080067591</v>
      </c>
      <c r="D9173" t="s">
        <v>7686</v>
      </c>
      <c r="E9173">
        <v>6443.82</v>
      </c>
      <c r="F9173">
        <v>0.62</v>
      </c>
      <c r="G9173" t="s">
        <v>12</v>
      </c>
      <c r="I9173" t="s">
        <v>230</v>
      </c>
    </row>
    <row r="9174" spans="1:9" hidden="1" x14ac:dyDescent="0.25">
      <c r="A9174" t="s">
        <v>7664</v>
      </c>
      <c r="B9174" t="s">
        <v>7687</v>
      </c>
      <c r="C9174" s="2">
        <f>HYPERLINK("https://cao.dolgi.msk.ru/account/1080067575/", 1080067575)</f>
        <v>1080067575</v>
      </c>
      <c r="D9174" t="s">
        <v>7688</v>
      </c>
      <c r="E9174">
        <v>-12059.02</v>
      </c>
      <c r="F9174">
        <v>-1.06</v>
      </c>
      <c r="G9174" t="s">
        <v>12</v>
      </c>
      <c r="I9174" t="s">
        <v>230</v>
      </c>
    </row>
    <row r="9175" spans="1:9" hidden="1" x14ac:dyDescent="0.25">
      <c r="A9175" t="s">
        <v>7689</v>
      </c>
      <c r="B9175" t="s">
        <v>10</v>
      </c>
      <c r="C9175" s="2">
        <f>HYPERLINK("https://cao.dolgi.msk.ru/account/1080066441/", 1080066441)</f>
        <v>1080066441</v>
      </c>
      <c r="D9175" t="s">
        <v>7690</v>
      </c>
      <c r="E9175">
        <v>-18.62</v>
      </c>
      <c r="F9175">
        <v>0</v>
      </c>
      <c r="G9175" t="s">
        <v>12</v>
      </c>
      <c r="I9175" t="s">
        <v>230</v>
      </c>
    </row>
    <row r="9176" spans="1:9" hidden="1" x14ac:dyDescent="0.25">
      <c r="A9176" t="s">
        <v>7689</v>
      </c>
      <c r="B9176" t="s">
        <v>231</v>
      </c>
      <c r="C9176" s="2">
        <f>HYPERLINK("https://cao.dolgi.msk.ru/account/1080066468/", 1080066468)</f>
        <v>1080066468</v>
      </c>
      <c r="D9176" t="s">
        <v>7691</v>
      </c>
      <c r="E9176">
        <v>-9592.57</v>
      </c>
      <c r="F9176">
        <v>-1.03</v>
      </c>
      <c r="G9176" t="s">
        <v>12</v>
      </c>
      <c r="I9176" t="s">
        <v>230</v>
      </c>
    </row>
    <row r="9177" spans="1:9" hidden="1" x14ac:dyDescent="0.25">
      <c r="A9177" t="s">
        <v>7689</v>
      </c>
      <c r="B9177" t="s">
        <v>16</v>
      </c>
      <c r="C9177" s="2">
        <f>HYPERLINK("https://cao.dolgi.msk.ru/account/1080066476/", 1080066476)</f>
        <v>1080066476</v>
      </c>
      <c r="D9177" t="s">
        <v>7692</v>
      </c>
      <c r="E9177">
        <v>0</v>
      </c>
      <c r="F9177">
        <v>0</v>
      </c>
      <c r="G9177" t="s">
        <v>12</v>
      </c>
      <c r="H9177" t="s">
        <v>7</v>
      </c>
      <c r="I9177" t="s">
        <v>230</v>
      </c>
    </row>
    <row r="9178" spans="1:9" hidden="1" x14ac:dyDescent="0.25">
      <c r="A9178" t="s">
        <v>7689</v>
      </c>
      <c r="B9178" t="s">
        <v>16</v>
      </c>
      <c r="C9178" s="2">
        <f>HYPERLINK("https://cao.dolgi.msk.ru/account/1080066484/", 1080066484)</f>
        <v>1080066484</v>
      </c>
      <c r="D9178" t="s">
        <v>7693</v>
      </c>
      <c r="E9178">
        <v>-7323.23</v>
      </c>
      <c r="F9178">
        <v>-1.57</v>
      </c>
      <c r="G9178" t="s">
        <v>12</v>
      </c>
      <c r="H9178" t="s">
        <v>7</v>
      </c>
      <c r="I9178" t="s">
        <v>230</v>
      </c>
    </row>
    <row r="9179" spans="1:9" hidden="1" x14ac:dyDescent="0.25">
      <c r="A9179" t="s">
        <v>7689</v>
      </c>
      <c r="B9179" t="s">
        <v>18</v>
      </c>
      <c r="C9179" s="2">
        <f>HYPERLINK("https://cao.dolgi.msk.ru/account/1080066492/", 1080066492)</f>
        <v>1080066492</v>
      </c>
      <c r="D9179" t="s">
        <v>7694</v>
      </c>
      <c r="E9179">
        <v>-8730.91</v>
      </c>
      <c r="F9179">
        <v>-1.06</v>
      </c>
      <c r="G9179" t="s">
        <v>12</v>
      </c>
      <c r="I9179" t="s">
        <v>230</v>
      </c>
    </row>
    <row r="9180" spans="1:9" hidden="1" x14ac:dyDescent="0.25">
      <c r="A9180" t="s">
        <v>7689</v>
      </c>
      <c r="B9180" t="s">
        <v>20</v>
      </c>
      <c r="C9180" s="2">
        <f>HYPERLINK("https://cao.dolgi.msk.ru/account/1080066505/", 1080066505)</f>
        <v>1080066505</v>
      </c>
      <c r="D9180" t="s">
        <v>7695</v>
      </c>
      <c r="E9180">
        <v>-16605.669999999998</v>
      </c>
      <c r="F9180">
        <v>-0.99</v>
      </c>
      <c r="G9180" t="s">
        <v>12</v>
      </c>
      <c r="I9180" t="s">
        <v>230</v>
      </c>
    </row>
    <row r="9181" spans="1:9" hidden="1" x14ac:dyDescent="0.25">
      <c r="A9181" t="s">
        <v>7689</v>
      </c>
      <c r="B9181" t="s">
        <v>21</v>
      </c>
      <c r="C9181" s="2">
        <f>HYPERLINK("https://cao.dolgi.msk.ru/account/1080066513/", 1080066513)</f>
        <v>1080066513</v>
      </c>
      <c r="D9181" t="s">
        <v>7696</v>
      </c>
      <c r="E9181">
        <v>-100.26</v>
      </c>
      <c r="F9181">
        <v>-0.01</v>
      </c>
      <c r="G9181" t="s">
        <v>12</v>
      </c>
      <c r="I9181" t="s">
        <v>230</v>
      </c>
    </row>
    <row r="9182" spans="1:9" hidden="1" x14ac:dyDescent="0.25">
      <c r="A9182" t="s">
        <v>7689</v>
      </c>
      <c r="B9182" t="s">
        <v>22</v>
      </c>
      <c r="C9182" s="2">
        <f>HYPERLINK("https://cao.dolgi.msk.ru/account/1080066521/", 1080066521)</f>
        <v>1080066521</v>
      </c>
      <c r="D9182" t="s">
        <v>7697</v>
      </c>
      <c r="E9182">
        <v>-4291.1899999999996</v>
      </c>
      <c r="F9182">
        <v>-1.22</v>
      </c>
      <c r="G9182" t="s">
        <v>12</v>
      </c>
      <c r="I9182" t="s">
        <v>230</v>
      </c>
    </row>
    <row r="9183" spans="1:9" hidden="1" x14ac:dyDescent="0.25">
      <c r="A9183" t="s">
        <v>7689</v>
      </c>
      <c r="B9183" t="s">
        <v>23</v>
      </c>
      <c r="C9183" s="2">
        <f>HYPERLINK("https://cao.dolgi.msk.ru/account/1080066548/", 1080066548)</f>
        <v>1080066548</v>
      </c>
      <c r="D9183" t="s">
        <v>7698</v>
      </c>
      <c r="E9183">
        <v>-25.06</v>
      </c>
      <c r="F9183">
        <v>0</v>
      </c>
      <c r="G9183" t="s">
        <v>12</v>
      </c>
      <c r="I9183" t="s">
        <v>230</v>
      </c>
    </row>
    <row r="9184" spans="1:9" hidden="1" x14ac:dyDescent="0.25">
      <c r="A9184" t="s">
        <v>7689</v>
      </c>
      <c r="B9184" t="s">
        <v>24</v>
      </c>
      <c r="C9184" s="2">
        <f>HYPERLINK("https://cao.dolgi.msk.ru/account/1080066556/", 1080066556)</f>
        <v>1080066556</v>
      </c>
      <c r="D9184" t="s">
        <v>7699</v>
      </c>
      <c r="E9184">
        <v>-9193.83</v>
      </c>
      <c r="F9184">
        <v>-1.1100000000000001</v>
      </c>
      <c r="G9184" t="s">
        <v>12</v>
      </c>
      <c r="I9184" t="s">
        <v>230</v>
      </c>
    </row>
    <row r="9185" spans="1:9" hidden="1" x14ac:dyDescent="0.25">
      <c r="A9185" t="s">
        <v>7689</v>
      </c>
      <c r="B9185" t="s">
        <v>27</v>
      </c>
      <c r="C9185" s="2">
        <f>HYPERLINK("https://cao.dolgi.msk.ru/account/1080066564/", 1080066564)</f>
        <v>1080066564</v>
      </c>
      <c r="D9185" t="s">
        <v>7700</v>
      </c>
      <c r="E9185">
        <v>-68.709999999999994</v>
      </c>
      <c r="F9185">
        <v>-0.01</v>
      </c>
      <c r="G9185" t="s">
        <v>12</v>
      </c>
      <c r="I9185" t="s">
        <v>230</v>
      </c>
    </row>
    <row r="9186" spans="1:9" hidden="1" x14ac:dyDescent="0.25">
      <c r="A9186" t="s">
        <v>7689</v>
      </c>
      <c r="B9186" t="s">
        <v>29</v>
      </c>
      <c r="C9186" s="2">
        <f>HYPERLINK("https://cao.dolgi.msk.ru/account/1080066572/", 1080066572)</f>
        <v>1080066572</v>
      </c>
      <c r="D9186" t="s">
        <v>7701</v>
      </c>
      <c r="E9186">
        <v>-10099.99</v>
      </c>
      <c r="F9186">
        <v>-1.03</v>
      </c>
      <c r="G9186" t="s">
        <v>12</v>
      </c>
      <c r="I9186" t="s">
        <v>230</v>
      </c>
    </row>
    <row r="9187" spans="1:9" hidden="1" x14ac:dyDescent="0.25">
      <c r="A9187" t="s">
        <v>7689</v>
      </c>
      <c r="B9187" t="s">
        <v>31</v>
      </c>
      <c r="C9187" s="2">
        <f>HYPERLINK("https://cao.dolgi.msk.ru/account/1080066599/", 1080066599)</f>
        <v>1080066599</v>
      </c>
      <c r="D9187" t="s">
        <v>15</v>
      </c>
      <c r="E9187">
        <v>-7436.32</v>
      </c>
      <c r="F9187">
        <v>-1.08</v>
      </c>
      <c r="G9187" t="s">
        <v>12</v>
      </c>
      <c r="I9187" t="s">
        <v>230</v>
      </c>
    </row>
    <row r="9188" spans="1:9" hidden="1" x14ac:dyDescent="0.25">
      <c r="A9188" t="s">
        <v>7689</v>
      </c>
      <c r="B9188" t="s">
        <v>33</v>
      </c>
      <c r="C9188" s="2">
        <f>HYPERLINK("https://cao.dolgi.msk.ru/account/1080066601/", 1080066601)</f>
        <v>1080066601</v>
      </c>
      <c r="D9188" t="s">
        <v>62</v>
      </c>
      <c r="E9188">
        <v>0</v>
      </c>
      <c r="F9188">
        <v>0</v>
      </c>
      <c r="G9188" t="s">
        <v>12</v>
      </c>
      <c r="I9188" t="s">
        <v>230</v>
      </c>
    </row>
    <row r="9189" spans="1:9" hidden="1" x14ac:dyDescent="0.25">
      <c r="A9189" t="s">
        <v>7689</v>
      </c>
      <c r="B9189" t="s">
        <v>34</v>
      </c>
      <c r="C9189" s="2">
        <f>HYPERLINK("https://cao.dolgi.msk.ru/account/1080066628/", 1080066628)</f>
        <v>1080066628</v>
      </c>
      <c r="D9189" t="s">
        <v>7702</v>
      </c>
      <c r="E9189">
        <v>-25405.279999999999</v>
      </c>
      <c r="F9189">
        <v>-1.06</v>
      </c>
      <c r="G9189" t="s">
        <v>12</v>
      </c>
      <c r="I9189" t="s">
        <v>230</v>
      </c>
    </row>
    <row r="9190" spans="1:9" hidden="1" x14ac:dyDescent="0.25">
      <c r="A9190" t="s">
        <v>7689</v>
      </c>
      <c r="B9190" t="s">
        <v>36</v>
      </c>
      <c r="C9190" s="2">
        <f>HYPERLINK("https://cao.dolgi.msk.ru/account/1080066636/", 1080066636)</f>
        <v>1080066636</v>
      </c>
      <c r="D9190" t="s">
        <v>62</v>
      </c>
      <c r="E9190">
        <v>-7217.01</v>
      </c>
      <c r="F9190">
        <v>-0.98</v>
      </c>
      <c r="G9190" t="s">
        <v>12</v>
      </c>
      <c r="I9190" t="s">
        <v>230</v>
      </c>
    </row>
    <row r="9191" spans="1:9" hidden="1" x14ac:dyDescent="0.25">
      <c r="A9191" t="s">
        <v>7689</v>
      </c>
      <c r="B9191" t="s">
        <v>38</v>
      </c>
      <c r="C9191" s="2">
        <f>HYPERLINK("https://cao.dolgi.msk.ru/account/1080066644/", 1080066644)</f>
        <v>1080066644</v>
      </c>
      <c r="D9191" t="s">
        <v>7703</v>
      </c>
      <c r="E9191">
        <v>-6025.5</v>
      </c>
      <c r="F9191">
        <v>-2.68</v>
      </c>
      <c r="G9191" t="s">
        <v>12</v>
      </c>
      <c r="I9191" t="s">
        <v>230</v>
      </c>
    </row>
    <row r="9192" spans="1:9" x14ac:dyDescent="0.25">
      <c r="A9192" t="s">
        <v>7689</v>
      </c>
      <c r="B9192" t="s">
        <v>39</v>
      </c>
      <c r="C9192" s="2">
        <f>HYPERLINK("https://cao.dolgi.msk.ru/account/1080066652/", 1080066652)</f>
        <v>1080066652</v>
      </c>
      <c r="D9192" t="s">
        <v>7704</v>
      </c>
      <c r="E9192">
        <v>18899.2</v>
      </c>
      <c r="F9192">
        <v>9.69</v>
      </c>
      <c r="G9192" t="s">
        <v>12</v>
      </c>
      <c r="I9192" t="s">
        <v>230</v>
      </c>
    </row>
    <row r="9193" spans="1:9" hidden="1" x14ac:dyDescent="0.25">
      <c r="A9193" t="s">
        <v>7689</v>
      </c>
      <c r="B9193" t="s">
        <v>40</v>
      </c>
      <c r="C9193" s="2">
        <f>HYPERLINK("https://cao.dolgi.msk.ru/account/1080066679/", 1080066679)</f>
        <v>1080066679</v>
      </c>
      <c r="D9193" t="s">
        <v>7705</v>
      </c>
      <c r="E9193">
        <v>-1123.27</v>
      </c>
      <c r="F9193">
        <v>-0.32</v>
      </c>
      <c r="G9193" t="s">
        <v>12</v>
      </c>
      <c r="I9193" t="s">
        <v>230</v>
      </c>
    </row>
    <row r="9194" spans="1:9" hidden="1" x14ac:dyDescent="0.25">
      <c r="A9194" t="s">
        <v>7689</v>
      </c>
      <c r="B9194" t="s">
        <v>41</v>
      </c>
      <c r="C9194" s="2">
        <f>HYPERLINK("https://cao.dolgi.msk.ru/account/1080066687/", 1080066687)</f>
        <v>1080066687</v>
      </c>
      <c r="D9194" t="s">
        <v>7706</v>
      </c>
      <c r="E9194">
        <v>-2255.37</v>
      </c>
      <c r="F9194">
        <v>-1.02</v>
      </c>
      <c r="G9194" t="s">
        <v>12</v>
      </c>
      <c r="I9194" t="s">
        <v>230</v>
      </c>
    </row>
    <row r="9195" spans="1:9" x14ac:dyDescent="0.25">
      <c r="A9195" t="s">
        <v>7689</v>
      </c>
      <c r="B9195" t="s">
        <v>44</v>
      </c>
      <c r="C9195" s="2">
        <f>HYPERLINK("https://cao.dolgi.msk.ru/account/1080066708/", 1080066708)</f>
        <v>1080066708</v>
      </c>
      <c r="D9195" t="s">
        <v>7707</v>
      </c>
      <c r="E9195">
        <v>22519.75</v>
      </c>
      <c r="F9195">
        <v>29.04</v>
      </c>
      <c r="G9195" t="s">
        <v>12</v>
      </c>
      <c r="I9195" t="s">
        <v>230</v>
      </c>
    </row>
    <row r="9196" spans="1:9" hidden="1" x14ac:dyDescent="0.25">
      <c r="A9196" t="s">
        <v>7689</v>
      </c>
      <c r="B9196" t="s">
        <v>68</v>
      </c>
      <c r="C9196" s="2">
        <f>HYPERLINK("https://cao.dolgi.msk.ru/account/1080066716/", 1080066716)</f>
        <v>1080066716</v>
      </c>
      <c r="D9196" t="s">
        <v>7708</v>
      </c>
      <c r="E9196">
        <v>-2180.87</v>
      </c>
      <c r="F9196">
        <v>-1.17</v>
      </c>
      <c r="G9196" t="s">
        <v>12</v>
      </c>
      <c r="I9196" t="s">
        <v>230</v>
      </c>
    </row>
    <row r="9197" spans="1:9" hidden="1" x14ac:dyDescent="0.25">
      <c r="A9197" t="s">
        <v>7689</v>
      </c>
      <c r="B9197" t="s">
        <v>70</v>
      </c>
      <c r="C9197" s="2">
        <f>HYPERLINK("https://cao.dolgi.msk.ru/account/1080066724/", 1080066724)</f>
        <v>1080066724</v>
      </c>
      <c r="D9197" t="s">
        <v>7709</v>
      </c>
      <c r="E9197">
        <v>0</v>
      </c>
      <c r="F9197">
        <v>0</v>
      </c>
      <c r="G9197" t="s">
        <v>12</v>
      </c>
      <c r="I9197" t="s">
        <v>230</v>
      </c>
    </row>
    <row r="9198" spans="1:9" hidden="1" x14ac:dyDescent="0.25">
      <c r="A9198" t="s">
        <v>7689</v>
      </c>
      <c r="B9198" t="s">
        <v>72</v>
      </c>
      <c r="C9198" s="2">
        <f>HYPERLINK("https://cao.dolgi.msk.ru/account/1080067268/", 1080067268)</f>
        <v>1080067268</v>
      </c>
      <c r="D9198" t="s">
        <v>7710</v>
      </c>
      <c r="E9198">
        <v>417.73</v>
      </c>
      <c r="F9198">
        <v>0.35</v>
      </c>
      <c r="G9198" t="s">
        <v>12</v>
      </c>
      <c r="I9198" t="s">
        <v>230</v>
      </c>
    </row>
    <row r="9199" spans="1:9" hidden="1" x14ac:dyDescent="0.25">
      <c r="A9199" t="s">
        <v>7689</v>
      </c>
      <c r="B9199" t="s">
        <v>74</v>
      </c>
      <c r="C9199" s="2">
        <f>HYPERLINK("https://cao.dolgi.msk.ru/account/1080066732/", 1080066732)</f>
        <v>1080066732</v>
      </c>
      <c r="D9199" t="s">
        <v>7711</v>
      </c>
      <c r="E9199">
        <v>-1661.36</v>
      </c>
      <c r="F9199">
        <v>-1.05</v>
      </c>
      <c r="G9199" t="s">
        <v>12</v>
      </c>
      <c r="I9199" t="s">
        <v>230</v>
      </c>
    </row>
    <row r="9200" spans="1:9" x14ac:dyDescent="0.25">
      <c r="A9200" t="s">
        <v>7689</v>
      </c>
      <c r="B9200" t="s">
        <v>76</v>
      </c>
      <c r="C9200" s="2">
        <f>HYPERLINK("https://cao.dolgi.msk.ru/account/1080067233/", 1080067233)</f>
        <v>1080067233</v>
      </c>
      <c r="D9200" t="s">
        <v>7712</v>
      </c>
      <c r="E9200">
        <v>6216.4</v>
      </c>
      <c r="F9200">
        <v>5.56</v>
      </c>
      <c r="G9200" t="s">
        <v>12</v>
      </c>
      <c r="I9200" t="s">
        <v>230</v>
      </c>
    </row>
    <row r="9201" spans="1:9" hidden="1" x14ac:dyDescent="0.25">
      <c r="A9201" t="s">
        <v>7689</v>
      </c>
      <c r="B9201" t="s">
        <v>78</v>
      </c>
      <c r="C9201" s="2">
        <f>HYPERLINK("https://cao.dolgi.msk.ru/account/1080066767/", 1080066767)</f>
        <v>1080066767</v>
      </c>
      <c r="D9201" t="s">
        <v>7713</v>
      </c>
      <c r="E9201">
        <v>1302.0899999999999</v>
      </c>
      <c r="F9201">
        <v>0.52</v>
      </c>
      <c r="G9201" t="s">
        <v>12</v>
      </c>
      <c r="I9201" t="s">
        <v>230</v>
      </c>
    </row>
    <row r="9202" spans="1:9" hidden="1" x14ac:dyDescent="0.25">
      <c r="A9202" t="s">
        <v>7689</v>
      </c>
      <c r="B9202" t="s">
        <v>80</v>
      </c>
      <c r="C9202" s="2">
        <f>HYPERLINK("https://cao.dolgi.msk.ru/account/1083272662/", 1083272662)</f>
        <v>1083272662</v>
      </c>
      <c r="D9202" t="s">
        <v>15</v>
      </c>
      <c r="E9202">
        <v>0</v>
      </c>
      <c r="F9202">
        <v>0</v>
      </c>
      <c r="G9202" t="s">
        <v>12</v>
      </c>
      <c r="I9202" t="s">
        <v>230</v>
      </c>
    </row>
    <row r="9203" spans="1:9" hidden="1" x14ac:dyDescent="0.25">
      <c r="A9203" t="s">
        <v>7689</v>
      </c>
      <c r="B9203" t="s">
        <v>82</v>
      </c>
      <c r="C9203" s="2">
        <f>HYPERLINK("https://cao.dolgi.msk.ru/account/1080066759/", 1080066759)</f>
        <v>1080066759</v>
      </c>
      <c r="D9203" t="s">
        <v>7714</v>
      </c>
      <c r="E9203">
        <v>-1386.69</v>
      </c>
      <c r="F9203">
        <v>-1.27</v>
      </c>
      <c r="G9203" t="s">
        <v>12</v>
      </c>
      <c r="I9203" t="s">
        <v>230</v>
      </c>
    </row>
    <row r="9204" spans="1:9" hidden="1" x14ac:dyDescent="0.25">
      <c r="A9204" t="s">
        <v>7689</v>
      </c>
      <c r="B9204" t="s">
        <v>84</v>
      </c>
      <c r="C9204" s="2">
        <f>HYPERLINK("https://cao.dolgi.msk.ru/account/1080066775/", 1080066775)</f>
        <v>1080066775</v>
      </c>
      <c r="D9204" t="s">
        <v>7715</v>
      </c>
      <c r="E9204">
        <v>-2413.83</v>
      </c>
      <c r="F9204">
        <v>-1.05</v>
      </c>
      <c r="G9204" t="s">
        <v>12</v>
      </c>
      <c r="I9204" t="s">
        <v>230</v>
      </c>
    </row>
    <row r="9205" spans="1:9" hidden="1" x14ac:dyDescent="0.25">
      <c r="A9205" t="s">
        <v>7689</v>
      </c>
      <c r="B9205" t="s">
        <v>86</v>
      </c>
      <c r="C9205" s="2">
        <f>HYPERLINK("https://cao.dolgi.msk.ru/account/1080066783/", 1080066783)</f>
        <v>1080066783</v>
      </c>
      <c r="D9205" t="s">
        <v>7716</v>
      </c>
      <c r="E9205">
        <v>-2857.5</v>
      </c>
      <c r="F9205">
        <v>-1.02</v>
      </c>
      <c r="G9205" t="s">
        <v>12</v>
      </c>
      <c r="I9205" t="s">
        <v>230</v>
      </c>
    </row>
    <row r="9206" spans="1:9" hidden="1" x14ac:dyDescent="0.25">
      <c r="A9206" t="s">
        <v>7689</v>
      </c>
      <c r="B9206" t="s">
        <v>88</v>
      </c>
      <c r="C9206" s="2">
        <f>HYPERLINK("https://cao.dolgi.msk.ru/account/1080066791/", 1080066791)</f>
        <v>1080066791</v>
      </c>
      <c r="D9206" t="s">
        <v>7717</v>
      </c>
      <c r="E9206">
        <v>-12398.85</v>
      </c>
      <c r="F9206">
        <v>-0.99</v>
      </c>
      <c r="G9206" t="s">
        <v>12</v>
      </c>
      <c r="I9206" t="s">
        <v>230</v>
      </c>
    </row>
    <row r="9207" spans="1:9" hidden="1" x14ac:dyDescent="0.25">
      <c r="A9207" t="s">
        <v>7689</v>
      </c>
      <c r="B9207" t="s">
        <v>90</v>
      </c>
      <c r="C9207" s="2">
        <f>HYPERLINK("https://cao.dolgi.msk.ru/account/1080066804/", 1080066804)</f>
        <v>1080066804</v>
      </c>
      <c r="D9207" t="s">
        <v>7718</v>
      </c>
      <c r="E9207">
        <v>-3378.94</v>
      </c>
      <c r="F9207">
        <v>-1.02</v>
      </c>
      <c r="G9207" t="s">
        <v>12</v>
      </c>
      <c r="I9207" t="s">
        <v>230</v>
      </c>
    </row>
    <row r="9208" spans="1:9" hidden="1" x14ac:dyDescent="0.25">
      <c r="A9208" t="s">
        <v>7689</v>
      </c>
      <c r="B9208" t="s">
        <v>92</v>
      </c>
      <c r="C9208" s="2">
        <f>HYPERLINK("https://cao.dolgi.msk.ru/account/1080066812/", 1080066812)</f>
        <v>1080066812</v>
      </c>
      <c r="D9208" t="s">
        <v>62</v>
      </c>
      <c r="E9208">
        <v>-15552.49</v>
      </c>
      <c r="F9208">
        <v>-3.63</v>
      </c>
      <c r="G9208" t="s">
        <v>12</v>
      </c>
      <c r="I9208" t="s">
        <v>230</v>
      </c>
    </row>
    <row r="9209" spans="1:9" hidden="1" x14ac:dyDescent="0.25">
      <c r="A9209" t="s">
        <v>7689</v>
      </c>
      <c r="B9209" t="s">
        <v>94</v>
      </c>
      <c r="C9209" s="2">
        <f>HYPERLINK("https://cao.dolgi.msk.ru/account/1080066839/", 1080066839)</f>
        <v>1080066839</v>
      </c>
      <c r="D9209" t="s">
        <v>7719</v>
      </c>
      <c r="E9209">
        <v>-2598.41</v>
      </c>
      <c r="F9209">
        <v>-1.1000000000000001</v>
      </c>
      <c r="G9209" t="s">
        <v>12</v>
      </c>
      <c r="I9209" t="s">
        <v>230</v>
      </c>
    </row>
    <row r="9210" spans="1:9" hidden="1" x14ac:dyDescent="0.25">
      <c r="A9210" t="s">
        <v>7689</v>
      </c>
      <c r="B9210" t="s">
        <v>96</v>
      </c>
      <c r="C9210" s="2">
        <f>HYPERLINK("https://cao.dolgi.msk.ru/account/1080067241/", 1080067241)</f>
        <v>1080067241</v>
      </c>
      <c r="D9210" t="s">
        <v>62</v>
      </c>
      <c r="E9210">
        <v>-5174.34</v>
      </c>
      <c r="F9210">
        <v>-1.02</v>
      </c>
      <c r="G9210" t="s">
        <v>12</v>
      </c>
      <c r="I9210" t="s">
        <v>230</v>
      </c>
    </row>
    <row r="9211" spans="1:9" hidden="1" x14ac:dyDescent="0.25">
      <c r="A9211" t="s">
        <v>7689</v>
      </c>
      <c r="B9211" t="s">
        <v>98</v>
      </c>
      <c r="C9211" s="2">
        <f>HYPERLINK("https://cao.dolgi.msk.ru/account/1080066847/", 1080066847)</f>
        <v>1080066847</v>
      </c>
      <c r="D9211" t="s">
        <v>7720</v>
      </c>
      <c r="E9211">
        <v>-6453.86</v>
      </c>
      <c r="F9211">
        <v>-1.03</v>
      </c>
      <c r="G9211" t="s">
        <v>12</v>
      </c>
      <c r="I9211" t="s">
        <v>230</v>
      </c>
    </row>
    <row r="9212" spans="1:9" x14ac:dyDescent="0.25">
      <c r="A9212" t="s">
        <v>7689</v>
      </c>
      <c r="B9212" t="s">
        <v>100</v>
      </c>
      <c r="C9212" s="2">
        <f>HYPERLINK("https://cao.dolgi.msk.ru/account/1080066855/", 1080066855)</f>
        <v>1080066855</v>
      </c>
      <c r="D9212" t="s">
        <v>7721</v>
      </c>
      <c r="E9212">
        <v>6648.56</v>
      </c>
      <c r="F9212">
        <v>2.15</v>
      </c>
      <c r="G9212" t="s">
        <v>12</v>
      </c>
      <c r="I9212" t="s">
        <v>230</v>
      </c>
    </row>
    <row r="9213" spans="1:9" hidden="1" x14ac:dyDescent="0.25">
      <c r="A9213" t="s">
        <v>7689</v>
      </c>
      <c r="B9213" t="s">
        <v>100</v>
      </c>
      <c r="C9213" s="2">
        <f>HYPERLINK("https://cao.dolgi.msk.ru/account/1083383477/", 1083383477)</f>
        <v>1083383477</v>
      </c>
      <c r="D9213" t="s">
        <v>15</v>
      </c>
      <c r="E9213">
        <v>0</v>
      </c>
      <c r="G9213" t="s">
        <v>14</v>
      </c>
      <c r="I9213" t="s">
        <v>230</v>
      </c>
    </row>
    <row r="9214" spans="1:9" hidden="1" x14ac:dyDescent="0.25">
      <c r="A9214" t="s">
        <v>7689</v>
      </c>
      <c r="B9214" t="s">
        <v>102</v>
      </c>
      <c r="C9214" s="2">
        <f>HYPERLINK("https://cao.dolgi.msk.ru/account/1080066863/", 1080066863)</f>
        <v>1080066863</v>
      </c>
      <c r="D9214" t="s">
        <v>7722</v>
      </c>
      <c r="E9214">
        <v>-140.05000000000001</v>
      </c>
      <c r="F9214">
        <v>-0.04</v>
      </c>
      <c r="G9214" t="s">
        <v>12</v>
      </c>
      <c r="I9214" t="s">
        <v>230</v>
      </c>
    </row>
    <row r="9215" spans="1:9" x14ac:dyDescent="0.25">
      <c r="A9215" t="s">
        <v>7689</v>
      </c>
      <c r="B9215" t="s">
        <v>104</v>
      </c>
      <c r="C9215" s="2">
        <f>HYPERLINK("https://cao.dolgi.msk.ru/account/1080066871/", 1080066871)</f>
        <v>1080066871</v>
      </c>
      <c r="D9215" t="s">
        <v>1082</v>
      </c>
      <c r="E9215">
        <v>27979.38</v>
      </c>
      <c r="F9215">
        <v>2.94</v>
      </c>
      <c r="G9215" t="s">
        <v>12</v>
      </c>
      <c r="I9215" t="s">
        <v>230</v>
      </c>
    </row>
    <row r="9216" spans="1:9" hidden="1" x14ac:dyDescent="0.25">
      <c r="A9216" t="s">
        <v>7689</v>
      </c>
      <c r="B9216" t="s">
        <v>106</v>
      </c>
      <c r="C9216" s="2">
        <f>HYPERLINK("https://cao.dolgi.msk.ru/account/1080066898/", 1080066898)</f>
        <v>1080066898</v>
      </c>
      <c r="D9216" t="s">
        <v>7723</v>
      </c>
      <c r="E9216">
        <v>-1908.23</v>
      </c>
      <c r="F9216">
        <v>-1.07</v>
      </c>
      <c r="G9216" t="s">
        <v>12</v>
      </c>
      <c r="I9216" t="s">
        <v>230</v>
      </c>
    </row>
    <row r="9217" spans="1:9" hidden="1" x14ac:dyDescent="0.25">
      <c r="A9217" t="s">
        <v>7689</v>
      </c>
      <c r="B9217" t="s">
        <v>106</v>
      </c>
      <c r="C9217" s="2">
        <f>HYPERLINK("https://cao.dolgi.msk.ru/account/1089118674/", 1089118674)</f>
        <v>1089118674</v>
      </c>
      <c r="D9217" t="s">
        <v>15</v>
      </c>
      <c r="E9217">
        <v>3159.05</v>
      </c>
      <c r="F9217">
        <v>1</v>
      </c>
      <c r="G9217" t="s">
        <v>12</v>
      </c>
      <c r="I9217" t="s">
        <v>230</v>
      </c>
    </row>
    <row r="9218" spans="1:9" hidden="1" x14ac:dyDescent="0.25">
      <c r="A9218" t="s">
        <v>7689</v>
      </c>
      <c r="B9218" t="s">
        <v>108</v>
      </c>
      <c r="C9218" s="2">
        <f>HYPERLINK("https://cao.dolgi.msk.ru/account/1080066919/", 1080066919)</f>
        <v>1080066919</v>
      </c>
      <c r="D9218" t="s">
        <v>7724</v>
      </c>
      <c r="E9218">
        <v>-13045.79</v>
      </c>
      <c r="F9218">
        <v>-3.87</v>
      </c>
      <c r="G9218" t="s">
        <v>12</v>
      </c>
      <c r="I9218" t="s">
        <v>230</v>
      </c>
    </row>
    <row r="9219" spans="1:9" hidden="1" x14ac:dyDescent="0.25">
      <c r="A9219" t="s">
        <v>7689</v>
      </c>
      <c r="B9219" t="s">
        <v>110</v>
      </c>
      <c r="C9219" s="2">
        <f>HYPERLINK("https://cao.dolgi.msk.ru/account/1080066927/", 1080066927)</f>
        <v>1080066927</v>
      </c>
      <c r="D9219" t="s">
        <v>7725</v>
      </c>
      <c r="E9219">
        <v>-0.3</v>
      </c>
      <c r="F9219">
        <v>0</v>
      </c>
      <c r="G9219" t="s">
        <v>12</v>
      </c>
      <c r="I9219" t="s">
        <v>230</v>
      </c>
    </row>
    <row r="9220" spans="1:9" hidden="1" x14ac:dyDescent="0.25">
      <c r="A9220" t="s">
        <v>7689</v>
      </c>
      <c r="B9220" t="s">
        <v>112</v>
      </c>
      <c r="C9220" s="2">
        <f>HYPERLINK("https://cao.dolgi.msk.ru/account/1080066935/", 1080066935)</f>
        <v>1080066935</v>
      </c>
      <c r="D9220" t="s">
        <v>7726</v>
      </c>
      <c r="E9220">
        <v>-3.18</v>
      </c>
      <c r="F9220">
        <v>0</v>
      </c>
      <c r="G9220" t="s">
        <v>12</v>
      </c>
      <c r="I9220" t="s">
        <v>230</v>
      </c>
    </row>
    <row r="9221" spans="1:9" hidden="1" x14ac:dyDescent="0.25">
      <c r="A9221" t="s">
        <v>7689</v>
      </c>
      <c r="B9221" t="s">
        <v>114</v>
      </c>
      <c r="C9221" s="2">
        <f>HYPERLINK("https://cao.dolgi.msk.ru/account/1080066943/", 1080066943)</f>
        <v>1080066943</v>
      </c>
      <c r="D9221" t="s">
        <v>7727</v>
      </c>
      <c r="E9221">
        <v>-735.32</v>
      </c>
      <c r="F9221">
        <v>-0.21</v>
      </c>
      <c r="G9221" t="s">
        <v>12</v>
      </c>
      <c r="I9221" t="s">
        <v>230</v>
      </c>
    </row>
    <row r="9222" spans="1:9" hidden="1" x14ac:dyDescent="0.25">
      <c r="A9222" t="s">
        <v>7689</v>
      </c>
      <c r="B9222" t="s">
        <v>116</v>
      </c>
      <c r="C9222" s="2">
        <f>HYPERLINK("https://cao.dolgi.msk.ru/account/1080066951/", 1080066951)</f>
        <v>1080066951</v>
      </c>
      <c r="D9222" t="s">
        <v>7728</v>
      </c>
      <c r="E9222">
        <v>-5375.22</v>
      </c>
      <c r="F9222">
        <v>-1</v>
      </c>
      <c r="G9222" t="s">
        <v>12</v>
      </c>
      <c r="I9222" t="s">
        <v>230</v>
      </c>
    </row>
    <row r="9223" spans="1:9" hidden="1" x14ac:dyDescent="0.25">
      <c r="A9223" t="s">
        <v>7689</v>
      </c>
      <c r="B9223" t="s">
        <v>118</v>
      </c>
      <c r="C9223" s="2">
        <f>HYPERLINK("https://cao.dolgi.msk.ru/account/1080066978/", 1080066978)</f>
        <v>1080066978</v>
      </c>
      <c r="D9223" t="s">
        <v>7729</v>
      </c>
      <c r="E9223">
        <v>-3325.97</v>
      </c>
      <c r="F9223">
        <v>-0.92</v>
      </c>
      <c r="G9223" t="s">
        <v>12</v>
      </c>
      <c r="I9223" t="s">
        <v>230</v>
      </c>
    </row>
    <row r="9224" spans="1:9" hidden="1" x14ac:dyDescent="0.25">
      <c r="A9224" t="s">
        <v>7689</v>
      </c>
      <c r="B9224" t="s">
        <v>118</v>
      </c>
      <c r="C9224" s="2">
        <f>HYPERLINK("https://cao.dolgi.msk.ru/account/1080324906/", 1080324906)</f>
        <v>1080324906</v>
      </c>
      <c r="D9224" t="s">
        <v>7730</v>
      </c>
      <c r="E9224">
        <v>-4131.55</v>
      </c>
      <c r="F9224">
        <v>-1.59</v>
      </c>
      <c r="G9224" t="s">
        <v>12</v>
      </c>
      <c r="I9224" t="s">
        <v>230</v>
      </c>
    </row>
    <row r="9225" spans="1:9" hidden="1" x14ac:dyDescent="0.25">
      <c r="A9225" t="s">
        <v>7689</v>
      </c>
      <c r="B9225" t="s">
        <v>120</v>
      </c>
      <c r="C9225" s="2">
        <f>HYPERLINK("https://cao.dolgi.msk.ru/account/1080066986/", 1080066986)</f>
        <v>1080066986</v>
      </c>
      <c r="D9225" t="s">
        <v>7731</v>
      </c>
      <c r="E9225">
        <v>176.79</v>
      </c>
      <c r="F9225">
        <v>0.03</v>
      </c>
      <c r="G9225" t="s">
        <v>12</v>
      </c>
      <c r="I9225" t="s">
        <v>230</v>
      </c>
    </row>
    <row r="9226" spans="1:9" hidden="1" x14ac:dyDescent="0.25">
      <c r="A9226" t="s">
        <v>7689</v>
      </c>
      <c r="B9226" t="s">
        <v>122</v>
      </c>
      <c r="C9226" s="2">
        <f>HYPERLINK("https://cao.dolgi.msk.ru/account/1080066994/", 1080066994)</f>
        <v>1080066994</v>
      </c>
      <c r="D9226" t="s">
        <v>7732</v>
      </c>
      <c r="E9226">
        <v>-2773.45</v>
      </c>
      <c r="F9226">
        <v>-0.99</v>
      </c>
      <c r="G9226" t="s">
        <v>12</v>
      </c>
      <c r="I9226" t="s">
        <v>230</v>
      </c>
    </row>
    <row r="9227" spans="1:9" hidden="1" x14ac:dyDescent="0.25">
      <c r="A9227" t="s">
        <v>7689</v>
      </c>
      <c r="B9227" t="s">
        <v>124</v>
      </c>
      <c r="C9227" s="2">
        <f>HYPERLINK("https://cao.dolgi.msk.ru/account/1080067006/", 1080067006)</f>
        <v>1080067006</v>
      </c>
      <c r="D9227" t="s">
        <v>7733</v>
      </c>
      <c r="E9227">
        <v>-2434.3200000000002</v>
      </c>
      <c r="F9227">
        <v>-1.0900000000000001</v>
      </c>
      <c r="G9227" t="s">
        <v>12</v>
      </c>
      <c r="I9227" t="s">
        <v>230</v>
      </c>
    </row>
    <row r="9228" spans="1:9" hidden="1" x14ac:dyDescent="0.25">
      <c r="A9228" t="s">
        <v>7689</v>
      </c>
      <c r="B9228" t="s">
        <v>126</v>
      </c>
      <c r="C9228" s="2">
        <f>HYPERLINK("https://cao.dolgi.msk.ru/account/1080067209/", 1080067209)</f>
        <v>1080067209</v>
      </c>
      <c r="D9228" t="s">
        <v>7734</v>
      </c>
      <c r="E9228">
        <v>-7690.57</v>
      </c>
      <c r="F9228">
        <v>-1.07</v>
      </c>
      <c r="G9228" t="s">
        <v>12</v>
      </c>
      <c r="I9228" t="s">
        <v>230</v>
      </c>
    </row>
    <row r="9229" spans="1:9" hidden="1" x14ac:dyDescent="0.25">
      <c r="A9229" t="s">
        <v>7689</v>
      </c>
      <c r="B9229" t="s">
        <v>128</v>
      </c>
      <c r="C9229" s="2">
        <f>HYPERLINK("https://cao.dolgi.msk.ru/account/1080067022/", 1080067022)</f>
        <v>1080067022</v>
      </c>
      <c r="D9229" t="s">
        <v>7735</v>
      </c>
      <c r="E9229">
        <v>-29.95</v>
      </c>
      <c r="F9229">
        <v>-0.01</v>
      </c>
      <c r="G9229" t="s">
        <v>12</v>
      </c>
      <c r="I9229" t="s">
        <v>230</v>
      </c>
    </row>
    <row r="9230" spans="1:9" hidden="1" x14ac:dyDescent="0.25">
      <c r="A9230" t="s">
        <v>7689</v>
      </c>
      <c r="B9230" t="s">
        <v>130</v>
      </c>
      <c r="C9230" s="2">
        <f>HYPERLINK("https://cao.dolgi.msk.ru/account/1080067049/", 1080067049)</f>
        <v>1080067049</v>
      </c>
      <c r="D9230" t="s">
        <v>7736</v>
      </c>
      <c r="E9230">
        <v>-11001.32</v>
      </c>
      <c r="F9230">
        <v>-1.22</v>
      </c>
      <c r="G9230" t="s">
        <v>12</v>
      </c>
      <c r="I9230" t="s">
        <v>230</v>
      </c>
    </row>
    <row r="9231" spans="1:9" hidden="1" x14ac:dyDescent="0.25">
      <c r="A9231" t="s">
        <v>7689</v>
      </c>
      <c r="B9231" t="s">
        <v>132</v>
      </c>
      <c r="C9231" s="2">
        <f>HYPERLINK("https://cao.dolgi.msk.ru/account/1080067057/", 1080067057)</f>
        <v>1080067057</v>
      </c>
      <c r="D9231" t="s">
        <v>7737</v>
      </c>
      <c r="E9231">
        <v>0</v>
      </c>
      <c r="F9231">
        <v>0</v>
      </c>
      <c r="G9231" t="s">
        <v>12</v>
      </c>
      <c r="I9231" t="s">
        <v>230</v>
      </c>
    </row>
    <row r="9232" spans="1:9" hidden="1" x14ac:dyDescent="0.25">
      <c r="A9232" t="s">
        <v>7689</v>
      </c>
      <c r="B9232" t="s">
        <v>133</v>
      </c>
      <c r="C9232" s="2">
        <f>HYPERLINK("https://cao.dolgi.msk.ru/account/1080067065/", 1080067065)</f>
        <v>1080067065</v>
      </c>
      <c r="D9232" t="s">
        <v>7738</v>
      </c>
      <c r="E9232">
        <v>0</v>
      </c>
      <c r="F9232">
        <v>0</v>
      </c>
      <c r="G9232" t="s">
        <v>12</v>
      </c>
      <c r="I9232" t="s">
        <v>230</v>
      </c>
    </row>
    <row r="9233" spans="1:9" hidden="1" x14ac:dyDescent="0.25">
      <c r="A9233" t="s">
        <v>7689</v>
      </c>
      <c r="B9233" t="s">
        <v>135</v>
      </c>
      <c r="C9233" s="2">
        <f>HYPERLINK("https://cao.dolgi.msk.ru/account/1080067073/", 1080067073)</f>
        <v>1080067073</v>
      </c>
      <c r="D9233" t="s">
        <v>7739</v>
      </c>
      <c r="E9233">
        <v>-4126.07</v>
      </c>
      <c r="F9233">
        <v>-0.28000000000000003</v>
      </c>
      <c r="G9233" t="s">
        <v>12</v>
      </c>
      <c r="I9233" t="s">
        <v>230</v>
      </c>
    </row>
    <row r="9234" spans="1:9" hidden="1" x14ac:dyDescent="0.25">
      <c r="A9234" t="s">
        <v>7689</v>
      </c>
      <c r="B9234" t="s">
        <v>137</v>
      </c>
      <c r="C9234" s="2">
        <f>HYPERLINK("https://cao.dolgi.msk.ru/account/1080067081/", 1080067081)</f>
        <v>1080067081</v>
      </c>
      <c r="D9234" t="s">
        <v>7740</v>
      </c>
      <c r="E9234">
        <v>7186.41</v>
      </c>
      <c r="F9234">
        <v>1</v>
      </c>
      <c r="G9234" t="s">
        <v>12</v>
      </c>
      <c r="I9234" t="s">
        <v>230</v>
      </c>
    </row>
    <row r="9235" spans="1:9" hidden="1" x14ac:dyDescent="0.25">
      <c r="A9235" t="s">
        <v>7689</v>
      </c>
      <c r="B9235" t="s">
        <v>139</v>
      </c>
      <c r="C9235" s="2">
        <f>HYPERLINK("https://cao.dolgi.msk.ru/account/1080067102/", 1080067102)</f>
        <v>1080067102</v>
      </c>
      <c r="D9235" t="s">
        <v>7741</v>
      </c>
      <c r="E9235">
        <v>-6341.78</v>
      </c>
      <c r="F9235">
        <v>-1.06</v>
      </c>
      <c r="G9235" t="s">
        <v>12</v>
      </c>
      <c r="I9235" t="s">
        <v>230</v>
      </c>
    </row>
    <row r="9236" spans="1:9" hidden="1" x14ac:dyDescent="0.25">
      <c r="A9236" t="s">
        <v>7689</v>
      </c>
      <c r="B9236" t="s">
        <v>141</v>
      </c>
      <c r="C9236" s="2">
        <f>HYPERLINK("https://cao.dolgi.msk.ru/account/1080067129/", 1080067129)</f>
        <v>1080067129</v>
      </c>
      <c r="D9236" t="s">
        <v>7742</v>
      </c>
      <c r="E9236">
        <v>-6974.49</v>
      </c>
      <c r="F9236">
        <v>-1.05</v>
      </c>
      <c r="G9236" t="s">
        <v>12</v>
      </c>
      <c r="I9236" t="s">
        <v>230</v>
      </c>
    </row>
    <row r="9237" spans="1:9" hidden="1" x14ac:dyDescent="0.25">
      <c r="A9237" t="s">
        <v>7689</v>
      </c>
      <c r="B9237" t="s">
        <v>143</v>
      </c>
      <c r="C9237" s="2">
        <f>HYPERLINK("https://cao.dolgi.msk.ru/account/1080067137/", 1080067137)</f>
        <v>1080067137</v>
      </c>
      <c r="D9237" t="s">
        <v>7743</v>
      </c>
      <c r="E9237">
        <v>-7328.29</v>
      </c>
      <c r="F9237">
        <v>-1.07</v>
      </c>
      <c r="G9237" t="s">
        <v>12</v>
      </c>
      <c r="I9237" t="s">
        <v>230</v>
      </c>
    </row>
    <row r="9238" spans="1:9" hidden="1" x14ac:dyDescent="0.25">
      <c r="A9238" t="s">
        <v>7689</v>
      </c>
      <c r="B9238" t="s">
        <v>145</v>
      </c>
      <c r="C9238" s="2">
        <f>HYPERLINK("https://cao.dolgi.msk.ru/account/1080067145/", 1080067145)</f>
        <v>1080067145</v>
      </c>
      <c r="D9238" t="s">
        <v>7744</v>
      </c>
      <c r="E9238">
        <v>-6724.99</v>
      </c>
      <c r="F9238">
        <v>-1.06</v>
      </c>
      <c r="G9238" t="s">
        <v>12</v>
      </c>
      <c r="I9238" t="s">
        <v>230</v>
      </c>
    </row>
    <row r="9239" spans="1:9" hidden="1" x14ac:dyDescent="0.25">
      <c r="A9239" t="s">
        <v>7689</v>
      </c>
      <c r="B9239" t="s">
        <v>147</v>
      </c>
      <c r="C9239" s="2">
        <f>HYPERLINK("https://cao.dolgi.msk.ru/account/1080067153/", 1080067153)</f>
        <v>1080067153</v>
      </c>
      <c r="D9239" t="s">
        <v>7745</v>
      </c>
      <c r="E9239">
        <v>-10266.719999999999</v>
      </c>
      <c r="F9239">
        <v>-1.04</v>
      </c>
      <c r="G9239" t="s">
        <v>12</v>
      </c>
      <c r="I9239" t="s">
        <v>230</v>
      </c>
    </row>
    <row r="9240" spans="1:9" hidden="1" x14ac:dyDescent="0.25">
      <c r="A9240" t="s">
        <v>7689</v>
      </c>
      <c r="B9240" t="s">
        <v>149</v>
      </c>
      <c r="C9240" s="2">
        <f>HYPERLINK("https://cao.dolgi.msk.ru/account/1080067161/", 1080067161)</f>
        <v>1080067161</v>
      </c>
      <c r="D9240" t="s">
        <v>7746</v>
      </c>
      <c r="E9240">
        <v>-9498.58</v>
      </c>
      <c r="F9240">
        <v>-0.99</v>
      </c>
      <c r="G9240" t="s">
        <v>12</v>
      </c>
      <c r="I9240" t="s">
        <v>230</v>
      </c>
    </row>
    <row r="9241" spans="1:9" hidden="1" x14ac:dyDescent="0.25">
      <c r="A9241" t="s">
        <v>7689</v>
      </c>
      <c r="B9241" t="s">
        <v>151</v>
      </c>
      <c r="C9241" s="2">
        <f>HYPERLINK("https://cao.dolgi.msk.ru/account/1080067188/", 1080067188)</f>
        <v>1080067188</v>
      </c>
      <c r="D9241" t="s">
        <v>7747</v>
      </c>
      <c r="E9241">
        <v>-7776.3</v>
      </c>
      <c r="F9241">
        <v>-1.04</v>
      </c>
      <c r="G9241" t="s">
        <v>12</v>
      </c>
      <c r="I9241" t="s">
        <v>230</v>
      </c>
    </row>
    <row r="9242" spans="1:9" hidden="1" x14ac:dyDescent="0.25">
      <c r="A9242" t="s">
        <v>7689</v>
      </c>
      <c r="B9242" t="s">
        <v>153</v>
      </c>
      <c r="C9242" s="2">
        <f>HYPERLINK("https://cao.dolgi.msk.ru/account/1080067196/", 1080067196)</f>
        <v>1080067196</v>
      </c>
      <c r="D9242" t="s">
        <v>7748</v>
      </c>
      <c r="E9242">
        <v>-6054.53</v>
      </c>
      <c r="F9242">
        <v>-0.99</v>
      </c>
      <c r="G9242" t="s">
        <v>12</v>
      </c>
      <c r="I9242" t="s">
        <v>230</v>
      </c>
    </row>
    <row r="9243" spans="1:9" hidden="1" x14ac:dyDescent="0.25">
      <c r="A9243" t="s">
        <v>7689</v>
      </c>
      <c r="B9243" t="s">
        <v>159</v>
      </c>
      <c r="C9243" s="2">
        <f>HYPERLINK("https://cao.dolgi.msk.ru/account/1080067217/", 1080067217)</f>
        <v>1080067217</v>
      </c>
      <c r="D9243" t="s">
        <v>15</v>
      </c>
      <c r="G9243" t="s">
        <v>14</v>
      </c>
      <c r="I9243" t="s">
        <v>230</v>
      </c>
    </row>
    <row r="9244" spans="1:9" hidden="1" x14ac:dyDescent="0.25">
      <c r="A9244" t="s">
        <v>7689</v>
      </c>
      <c r="B9244" t="s">
        <v>163</v>
      </c>
      <c r="C9244" s="2">
        <f>HYPERLINK("https://cao.dolgi.msk.ru/account/1080067225/", 1080067225)</f>
        <v>1080067225</v>
      </c>
      <c r="D9244" t="s">
        <v>7749</v>
      </c>
      <c r="E9244">
        <v>11145.55</v>
      </c>
      <c r="F9244">
        <v>0.88</v>
      </c>
      <c r="G9244" t="s">
        <v>12</v>
      </c>
      <c r="I9244" t="s">
        <v>230</v>
      </c>
    </row>
    <row r="9245" spans="1:9" hidden="1" x14ac:dyDescent="0.25">
      <c r="A9245" t="s">
        <v>7689</v>
      </c>
      <c r="B9245" t="s">
        <v>571</v>
      </c>
      <c r="C9245" s="2">
        <f>HYPERLINK("https://cao.dolgi.msk.ru/account/1083272718/", 1083272718)</f>
        <v>1083272718</v>
      </c>
      <c r="D9245" t="s">
        <v>15</v>
      </c>
      <c r="E9245">
        <v>0</v>
      </c>
      <c r="G9245" t="s">
        <v>14</v>
      </c>
      <c r="I9245" t="s">
        <v>230</v>
      </c>
    </row>
    <row r="9246" spans="1:9" hidden="1" x14ac:dyDescent="0.25">
      <c r="A9246" t="s">
        <v>7750</v>
      </c>
      <c r="B9246" t="s">
        <v>18</v>
      </c>
      <c r="C9246" s="2">
        <f>HYPERLINK("https://cao.dolgi.msk.ru/account/1080083583/", 1080083583)</f>
        <v>1080083583</v>
      </c>
      <c r="D9246" t="s">
        <v>7751</v>
      </c>
      <c r="E9246">
        <v>-6114</v>
      </c>
      <c r="F9246">
        <v>-1.1399999999999999</v>
      </c>
      <c r="G9246" t="s">
        <v>12</v>
      </c>
      <c r="H9246" t="s">
        <v>7</v>
      </c>
      <c r="I9246" t="s">
        <v>230</v>
      </c>
    </row>
    <row r="9247" spans="1:9" hidden="1" x14ac:dyDescent="0.25">
      <c r="A9247" t="s">
        <v>7750</v>
      </c>
      <c r="B9247" t="s">
        <v>18</v>
      </c>
      <c r="C9247" s="2">
        <f>HYPERLINK("https://cao.dolgi.msk.ru/account/1080083591/", 1080083591)</f>
        <v>1080083591</v>
      </c>
      <c r="D9247" t="s">
        <v>7751</v>
      </c>
      <c r="E9247">
        <v>-1982.01</v>
      </c>
      <c r="F9247">
        <v>-1.1399999999999999</v>
      </c>
      <c r="G9247" t="s">
        <v>12</v>
      </c>
      <c r="H9247" t="s">
        <v>7</v>
      </c>
      <c r="I9247" t="s">
        <v>230</v>
      </c>
    </row>
    <row r="9248" spans="1:9" hidden="1" x14ac:dyDescent="0.25">
      <c r="A9248" t="s">
        <v>7750</v>
      </c>
      <c r="B9248" t="s">
        <v>18</v>
      </c>
      <c r="C9248" s="2">
        <f>HYPERLINK("https://cao.dolgi.msk.ru/account/1080083604/", 1080083604)</f>
        <v>1080083604</v>
      </c>
      <c r="D9248" t="s">
        <v>7751</v>
      </c>
      <c r="E9248">
        <v>-123.29</v>
      </c>
      <c r="F9248">
        <v>-0.1</v>
      </c>
      <c r="G9248" t="s">
        <v>12</v>
      </c>
      <c r="H9248" t="s">
        <v>7</v>
      </c>
      <c r="I9248" t="s">
        <v>230</v>
      </c>
    </row>
    <row r="9249" spans="1:9" hidden="1" x14ac:dyDescent="0.25">
      <c r="A9249" t="s">
        <v>7750</v>
      </c>
      <c r="B9249" t="s">
        <v>20</v>
      </c>
      <c r="C9249" s="2">
        <f>HYPERLINK("https://cao.dolgi.msk.ru/account/1080083348/", 1080083348)</f>
        <v>1080083348</v>
      </c>
      <c r="D9249" t="s">
        <v>7752</v>
      </c>
      <c r="E9249">
        <v>-8222.24</v>
      </c>
      <c r="F9249">
        <v>-1.1299999999999999</v>
      </c>
      <c r="G9249" t="s">
        <v>12</v>
      </c>
      <c r="I9249" t="s">
        <v>230</v>
      </c>
    </row>
    <row r="9250" spans="1:9" hidden="1" x14ac:dyDescent="0.25">
      <c r="A9250" t="s">
        <v>7750</v>
      </c>
      <c r="B9250" t="s">
        <v>21</v>
      </c>
      <c r="C9250" s="2">
        <f>HYPERLINK("https://cao.dolgi.msk.ru/account/1080083364/", 1080083364)</f>
        <v>1080083364</v>
      </c>
      <c r="D9250" t="s">
        <v>7753</v>
      </c>
      <c r="E9250">
        <v>-503.01</v>
      </c>
      <c r="G9250" t="s">
        <v>14</v>
      </c>
      <c r="H9250" t="s">
        <v>7</v>
      </c>
      <c r="I9250" t="s">
        <v>230</v>
      </c>
    </row>
    <row r="9251" spans="1:9" hidden="1" x14ac:dyDescent="0.25">
      <c r="A9251" t="s">
        <v>7750</v>
      </c>
      <c r="B9251" t="s">
        <v>21</v>
      </c>
      <c r="C9251" s="2">
        <f>HYPERLINK("https://cao.dolgi.msk.ru/account/1080083372/", 1080083372)</f>
        <v>1080083372</v>
      </c>
      <c r="D9251" t="s">
        <v>7754</v>
      </c>
      <c r="E9251">
        <v>-4354.72</v>
      </c>
      <c r="F9251">
        <v>-1.1599999999999999</v>
      </c>
      <c r="G9251" t="s">
        <v>12</v>
      </c>
      <c r="H9251" t="s">
        <v>7</v>
      </c>
      <c r="I9251" t="s">
        <v>230</v>
      </c>
    </row>
    <row r="9252" spans="1:9" hidden="1" x14ac:dyDescent="0.25">
      <c r="A9252" t="s">
        <v>7750</v>
      </c>
      <c r="B9252" t="s">
        <v>21</v>
      </c>
      <c r="C9252" s="2">
        <f>HYPERLINK("https://cao.dolgi.msk.ru/account/1080083399/", 1080083399)</f>
        <v>1080083399</v>
      </c>
      <c r="D9252" t="s">
        <v>7755</v>
      </c>
      <c r="E9252">
        <v>-3153.58</v>
      </c>
      <c r="F9252">
        <v>-1.2</v>
      </c>
      <c r="G9252" t="s">
        <v>12</v>
      </c>
      <c r="H9252" t="s">
        <v>7</v>
      </c>
      <c r="I9252" t="s">
        <v>230</v>
      </c>
    </row>
    <row r="9253" spans="1:9" hidden="1" x14ac:dyDescent="0.25">
      <c r="A9253" t="s">
        <v>7750</v>
      </c>
      <c r="B9253" t="s">
        <v>21</v>
      </c>
      <c r="C9253" s="2">
        <f>HYPERLINK("https://cao.dolgi.msk.ru/account/1080083401/", 1080083401)</f>
        <v>1080083401</v>
      </c>
      <c r="D9253" t="s">
        <v>7753</v>
      </c>
      <c r="E9253">
        <v>-945.82</v>
      </c>
      <c r="F9253">
        <v>-1.0900000000000001</v>
      </c>
      <c r="G9253" t="s">
        <v>12</v>
      </c>
      <c r="H9253" t="s">
        <v>7</v>
      </c>
      <c r="I9253" t="s">
        <v>230</v>
      </c>
    </row>
    <row r="9254" spans="1:9" hidden="1" x14ac:dyDescent="0.25">
      <c r="A9254" t="s">
        <v>7750</v>
      </c>
      <c r="B9254" t="s">
        <v>22</v>
      </c>
      <c r="C9254" s="2">
        <f>HYPERLINK("https://cao.dolgi.msk.ru/account/1080083428/", 1080083428)</f>
        <v>1080083428</v>
      </c>
      <c r="D9254" t="s">
        <v>7756</v>
      </c>
      <c r="E9254">
        <v>-1488.49</v>
      </c>
      <c r="F9254">
        <v>-1.1100000000000001</v>
      </c>
      <c r="G9254" t="s">
        <v>12</v>
      </c>
      <c r="H9254" t="s">
        <v>7</v>
      </c>
      <c r="I9254" t="s">
        <v>230</v>
      </c>
    </row>
    <row r="9255" spans="1:9" hidden="1" x14ac:dyDescent="0.25">
      <c r="A9255" t="s">
        <v>7750</v>
      </c>
      <c r="B9255" t="s">
        <v>22</v>
      </c>
      <c r="C9255" s="2">
        <f>HYPERLINK("https://cao.dolgi.msk.ru/account/1080083436/", 1080083436)</f>
        <v>1080083436</v>
      </c>
      <c r="D9255" t="s">
        <v>7757</v>
      </c>
      <c r="E9255">
        <v>1058.8800000000001</v>
      </c>
      <c r="F9255">
        <v>0.28000000000000003</v>
      </c>
      <c r="G9255" t="s">
        <v>12</v>
      </c>
      <c r="H9255" t="s">
        <v>7</v>
      </c>
      <c r="I9255" t="s">
        <v>230</v>
      </c>
    </row>
    <row r="9256" spans="1:9" x14ac:dyDescent="0.25">
      <c r="A9256" t="s">
        <v>7750</v>
      </c>
      <c r="B9256" t="s">
        <v>22</v>
      </c>
      <c r="C9256" s="2">
        <f>HYPERLINK("https://cao.dolgi.msk.ru/account/1089133698/", 1089133698)</f>
        <v>1089133698</v>
      </c>
      <c r="D9256" t="s">
        <v>7758</v>
      </c>
      <c r="E9256">
        <v>13326.21</v>
      </c>
      <c r="F9256">
        <v>4.03</v>
      </c>
      <c r="G9256" t="s">
        <v>12</v>
      </c>
      <c r="H9256" t="s">
        <v>7</v>
      </c>
      <c r="I9256" t="s">
        <v>230</v>
      </c>
    </row>
    <row r="9257" spans="1:9" hidden="1" x14ac:dyDescent="0.25">
      <c r="A9257" t="s">
        <v>7750</v>
      </c>
      <c r="B9257" t="s">
        <v>23</v>
      </c>
      <c r="C9257" s="2">
        <f>HYPERLINK("https://cao.dolgi.msk.ru/account/1080083444/", 1080083444)</f>
        <v>1080083444</v>
      </c>
      <c r="D9257" t="s">
        <v>7759</v>
      </c>
      <c r="E9257">
        <v>-4181.03</v>
      </c>
      <c r="F9257">
        <v>-1</v>
      </c>
      <c r="G9257" t="s">
        <v>12</v>
      </c>
      <c r="H9257" t="s">
        <v>7</v>
      </c>
      <c r="I9257" t="s">
        <v>230</v>
      </c>
    </row>
    <row r="9258" spans="1:9" hidden="1" x14ac:dyDescent="0.25">
      <c r="A9258" t="s">
        <v>7750</v>
      </c>
      <c r="B9258" t="s">
        <v>23</v>
      </c>
      <c r="C9258" s="2">
        <f>HYPERLINK("https://cao.dolgi.msk.ru/account/1080083452/", 1080083452)</f>
        <v>1080083452</v>
      </c>
      <c r="D9258" t="s">
        <v>15</v>
      </c>
      <c r="E9258">
        <v>-15043.3</v>
      </c>
      <c r="F9258">
        <v>-23.27</v>
      </c>
      <c r="G9258" t="s">
        <v>12</v>
      </c>
      <c r="H9258" t="s">
        <v>7</v>
      </c>
      <c r="I9258" t="s">
        <v>230</v>
      </c>
    </row>
    <row r="9259" spans="1:9" hidden="1" x14ac:dyDescent="0.25">
      <c r="A9259" t="s">
        <v>7750</v>
      </c>
      <c r="B9259" t="s">
        <v>23</v>
      </c>
      <c r="C9259" s="2">
        <f>HYPERLINK("https://cao.dolgi.msk.ru/account/1080322871/", 1080322871)</f>
        <v>1080322871</v>
      </c>
      <c r="D9259" t="s">
        <v>7760</v>
      </c>
      <c r="E9259">
        <v>-5344.38</v>
      </c>
      <c r="F9259">
        <v>-1.0900000000000001</v>
      </c>
      <c r="G9259" t="s">
        <v>12</v>
      </c>
      <c r="H9259" t="s">
        <v>7</v>
      </c>
      <c r="I9259" t="s">
        <v>230</v>
      </c>
    </row>
    <row r="9260" spans="1:9" hidden="1" x14ac:dyDescent="0.25">
      <c r="A9260" t="s">
        <v>7750</v>
      </c>
      <c r="B9260" t="s">
        <v>24</v>
      </c>
      <c r="C9260" s="2">
        <f>HYPERLINK("https://cao.dolgi.msk.ru/account/1080083479/", 1080083479)</f>
        <v>1080083479</v>
      </c>
      <c r="D9260" t="s">
        <v>15</v>
      </c>
      <c r="E9260">
        <v>-4547.57</v>
      </c>
      <c r="F9260">
        <v>-1.1200000000000001</v>
      </c>
      <c r="G9260" t="s">
        <v>12</v>
      </c>
      <c r="I9260" t="s">
        <v>230</v>
      </c>
    </row>
    <row r="9261" spans="1:9" hidden="1" x14ac:dyDescent="0.25">
      <c r="A9261" t="s">
        <v>7750</v>
      </c>
      <c r="B9261" t="s">
        <v>24</v>
      </c>
      <c r="C9261" s="2">
        <f>HYPERLINK("https://cao.dolgi.msk.ru/account/1089126914/", 1089126914)</f>
        <v>1089126914</v>
      </c>
      <c r="D9261" t="s">
        <v>15</v>
      </c>
      <c r="E9261">
        <v>-3399.42</v>
      </c>
      <c r="F9261">
        <v>-1.1200000000000001</v>
      </c>
      <c r="G9261" t="s">
        <v>12</v>
      </c>
      <c r="I9261" t="s">
        <v>230</v>
      </c>
    </row>
    <row r="9262" spans="1:9" hidden="1" x14ac:dyDescent="0.25">
      <c r="A9262" t="s">
        <v>7761</v>
      </c>
      <c r="B9262" t="s">
        <v>31</v>
      </c>
      <c r="C9262" s="2">
        <f>HYPERLINK("https://cao.dolgi.msk.ru/account/1080083487/", 1080083487)</f>
        <v>1080083487</v>
      </c>
      <c r="D9262" t="s">
        <v>7762</v>
      </c>
      <c r="E9262">
        <v>-6021.86</v>
      </c>
      <c r="F9262">
        <v>-1.1299999999999999</v>
      </c>
      <c r="G9262" t="s">
        <v>12</v>
      </c>
      <c r="I9262" t="s">
        <v>230</v>
      </c>
    </row>
    <row r="9263" spans="1:9" hidden="1" x14ac:dyDescent="0.25">
      <c r="A9263" t="s">
        <v>7761</v>
      </c>
      <c r="B9263" t="s">
        <v>33</v>
      </c>
      <c r="C9263" s="2">
        <f>HYPERLINK("https://cao.dolgi.msk.ru/account/1080083495/", 1080083495)</f>
        <v>1080083495</v>
      </c>
      <c r="D9263" t="s">
        <v>7763</v>
      </c>
      <c r="E9263">
        <v>-5982.98</v>
      </c>
      <c r="F9263">
        <v>-1.1399999999999999</v>
      </c>
      <c r="G9263" t="s">
        <v>12</v>
      </c>
      <c r="I9263" t="s">
        <v>230</v>
      </c>
    </row>
    <row r="9264" spans="1:9" hidden="1" x14ac:dyDescent="0.25">
      <c r="A9264" t="s">
        <v>7761</v>
      </c>
      <c r="B9264" t="s">
        <v>34</v>
      </c>
      <c r="C9264" s="2">
        <f>HYPERLINK("https://cao.dolgi.msk.ru/account/1080083508/", 1080083508)</f>
        <v>1080083508</v>
      </c>
      <c r="D9264" t="s">
        <v>7764</v>
      </c>
      <c r="E9264">
        <v>-7343.24</v>
      </c>
      <c r="F9264">
        <v>-1.0900000000000001</v>
      </c>
      <c r="G9264" t="s">
        <v>12</v>
      </c>
      <c r="I9264" t="s">
        <v>230</v>
      </c>
    </row>
    <row r="9265" spans="1:9" hidden="1" x14ac:dyDescent="0.25">
      <c r="A9265" t="s">
        <v>7761</v>
      </c>
      <c r="B9265" t="s">
        <v>36</v>
      </c>
      <c r="C9265" s="2">
        <f>HYPERLINK("https://cao.dolgi.msk.ru/account/1080083516/", 1080083516)</f>
        <v>1080083516</v>
      </c>
      <c r="D9265" t="s">
        <v>7765</v>
      </c>
      <c r="E9265">
        <v>17.57</v>
      </c>
      <c r="F9265">
        <v>0</v>
      </c>
      <c r="G9265" t="s">
        <v>12</v>
      </c>
      <c r="I9265" t="s">
        <v>230</v>
      </c>
    </row>
    <row r="9266" spans="1:9" hidden="1" x14ac:dyDescent="0.25">
      <c r="A9266" t="s">
        <v>7761</v>
      </c>
      <c r="B9266" t="s">
        <v>38</v>
      </c>
      <c r="C9266" s="2">
        <f>HYPERLINK("https://cao.dolgi.msk.ru/account/1080083524/", 1080083524)</f>
        <v>1080083524</v>
      </c>
      <c r="D9266" t="s">
        <v>7766</v>
      </c>
      <c r="E9266">
        <v>0</v>
      </c>
      <c r="F9266">
        <v>0</v>
      </c>
      <c r="G9266" t="s">
        <v>12</v>
      </c>
      <c r="I9266" t="s">
        <v>230</v>
      </c>
    </row>
    <row r="9267" spans="1:9" hidden="1" x14ac:dyDescent="0.25">
      <c r="A9267" t="s">
        <v>7761</v>
      </c>
      <c r="B9267" t="s">
        <v>39</v>
      </c>
      <c r="C9267" s="2">
        <f>HYPERLINK("https://cao.dolgi.msk.ru/account/1080083532/", 1080083532)</f>
        <v>1080083532</v>
      </c>
      <c r="D9267" t="s">
        <v>15</v>
      </c>
      <c r="E9267">
        <v>-4898.38</v>
      </c>
      <c r="F9267">
        <v>-1.47</v>
      </c>
      <c r="G9267" t="s">
        <v>12</v>
      </c>
      <c r="I9267" t="s">
        <v>230</v>
      </c>
    </row>
    <row r="9268" spans="1:9" hidden="1" x14ac:dyDescent="0.25">
      <c r="A9268" t="s">
        <v>7761</v>
      </c>
      <c r="B9268" t="s">
        <v>39</v>
      </c>
      <c r="C9268" s="2">
        <f>HYPERLINK("https://cao.dolgi.msk.ru/account/1089125161/", 1089125161)</f>
        <v>1089125161</v>
      </c>
      <c r="D9268" t="s">
        <v>15</v>
      </c>
      <c r="E9268">
        <v>0</v>
      </c>
      <c r="F9268">
        <v>0</v>
      </c>
      <c r="G9268" t="s">
        <v>14</v>
      </c>
      <c r="I9268" t="s">
        <v>230</v>
      </c>
    </row>
    <row r="9269" spans="1:9" hidden="1" x14ac:dyDescent="0.25">
      <c r="A9269" t="s">
        <v>7761</v>
      </c>
      <c r="B9269" t="s">
        <v>40</v>
      </c>
      <c r="C9269" s="2">
        <f>HYPERLINK("https://cao.dolgi.msk.ru/account/1080083559/", 1080083559)</f>
        <v>1080083559</v>
      </c>
      <c r="D9269" t="s">
        <v>7767</v>
      </c>
      <c r="E9269">
        <v>-9430.07</v>
      </c>
      <c r="F9269">
        <v>-1.08</v>
      </c>
      <c r="G9269" t="s">
        <v>12</v>
      </c>
      <c r="I9269" t="s">
        <v>230</v>
      </c>
    </row>
    <row r="9270" spans="1:9" hidden="1" x14ac:dyDescent="0.25">
      <c r="A9270" t="s">
        <v>7761</v>
      </c>
      <c r="B9270" t="s">
        <v>41</v>
      </c>
      <c r="C9270" s="2">
        <f>HYPERLINK("https://cao.dolgi.msk.ru/account/1080083567/", 1080083567)</f>
        <v>1080083567</v>
      </c>
      <c r="D9270" t="s">
        <v>7768</v>
      </c>
      <c r="E9270">
        <v>-4493.83</v>
      </c>
      <c r="F9270">
        <v>-1.1100000000000001</v>
      </c>
      <c r="G9270" t="s">
        <v>12</v>
      </c>
      <c r="I9270" t="s">
        <v>230</v>
      </c>
    </row>
    <row r="9271" spans="1:9" hidden="1" x14ac:dyDescent="0.25">
      <c r="A9271" t="s">
        <v>7761</v>
      </c>
      <c r="B9271" t="s">
        <v>42</v>
      </c>
      <c r="C9271" s="2">
        <f>HYPERLINK("https://cao.dolgi.msk.ru/account/1080083575/", 1080083575)</f>
        <v>1080083575</v>
      </c>
      <c r="D9271" t="s">
        <v>7769</v>
      </c>
      <c r="E9271">
        <v>-9097.4500000000007</v>
      </c>
      <c r="F9271">
        <v>-1.23</v>
      </c>
      <c r="G9271" t="s">
        <v>12</v>
      </c>
      <c r="I9271" t="s">
        <v>230</v>
      </c>
    </row>
    <row r="9272" spans="1:9" hidden="1" x14ac:dyDescent="0.25">
      <c r="A9272" t="s">
        <v>7770</v>
      </c>
      <c r="B9272" t="s">
        <v>33</v>
      </c>
      <c r="C9272" s="2">
        <f>HYPERLINK("https://cao.dolgi.msk.ru/account/1080083612/", 1080083612)</f>
        <v>1080083612</v>
      </c>
      <c r="D9272" t="s">
        <v>7771</v>
      </c>
      <c r="E9272">
        <v>6517.76</v>
      </c>
      <c r="F9272">
        <v>0.62</v>
      </c>
      <c r="G9272" t="s">
        <v>12</v>
      </c>
      <c r="I9272" t="s">
        <v>230</v>
      </c>
    </row>
    <row r="9273" spans="1:9" hidden="1" x14ac:dyDescent="0.25">
      <c r="A9273" t="s">
        <v>7770</v>
      </c>
      <c r="B9273" t="s">
        <v>34</v>
      </c>
      <c r="C9273" s="2">
        <f>HYPERLINK("https://cao.dolgi.msk.ru/account/1080083639/", 1080083639)</f>
        <v>1080083639</v>
      </c>
      <c r="D9273" t="s">
        <v>7772</v>
      </c>
      <c r="E9273">
        <v>0</v>
      </c>
      <c r="F9273">
        <v>0</v>
      </c>
      <c r="G9273" t="s">
        <v>12</v>
      </c>
      <c r="I9273" t="s">
        <v>230</v>
      </c>
    </row>
    <row r="9274" spans="1:9" hidden="1" x14ac:dyDescent="0.25">
      <c r="A9274" t="s">
        <v>7770</v>
      </c>
      <c r="B9274" t="s">
        <v>36</v>
      </c>
      <c r="C9274" s="2">
        <f>HYPERLINK("https://cao.dolgi.msk.ru/account/1080083647/", 1080083647)</f>
        <v>1080083647</v>
      </c>
      <c r="D9274" t="s">
        <v>7773</v>
      </c>
      <c r="E9274">
        <v>-2308.54</v>
      </c>
      <c r="F9274">
        <v>-1.0900000000000001</v>
      </c>
      <c r="G9274" t="s">
        <v>12</v>
      </c>
      <c r="I9274" t="s">
        <v>230</v>
      </c>
    </row>
    <row r="9275" spans="1:9" hidden="1" x14ac:dyDescent="0.25">
      <c r="A9275" t="s">
        <v>7770</v>
      </c>
      <c r="B9275" t="s">
        <v>38</v>
      </c>
      <c r="C9275" s="2">
        <f>HYPERLINK("https://cao.dolgi.msk.ru/account/1080083655/", 1080083655)</f>
        <v>1080083655</v>
      </c>
      <c r="D9275" t="s">
        <v>7774</v>
      </c>
      <c r="E9275">
        <v>-5232.4399999999996</v>
      </c>
      <c r="F9275">
        <v>-1</v>
      </c>
      <c r="G9275" t="s">
        <v>12</v>
      </c>
      <c r="I9275" t="s">
        <v>230</v>
      </c>
    </row>
    <row r="9276" spans="1:9" hidden="1" x14ac:dyDescent="0.25">
      <c r="A9276" t="s">
        <v>7770</v>
      </c>
      <c r="B9276" t="s">
        <v>39</v>
      </c>
      <c r="C9276" s="2">
        <f>HYPERLINK("https://cao.dolgi.msk.ru/account/1080083663/", 1080083663)</f>
        <v>1080083663</v>
      </c>
      <c r="D9276" t="s">
        <v>7775</v>
      </c>
      <c r="E9276">
        <v>-2914.64</v>
      </c>
      <c r="F9276">
        <v>-1.0900000000000001</v>
      </c>
      <c r="G9276" t="s">
        <v>12</v>
      </c>
      <c r="I9276" t="s">
        <v>230</v>
      </c>
    </row>
    <row r="9277" spans="1:9" hidden="1" x14ac:dyDescent="0.25">
      <c r="A9277" t="s">
        <v>7770</v>
      </c>
      <c r="B9277" t="s">
        <v>40</v>
      </c>
      <c r="C9277" s="2">
        <f>HYPERLINK("https://cao.dolgi.msk.ru/account/1080083671/", 1080083671)</f>
        <v>1080083671</v>
      </c>
      <c r="D9277" t="s">
        <v>7776</v>
      </c>
      <c r="E9277">
        <v>-3479.82</v>
      </c>
      <c r="F9277">
        <v>-1.06</v>
      </c>
      <c r="G9277" t="s">
        <v>12</v>
      </c>
      <c r="I9277" t="s">
        <v>230</v>
      </c>
    </row>
    <row r="9278" spans="1:9" hidden="1" x14ac:dyDescent="0.25">
      <c r="A9278" t="s">
        <v>7770</v>
      </c>
      <c r="B9278" t="s">
        <v>41</v>
      </c>
      <c r="C9278" s="2">
        <f>HYPERLINK("https://cao.dolgi.msk.ru/account/1080083698/", 1080083698)</f>
        <v>1080083698</v>
      </c>
      <c r="D9278" t="s">
        <v>7777</v>
      </c>
      <c r="E9278">
        <v>-5635.21</v>
      </c>
      <c r="F9278">
        <v>-1.19</v>
      </c>
      <c r="G9278" t="s">
        <v>12</v>
      </c>
      <c r="I9278" t="s">
        <v>230</v>
      </c>
    </row>
    <row r="9279" spans="1:9" hidden="1" x14ac:dyDescent="0.25">
      <c r="A9279" t="s">
        <v>7770</v>
      </c>
      <c r="B9279" t="s">
        <v>42</v>
      </c>
      <c r="C9279" s="2">
        <f>HYPERLINK("https://cao.dolgi.msk.ru/account/1080083719/", 1080083719)</f>
        <v>1080083719</v>
      </c>
      <c r="D9279" t="s">
        <v>7778</v>
      </c>
      <c r="E9279">
        <v>-4978.1899999999996</v>
      </c>
      <c r="F9279">
        <v>-0.87</v>
      </c>
      <c r="G9279" t="s">
        <v>12</v>
      </c>
      <c r="I9279" t="s">
        <v>230</v>
      </c>
    </row>
    <row r="9280" spans="1:9" hidden="1" x14ac:dyDescent="0.25">
      <c r="A9280" t="s">
        <v>7770</v>
      </c>
      <c r="B9280" t="s">
        <v>44</v>
      </c>
      <c r="C9280" s="2">
        <f>HYPERLINK("https://cao.dolgi.msk.ru/account/1080083727/", 1080083727)</f>
        <v>1080083727</v>
      </c>
      <c r="D9280" t="s">
        <v>7779</v>
      </c>
      <c r="E9280">
        <v>-3114.18</v>
      </c>
      <c r="F9280">
        <v>-1.07</v>
      </c>
      <c r="G9280" t="s">
        <v>12</v>
      </c>
      <c r="I9280" t="s">
        <v>230</v>
      </c>
    </row>
    <row r="9281" spans="1:9" hidden="1" x14ac:dyDescent="0.25">
      <c r="A9281" t="s">
        <v>7770</v>
      </c>
      <c r="B9281" t="s">
        <v>66</v>
      </c>
      <c r="C9281" s="2">
        <f>HYPERLINK("https://cao.dolgi.msk.ru/account/1080083735/", 1080083735)</f>
        <v>1080083735</v>
      </c>
      <c r="D9281" t="s">
        <v>7780</v>
      </c>
      <c r="E9281">
        <v>-550.32000000000005</v>
      </c>
      <c r="F9281">
        <v>-0.14000000000000001</v>
      </c>
      <c r="G9281" t="s">
        <v>12</v>
      </c>
      <c r="I9281" t="s">
        <v>230</v>
      </c>
    </row>
    <row r="9282" spans="1:9" hidden="1" x14ac:dyDescent="0.25">
      <c r="A9282" t="s">
        <v>7770</v>
      </c>
      <c r="B9282" t="s">
        <v>68</v>
      </c>
      <c r="C9282" s="2">
        <f>HYPERLINK("https://cao.dolgi.msk.ru/account/1080083743/", 1080083743)</f>
        <v>1080083743</v>
      </c>
      <c r="D9282" t="s">
        <v>7781</v>
      </c>
      <c r="E9282">
        <v>-3160.66</v>
      </c>
      <c r="F9282">
        <v>-1.06</v>
      </c>
      <c r="G9282" t="s">
        <v>12</v>
      </c>
      <c r="I9282" t="s">
        <v>230</v>
      </c>
    </row>
    <row r="9283" spans="1:9" hidden="1" x14ac:dyDescent="0.25">
      <c r="A9283" t="s">
        <v>7770</v>
      </c>
      <c r="B9283" t="s">
        <v>68</v>
      </c>
      <c r="C9283" s="2">
        <f>HYPERLINK("https://cao.dolgi.msk.ru/account/1083274588/", 1083274588)</f>
        <v>1083274588</v>
      </c>
      <c r="D9283" t="s">
        <v>15</v>
      </c>
      <c r="E9283">
        <v>-1394.3</v>
      </c>
      <c r="G9283" t="s">
        <v>14</v>
      </c>
      <c r="I9283" t="s">
        <v>230</v>
      </c>
    </row>
    <row r="9284" spans="1:9" hidden="1" x14ac:dyDescent="0.25">
      <c r="A9284" t="s">
        <v>7770</v>
      </c>
      <c r="B9284" t="s">
        <v>70</v>
      </c>
      <c r="C9284" s="2">
        <f>HYPERLINK("https://cao.dolgi.msk.ru/account/1080083751/", 1080083751)</f>
        <v>1080083751</v>
      </c>
      <c r="D9284" t="s">
        <v>7782</v>
      </c>
      <c r="E9284">
        <v>0</v>
      </c>
      <c r="F9284">
        <v>0</v>
      </c>
      <c r="G9284" t="s">
        <v>12</v>
      </c>
      <c r="I9284" t="s">
        <v>230</v>
      </c>
    </row>
    <row r="9285" spans="1:9" hidden="1" x14ac:dyDescent="0.25">
      <c r="A9285" t="s">
        <v>7770</v>
      </c>
      <c r="B9285" t="s">
        <v>72</v>
      </c>
      <c r="C9285" s="2">
        <f>HYPERLINK("https://cao.dolgi.msk.ru/account/1080083778/", 1080083778)</f>
        <v>1080083778</v>
      </c>
      <c r="D9285" t="s">
        <v>7783</v>
      </c>
      <c r="E9285">
        <v>-5295.05</v>
      </c>
      <c r="F9285">
        <v>-1.05</v>
      </c>
      <c r="G9285" t="s">
        <v>12</v>
      </c>
      <c r="I9285" t="s">
        <v>230</v>
      </c>
    </row>
    <row r="9286" spans="1:9" hidden="1" x14ac:dyDescent="0.25">
      <c r="A9286" t="s">
        <v>7770</v>
      </c>
      <c r="B9286" t="s">
        <v>74</v>
      </c>
      <c r="C9286" s="2">
        <f>HYPERLINK("https://cao.dolgi.msk.ru/account/1080083786/", 1080083786)</f>
        <v>1080083786</v>
      </c>
      <c r="D9286" t="s">
        <v>7784</v>
      </c>
      <c r="E9286">
        <v>-4159.08</v>
      </c>
      <c r="F9286">
        <v>-1.05</v>
      </c>
      <c r="G9286" t="s">
        <v>12</v>
      </c>
      <c r="I9286" t="s">
        <v>230</v>
      </c>
    </row>
    <row r="9287" spans="1:9" hidden="1" x14ac:dyDescent="0.25">
      <c r="A9287" t="s">
        <v>7770</v>
      </c>
      <c r="B9287" t="s">
        <v>76</v>
      </c>
      <c r="C9287" s="2">
        <f>HYPERLINK("https://cao.dolgi.msk.ru/account/1080083794/", 1080083794)</f>
        <v>1080083794</v>
      </c>
      <c r="D9287" t="s">
        <v>7785</v>
      </c>
      <c r="E9287">
        <v>-2452.1999999999998</v>
      </c>
      <c r="F9287">
        <v>-0.93</v>
      </c>
      <c r="G9287" t="s">
        <v>12</v>
      </c>
      <c r="I9287" t="s">
        <v>230</v>
      </c>
    </row>
    <row r="9288" spans="1:9" hidden="1" x14ac:dyDescent="0.25">
      <c r="A9288" t="s">
        <v>7770</v>
      </c>
      <c r="B9288" t="s">
        <v>78</v>
      </c>
      <c r="C9288" s="2">
        <f>HYPERLINK("https://cao.dolgi.msk.ru/account/1080083807/", 1080083807)</f>
        <v>1080083807</v>
      </c>
      <c r="D9288" t="s">
        <v>7786</v>
      </c>
      <c r="E9288">
        <v>-4012.28</v>
      </c>
      <c r="F9288">
        <v>-0.95</v>
      </c>
      <c r="G9288" t="s">
        <v>12</v>
      </c>
      <c r="I9288" t="s">
        <v>230</v>
      </c>
    </row>
    <row r="9289" spans="1:9" hidden="1" x14ac:dyDescent="0.25">
      <c r="A9289" t="s">
        <v>7770</v>
      </c>
      <c r="B9289" t="s">
        <v>80</v>
      </c>
      <c r="C9289" s="2">
        <f>HYPERLINK("https://cao.dolgi.msk.ru/account/1080083815/", 1080083815)</f>
        <v>1080083815</v>
      </c>
      <c r="D9289" t="s">
        <v>7787</v>
      </c>
      <c r="E9289">
        <v>0</v>
      </c>
      <c r="G9289" t="s">
        <v>14</v>
      </c>
      <c r="I9289" t="s">
        <v>230</v>
      </c>
    </row>
    <row r="9290" spans="1:9" hidden="1" x14ac:dyDescent="0.25">
      <c r="A9290" t="s">
        <v>7770</v>
      </c>
      <c r="B9290" t="s">
        <v>82</v>
      </c>
      <c r="C9290" s="2">
        <f>HYPERLINK("https://cao.dolgi.msk.ru/account/1080083823/", 1080083823)</f>
        <v>1080083823</v>
      </c>
      <c r="D9290" t="s">
        <v>7788</v>
      </c>
      <c r="E9290">
        <v>-4304.49</v>
      </c>
      <c r="F9290">
        <v>-1.1399999999999999</v>
      </c>
      <c r="G9290" t="s">
        <v>12</v>
      </c>
      <c r="I9290" t="s">
        <v>230</v>
      </c>
    </row>
    <row r="9291" spans="1:9" hidden="1" x14ac:dyDescent="0.25">
      <c r="A9291" t="s">
        <v>7770</v>
      </c>
      <c r="B9291" t="s">
        <v>84</v>
      </c>
      <c r="C9291" s="2">
        <f>HYPERLINK("https://cao.dolgi.msk.ru/account/1080083831/", 1080083831)</f>
        <v>1080083831</v>
      </c>
      <c r="D9291" t="s">
        <v>7789</v>
      </c>
      <c r="E9291">
        <v>-6453.09</v>
      </c>
      <c r="F9291">
        <v>-1.04</v>
      </c>
      <c r="G9291" t="s">
        <v>12</v>
      </c>
      <c r="I9291" t="s">
        <v>230</v>
      </c>
    </row>
    <row r="9292" spans="1:9" hidden="1" x14ac:dyDescent="0.25">
      <c r="A9292" t="s">
        <v>7770</v>
      </c>
      <c r="B9292" t="s">
        <v>86</v>
      </c>
      <c r="C9292" s="2">
        <f>HYPERLINK("https://cao.dolgi.msk.ru/account/1080083858/", 1080083858)</f>
        <v>1080083858</v>
      </c>
      <c r="D9292" t="s">
        <v>7790</v>
      </c>
      <c r="E9292">
        <v>-2121.6999999999998</v>
      </c>
      <c r="F9292">
        <v>-1.18</v>
      </c>
      <c r="G9292" t="s">
        <v>12</v>
      </c>
      <c r="I9292" t="s">
        <v>230</v>
      </c>
    </row>
    <row r="9293" spans="1:9" hidden="1" x14ac:dyDescent="0.25">
      <c r="A9293" t="s">
        <v>7770</v>
      </c>
      <c r="B9293" t="s">
        <v>88</v>
      </c>
      <c r="C9293" s="2">
        <f>HYPERLINK("https://cao.dolgi.msk.ru/account/1080083866/", 1080083866)</f>
        <v>1080083866</v>
      </c>
      <c r="D9293" t="s">
        <v>7791</v>
      </c>
      <c r="E9293">
        <v>-3467.56</v>
      </c>
      <c r="F9293">
        <v>-0.99</v>
      </c>
      <c r="G9293" t="s">
        <v>12</v>
      </c>
      <c r="I9293" t="s">
        <v>230</v>
      </c>
    </row>
    <row r="9294" spans="1:9" hidden="1" x14ac:dyDescent="0.25">
      <c r="A9294" t="s">
        <v>7770</v>
      </c>
      <c r="B9294" t="s">
        <v>90</v>
      </c>
      <c r="C9294" s="2">
        <f>HYPERLINK("https://cao.dolgi.msk.ru/account/1080083874/", 1080083874)</f>
        <v>1080083874</v>
      </c>
      <c r="D9294" t="s">
        <v>7792</v>
      </c>
      <c r="E9294">
        <v>3883.79</v>
      </c>
      <c r="F9294">
        <v>0.75</v>
      </c>
      <c r="G9294" t="s">
        <v>12</v>
      </c>
      <c r="I9294" t="s">
        <v>230</v>
      </c>
    </row>
    <row r="9295" spans="1:9" hidden="1" x14ac:dyDescent="0.25">
      <c r="A9295" t="s">
        <v>7770</v>
      </c>
      <c r="B9295" t="s">
        <v>92</v>
      </c>
      <c r="C9295" s="2">
        <f>HYPERLINK("https://cao.dolgi.msk.ru/account/1080083882/", 1080083882)</f>
        <v>1080083882</v>
      </c>
      <c r="D9295" t="s">
        <v>7793</v>
      </c>
      <c r="E9295">
        <v>-4822.6000000000004</v>
      </c>
      <c r="F9295">
        <v>-1.6</v>
      </c>
      <c r="G9295" t="s">
        <v>12</v>
      </c>
      <c r="I9295" t="s">
        <v>230</v>
      </c>
    </row>
    <row r="9296" spans="1:9" hidden="1" x14ac:dyDescent="0.25">
      <c r="A9296" t="s">
        <v>7770</v>
      </c>
      <c r="B9296" t="s">
        <v>94</v>
      </c>
      <c r="C9296" s="2">
        <f>HYPERLINK("https://cao.dolgi.msk.ru/account/1080083903/", 1080083903)</f>
        <v>1080083903</v>
      </c>
      <c r="D9296" t="s">
        <v>7794</v>
      </c>
      <c r="E9296">
        <v>-2214.12</v>
      </c>
      <c r="F9296">
        <v>-1.21</v>
      </c>
      <c r="G9296" t="s">
        <v>12</v>
      </c>
      <c r="I9296" t="s">
        <v>230</v>
      </c>
    </row>
    <row r="9297" spans="1:9" hidden="1" x14ac:dyDescent="0.25">
      <c r="A9297" t="s">
        <v>7770</v>
      </c>
      <c r="B9297" t="s">
        <v>96</v>
      </c>
      <c r="C9297" s="2">
        <f>HYPERLINK("https://cao.dolgi.msk.ru/account/1080083911/", 1080083911)</f>
        <v>1080083911</v>
      </c>
      <c r="D9297" t="s">
        <v>7795</v>
      </c>
      <c r="E9297">
        <v>-2030.96</v>
      </c>
      <c r="F9297">
        <v>-1.25</v>
      </c>
      <c r="G9297" t="s">
        <v>12</v>
      </c>
      <c r="I9297" t="s">
        <v>230</v>
      </c>
    </row>
    <row r="9298" spans="1:9" hidden="1" x14ac:dyDescent="0.25">
      <c r="A9298" t="s">
        <v>7770</v>
      </c>
      <c r="B9298" t="s">
        <v>98</v>
      </c>
      <c r="C9298" s="2">
        <f>HYPERLINK("https://cao.dolgi.msk.ru/account/1080083938/", 1080083938)</f>
        <v>1080083938</v>
      </c>
      <c r="D9298" t="s">
        <v>7796</v>
      </c>
      <c r="E9298">
        <v>-2428.94</v>
      </c>
      <c r="F9298">
        <v>-1.02</v>
      </c>
      <c r="G9298" t="s">
        <v>12</v>
      </c>
      <c r="I9298" t="s">
        <v>230</v>
      </c>
    </row>
    <row r="9299" spans="1:9" hidden="1" x14ac:dyDescent="0.25">
      <c r="A9299" t="s">
        <v>7770</v>
      </c>
      <c r="B9299" t="s">
        <v>100</v>
      </c>
      <c r="C9299" s="2">
        <f>HYPERLINK("https://cao.dolgi.msk.ru/account/1080083946/", 1080083946)</f>
        <v>1080083946</v>
      </c>
      <c r="D9299" t="s">
        <v>15</v>
      </c>
      <c r="E9299">
        <v>-3670.9</v>
      </c>
      <c r="F9299">
        <v>-1.1299999999999999</v>
      </c>
      <c r="G9299" t="s">
        <v>12</v>
      </c>
      <c r="I9299" t="s">
        <v>230</v>
      </c>
    </row>
    <row r="9300" spans="1:9" hidden="1" x14ac:dyDescent="0.25">
      <c r="A9300" t="s">
        <v>7770</v>
      </c>
      <c r="B9300" t="s">
        <v>102</v>
      </c>
      <c r="C9300" s="2">
        <f>HYPERLINK("https://cao.dolgi.msk.ru/account/1080083954/", 1080083954)</f>
        <v>1080083954</v>
      </c>
      <c r="D9300" t="s">
        <v>7797</v>
      </c>
      <c r="E9300">
        <v>-204.19</v>
      </c>
      <c r="F9300">
        <v>-0.03</v>
      </c>
      <c r="G9300" t="s">
        <v>12</v>
      </c>
      <c r="I9300" t="s">
        <v>230</v>
      </c>
    </row>
    <row r="9301" spans="1:9" hidden="1" x14ac:dyDescent="0.25">
      <c r="A9301" t="s">
        <v>7770</v>
      </c>
      <c r="B9301" t="s">
        <v>104</v>
      </c>
      <c r="C9301" s="2">
        <f>HYPERLINK("https://cao.dolgi.msk.ru/account/1080083962/", 1080083962)</f>
        <v>1080083962</v>
      </c>
      <c r="D9301" t="s">
        <v>7798</v>
      </c>
      <c r="E9301">
        <v>0</v>
      </c>
      <c r="F9301">
        <v>0</v>
      </c>
      <c r="G9301" t="s">
        <v>12</v>
      </c>
      <c r="I9301" t="s">
        <v>230</v>
      </c>
    </row>
    <row r="9302" spans="1:9" hidden="1" x14ac:dyDescent="0.25">
      <c r="A9302" t="s">
        <v>7770</v>
      </c>
      <c r="B9302" t="s">
        <v>106</v>
      </c>
      <c r="C9302" s="2">
        <f>HYPERLINK("https://cao.dolgi.msk.ru/account/1080083989/", 1080083989)</f>
        <v>1080083989</v>
      </c>
      <c r="D9302" t="s">
        <v>7799</v>
      </c>
      <c r="E9302">
        <v>-4443.37</v>
      </c>
      <c r="F9302">
        <v>-1</v>
      </c>
      <c r="G9302" t="s">
        <v>12</v>
      </c>
      <c r="I9302" t="s">
        <v>230</v>
      </c>
    </row>
    <row r="9303" spans="1:9" hidden="1" x14ac:dyDescent="0.25">
      <c r="A9303" t="s">
        <v>7770</v>
      </c>
      <c r="B9303" t="s">
        <v>108</v>
      </c>
      <c r="C9303" s="2">
        <f>HYPERLINK("https://cao.dolgi.msk.ru/account/1080083997/", 1080083997)</f>
        <v>1080083997</v>
      </c>
      <c r="D9303" t="s">
        <v>7800</v>
      </c>
      <c r="E9303">
        <v>0</v>
      </c>
      <c r="F9303">
        <v>0</v>
      </c>
      <c r="G9303" t="s">
        <v>12</v>
      </c>
      <c r="I9303" t="s">
        <v>230</v>
      </c>
    </row>
    <row r="9304" spans="1:9" hidden="1" x14ac:dyDescent="0.25">
      <c r="A9304" t="s">
        <v>7770</v>
      </c>
      <c r="B9304" t="s">
        <v>110</v>
      </c>
      <c r="C9304" s="2">
        <f>HYPERLINK("https://cao.dolgi.msk.ru/account/1080084009/", 1080084009)</f>
        <v>1080084009</v>
      </c>
      <c r="D9304" t="s">
        <v>7801</v>
      </c>
      <c r="E9304">
        <v>-3112.45</v>
      </c>
      <c r="F9304">
        <v>-1.05</v>
      </c>
      <c r="G9304" t="s">
        <v>12</v>
      </c>
      <c r="I9304" t="s">
        <v>230</v>
      </c>
    </row>
    <row r="9305" spans="1:9" hidden="1" x14ac:dyDescent="0.25">
      <c r="A9305" t="s">
        <v>7770</v>
      </c>
      <c r="B9305" t="s">
        <v>112</v>
      </c>
      <c r="C9305" s="2">
        <f>HYPERLINK("https://cao.dolgi.msk.ru/account/1080084017/", 1080084017)</f>
        <v>1080084017</v>
      </c>
      <c r="D9305" t="s">
        <v>7802</v>
      </c>
      <c r="E9305">
        <v>-2681.42</v>
      </c>
      <c r="F9305">
        <v>-1.06</v>
      </c>
      <c r="G9305" t="s">
        <v>12</v>
      </c>
      <c r="I9305" t="s">
        <v>230</v>
      </c>
    </row>
    <row r="9306" spans="1:9" hidden="1" x14ac:dyDescent="0.25">
      <c r="A9306" t="s">
        <v>7770</v>
      </c>
      <c r="B9306" t="s">
        <v>114</v>
      </c>
      <c r="C9306" s="2">
        <f>HYPERLINK("https://cao.dolgi.msk.ru/account/1080084025/", 1080084025)</f>
        <v>1080084025</v>
      </c>
      <c r="D9306" t="s">
        <v>7803</v>
      </c>
      <c r="E9306">
        <v>-3117.83</v>
      </c>
      <c r="F9306">
        <v>-0.68</v>
      </c>
      <c r="G9306" t="s">
        <v>12</v>
      </c>
      <c r="I9306" t="s">
        <v>230</v>
      </c>
    </row>
    <row r="9307" spans="1:9" hidden="1" x14ac:dyDescent="0.25">
      <c r="A9307" t="s">
        <v>7770</v>
      </c>
      <c r="B9307" t="s">
        <v>116</v>
      </c>
      <c r="C9307" s="2">
        <f>HYPERLINK("https://cao.dolgi.msk.ru/account/1080084033/", 1080084033)</f>
        <v>1080084033</v>
      </c>
      <c r="D9307" t="s">
        <v>7804</v>
      </c>
      <c r="E9307">
        <v>-4003.87</v>
      </c>
      <c r="F9307">
        <v>-0.94</v>
      </c>
      <c r="G9307" t="s">
        <v>12</v>
      </c>
      <c r="I9307" t="s">
        <v>230</v>
      </c>
    </row>
    <row r="9308" spans="1:9" hidden="1" x14ac:dyDescent="0.25">
      <c r="A9308" t="s">
        <v>7770</v>
      </c>
      <c r="B9308" t="s">
        <v>118</v>
      </c>
      <c r="C9308" s="2">
        <f>HYPERLINK("https://cao.dolgi.msk.ru/account/1080084041/", 1080084041)</f>
        <v>1080084041</v>
      </c>
      <c r="D9308" t="s">
        <v>7805</v>
      </c>
      <c r="E9308">
        <v>-4585.41</v>
      </c>
      <c r="F9308">
        <v>-0.74</v>
      </c>
      <c r="G9308" t="s">
        <v>12</v>
      </c>
      <c r="I9308" t="s">
        <v>230</v>
      </c>
    </row>
    <row r="9309" spans="1:9" hidden="1" x14ac:dyDescent="0.25">
      <c r="A9309" t="s">
        <v>7770</v>
      </c>
      <c r="B9309" t="s">
        <v>120</v>
      </c>
      <c r="C9309" s="2">
        <f>HYPERLINK("https://cao.dolgi.msk.ru/account/1080084068/", 1080084068)</f>
        <v>1080084068</v>
      </c>
      <c r="D9309" t="s">
        <v>7806</v>
      </c>
      <c r="E9309">
        <v>-4885.75</v>
      </c>
      <c r="F9309">
        <v>-1.1599999999999999</v>
      </c>
      <c r="G9309" t="s">
        <v>12</v>
      </c>
      <c r="I9309" t="s">
        <v>230</v>
      </c>
    </row>
    <row r="9310" spans="1:9" hidden="1" x14ac:dyDescent="0.25">
      <c r="A9310" t="s">
        <v>7770</v>
      </c>
      <c r="B9310" t="s">
        <v>122</v>
      </c>
      <c r="C9310" s="2">
        <f>HYPERLINK("https://cao.dolgi.msk.ru/account/1080084076/", 1080084076)</f>
        <v>1080084076</v>
      </c>
      <c r="D9310" t="s">
        <v>7807</v>
      </c>
      <c r="E9310">
        <v>-5806.24</v>
      </c>
      <c r="F9310">
        <v>-1.1100000000000001</v>
      </c>
      <c r="G9310" t="s">
        <v>12</v>
      </c>
      <c r="I9310" t="s">
        <v>230</v>
      </c>
    </row>
    <row r="9311" spans="1:9" hidden="1" x14ac:dyDescent="0.25">
      <c r="A9311" t="s">
        <v>7770</v>
      </c>
      <c r="B9311" t="s">
        <v>124</v>
      </c>
      <c r="C9311" s="2">
        <f>HYPERLINK("https://cao.dolgi.msk.ru/account/1080084084/", 1080084084)</f>
        <v>1080084084</v>
      </c>
      <c r="D9311" t="s">
        <v>7808</v>
      </c>
      <c r="E9311">
        <v>-1909.36</v>
      </c>
      <c r="F9311">
        <v>-0.31</v>
      </c>
      <c r="G9311" t="s">
        <v>12</v>
      </c>
      <c r="I9311" t="s">
        <v>230</v>
      </c>
    </row>
    <row r="9312" spans="1:9" hidden="1" x14ac:dyDescent="0.25">
      <c r="A9312" t="s">
        <v>7770</v>
      </c>
      <c r="B9312" t="s">
        <v>126</v>
      </c>
      <c r="C9312" s="2">
        <f>HYPERLINK("https://cao.dolgi.msk.ru/account/1080084092/", 1080084092)</f>
        <v>1080084092</v>
      </c>
      <c r="D9312" t="s">
        <v>7809</v>
      </c>
      <c r="E9312">
        <v>-3633.22</v>
      </c>
      <c r="F9312">
        <v>-1.01</v>
      </c>
      <c r="G9312" t="s">
        <v>12</v>
      </c>
      <c r="I9312" t="s">
        <v>230</v>
      </c>
    </row>
    <row r="9313" spans="1:9" hidden="1" x14ac:dyDescent="0.25">
      <c r="A9313" t="s">
        <v>7770</v>
      </c>
      <c r="B9313" t="s">
        <v>128</v>
      </c>
      <c r="C9313" s="2">
        <f>HYPERLINK("https://cao.dolgi.msk.ru/account/1080084105/", 1080084105)</f>
        <v>1080084105</v>
      </c>
      <c r="D9313" t="s">
        <v>7810</v>
      </c>
      <c r="E9313">
        <v>-27335.85</v>
      </c>
      <c r="F9313">
        <v>-7.82</v>
      </c>
      <c r="G9313" t="s">
        <v>12</v>
      </c>
      <c r="I9313" t="s">
        <v>230</v>
      </c>
    </row>
    <row r="9314" spans="1:9" hidden="1" x14ac:dyDescent="0.25">
      <c r="A9314" t="s">
        <v>7770</v>
      </c>
      <c r="B9314" t="s">
        <v>130</v>
      </c>
      <c r="C9314" s="2">
        <f>HYPERLINK("https://cao.dolgi.msk.ru/account/1080084113/", 1080084113)</f>
        <v>1080084113</v>
      </c>
      <c r="D9314" t="s">
        <v>7811</v>
      </c>
      <c r="E9314">
        <v>-3767.3</v>
      </c>
      <c r="F9314">
        <v>-0.91</v>
      </c>
      <c r="G9314" t="s">
        <v>12</v>
      </c>
      <c r="I9314" t="s">
        <v>230</v>
      </c>
    </row>
    <row r="9315" spans="1:9" x14ac:dyDescent="0.25">
      <c r="A9315" t="s">
        <v>7770</v>
      </c>
      <c r="B9315" t="s">
        <v>132</v>
      </c>
      <c r="C9315" s="2">
        <f>HYPERLINK("https://cao.dolgi.msk.ru/account/1080084121/", 1080084121)</f>
        <v>1080084121</v>
      </c>
      <c r="D9315" t="s">
        <v>7812</v>
      </c>
      <c r="E9315">
        <v>6973.06</v>
      </c>
      <c r="F9315">
        <v>1.43</v>
      </c>
      <c r="G9315" t="s">
        <v>12</v>
      </c>
      <c r="I9315" t="s">
        <v>230</v>
      </c>
    </row>
    <row r="9316" spans="1:9" hidden="1" x14ac:dyDescent="0.25">
      <c r="A9316" t="s">
        <v>7770</v>
      </c>
      <c r="B9316" t="s">
        <v>133</v>
      </c>
      <c r="C9316" s="2">
        <f>HYPERLINK("https://cao.dolgi.msk.ru/account/1080084148/", 1080084148)</f>
        <v>1080084148</v>
      </c>
      <c r="D9316" t="s">
        <v>7813</v>
      </c>
      <c r="E9316">
        <v>-667.64</v>
      </c>
      <c r="F9316">
        <v>-0.09</v>
      </c>
      <c r="G9316" t="s">
        <v>12</v>
      </c>
      <c r="I9316" t="s">
        <v>230</v>
      </c>
    </row>
    <row r="9317" spans="1:9" hidden="1" x14ac:dyDescent="0.25">
      <c r="A9317" t="s">
        <v>7770</v>
      </c>
      <c r="B9317" t="s">
        <v>135</v>
      </c>
      <c r="C9317" s="2">
        <f>HYPERLINK("https://cao.dolgi.msk.ru/account/1080084156/", 1080084156)</f>
        <v>1080084156</v>
      </c>
      <c r="D9317" t="s">
        <v>7814</v>
      </c>
      <c r="E9317">
        <v>-4753.37</v>
      </c>
      <c r="F9317">
        <v>-1.1000000000000001</v>
      </c>
      <c r="G9317" t="s">
        <v>12</v>
      </c>
      <c r="I9317" t="s">
        <v>230</v>
      </c>
    </row>
    <row r="9318" spans="1:9" hidden="1" x14ac:dyDescent="0.25">
      <c r="A9318" t="s">
        <v>7770</v>
      </c>
      <c r="B9318" t="s">
        <v>137</v>
      </c>
      <c r="C9318" s="2">
        <f>HYPERLINK("https://cao.dolgi.msk.ru/account/1080084164/", 1080084164)</f>
        <v>1080084164</v>
      </c>
      <c r="D9318" t="s">
        <v>7815</v>
      </c>
      <c r="E9318">
        <v>-4439.59</v>
      </c>
      <c r="F9318">
        <v>-1.1000000000000001</v>
      </c>
      <c r="G9318" t="s">
        <v>12</v>
      </c>
      <c r="I9318" t="s">
        <v>230</v>
      </c>
    </row>
    <row r="9319" spans="1:9" hidden="1" x14ac:dyDescent="0.25">
      <c r="A9319" t="s">
        <v>7770</v>
      </c>
      <c r="B9319" t="s">
        <v>139</v>
      </c>
      <c r="C9319" s="2">
        <f>HYPERLINK("https://cao.dolgi.msk.ru/account/1080084172/", 1080084172)</f>
        <v>1080084172</v>
      </c>
      <c r="D9319" t="s">
        <v>7816</v>
      </c>
      <c r="E9319">
        <v>-452.25</v>
      </c>
      <c r="F9319">
        <v>-0.09</v>
      </c>
      <c r="G9319" t="s">
        <v>12</v>
      </c>
      <c r="I9319" t="s">
        <v>230</v>
      </c>
    </row>
    <row r="9320" spans="1:9" hidden="1" x14ac:dyDescent="0.25">
      <c r="A9320" t="s">
        <v>7770</v>
      </c>
      <c r="B9320" t="s">
        <v>141</v>
      </c>
      <c r="C9320" s="2">
        <f>HYPERLINK("https://cao.dolgi.msk.ru/account/1080084199/", 1080084199)</f>
        <v>1080084199</v>
      </c>
      <c r="D9320" t="s">
        <v>7817</v>
      </c>
      <c r="E9320">
        <v>-6521.81</v>
      </c>
      <c r="F9320">
        <v>-1.05</v>
      </c>
      <c r="G9320" t="s">
        <v>12</v>
      </c>
      <c r="I9320" t="s">
        <v>230</v>
      </c>
    </row>
    <row r="9321" spans="1:9" x14ac:dyDescent="0.25">
      <c r="A9321" t="s">
        <v>7770</v>
      </c>
      <c r="B9321" t="s">
        <v>143</v>
      </c>
      <c r="C9321" s="2">
        <f>HYPERLINK("https://cao.dolgi.msk.ru/account/1080084201/", 1080084201)</f>
        <v>1080084201</v>
      </c>
      <c r="D9321" t="s">
        <v>7818</v>
      </c>
      <c r="E9321">
        <v>9585.7000000000007</v>
      </c>
      <c r="F9321">
        <v>2.67</v>
      </c>
      <c r="G9321" t="s">
        <v>12</v>
      </c>
      <c r="I9321" t="s">
        <v>230</v>
      </c>
    </row>
    <row r="9322" spans="1:9" hidden="1" x14ac:dyDescent="0.25">
      <c r="A9322" t="s">
        <v>7770</v>
      </c>
      <c r="B9322" t="s">
        <v>145</v>
      </c>
      <c r="C9322" s="2">
        <f>HYPERLINK("https://cao.dolgi.msk.ru/account/1080084228/", 1080084228)</f>
        <v>1080084228</v>
      </c>
      <c r="D9322" t="s">
        <v>7819</v>
      </c>
      <c r="E9322">
        <v>-6267.59</v>
      </c>
      <c r="F9322">
        <v>-1.4</v>
      </c>
      <c r="G9322" t="s">
        <v>12</v>
      </c>
      <c r="I9322" t="s">
        <v>230</v>
      </c>
    </row>
    <row r="9323" spans="1:9" hidden="1" x14ac:dyDescent="0.25">
      <c r="A9323" t="s">
        <v>7820</v>
      </c>
      <c r="B9323" t="s">
        <v>10</v>
      </c>
      <c r="C9323" s="2">
        <f>HYPERLINK("https://cao.dolgi.msk.ru/account/1080109528/", 1080109528)</f>
        <v>1080109528</v>
      </c>
      <c r="D9323" t="s">
        <v>7821</v>
      </c>
      <c r="E9323">
        <v>0</v>
      </c>
      <c r="F9323">
        <v>0</v>
      </c>
      <c r="G9323" t="s">
        <v>12</v>
      </c>
      <c r="I9323" t="s">
        <v>230</v>
      </c>
    </row>
    <row r="9324" spans="1:9" hidden="1" x14ac:dyDescent="0.25">
      <c r="A9324" t="s">
        <v>7820</v>
      </c>
      <c r="B9324" t="s">
        <v>16</v>
      </c>
      <c r="C9324" s="2">
        <f>HYPERLINK("https://cao.dolgi.msk.ru/account/1080109536/", 1080109536)</f>
        <v>1080109536</v>
      </c>
      <c r="D9324" t="s">
        <v>7822</v>
      </c>
      <c r="E9324">
        <v>0</v>
      </c>
      <c r="F9324">
        <v>0</v>
      </c>
      <c r="G9324" t="s">
        <v>12</v>
      </c>
      <c r="I9324" t="s">
        <v>230</v>
      </c>
    </row>
    <row r="9325" spans="1:9" hidden="1" x14ac:dyDescent="0.25">
      <c r="A9325" t="s">
        <v>7820</v>
      </c>
      <c r="B9325" t="s">
        <v>18</v>
      </c>
      <c r="C9325" s="2">
        <f>HYPERLINK("https://cao.dolgi.msk.ru/account/1080109544/", 1080109544)</f>
        <v>1080109544</v>
      </c>
      <c r="D9325" t="s">
        <v>7823</v>
      </c>
      <c r="E9325">
        <v>-10155.52</v>
      </c>
      <c r="F9325">
        <v>-0.97</v>
      </c>
      <c r="G9325" t="s">
        <v>12</v>
      </c>
      <c r="I9325" t="s">
        <v>230</v>
      </c>
    </row>
    <row r="9326" spans="1:9" hidden="1" x14ac:dyDescent="0.25">
      <c r="A9326" t="s">
        <v>7820</v>
      </c>
      <c r="B9326" t="s">
        <v>20</v>
      </c>
      <c r="C9326" s="2">
        <f>HYPERLINK("https://cao.dolgi.msk.ru/account/1080109552/", 1080109552)</f>
        <v>1080109552</v>
      </c>
      <c r="D9326" t="s">
        <v>7824</v>
      </c>
      <c r="E9326">
        <v>0</v>
      </c>
      <c r="F9326">
        <v>0</v>
      </c>
      <c r="G9326" t="s">
        <v>12</v>
      </c>
      <c r="I9326" t="s">
        <v>230</v>
      </c>
    </row>
    <row r="9327" spans="1:9" hidden="1" x14ac:dyDescent="0.25">
      <c r="A9327" t="s">
        <v>7820</v>
      </c>
      <c r="B9327" t="s">
        <v>7825</v>
      </c>
      <c r="C9327" s="2">
        <f>HYPERLINK("https://cao.dolgi.msk.ru/account/1080109579/", 1080109579)</f>
        <v>1080109579</v>
      </c>
      <c r="D9327" t="s">
        <v>62</v>
      </c>
      <c r="E9327">
        <v>-13811.32</v>
      </c>
      <c r="F9327">
        <v>-0.96</v>
      </c>
      <c r="G9327" t="s">
        <v>12</v>
      </c>
      <c r="I9327" t="s">
        <v>230</v>
      </c>
    </row>
    <row r="9328" spans="1:9" hidden="1" x14ac:dyDescent="0.25">
      <c r="A9328" t="s">
        <v>7820</v>
      </c>
      <c r="B9328" t="s">
        <v>23</v>
      </c>
      <c r="C9328" s="2">
        <f>HYPERLINK("https://cao.dolgi.msk.ru/account/1080109587/", 1080109587)</f>
        <v>1080109587</v>
      </c>
      <c r="D9328" t="s">
        <v>7826</v>
      </c>
      <c r="E9328">
        <v>-13397.44</v>
      </c>
      <c r="F9328">
        <v>-1</v>
      </c>
      <c r="G9328" t="s">
        <v>12</v>
      </c>
      <c r="I9328" t="s">
        <v>230</v>
      </c>
    </row>
    <row r="9329" spans="1:9" hidden="1" x14ac:dyDescent="0.25">
      <c r="A9329" t="s">
        <v>7820</v>
      </c>
      <c r="B9329" t="s">
        <v>24</v>
      </c>
      <c r="C9329" s="2">
        <f>HYPERLINK("https://cao.dolgi.msk.ru/account/1080109595/", 1080109595)</f>
        <v>1080109595</v>
      </c>
      <c r="D9329" t="s">
        <v>7827</v>
      </c>
      <c r="E9329">
        <v>143.09</v>
      </c>
      <c r="F9329">
        <v>0.02</v>
      </c>
      <c r="G9329" t="s">
        <v>12</v>
      </c>
      <c r="I9329" t="s">
        <v>230</v>
      </c>
    </row>
    <row r="9330" spans="1:9" hidden="1" x14ac:dyDescent="0.25">
      <c r="A9330" t="s">
        <v>7820</v>
      </c>
      <c r="B9330" t="s">
        <v>27</v>
      </c>
      <c r="C9330" s="2">
        <f>HYPERLINK("https://cao.dolgi.msk.ru/account/1080109608/", 1080109608)</f>
        <v>1080109608</v>
      </c>
      <c r="D9330" t="s">
        <v>62</v>
      </c>
      <c r="E9330">
        <v>-9158.81</v>
      </c>
      <c r="F9330">
        <v>-0.99</v>
      </c>
      <c r="G9330" t="s">
        <v>12</v>
      </c>
      <c r="I9330" t="s">
        <v>230</v>
      </c>
    </row>
    <row r="9331" spans="1:9" hidden="1" x14ac:dyDescent="0.25">
      <c r="A9331" t="s">
        <v>7828</v>
      </c>
      <c r="B9331" t="s">
        <v>10</v>
      </c>
      <c r="C9331" s="2">
        <f>HYPERLINK("https://cao.dolgi.msk.ru/account/1080084236/", 1080084236)</f>
        <v>1080084236</v>
      </c>
      <c r="D9331" t="s">
        <v>15</v>
      </c>
      <c r="G9331" t="s">
        <v>14</v>
      </c>
      <c r="I9331" t="s">
        <v>230</v>
      </c>
    </row>
    <row r="9332" spans="1:9" hidden="1" x14ac:dyDescent="0.25">
      <c r="A9332" t="s">
        <v>7828</v>
      </c>
      <c r="B9332" t="s">
        <v>16</v>
      </c>
      <c r="C9332" s="2">
        <f>HYPERLINK("https://cao.dolgi.msk.ru/account/1080084244/", 1080084244)</f>
        <v>1080084244</v>
      </c>
      <c r="D9332" t="s">
        <v>7829</v>
      </c>
      <c r="E9332">
        <v>-7247.84</v>
      </c>
      <c r="F9332">
        <v>-1.1599999999999999</v>
      </c>
      <c r="G9332" t="s">
        <v>12</v>
      </c>
      <c r="I9332" t="s">
        <v>230</v>
      </c>
    </row>
    <row r="9333" spans="1:9" hidden="1" x14ac:dyDescent="0.25">
      <c r="A9333" t="s">
        <v>7828</v>
      </c>
      <c r="B9333" t="s">
        <v>234</v>
      </c>
      <c r="C9333" s="2">
        <f>HYPERLINK("https://cao.dolgi.msk.ru/account/1080084252/", 1080084252)</f>
        <v>1080084252</v>
      </c>
      <c r="D9333" t="s">
        <v>7830</v>
      </c>
      <c r="E9333">
        <v>-6392.75</v>
      </c>
      <c r="F9333">
        <v>-0.98</v>
      </c>
      <c r="G9333" t="s">
        <v>12</v>
      </c>
      <c r="I9333" t="s">
        <v>230</v>
      </c>
    </row>
    <row r="9334" spans="1:9" hidden="1" x14ac:dyDescent="0.25">
      <c r="A9334" t="s">
        <v>7828</v>
      </c>
      <c r="B9334" t="s">
        <v>7831</v>
      </c>
      <c r="C9334" s="2">
        <f>HYPERLINK("https://cao.dolgi.msk.ru/account/1080084279/", 1080084279)</f>
        <v>1080084279</v>
      </c>
      <c r="D9334" t="s">
        <v>7832</v>
      </c>
      <c r="E9334">
        <v>-3967.59</v>
      </c>
      <c r="F9334">
        <v>-0.65</v>
      </c>
      <c r="G9334" t="s">
        <v>12</v>
      </c>
      <c r="I9334" t="s">
        <v>230</v>
      </c>
    </row>
    <row r="9335" spans="1:9" hidden="1" x14ac:dyDescent="0.25">
      <c r="A9335" t="s">
        <v>7828</v>
      </c>
      <c r="B9335" t="s">
        <v>18</v>
      </c>
      <c r="C9335" s="2">
        <f>HYPERLINK("https://cao.dolgi.msk.ru/account/1080084287/", 1080084287)</f>
        <v>1080084287</v>
      </c>
      <c r="D9335" t="s">
        <v>7833</v>
      </c>
      <c r="E9335">
        <v>-25886.81</v>
      </c>
      <c r="F9335">
        <v>-3.2</v>
      </c>
      <c r="G9335" t="s">
        <v>12</v>
      </c>
      <c r="I9335" t="s">
        <v>230</v>
      </c>
    </row>
    <row r="9336" spans="1:9" hidden="1" x14ac:dyDescent="0.25">
      <c r="A9336" t="s">
        <v>7828</v>
      </c>
      <c r="B9336" t="s">
        <v>237</v>
      </c>
      <c r="C9336" s="2">
        <f>HYPERLINK("https://cao.dolgi.msk.ru/account/1080084295/", 1080084295)</f>
        <v>1080084295</v>
      </c>
      <c r="D9336" t="s">
        <v>7834</v>
      </c>
      <c r="E9336">
        <v>148.69999999999999</v>
      </c>
      <c r="F9336">
        <v>0.03</v>
      </c>
      <c r="G9336" t="s">
        <v>12</v>
      </c>
      <c r="I9336" t="s">
        <v>230</v>
      </c>
    </row>
    <row r="9337" spans="1:9" hidden="1" x14ac:dyDescent="0.25">
      <c r="A9337" t="s">
        <v>7828</v>
      </c>
      <c r="B9337" t="s">
        <v>20</v>
      </c>
      <c r="C9337" s="2">
        <f>HYPERLINK("https://cao.dolgi.msk.ru/account/1080084308/", 1080084308)</f>
        <v>1080084308</v>
      </c>
      <c r="D9337" t="s">
        <v>7835</v>
      </c>
      <c r="E9337">
        <v>-10192.69</v>
      </c>
      <c r="F9337">
        <v>-1.1000000000000001</v>
      </c>
      <c r="G9337" t="s">
        <v>12</v>
      </c>
      <c r="I9337" t="s">
        <v>230</v>
      </c>
    </row>
    <row r="9338" spans="1:9" hidden="1" x14ac:dyDescent="0.25">
      <c r="A9338" t="s">
        <v>7828</v>
      </c>
      <c r="B9338" t="s">
        <v>240</v>
      </c>
      <c r="C9338" s="2">
        <f>HYPERLINK("https://cao.dolgi.msk.ru/account/1080084316/", 1080084316)</f>
        <v>1080084316</v>
      </c>
      <c r="D9338" t="s">
        <v>7836</v>
      </c>
      <c r="E9338">
        <v>-4298.1099999999997</v>
      </c>
      <c r="F9338">
        <v>-1.07</v>
      </c>
      <c r="G9338" t="s">
        <v>12</v>
      </c>
      <c r="I9338" t="s">
        <v>230</v>
      </c>
    </row>
    <row r="9339" spans="1:9" hidden="1" x14ac:dyDescent="0.25">
      <c r="A9339" t="s">
        <v>7828</v>
      </c>
      <c r="B9339" t="s">
        <v>7837</v>
      </c>
      <c r="C9339" s="2">
        <f>HYPERLINK("https://cao.dolgi.msk.ru/account/1080084332/", 1080084332)</f>
        <v>1080084332</v>
      </c>
      <c r="D9339" t="s">
        <v>7838</v>
      </c>
      <c r="E9339">
        <v>-5969.99</v>
      </c>
      <c r="F9339">
        <v>-1.29</v>
      </c>
      <c r="G9339" t="s">
        <v>12</v>
      </c>
      <c r="I9339" t="s">
        <v>230</v>
      </c>
    </row>
    <row r="9340" spans="1:9" hidden="1" x14ac:dyDescent="0.25">
      <c r="A9340" t="s">
        <v>7828</v>
      </c>
      <c r="B9340" t="s">
        <v>21</v>
      </c>
      <c r="C9340" s="2">
        <f>HYPERLINK("https://cao.dolgi.msk.ru/account/1080084359/", 1080084359)</f>
        <v>1080084359</v>
      </c>
      <c r="D9340" t="s">
        <v>7839</v>
      </c>
      <c r="E9340">
        <v>-473.48</v>
      </c>
      <c r="F9340">
        <v>-7.0000000000000007E-2</v>
      </c>
      <c r="G9340" t="s">
        <v>12</v>
      </c>
      <c r="I9340" t="s">
        <v>230</v>
      </c>
    </row>
    <row r="9341" spans="1:9" hidden="1" x14ac:dyDescent="0.25">
      <c r="A9341" t="s">
        <v>7828</v>
      </c>
      <c r="B9341" t="s">
        <v>242</v>
      </c>
      <c r="C9341" s="2">
        <f>HYPERLINK("https://cao.dolgi.msk.ru/account/1080084367/", 1080084367)</f>
        <v>1080084367</v>
      </c>
      <c r="D9341" t="s">
        <v>7840</v>
      </c>
      <c r="E9341">
        <v>-11084.06</v>
      </c>
      <c r="F9341">
        <v>-1.05</v>
      </c>
      <c r="G9341" t="s">
        <v>12</v>
      </c>
      <c r="I9341" t="s">
        <v>230</v>
      </c>
    </row>
    <row r="9342" spans="1:9" hidden="1" x14ac:dyDescent="0.25">
      <c r="A9342" t="s">
        <v>7828</v>
      </c>
      <c r="B9342" t="s">
        <v>22</v>
      </c>
      <c r="C9342" s="2">
        <f>HYPERLINK("https://cao.dolgi.msk.ru/account/1080084375/", 1080084375)</f>
        <v>1080084375</v>
      </c>
      <c r="D9342" t="s">
        <v>7841</v>
      </c>
      <c r="E9342">
        <v>-6540.46</v>
      </c>
      <c r="F9342">
        <v>-1.02</v>
      </c>
      <c r="G9342" t="s">
        <v>12</v>
      </c>
      <c r="I9342" t="s">
        <v>230</v>
      </c>
    </row>
    <row r="9343" spans="1:9" hidden="1" x14ac:dyDescent="0.25">
      <c r="A9343" t="s">
        <v>7828</v>
      </c>
      <c r="B9343" t="s">
        <v>245</v>
      </c>
      <c r="C9343" s="2">
        <f>HYPERLINK("https://cao.dolgi.msk.ru/account/1080084383/", 1080084383)</f>
        <v>1080084383</v>
      </c>
      <c r="D9343" t="s">
        <v>7842</v>
      </c>
      <c r="E9343">
        <v>-8820.6299999999992</v>
      </c>
      <c r="F9343">
        <v>-1.22</v>
      </c>
      <c r="G9343" t="s">
        <v>12</v>
      </c>
      <c r="I9343" t="s">
        <v>230</v>
      </c>
    </row>
    <row r="9344" spans="1:9" x14ac:dyDescent="0.25">
      <c r="A9344" t="s">
        <v>7828</v>
      </c>
      <c r="B9344" t="s">
        <v>23</v>
      </c>
      <c r="C9344" s="2">
        <f>HYPERLINK("https://cao.dolgi.msk.ru/account/1080084391/", 1080084391)</f>
        <v>1080084391</v>
      </c>
      <c r="D9344" t="s">
        <v>7843</v>
      </c>
      <c r="E9344">
        <v>12906.12</v>
      </c>
      <c r="F9344">
        <v>1.01</v>
      </c>
      <c r="G9344" t="s">
        <v>12</v>
      </c>
      <c r="I9344" t="s">
        <v>230</v>
      </c>
    </row>
    <row r="9345" spans="1:9" hidden="1" x14ac:dyDescent="0.25">
      <c r="A9345" t="s">
        <v>7828</v>
      </c>
      <c r="B9345" t="s">
        <v>248</v>
      </c>
      <c r="C9345" s="2">
        <f>HYPERLINK("https://cao.dolgi.msk.ru/account/1080084404/", 1080084404)</f>
        <v>1080084404</v>
      </c>
      <c r="D9345" t="s">
        <v>7844</v>
      </c>
      <c r="E9345">
        <v>0</v>
      </c>
      <c r="F9345">
        <v>0</v>
      </c>
      <c r="G9345" t="s">
        <v>12</v>
      </c>
      <c r="I9345" t="s">
        <v>230</v>
      </c>
    </row>
    <row r="9346" spans="1:9" hidden="1" x14ac:dyDescent="0.25">
      <c r="A9346" t="s">
        <v>7828</v>
      </c>
      <c r="B9346" t="s">
        <v>24</v>
      </c>
      <c r="C9346" s="2">
        <f>HYPERLINK("https://cao.dolgi.msk.ru/account/1080084412/", 1080084412)</f>
        <v>1080084412</v>
      </c>
      <c r="D9346" t="s">
        <v>7845</v>
      </c>
      <c r="E9346">
        <v>-10217.32</v>
      </c>
      <c r="F9346">
        <v>-1.1200000000000001</v>
      </c>
      <c r="G9346" t="s">
        <v>12</v>
      </c>
      <c r="I9346" t="s">
        <v>230</v>
      </c>
    </row>
    <row r="9347" spans="1:9" hidden="1" x14ac:dyDescent="0.25">
      <c r="A9347" t="s">
        <v>7828</v>
      </c>
      <c r="B9347" t="s">
        <v>251</v>
      </c>
      <c r="C9347" s="2">
        <f>HYPERLINK("https://cao.dolgi.msk.ru/account/1080084439/", 1080084439)</f>
        <v>1080084439</v>
      </c>
      <c r="D9347" t="s">
        <v>7845</v>
      </c>
      <c r="E9347">
        <v>-5193.8</v>
      </c>
      <c r="F9347">
        <v>-1.06</v>
      </c>
      <c r="G9347" t="s">
        <v>12</v>
      </c>
      <c r="I9347" t="s">
        <v>230</v>
      </c>
    </row>
    <row r="9348" spans="1:9" hidden="1" x14ac:dyDescent="0.25">
      <c r="A9348" t="s">
        <v>7828</v>
      </c>
      <c r="B9348" t="s">
        <v>608</v>
      </c>
      <c r="C9348" s="2">
        <f>HYPERLINK("https://cao.dolgi.msk.ru/account/1080084447/", 1080084447)</f>
        <v>1080084447</v>
      </c>
      <c r="D9348" t="s">
        <v>7845</v>
      </c>
      <c r="E9348">
        <v>-6496.75</v>
      </c>
      <c r="F9348">
        <v>-1.21</v>
      </c>
      <c r="G9348" t="s">
        <v>12</v>
      </c>
      <c r="I9348" t="s">
        <v>230</v>
      </c>
    </row>
    <row r="9349" spans="1:9" hidden="1" x14ac:dyDescent="0.25">
      <c r="A9349" t="s">
        <v>7828</v>
      </c>
      <c r="B9349" t="s">
        <v>27</v>
      </c>
      <c r="C9349" s="2">
        <f>HYPERLINK("https://cao.dolgi.msk.ru/account/1080084455/", 1080084455)</f>
        <v>1080084455</v>
      </c>
      <c r="D9349" t="s">
        <v>7846</v>
      </c>
      <c r="E9349">
        <v>-8789.41</v>
      </c>
      <c r="F9349">
        <v>-1.07</v>
      </c>
      <c r="G9349" t="s">
        <v>12</v>
      </c>
      <c r="I9349" t="s">
        <v>230</v>
      </c>
    </row>
    <row r="9350" spans="1:9" hidden="1" x14ac:dyDescent="0.25">
      <c r="A9350" t="s">
        <v>7828</v>
      </c>
      <c r="B9350" t="s">
        <v>254</v>
      </c>
      <c r="C9350" s="2">
        <f>HYPERLINK("https://cao.dolgi.msk.ru/account/1080084463/", 1080084463)</f>
        <v>1080084463</v>
      </c>
      <c r="D9350" t="s">
        <v>7847</v>
      </c>
      <c r="E9350">
        <v>-5278.24</v>
      </c>
      <c r="F9350">
        <v>-1.06</v>
      </c>
      <c r="G9350" t="s">
        <v>12</v>
      </c>
      <c r="I9350" t="s">
        <v>230</v>
      </c>
    </row>
    <row r="9351" spans="1:9" hidden="1" x14ac:dyDescent="0.25">
      <c r="A9351" t="s">
        <v>7828</v>
      </c>
      <c r="B9351" t="s">
        <v>29</v>
      </c>
      <c r="C9351" s="2">
        <f>HYPERLINK("https://cao.dolgi.msk.ru/account/1080084471/", 1080084471)</f>
        <v>1080084471</v>
      </c>
      <c r="D9351" t="s">
        <v>7848</v>
      </c>
      <c r="E9351">
        <v>-5925.26</v>
      </c>
      <c r="F9351">
        <v>-1.1100000000000001</v>
      </c>
      <c r="G9351" t="s">
        <v>12</v>
      </c>
      <c r="I9351" t="s">
        <v>230</v>
      </c>
    </row>
    <row r="9352" spans="1:9" hidden="1" x14ac:dyDescent="0.25">
      <c r="A9352" t="s">
        <v>7828</v>
      </c>
      <c r="B9352" t="s">
        <v>31</v>
      </c>
      <c r="C9352" s="2">
        <f>HYPERLINK("https://cao.dolgi.msk.ru/account/1080084498/", 1080084498)</f>
        <v>1080084498</v>
      </c>
      <c r="D9352" t="s">
        <v>7849</v>
      </c>
      <c r="E9352">
        <v>-5717.13</v>
      </c>
      <c r="F9352">
        <v>-1.36</v>
      </c>
      <c r="G9352" t="s">
        <v>12</v>
      </c>
      <c r="I9352" t="s">
        <v>230</v>
      </c>
    </row>
    <row r="9353" spans="1:9" hidden="1" x14ac:dyDescent="0.25">
      <c r="A9353" t="s">
        <v>7828</v>
      </c>
      <c r="B9353" t="s">
        <v>33</v>
      </c>
      <c r="C9353" s="2">
        <f>HYPERLINK("https://cao.dolgi.msk.ru/account/1080084519/", 1080084519)</f>
        <v>1080084519</v>
      </c>
      <c r="D9353" t="s">
        <v>7850</v>
      </c>
      <c r="E9353">
        <v>-9856.41</v>
      </c>
      <c r="F9353">
        <v>-1.35</v>
      </c>
      <c r="G9353" t="s">
        <v>12</v>
      </c>
      <c r="I9353" t="s">
        <v>230</v>
      </c>
    </row>
    <row r="9354" spans="1:9" hidden="1" x14ac:dyDescent="0.25">
      <c r="A9354" t="s">
        <v>7828</v>
      </c>
      <c r="B9354" t="s">
        <v>36</v>
      </c>
      <c r="C9354" s="2">
        <f>HYPERLINK("https://cao.dolgi.msk.ru/account/1080084527/", 1080084527)</f>
        <v>1080084527</v>
      </c>
      <c r="D9354" t="s">
        <v>7851</v>
      </c>
      <c r="E9354">
        <v>-6760.36</v>
      </c>
      <c r="F9354">
        <v>-0.99</v>
      </c>
      <c r="G9354" t="s">
        <v>12</v>
      </c>
      <c r="H9354" t="s">
        <v>7</v>
      </c>
      <c r="I9354" t="s">
        <v>230</v>
      </c>
    </row>
    <row r="9355" spans="1:9" hidden="1" x14ac:dyDescent="0.25">
      <c r="A9355" t="s">
        <v>7828</v>
      </c>
      <c r="B9355" t="s">
        <v>36</v>
      </c>
      <c r="C9355" s="2">
        <f>HYPERLINK("https://cao.dolgi.msk.ru/account/1080084535/", 1080084535)</f>
        <v>1080084535</v>
      </c>
      <c r="D9355" t="s">
        <v>7851</v>
      </c>
      <c r="E9355">
        <v>-5560.61</v>
      </c>
      <c r="F9355">
        <v>-0.92</v>
      </c>
      <c r="G9355" t="s">
        <v>12</v>
      </c>
      <c r="H9355" t="s">
        <v>7</v>
      </c>
      <c r="I9355" t="s">
        <v>230</v>
      </c>
    </row>
    <row r="9356" spans="1:9" hidden="1" x14ac:dyDescent="0.25">
      <c r="A9356" t="s">
        <v>7828</v>
      </c>
      <c r="B9356" t="s">
        <v>7665</v>
      </c>
      <c r="C9356" s="2">
        <f>HYPERLINK("https://cao.dolgi.msk.ru/account/1080084543/", 1080084543)</f>
        <v>1080084543</v>
      </c>
      <c r="D9356" t="s">
        <v>7852</v>
      </c>
      <c r="E9356">
        <v>-5175.53</v>
      </c>
      <c r="F9356">
        <v>-1.1200000000000001</v>
      </c>
      <c r="G9356" t="s">
        <v>12</v>
      </c>
      <c r="I9356" t="s">
        <v>230</v>
      </c>
    </row>
    <row r="9357" spans="1:9" hidden="1" x14ac:dyDescent="0.25">
      <c r="A9357" t="s">
        <v>7828</v>
      </c>
      <c r="B9357" t="s">
        <v>38</v>
      </c>
      <c r="C9357" s="2">
        <f>HYPERLINK("https://cao.dolgi.msk.ru/account/1080084551/", 1080084551)</f>
        <v>1080084551</v>
      </c>
      <c r="D9357" t="s">
        <v>7853</v>
      </c>
      <c r="E9357">
        <v>-1390.38</v>
      </c>
      <c r="F9357">
        <v>-0.19</v>
      </c>
      <c r="G9357" t="s">
        <v>12</v>
      </c>
      <c r="I9357" t="s">
        <v>230</v>
      </c>
    </row>
    <row r="9358" spans="1:9" hidden="1" x14ac:dyDescent="0.25">
      <c r="A9358" t="s">
        <v>7828</v>
      </c>
      <c r="B9358" t="s">
        <v>38</v>
      </c>
      <c r="C9358" s="2">
        <f>HYPERLINK("https://cao.dolgi.msk.ru/account/1080084578/", 1080084578)</f>
        <v>1080084578</v>
      </c>
      <c r="D9358" t="s">
        <v>15</v>
      </c>
      <c r="E9358">
        <v>0</v>
      </c>
      <c r="G9358" t="s">
        <v>14</v>
      </c>
      <c r="I9358" t="s">
        <v>230</v>
      </c>
    </row>
    <row r="9359" spans="1:9" hidden="1" x14ac:dyDescent="0.25">
      <c r="A9359" t="s">
        <v>7828</v>
      </c>
      <c r="B9359" t="s">
        <v>39</v>
      </c>
      <c r="C9359" s="2">
        <f>HYPERLINK("https://cao.dolgi.msk.ru/account/1080084586/", 1080084586)</f>
        <v>1080084586</v>
      </c>
      <c r="D9359" t="s">
        <v>7854</v>
      </c>
      <c r="E9359">
        <v>-6165.46</v>
      </c>
      <c r="F9359">
        <v>-1.1000000000000001</v>
      </c>
      <c r="G9359" t="s">
        <v>12</v>
      </c>
      <c r="I9359" t="s">
        <v>230</v>
      </c>
    </row>
    <row r="9360" spans="1:9" hidden="1" x14ac:dyDescent="0.25">
      <c r="A9360" t="s">
        <v>7828</v>
      </c>
      <c r="B9360" t="s">
        <v>39</v>
      </c>
      <c r="C9360" s="2">
        <f>HYPERLINK("https://cao.dolgi.msk.ru/account/1080084594/", 1080084594)</f>
        <v>1080084594</v>
      </c>
      <c r="D9360" t="s">
        <v>7855</v>
      </c>
      <c r="E9360">
        <v>0</v>
      </c>
      <c r="G9360" t="s">
        <v>14</v>
      </c>
      <c r="I9360" t="s">
        <v>230</v>
      </c>
    </row>
    <row r="9361" spans="1:9" hidden="1" x14ac:dyDescent="0.25">
      <c r="A9361" t="s">
        <v>7828</v>
      </c>
      <c r="B9361" t="s">
        <v>7668</v>
      </c>
      <c r="C9361" s="2">
        <f>HYPERLINK("https://cao.dolgi.msk.ru/account/1080084615/", 1080084615)</f>
        <v>1080084615</v>
      </c>
      <c r="D9361" t="s">
        <v>7856</v>
      </c>
      <c r="E9361">
        <v>-6483.5</v>
      </c>
      <c r="F9361">
        <v>-1.03</v>
      </c>
      <c r="G9361" t="s">
        <v>12</v>
      </c>
      <c r="I9361" t="s">
        <v>230</v>
      </c>
    </row>
    <row r="9362" spans="1:9" hidden="1" x14ac:dyDescent="0.25">
      <c r="A9362" t="s">
        <v>7828</v>
      </c>
      <c r="B9362" t="s">
        <v>40</v>
      </c>
      <c r="C9362" s="2">
        <f>HYPERLINK("https://cao.dolgi.msk.ru/account/1080084623/", 1080084623)</f>
        <v>1080084623</v>
      </c>
      <c r="D9362" t="s">
        <v>7857</v>
      </c>
      <c r="E9362">
        <v>-4583.8500000000004</v>
      </c>
      <c r="F9362">
        <v>-0.78</v>
      </c>
      <c r="G9362" t="s">
        <v>12</v>
      </c>
      <c r="I9362" t="s">
        <v>230</v>
      </c>
    </row>
    <row r="9363" spans="1:9" hidden="1" x14ac:dyDescent="0.25">
      <c r="A9363" t="s">
        <v>7828</v>
      </c>
      <c r="B9363" t="s">
        <v>41</v>
      </c>
      <c r="C9363" s="2">
        <f>HYPERLINK("https://cao.dolgi.msk.ru/account/1080084631/", 1080084631)</f>
        <v>1080084631</v>
      </c>
      <c r="D9363" t="s">
        <v>7858</v>
      </c>
      <c r="E9363">
        <v>-6994.41</v>
      </c>
      <c r="F9363">
        <v>-1.1000000000000001</v>
      </c>
      <c r="G9363" t="s">
        <v>12</v>
      </c>
      <c r="I9363" t="s">
        <v>230</v>
      </c>
    </row>
    <row r="9364" spans="1:9" hidden="1" x14ac:dyDescent="0.25">
      <c r="A9364" t="s">
        <v>7828</v>
      </c>
      <c r="B9364" t="s">
        <v>6709</v>
      </c>
      <c r="C9364" s="2">
        <f>HYPERLINK("https://cao.dolgi.msk.ru/account/1080084658/", 1080084658)</f>
        <v>1080084658</v>
      </c>
      <c r="D9364" t="s">
        <v>7859</v>
      </c>
      <c r="E9364">
        <v>-6454.77</v>
      </c>
      <c r="F9364">
        <v>-1.02</v>
      </c>
      <c r="G9364" t="s">
        <v>12</v>
      </c>
      <c r="I9364" t="s">
        <v>230</v>
      </c>
    </row>
    <row r="9365" spans="1:9" hidden="1" x14ac:dyDescent="0.25">
      <c r="A9365" t="s">
        <v>7828</v>
      </c>
      <c r="B9365" t="s">
        <v>42</v>
      </c>
      <c r="C9365" s="2">
        <f>HYPERLINK("https://cao.dolgi.msk.ru/account/1080084666/", 1080084666)</f>
        <v>1080084666</v>
      </c>
      <c r="D9365" t="s">
        <v>7860</v>
      </c>
      <c r="E9365">
        <v>88.5</v>
      </c>
      <c r="F9365">
        <v>0.01</v>
      </c>
      <c r="G9365" t="s">
        <v>12</v>
      </c>
      <c r="I9365" t="s">
        <v>230</v>
      </c>
    </row>
    <row r="9366" spans="1:9" hidden="1" x14ac:dyDescent="0.25">
      <c r="A9366" t="s">
        <v>7828</v>
      </c>
      <c r="B9366" t="s">
        <v>44</v>
      </c>
      <c r="C9366" s="2">
        <f>HYPERLINK("https://cao.dolgi.msk.ru/account/1080084674/", 1080084674)</f>
        <v>1080084674</v>
      </c>
      <c r="D9366" t="s">
        <v>7861</v>
      </c>
      <c r="E9366">
        <v>-8368.77</v>
      </c>
      <c r="F9366">
        <v>-1.3</v>
      </c>
      <c r="G9366" t="s">
        <v>12</v>
      </c>
      <c r="I9366" t="s">
        <v>230</v>
      </c>
    </row>
    <row r="9367" spans="1:9" hidden="1" x14ac:dyDescent="0.25">
      <c r="A9367" t="s">
        <v>7828</v>
      </c>
      <c r="B9367" t="s">
        <v>277</v>
      </c>
      <c r="C9367" s="2">
        <f>HYPERLINK("https://cao.dolgi.msk.ru/account/1080084682/", 1080084682)</f>
        <v>1080084682</v>
      </c>
      <c r="D9367" t="s">
        <v>7862</v>
      </c>
      <c r="E9367">
        <v>-6682.42</v>
      </c>
      <c r="F9367">
        <v>-1.0900000000000001</v>
      </c>
      <c r="G9367" t="s">
        <v>12</v>
      </c>
      <c r="I9367" t="s">
        <v>230</v>
      </c>
    </row>
    <row r="9368" spans="1:9" hidden="1" x14ac:dyDescent="0.25">
      <c r="A9368" t="s">
        <v>7828</v>
      </c>
      <c r="B9368" t="s">
        <v>68</v>
      </c>
      <c r="C9368" s="2">
        <f>HYPERLINK("https://cao.dolgi.msk.ru/account/1080084703/", 1080084703)</f>
        <v>1080084703</v>
      </c>
      <c r="D9368" t="s">
        <v>7863</v>
      </c>
      <c r="E9368">
        <v>-6526.15</v>
      </c>
      <c r="F9368">
        <v>-1.03</v>
      </c>
      <c r="G9368" t="s">
        <v>12</v>
      </c>
      <c r="I9368" t="s">
        <v>230</v>
      </c>
    </row>
    <row r="9369" spans="1:9" hidden="1" x14ac:dyDescent="0.25">
      <c r="A9369" t="s">
        <v>7864</v>
      </c>
      <c r="B9369" t="s">
        <v>10</v>
      </c>
      <c r="C9369" s="2">
        <f>HYPERLINK("https://cao.dolgi.msk.ru/account/1080102465/", 1080102465)</f>
        <v>1080102465</v>
      </c>
      <c r="D9369" t="s">
        <v>7865</v>
      </c>
      <c r="E9369">
        <v>-6517.05</v>
      </c>
      <c r="F9369">
        <v>-1.02</v>
      </c>
      <c r="G9369" t="s">
        <v>12</v>
      </c>
      <c r="I9369" t="s">
        <v>230</v>
      </c>
    </row>
    <row r="9370" spans="1:9" hidden="1" x14ac:dyDescent="0.25">
      <c r="A9370" t="s">
        <v>7864</v>
      </c>
      <c r="B9370" t="s">
        <v>16</v>
      </c>
      <c r="C9370" s="2">
        <f>HYPERLINK("https://cao.dolgi.msk.ru/account/1080102473/", 1080102473)</f>
        <v>1080102473</v>
      </c>
      <c r="D9370" t="s">
        <v>7866</v>
      </c>
      <c r="E9370">
        <v>391.54</v>
      </c>
      <c r="F9370">
        <v>0.17</v>
      </c>
      <c r="G9370" t="s">
        <v>12</v>
      </c>
      <c r="I9370" t="s">
        <v>230</v>
      </c>
    </row>
    <row r="9371" spans="1:9" hidden="1" x14ac:dyDescent="0.25">
      <c r="A9371" t="s">
        <v>7864</v>
      </c>
      <c r="B9371" t="s">
        <v>18</v>
      </c>
      <c r="C9371" s="2">
        <f>HYPERLINK("https://cao.dolgi.msk.ru/account/1080102481/", 1080102481)</f>
        <v>1080102481</v>
      </c>
      <c r="D9371" t="s">
        <v>7867</v>
      </c>
      <c r="E9371">
        <v>-1909.09</v>
      </c>
      <c r="F9371">
        <v>-1.07</v>
      </c>
      <c r="G9371" t="s">
        <v>12</v>
      </c>
      <c r="I9371" t="s">
        <v>230</v>
      </c>
    </row>
    <row r="9372" spans="1:9" hidden="1" x14ac:dyDescent="0.25">
      <c r="A9372" t="s">
        <v>7864</v>
      </c>
      <c r="B9372" t="s">
        <v>20</v>
      </c>
      <c r="C9372" s="2">
        <f>HYPERLINK("https://cao.dolgi.msk.ru/account/1080102502/", 1080102502)</f>
        <v>1080102502</v>
      </c>
      <c r="D9372" t="s">
        <v>7868</v>
      </c>
      <c r="E9372">
        <v>-5462.47</v>
      </c>
      <c r="F9372">
        <v>-1.1299999999999999</v>
      </c>
      <c r="G9372" t="s">
        <v>12</v>
      </c>
      <c r="I9372" t="s">
        <v>230</v>
      </c>
    </row>
    <row r="9373" spans="1:9" hidden="1" x14ac:dyDescent="0.25">
      <c r="A9373" t="s">
        <v>7864</v>
      </c>
      <c r="B9373" t="s">
        <v>21</v>
      </c>
      <c r="C9373" s="2">
        <f>HYPERLINK("https://cao.dolgi.msk.ru/account/1080102529/", 1080102529)</f>
        <v>1080102529</v>
      </c>
      <c r="D9373" t="s">
        <v>7869</v>
      </c>
      <c r="E9373">
        <v>-6380.63</v>
      </c>
      <c r="F9373">
        <v>-1.05</v>
      </c>
      <c r="G9373" t="s">
        <v>12</v>
      </c>
      <c r="I9373" t="s">
        <v>230</v>
      </c>
    </row>
    <row r="9374" spans="1:9" hidden="1" x14ac:dyDescent="0.25">
      <c r="A9374" t="s">
        <v>7864</v>
      </c>
      <c r="B9374" t="s">
        <v>22</v>
      </c>
      <c r="C9374" s="2">
        <f>HYPERLINK("https://cao.dolgi.msk.ru/account/1080102537/", 1080102537)</f>
        <v>1080102537</v>
      </c>
      <c r="D9374" t="s">
        <v>7870</v>
      </c>
      <c r="E9374">
        <v>-546.72</v>
      </c>
      <c r="F9374">
        <v>-0.09</v>
      </c>
      <c r="G9374" t="s">
        <v>12</v>
      </c>
      <c r="I9374" t="s">
        <v>230</v>
      </c>
    </row>
    <row r="9375" spans="1:9" hidden="1" x14ac:dyDescent="0.25">
      <c r="A9375" t="s">
        <v>7864</v>
      </c>
      <c r="B9375" t="s">
        <v>23</v>
      </c>
      <c r="C9375" s="2">
        <f>HYPERLINK("https://cao.dolgi.msk.ru/account/1080102545/", 1080102545)</f>
        <v>1080102545</v>
      </c>
      <c r="D9375" t="s">
        <v>7871</v>
      </c>
      <c r="E9375">
        <v>-11131.78</v>
      </c>
      <c r="F9375">
        <v>-3.38</v>
      </c>
      <c r="G9375" t="s">
        <v>12</v>
      </c>
      <c r="I9375" t="s">
        <v>230</v>
      </c>
    </row>
    <row r="9376" spans="1:9" hidden="1" x14ac:dyDescent="0.25">
      <c r="A9376" t="s">
        <v>7864</v>
      </c>
      <c r="B9376" t="s">
        <v>24</v>
      </c>
      <c r="C9376" s="2">
        <f>HYPERLINK("https://cao.dolgi.msk.ru/account/1080102553/", 1080102553)</f>
        <v>1080102553</v>
      </c>
      <c r="D9376" t="s">
        <v>7872</v>
      </c>
      <c r="E9376">
        <v>-8305.0499999999993</v>
      </c>
      <c r="F9376">
        <v>-1.1499999999999999</v>
      </c>
      <c r="G9376" t="s">
        <v>12</v>
      </c>
      <c r="I9376" t="s">
        <v>230</v>
      </c>
    </row>
    <row r="9377" spans="1:9" hidden="1" x14ac:dyDescent="0.25">
      <c r="A9377" t="s">
        <v>7864</v>
      </c>
      <c r="B9377" t="s">
        <v>27</v>
      </c>
      <c r="C9377" s="2">
        <f>HYPERLINK("https://cao.dolgi.msk.ru/account/1080102561/", 1080102561)</f>
        <v>1080102561</v>
      </c>
      <c r="D9377" t="s">
        <v>7873</v>
      </c>
      <c r="E9377">
        <v>-6751.03</v>
      </c>
      <c r="F9377">
        <v>-1.04</v>
      </c>
      <c r="G9377" t="s">
        <v>12</v>
      </c>
      <c r="I9377" t="s">
        <v>230</v>
      </c>
    </row>
    <row r="9378" spans="1:9" hidden="1" x14ac:dyDescent="0.25">
      <c r="A9378" t="s">
        <v>7864</v>
      </c>
      <c r="B9378" t="s">
        <v>29</v>
      </c>
      <c r="C9378" s="2">
        <f>HYPERLINK("https://cao.dolgi.msk.ru/account/1080102588/", 1080102588)</f>
        <v>1080102588</v>
      </c>
      <c r="D9378" t="s">
        <v>7874</v>
      </c>
      <c r="E9378">
        <v>-6569.87</v>
      </c>
      <c r="F9378">
        <v>-1.52</v>
      </c>
      <c r="G9378" t="s">
        <v>12</v>
      </c>
      <c r="I9378" t="s">
        <v>230</v>
      </c>
    </row>
    <row r="9379" spans="1:9" hidden="1" x14ac:dyDescent="0.25">
      <c r="A9379" t="s">
        <v>7864</v>
      </c>
      <c r="B9379" t="s">
        <v>31</v>
      </c>
      <c r="C9379" s="2">
        <f>HYPERLINK("https://cao.dolgi.msk.ru/account/1080102596/", 1080102596)</f>
        <v>1080102596</v>
      </c>
      <c r="D9379" t="s">
        <v>7875</v>
      </c>
      <c r="E9379">
        <v>-2673.35</v>
      </c>
      <c r="F9379">
        <v>-1.07</v>
      </c>
      <c r="G9379" t="s">
        <v>12</v>
      </c>
      <c r="I9379" t="s">
        <v>230</v>
      </c>
    </row>
    <row r="9380" spans="1:9" hidden="1" x14ac:dyDescent="0.25">
      <c r="A9380" t="s">
        <v>7864</v>
      </c>
      <c r="B9380" t="s">
        <v>33</v>
      </c>
      <c r="C9380" s="2">
        <f>HYPERLINK("https://cao.dolgi.msk.ru/account/1080102609/", 1080102609)</f>
        <v>1080102609</v>
      </c>
      <c r="D9380" t="s">
        <v>62</v>
      </c>
      <c r="E9380">
        <v>-8253.9599999999991</v>
      </c>
      <c r="F9380">
        <v>-1.0900000000000001</v>
      </c>
      <c r="G9380" t="s">
        <v>12</v>
      </c>
      <c r="I9380" t="s">
        <v>230</v>
      </c>
    </row>
    <row r="9381" spans="1:9" hidden="1" x14ac:dyDescent="0.25">
      <c r="A9381" t="s">
        <v>7864</v>
      </c>
      <c r="B9381" t="s">
        <v>36</v>
      </c>
      <c r="C9381" s="2">
        <f>HYPERLINK("https://cao.dolgi.msk.ru/account/1080102625/", 1080102625)</f>
        <v>1080102625</v>
      </c>
      <c r="D9381" t="s">
        <v>7876</v>
      </c>
      <c r="E9381">
        <v>-8580.31</v>
      </c>
      <c r="F9381">
        <v>-1.19</v>
      </c>
      <c r="G9381" t="s">
        <v>12</v>
      </c>
      <c r="I9381" t="s">
        <v>230</v>
      </c>
    </row>
    <row r="9382" spans="1:9" hidden="1" x14ac:dyDescent="0.25">
      <c r="A9382" t="s">
        <v>7864</v>
      </c>
      <c r="B9382" t="s">
        <v>38</v>
      </c>
      <c r="C9382" s="2">
        <f>HYPERLINK("https://cao.dolgi.msk.ru/account/1080102633/", 1080102633)</f>
        <v>1080102633</v>
      </c>
      <c r="D9382" t="s">
        <v>7877</v>
      </c>
      <c r="E9382">
        <v>-30178.94</v>
      </c>
      <c r="F9382">
        <v>-3.93</v>
      </c>
      <c r="G9382" t="s">
        <v>12</v>
      </c>
      <c r="I9382" t="s">
        <v>230</v>
      </c>
    </row>
    <row r="9383" spans="1:9" hidden="1" x14ac:dyDescent="0.25">
      <c r="A9383" t="s">
        <v>7864</v>
      </c>
      <c r="B9383" t="s">
        <v>39</v>
      </c>
      <c r="C9383" s="2">
        <f>HYPERLINK("https://cao.dolgi.msk.ru/account/1080102641/", 1080102641)</f>
        <v>1080102641</v>
      </c>
      <c r="D9383" t="s">
        <v>7878</v>
      </c>
      <c r="E9383">
        <v>-5128.2</v>
      </c>
      <c r="F9383">
        <v>-0.93</v>
      </c>
      <c r="G9383" t="s">
        <v>12</v>
      </c>
      <c r="I9383" t="s">
        <v>230</v>
      </c>
    </row>
    <row r="9384" spans="1:9" hidden="1" x14ac:dyDescent="0.25">
      <c r="A9384" t="s">
        <v>7864</v>
      </c>
      <c r="B9384" t="s">
        <v>40</v>
      </c>
      <c r="C9384" s="2">
        <f>HYPERLINK("https://cao.dolgi.msk.ru/account/1080102668/", 1080102668)</f>
        <v>1080102668</v>
      </c>
      <c r="D9384" t="s">
        <v>7879</v>
      </c>
      <c r="E9384">
        <v>-469.16</v>
      </c>
      <c r="F9384">
        <v>-0.1</v>
      </c>
      <c r="G9384" t="s">
        <v>12</v>
      </c>
      <c r="I9384" t="s">
        <v>230</v>
      </c>
    </row>
    <row r="9385" spans="1:9" hidden="1" x14ac:dyDescent="0.25">
      <c r="A9385" t="s">
        <v>7864</v>
      </c>
      <c r="B9385" t="s">
        <v>41</v>
      </c>
      <c r="C9385" s="2">
        <f>HYPERLINK("https://cao.dolgi.msk.ru/account/1080102676/", 1080102676)</f>
        <v>1080102676</v>
      </c>
      <c r="D9385" t="s">
        <v>62</v>
      </c>
      <c r="E9385">
        <v>467.78</v>
      </c>
      <c r="F9385">
        <v>0.1</v>
      </c>
      <c r="G9385" t="s">
        <v>12</v>
      </c>
      <c r="I9385" t="s">
        <v>230</v>
      </c>
    </row>
    <row r="9386" spans="1:9" hidden="1" x14ac:dyDescent="0.25">
      <c r="A9386" t="s">
        <v>7864</v>
      </c>
      <c r="B9386" t="s">
        <v>42</v>
      </c>
      <c r="C9386" s="2">
        <f>HYPERLINK("https://cao.dolgi.msk.ru/account/1080102684/", 1080102684)</f>
        <v>1080102684</v>
      </c>
      <c r="D9386" t="s">
        <v>7880</v>
      </c>
      <c r="E9386">
        <v>-5491.84</v>
      </c>
      <c r="F9386">
        <v>-1.24</v>
      </c>
      <c r="G9386" t="s">
        <v>12</v>
      </c>
      <c r="I9386" t="s">
        <v>230</v>
      </c>
    </row>
    <row r="9387" spans="1:9" hidden="1" x14ac:dyDescent="0.25">
      <c r="A9387" t="s">
        <v>7864</v>
      </c>
      <c r="B9387" t="s">
        <v>44</v>
      </c>
      <c r="C9387" s="2">
        <f>HYPERLINK("https://cao.dolgi.msk.ru/account/1080102692/", 1080102692)</f>
        <v>1080102692</v>
      </c>
      <c r="D9387" t="s">
        <v>7881</v>
      </c>
      <c r="E9387">
        <v>-6623.22</v>
      </c>
      <c r="F9387">
        <v>-1.22</v>
      </c>
      <c r="G9387" t="s">
        <v>12</v>
      </c>
      <c r="I9387" t="s">
        <v>230</v>
      </c>
    </row>
    <row r="9388" spans="1:9" hidden="1" x14ac:dyDescent="0.25">
      <c r="A9388" t="s">
        <v>7864</v>
      </c>
      <c r="B9388" t="s">
        <v>66</v>
      </c>
      <c r="C9388" s="2">
        <f>HYPERLINK("https://cao.dolgi.msk.ru/account/1080102705/", 1080102705)</f>
        <v>1080102705</v>
      </c>
      <c r="D9388" t="s">
        <v>7882</v>
      </c>
      <c r="E9388">
        <v>-4590.33</v>
      </c>
      <c r="F9388">
        <v>-1.06</v>
      </c>
      <c r="G9388" t="s">
        <v>12</v>
      </c>
      <c r="I9388" t="s">
        <v>230</v>
      </c>
    </row>
    <row r="9389" spans="1:9" hidden="1" x14ac:dyDescent="0.25">
      <c r="A9389" t="s">
        <v>7864</v>
      </c>
      <c r="B9389" t="s">
        <v>68</v>
      </c>
      <c r="C9389" s="2">
        <f>HYPERLINK("https://cao.dolgi.msk.ru/account/1080102713/", 1080102713)</f>
        <v>1080102713</v>
      </c>
      <c r="D9389" t="s">
        <v>7883</v>
      </c>
      <c r="E9389">
        <v>-4084.51</v>
      </c>
      <c r="F9389">
        <v>-1.1000000000000001</v>
      </c>
      <c r="G9389" t="s">
        <v>12</v>
      </c>
      <c r="I9389" t="s">
        <v>230</v>
      </c>
    </row>
    <row r="9390" spans="1:9" hidden="1" x14ac:dyDescent="0.25">
      <c r="A9390" t="s">
        <v>7864</v>
      </c>
      <c r="B9390" t="s">
        <v>70</v>
      </c>
      <c r="C9390" s="2">
        <f>HYPERLINK("https://cao.dolgi.msk.ru/account/1080102721/", 1080102721)</f>
        <v>1080102721</v>
      </c>
      <c r="D9390" t="s">
        <v>7884</v>
      </c>
      <c r="E9390">
        <v>-71.98</v>
      </c>
      <c r="F9390">
        <v>-0.03</v>
      </c>
      <c r="G9390" t="s">
        <v>12</v>
      </c>
      <c r="I9390" t="s">
        <v>230</v>
      </c>
    </row>
    <row r="9391" spans="1:9" hidden="1" x14ac:dyDescent="0.25">
      <c r="A9391" t="s">
        <v>7864</v>
      </c>
      <c r="B9391" t="s">
        <v>72</v>
      </c>
      <c r="C9391" s="2">
        <f>HYPERLINK("https://cao.dolgi.msk.ru/account/1080102748/", 1080102748)</f>
        <v>1080102748</v>
      </c>
      <c r="D9391" t="s">
        <v>7885</v>
      </c>
      <c r="E9391">
        <v>-7085.68</v>
      </c>
      <c r="F9391">
        <v>-1.21</v>
      </c>
      <c r="G9391" t="s">
        <v>12</v>
      </c>
      <c r="I9391" t="s">
        <v>230</v>
      </c>
    </row>
    <row r="9392" spans="1:9" hidden="1" x14ac:dyDescent="0.25">
      <c r="A9392" t="s">
        <v>7864</v>
      </c>
      <c r="B9392" t="s">
        <v>74</v>
      </c>
      <c r="C9392" s="2">
        <f>HYPERLINK("https://cao.dolgi.msk.ru/account/1080102764/", 1080102764)</f>
        <v>1080102764</v>
      </c>
      <c r="D9392" t="s">
        <v>7886</v>
      </c>
      <c r="E9392">
        <v>-3091.66</v>
      </c>
      <c r="F9392">
        <v>-1.06</v>
      </c>
      <c r="G9392" t="s">
        <v>12</v>
      </c>
      <c r="I9392" t="s">
        <v>230</v>
      </c>
    </row>
    <row r="9393" spans="1:9" x14ac:dyDescent="0.25">
      <c r="A9393" t="s">
        <v>7864</v>
      </c>
      <c r="B9393" t="s">
        <v>76</v>
      </c>
      <c r="C9393" s="2">
        <f>HYPERLINK("https://cao.dolgi.msk.ru/account/1080102756/", 1080102756)</f>
        <v>1080102756</v>
      </c>
      <c r="D9393" t="s">
        <v>7887</v>
      </c>
      <c r="E9393">
        <v>31195.32</v>
      </c>
      <c r="F9393">
        <v>4.37</v>
      </c>
      <c r="G9393" t="s">
        <v>12</v>
      </c>
      <c r="I9393" t="s">
        <v>230</v>
      </c>
    </row>
    <row r="9394" spans="1:9" hidden="1" x14ac:dyDescent="0.25">
      <c r="A9394" t="s">
        <v>7864</v>
      </c>
      <c r="B9394" t="s">
        <v>78</v>
      </c>
      <c r="C9394" s="2">
        <f>HYPERLINK("https://cao.dolgi.msk.ru/account/1080102772/", 1080102772)</f>
        <v>1080102772</v>
      </c>
      <c r="D9394" t="s">
        <v>15</v>
      </c>
      <c r="E9394">
        <v>-7068.27</v>
      </c>
      <c r="F9394">
        <v>-1</v>
      </c>
      <c r="G9394" t="s">
        <v>12</v>
      </c>
      <c r="I9394" t="s">
        <v>230</v>
      </c>
    </row>
    <row r="9395" spans="1:9" hidden="1" x14ac:dyDescent="0.25">
      <c r="A9395" t="s">
        <v>7864</v>
      </c>
      <c r="B9395" t="s">
        <v>80</v>
      </c>
      <c r="C9395" s="2">
        <f>HYPERLINK("https://cao.dolgi.msk.ru/account/1080102799/", 1080102799)</f>
        <v>1080102799</v>
      </c>
      <c r="D9395" t="s">
        <v>7888</v>
      </c>
      <c r="E9395">
        <v>-4191.6000000000004</v>
      </c>
      <c r="F9395">
        <v>-1.1000000000000001</v>
      </c>
      <c r="G9395" t="s">
        <v>12</v>
      </c>
      <c r="I9395" t="s">
        <v>230</v>
      </c>
    </row>
    <row r="9396" spans="1:9" hidden="1" x14ac:dyDescent="0.25">
      <c r="A9396" t="s">
        <v>7864</v>
      </c>
      <c r="B9396" t="s">
        <v>7889</v>
      </c>
      <c r="C9396" s="2">
        <f>HYPERLINK("https://cao.dolgi.msk.ru/account/1080102801/", 1080102801)</f>
        <v>1080102801</v>
      </c>
      <c r="D9396" t="s">
        <v>62</v>
      </c>
      <c r="E9396">
        <v>-9839.26</v>
      </c>
      <c r="F9396">
        <v>-1.01</v>
      </c>
      <c r="G9396" t="s">
        <v>12</v>
      </c>
      <c r="I9396" t="s">
        <v>230</v>
      </c>
    </row>
    <row r="9397" spans="1:9" hidden="1" x14ac:dyDescent="0.25">
      <c r="A9397" t="s">
        <v>7864</v>
      </c>
      <c r="B9397" t="s">
        <v>86</v>
      </c>
      <c r="C9397" s="2">
        <f>HYPERLINK("https://cao.dolgi.msk.ru/account/1080102828/", 1080102828)</f>
        <v>1080102828</v>
      </c>
      <c r="D9397" t="s">
        <v>7890</v>
      </c>
      <c r="E9397">
        <v>-3426.35</v>
      </c>
      <c r="F9397">
        <v>-1.0900000000000001</v>
      </c>
      <c r="G9397" t="s">
        <v>12</v>
      </c>
      <c r="I9397" t="s">
        <v>230</v>
      </c>
    </row>
    <row r="9398" spans="1:9" hidden="1" x14ac:dyDescent="0.25">
      <c r="A9398" t="s">
        <v>7864</v>
      </c>
      <c r="B9398" t="s">
        <v>88</v>
      </c>
      <c r="C9398" s="2">
        <f>HYPERLINK("https://cao.dolgi.msk.ru/account/1080102844/", 1080102844)</f>
        <v>1080102844</v>
      </c>
      <c r="D9398" t="s">
        <v>7891</v>
      </c>
      <c r="E9398">
        <v>-21997.72</v>
      </c>
      <c r="F9398">
        <v>-2.21</v>
      </c>
      <c r="G9398" t="s">
        <v>12</v>
      </c>
      <c r="I9398" t="s">
        <v>230</v>
      </c>
    </row>
    <row r="9399" spans="1:9" hidden="1" x14ac:dyDescent="0.25">
      <c r="A9399" t="s">
        <v>7864</v>
      </c>
      <c r="B9399" t="s">
        <v>90</v>
      </c>
      <c r="C9399" s="2">
        <f>HYPERLINK("https://cao.dolgi.msk.ru/account/1080102852/", 1080102852)</f>
        <v>1080102852</v>
      </c>
      <c r="D9399" t="s">
        <v>7892</v>
      </c>
      <c r="E9399">
        <v>-4664.8999999999996</v>
      </c>
      <c r="F9399">
        <v>-1.08</v>
      </c>
      <c r="G9399" t="s">
        <v>12</v>
      </c>
      <c r="I9399" t="s">
        <v>230</v>
      </c>
    </row>
    <row r="9400" spans="1:9" hidden="1" x14ac:dyDescent="0.25">
      <c r="A9400" t="s">
        <v>7864</v>
      </c>
      <c r="B9400" t="s">
        <v>92</v>
      </c>
      <c r="C9400" s="2">
        <f>HYPERLINK("https://cao.dolgi.msk.ru/account/1080102879/", 1080102879)</f>
        <v>1080102879</v>
      </c>
      <c r="D9400" t="s">
        <v>7893</v>
      </c>
      <c r="E9400">
        <v>-5920.89</v>
      </c>
      <c r="F9400">
        <v>-0.85</v>
      </c>
      <c r="G9400" t="s">
        <v>12</v>
      </c>
      <c r="I9400" t="s">
        <v>230</v>
      </c>
    </row>
    <row r="9401" spans="1:9" hidden="1" x14ac:dyDescent="0.25">
      <c r="A9401" t="s">
        <v>7864</v>
      </c>
      <c r="B9401" t="s">
        <v>94</v>
      </c>
      <c r="C9401" s="2">
        <f>HYPERLINK("https://cao.dolgi.msk.ru/account/1080102887/", 1080102887)</f>
        <v>1080102887</v>
      </c>
      <c r="D9401" t="s">
        <v>7894</v>
      </c>
      <c r="E9401">
        <v>-7165.24</v>
      </c>
      <c r="F9401">
        <v>-1.1000000000000001</v>
      </c>
      <c r="G9401" t="s">
        <v>12</v>
      </c>
      <c r="I9401" t="s">
        <v>230</v>
      </c>
    </row>
    <row r="9402" spans="1:9" hidden="1" x14ac:dyDescent="0.25">
      <c r="A9402" t="s">
        <v>7864</v>
      </c>
      <c r="B9402" t="s">
        <v>96</v>
      </c>
      <c r="C9402" s="2">
        <f>HYPERLINK("https://cao.dolgi.msk.ru/account/1080102895/", 1080102895)</f>
        <v>1080102895</v>
      </c>
      <c r="D9402" t="s">
        <v>7895</v>
      </c>
      <c r="E9402">
        <v>318.51</v>
      </c>
      <c r="F9402">
        <v>0.05</v>
      </c>
      <c r="G9402" t="s">
        <v>12</v>
      </c>
      <c r="I9402" t="s">
        <v>230</v>
      </c>
    </row>
    <row r="9403" spans="1:9" hidden="1" x14ac:dyDescent="0.25">
      <c r="A9403" t="s">
        <v>7864</v>
      </c>
      <c r="B9403" t="s">
        <v>96</v>
      </c>
      <c r="C9403" s="2">
        <f>HYPERLINK("https://cao.dolgi.msk.ru/account/1080102908/", 1080102908)</f>
        <v>1080102908</v>
      </c>
      <c r="D9403" t="s">
        <v>7896</v>
      </c>
      <c r="G9403" t="s">
        <v>14</v>
      </c>
      <c r="I9403" t="s">
        <v>230</v>
      </c>
    </row>
    <row r="9404" spans="1:9" hidden="1" x14ac:dyDescent="0.25">
      <c r="A9404" t="s">
        <v>7864</v>
      </c>
      <c r="B9404" t="s">
        <v>98</v>
      </c>
      <c r="C9404" s="2">
        <f>HYPERLINK("https://cao.dolgi.msk.ru/account/1080102916/", 1080102916)</f>
        <v>1080102916</v>
      </c>
      <c r="D9404" t="s">
        <v>7897</v>
      </c>
      <c r="E9404">
        <v>-2069.4</v>
      </c>
      <c r="F9404">
        <v>-1.1599999999999999</v>
      </c>
      <c r="G9404" t="s">
        <v>12</v>
      </c>
      <c r="I9404" t="s">
        <v>230</v>
      </c>
    </row>
    <row r="9405" spans="1:9" hidden="1" x14ac:dyDescent="0.25">
      <c r="A9405" t="s">
        <v>7864</v>
      </c>
      <c r="B9405" t="s">
        <v>100</v>
      </c>
      <c r="C9405" s="2">
        <f>HYPERLINK("https://cao.dolgi.msk.ru/account/1080102924/", 1080102924)</f>
        <v>1080102924</v>
      </c>
      <c r="D9405" t="s">
        <v>7898</v>
      </c>
      <c r="E9405">
        <v>4987</v>
      </c>
      <c r="F9405">
        <v>1</v>
      </c>
      <c r="G9405" t="s">
        <v>12</v>
      </c>
      <c r="I9405" t="s">
        <v>230</v>
      </c>
    </row>
    <row r="9406" spans="1:9" x14ac:dyDescent="0.25">
      <c r="A9406" t="s">
        <v>7864</v>
      </c>
      <c r="B9406" t="s">
        <v>102</v>
      </c>
      <c r="C9406" s="2">
        <f>HYPERLINK("https://cao.dolgi.msk.ru/account/1080102932/", 1080102932)</f>
        <v>1080102932</v>
      </c>
      <c r="D9406" t="s">
        <v>7899</v>
      </c>
      <c r="E9406">
        <v>34551.58</v>
      </c>
      <c r="F9406">
        <v>5.35</v>
      </c>
      <c r="G9406" t="s">
        <v>12</v>
      </c>
      <c r="I9406" t="s">
        <v>230</v>
      </c>
    </row>
    <row r="9407" spans="1:9" x14ac:dyDescent="0.25">
      <c r="A9407" t="s">
        <v>7864</v>
      </c>
      <c r="B9407" t="s">
        <v>104</v>
      </c>
      <c r="C9407" s="2">
        <f>HYPERLINK("https://cao.dolgi.msk.ru/account/1080102959/", 1080102959)</f>
        <v>1080102959</v>
      </c>
      <c r="D9407" t="s">
        <v>15</v>
      </c>
      <c r="E9407">
        <v>52871.3</v>
      </c>
      <c r="F9407">
        <v>9.65</v>
      </c>
      <c r="G9407" t="s">
        <v>12</v>
      </c>
      <c r="I9407" t="s">
        <v>230</v>
      </c>
    </row>
    <row r="9408" spans="1:9" hidden="1" x14ac:dyDescent="0.25">
      <c r="A9408" t="s">
        <v>7864</v>
      </c>
      <c r="B9408" t="s">
        <v>106</v>
      </c>
      <c r="C9408" s="2">
        <f>HYPERLINK("https://cao.dolgi.msk.ru/account/1080102967/", 1080102967)</f>
        <v>1080102967</v>
      </c>
      <c r="D9408" t="s">
        <v>7900</v>
      </c>
      <c r="E9408">
        <v>-5224.49</v>
      </c>
      <c r="F9408">
        <v>-1.1499999999999999</v>
      </c>
      <c r="G9408" t="s">
        <v>12</v>
      </c>
      <c r="I9408" t="s">
        <v>230</v>
      </c>
    </row>
    <row r="9409" spans="1:9" hidden="1" x14ac:dyDescent="0.25">
      <c r="A9409" t="s">
        <v>7864</v>
      </c>
      <c r="B9409" t="s">
        <v>108</v>
      </c>
      <c r="C9409" s="2">
        <f>HYPERLINK("https://cao.dolgi.msk.ru/account/1080102975/", 1080102975)</f>
        <v>1080102975</v>
      </c>
      <c r="D9409" t="s">
        <v>7901</v>
      </c>
      <c r="E9409">
        <v>-29.1</v>
      </c>
      <c r="F9409">
        <v>-0.01</v>
      </c>
      <c r="G9409" t="s">
        <v>12</v>
      </c>
      <c r="I9409" t="s">
        <v>230</v>
      </c>
    </row>
    <row r="9410" spans="1:9" hidden="1" x14ac:dyDescent="0.25">
      <c r="A9410" t="s">
        <v>7864</v>
      </c>
      <c r="B9410" t="s">
        <v>110</v>
      </c>
      <c r="C9410" s="2">
        <f>HYPERLINK("https://cao.dolgi.msk.ru/account/1080102983/", 1080102983)</f>
        <v>1080102983</v>
      </c>
      <c r="D9410" t="s">
        <v>7902</v>
      </c>
      <c r="E9410">
        <v>-3269.85</v>
      </c>
      <c r="F9410">
        <v>-1.1000000000000001</v>
      </c>
      <c r="G9410" t="s">
        <v>12</v>
      </c>
      <c r="I9410" t="s">
        <v>230</v>
      </c>
    </row>
    <row r="9411" spans="1:9" hidden="1" x14ac:dyDescent="0.25">
      <c r="A9411" t="s">
        <v>7864</v>
      </c>
      <c r="B9411" t="s">
        <v>112</v>
      </c>
      <c r="C9411" s="2">
        <f>HYPERLINK("https://cao.dolgi.msk.ru/account/1080102991/", 1080102991)</f>
        <v>1080102991</v>
      </c>
      <c r="D9411" t="s">
        <v>7903</v>
      </c>
      <c r="E9411">
        <v>-12614.43</v>
      </c>
      <c r="F9411">
        <v>-1.83</v>
      </c>
      <c r="G9411" t="s">
        <v>12</v>
      </c>
      <c r="I9411" t="s">
        <v>230</v>
      </c>
    </row>
    <row r="9412" spans="1:9" hidden="1" x14ac:dyDescent="0.25">
      <c r="A9412" t="s">
        <v>7864</v>
      </c>
      <c r="B9412" t="s">
        <v>114</v>
      </c>
      <c r="C9412" s="2">
        <f>HYPERLINK("https://cao.dolgi.msk.ru/account/1080103003/", 1080103003)</f>
        <v>1080103003</v>
      </c>
      <c r="D9412" t="s">
        <v>62</v>
      </c>
      <c r="E9412">
        <v>-3644.57</v>
      </c>
      <c r="F9412">
        <v>-1.1299999999999999</v>
      </c>
      <c r="G9412" t="s">
        <v>12</v>
      </c>
      <c r="I9412" t="s">
        <v>230</v>
      </c>
    </row>
    <row r="9413" spans="1:9" hidden="1" x14ac:dyDescent="0.25">
      <c r="A9413" t="s">
        <v>7864</v>
      </c>
      <c r="B9413" t="s">
        <v>116</v>
      </c>
      <c r="C9413" s="2">
        <f>HYPERLINK("https://cao.dolgi.msk.ru/account/1080103011/", 1080103011)</f>
        <v>1080103011</v>
      </c>
      <c r="D9413" t="s">
        <v>7904</v>
      </c>
      <c r="E9413">
        <v>-6008.6</v>
      </c>
      <c r="F9413">
        <v>-1.07</v>
      </c>
      <c r="G9413" t="s">
        <v>12</v>
      </c>
      <c r="I9413" t="s">
        <v>230</v>
      </c>
    </row>
    <row r="9414" spans="1:9" hidden="1" x14ac:dyDescent="0.25">
      <c r="A9414" t="s">
        <v>7864</v>
      </c>
      <c r="B9414" t="s">
        <v>118</v>
      </c>
      <c r="C9414" s="2">
        <f>HYPERLINK("https://cao.dolgi.msk.ru/account/1080103046/", 1080103046)</f>
        <v>1080103046</v>
      </c>
      <c r="D9414" t="s">
        <v>7905</v>
      </c>
      <c r="E9414">
        <v>-3902.04</v>
      </c>
      <c r="F9414">
        <v>-1.01</v>
      </c>
      <c r="G9414" t="s">
        <v>12</v>
      </c>
      <c r="I9414" t="s">
        <v>230</v>
      </c>
    </row>
    <row r="9415" spans="1:9" hidden="1" x14ac:dyDescent="0.25">
      <c r="A9415" t="s">
        <v>7864</v>
      </c>
      <c r="B9415" t="s">
        <v>120</v>
      </c>
      <c r="C9415" s="2">
        <f>HYPERLINK("https://cao.dolgi.msk.ru/account/1080103054/", 1080103054)</f>
        <v>1080103054</v>
      </c>
      <c r="D9415" t="s">
        <v>7906</v>
      </c>
      <c r="E9415">
        <v>-8324.36</v>
      </c>
      <c r="F9415">
        <v>-1.27</v>
      </c>
      <c r="G9415" t="s">
        <v>12</v>
      </c>
      <c r="I9415" t="s">
        <v>230</v>
      </c>
    </row>
    <row r="9416" spans="1:9" hidden="1" x14ac:dyDescent="0.25">
      <c r="A9416" t="s">
        <v>7864</v>
      </c>
      <c r="B9416" t="s">
        <v>122</v>
      </c>
      <c r="C9416" s="2">
        <f>HYPERLINK("https://cao.dolgi.msk.ru/account/1080103062/", 1080103062)</f>
        <v>1080103062</v>
      </c>
      <c r="D9416" t="s">
        <v>7907</v>
      </c>
      <c r="E9416">
        <v>-3388.34</v>
      </c>
      <c r="F9416">
        <v>-0.98</v>
      </c>
      <c r="G9416" t="s">
        <v>12</v>
      </c>
      <c r="I9416" t="s">
        <v>230</v>
      </c>
    </row>
    <row r="9417" spans="1:9" hidden="1" x14ac:dyDescent="0.25">
      <c r="A9417" t="s">
        <v>7864</v>
      </c>
      <c r="B9417" t="s">
        <v>124</v>
      </c>
      <c r="C9417" s="2">
        <f>HYPERLINK("https://cao.dolgi.msk.ru/account/1080103038/", 1080103038)</f>
        <v>1080103038</v>
      </c>
      <c r="D9417" t="s">
        <v>7908</v>
      </c>
      <c r="E9417">
        <v>-7136.39</v>
      </c>
      <c r="F9417">
        <v>-1.43</v>
      </c>
      <c r="G9417" t="s">
        <v>12</v>
      </c>
      <c r="I9417" t="s">
        <v>230</v>
      </c>
    </row>
    <row r="9418" spans="1:9" hidden="1" x14ac:dyDescent="0.25">
      <c r="A9418" t="s">
        <v>7864</v>
      </c>
      <c r="B9418" t="s">
        <v>126</v>
      </c>
      <c r="C9418" s="2">
        <f>HYPERLINK("https://cao.dolgi.msk.ru/account/1080103089/", 1080103089)</f>
        <v>1080103089</v>
      </c>
      <c r="D9418" t="s">
        <v>7909</v>
      </c>
      <c r="E9418">
        <v>-6986.59</v>
      </c>
      <c r="F9418">
        <v>-1.25</v>
      </c>
      <c r="G9418" t="s">
        <v>12</v>
      </c>
      <c r="I9418" t="s">
        <v>230</v>
      </c>
    </row>
    <row r="9419" spans="1:9" hidden="1" x14ac:dyDescent="0.25">
      <c r="A9419" t="s">
        <v>7864</v>
      </c>
      <c r="B9419" t="s">
        <v>128</v>
      </c>
      <c r="C9419" s="2">
        <f>HYPERLINK("https://cao.dolgi.msk.ru/account/1080103097/", 1080103097)</f>
        <v>1080103097</v>
      </c>
      <c r="D9419" t="s">
        <v>7910</v>
      </c>
      <c r="E9419">
        <v>-8668.43</v>
      </c>
      <c r="F9419">
        <v>-1.08</v>
      </c>
      <c r="G9419" t="s">
        <v>12</v>
      </c>
      <c r="I9419" t="s">
        <v>230</v>
      </c>
    </row>
    <row r="9420" spans="1:9" hidden="1" x14ac:dyDescent="0.25">
      <c r="A9420" t="s">
        <v>7864</v>
      </c>
      <c r="B9420" t="s">
        <v>130</v>
      </c>
      <c r="C9420" s="2">
        <f>HYPERLINK("https://cao.dolgi.msk.ru/account/1080103118/", 1080103118)</f>
        <v>1080103118</v>
      </c>
      <c r="D9420" t="s">
        <v>7911</v>
      </c>
      <c r="E9420">
        <v>-118.94</v>
      </c>
      <c r="F9420">
        <v>-0.03</v>
      </c>
      <c r="G9420" t="s">
        <v>12</v>
      </c>
      <c r="I9420" t="s">
        <v>230</v>
      </c>
    </row>
    <row r="9421" spans="1:9" hidden="1" x14ac:dyDescent="0.25">
      <c r="A9421" t="s">
        <v>7864</v>
      </c>
      <c r="B9421" t="s">
        <v>132</v>
      </c>
      <c r="C9421" s="2">
        <f>HYPERLINK("https://cao.dolgi.msk.ru/account/1080103126/", 1080103126)</f>
        <v>1080103126</v>
      </c>
      <c r="D9421" t="s">
        <v>7912</v>
      </c>
      <c r="E9421">
        <v>-1813.75</v>
      </c>
      <c r="F9421">
        <v>-0.39</v>
      </c>
      <c r="G9421" t="s">
        <v>12</v>
      </c>
      <c r="I9421" t="s">
        <v>230</v>
      </c>
    </row>
    <row r="9422" spans="1:9" hidden="1" x14ac:dyDescent="0.25">
      <c r="A9422" t="s">
        <v>7864</v>
      </c>
      <c r="B9422" t="s">
        <v>133</v>
      </c>
      <c r="C9422" s="2">
        <f>HYPERLINK("https://cao.dolgi.msk.ru/account/1080103134/", 1080103134)</f>
        <v>1080103134</v>
      </c>
      <c r="D9422" t="s">
        <v>7913</v>
      </c>
      <c r="E9422">
        <v>-19581.77</v>
      </c>
      <c r="F9422">
        <v>-3.82</v>
      </c>
      <c r="G9422" t="s">
        <v>12</v>
      </c>
      <c r="I9422" t="s">
        <v>230</v>
      </c>
    </row>
    <row r="9423" spans="1:9" hidden="1" x14ac:dyDescent="0.25">
      <c r="A9423" t="s">
        <v>7864</v>
      </c>
      <c r="B9423" t="s">
        <v>135</v>
      </c>
      <c r="C9423" s="2">
        <f>HYPERLINK("https://cao.dolgi.msk.ru/account/1080103142/", 1080103142)</f>
        <v>1080103142</v>
      </c>
      <c r="D9423" t="s">
        <v>7914</v>
      </c>
      <c r="E9423">
        <v>-5038.25</v>
      </c>
      <c r="F9423">
        <v>-0.71</v>
      </c>
      <c r="G9423" t="s">
        <v>12</v>
      </c>
      <c r="I9423" t="s">
        <v>230</v>
      </c>
    </row>
    <row r="9424" spans="1:9" hidden="1" x14ac:dyDescent="0.25">
      <c r="A9424" t="s">
        <v>7864</v>
      </c>
      <c r="B9424" t="s">
        <v>137</v>
      </c>
      <c r="C9424" s="2">
        <f>HYPERLINK("https://cao.dolgi.msk.ru/account/1080103169/", 1080103169)</f>
        <v>1080103169</v>
      </c>
      <c r="D9424" t="s">
        <v>7915</v>
      </c>
      <c r="E9424">
        <v>-1500.83</v>
      </c>
      <c r="F9424">
        <v>-1.1200000000000001</v>
      </c>
      <c r="G9424" t="s">
        <v>12</v>
      </c>
      <c r="I9424" t="s">
        <v>230</v>
      </c>
    </row>
    <row r="9425" spans="1:9" hidden="1" x14ac:dyDescent="0.25">
      <c r="A9425" t="s">
        <v>7864</v>
      </c>
      <c r="B9425" t="s">
        <v>139</v>
      </c>
      <c r="C9425" s="2">
        <f>HYPERLINK("https://cao.dolgi.msk.ru/account/1080103177/", 1080103177)</f>
        <v>1080103177</v>
      </c>
      <c r="D9425" t="s">
        <v>7916</v>
      </c>
      <c r="E9425">
        <v>-2135.9299999999998</v>
      </c>
      <c r="F9425">
        <v>-1.02</v>
      </c>
      <c r="G9425" t="s">
        <v>12</v>
      </c>
      <c r="I9425" t="s">
        <v>230</v>
      </c>
    </row>
    <row r="9426" spans="1:9" hidden="1" x14ac:dyDescent="0.25">
      <c r="A9426" t="s">
        <v>7864</v>
      </c>
      <c r="B9426" t="s">
        <v>139</v>
      </c>
      <c r="C9426" s="2">
        <f>HYPERLINK("https://cao.dolgi.msk.ru/account/1089114956/", 1089114956)</f>
        <v>1089114956</v>
      </c>
      <c r="D9426" t="s">
        <v>7916</v>
      </c>
      <c r="E9426">
        <v>-2052.84</v>
      </c>
      <c r="F9426">
        <v>-1.01</v>
      </c>
      <c r="G9426" t="s">
        <v>12</v>
      </c>
      <c r="I9426" t="s">
        <v>230</v>
      </c>
    </row>
    <row r="9427" spans="1:9" hidden="1" x14ac:dyDescent="0.25">
      <c r="A9427" t="s">
        <v>7864</v>
      </c>
      <c r="B9427" t="s">
        <v>141</v>
      </c>
      <c r="C9427" s="2">
        <f>HYPERLINK("https://cao.dolgi.msk.ru/account/1080103185/", 1080103185)</f>
        <v>1080103185</v>
      </c>
      <c r="D9427" t="s">
        <v>7917</v>
      </c>
      <c r="E9427">
        <v>-5503.55</v>
      </c>
      <c r="F9427">
        <v>-0.94</v>
      </c>
      <c r="G9427" t="s">
        <v>12</v>
      </c>
      <c r="I9427" t="s">
        <v>230</v>
      </c>
    </row>
    <row r="9428" spans="1:9" hidden="1" x14ac:dyDescent="0.25">
      <c r="A9428" t="s">
        <v>7864</v>
      </c>
      <c r="B9428" t="s">
        <v>143</v>
      </c>
      <c r="C9428" s="2">
        <f>HYPERLINK("https://cao.dolgi.msk.ru/account/1080103193/", 1080103193)</f>
        <v>1080103193</v>
      </c>
      <c r="D9428" t="s">
        <v>7918</v>
      </c>
      <c r="E9428">
        <v>6060.97</v>
      </c>
      <c r="F9428">
        <v>0.81</v>
      </c>
      <c r="G9428" t="s">
        <v>12</v>
      </c>
      <c r="I9428" t="s">
        <v>230</v>
      </c>
    </row>
    <row r="9429" spans="1:9" hidden="1" x14ac:dyDescent="0.25">
      <c r="A9429" t="s">
        <v>7864</v>
      </c>
      <c r="B9429" t="s">
        <v>145</v>
      </c>
      <c r="C9429" s="2">
        <f>HYPERLINK("https://cao.dolgi.msk.ru/account/1080103206/", 1080103206)</f>
        <v>1080103206</v>
      </c>
      <c r="D9429" t="s">
        <v>7919</v>
      </c>
      <c r="E9429">
        <v>-3971.93</v>
      </c>
      <c r="F9429">
        <v>-0.98</v>
      </c>
      <c r="G9429" t="s">
        <v>12</v>
      </c>
      <c r="I9429" t="s">
        <v>230</v>
      </c>
    </row>
    <row r="9430" spans="1:9" hidden="1" x14ac:dyDescent="0.25">
      <c r="A9430" t="s">
        <v>7864</v>
      </c>
      <c r="B9430" t="s">
        <v>147</v>
      </c>
      <c r="C9430" s="2">
        <f>HYPERLINK("https://cao.dolgi.msk.ru/account/1080103214/", 1080103214)</f>
        <v>1080103214</v>
      </c>
      <c r="D9430" t="s">
        <v>7920</v>
      </c>
      <c r="E9430">
        <v>-3937.06</v>
      </c>
      <c r="F9430">
        <v>-1.0900000000000001</v>
      </c>
      <c r="G9430" t="s">
        <v>12</v>
      </c>
      <c r="I9430" t="s">
        <v>230</v>
      </c>
    </row>
    <row r="9431" spans="1:9" hidden="1" x14ac:dyDescent="0.25">
      <c r="A9431" t="s">
        <v>7864</v>
      </c>
      <c r="B9431" t="s">
        <v>149</v>
      </c>
      <c r="C9431" s="2">
        <f>HYPERLINK("https://cao.dolgi.msk.ru/account/1080103222/", 1080103222)</f>
        <v>1080103222</v>
      </c>
      <c r="D9431" t="s">
        <v>7921</v>
      </c>
      <c r="E9431">
        <v>-4558.29</v>
      </c>
      <c r="F9431">
        <v>-1.1399999999999999</v>
      </c>
      <c r="G9431" t="s">
        <v>12</v>
      </c>
      <c r="I9431" t="s">
        <v>230</v>
      </c>
    </row>
    <row r="9432" spans="1:9" hidden="1" x14ac:dyDescent="0.25">
      <c r="A9432" t="s">
        <v>7864</v>
      </c>
      <c r="B9432" t="s">
        <v>151</v>
      </c>
      <c r="C9432" s="2">
        <f>HYPERLINK("https://cao.dolgi.msk.ru/account/1080103249/", 1080103249)</f>
        <v>1080103249</v>
      </c>
      <c r="D9432" t="s">
        <v>7922</v>
      </c>
      <c r="E9432">
        <v>-9334.2999999999993</v>
      </c>
      <c r="F9432">
        <v>-1.07</v>
      </c>
      <c r="G9432" t="s">
        <v>12</v>
      </c>
      <c r="I9432" t="s">
        <v>230</v>
      </c>
    </row>
    <row r="9433" spans="1:9" hidden="1" x14ac:dyDescent="0.25">
      <c r="A9433" t="s">
        <v>7864</v>
      </c>
      <c r="B9433" t="s">
        <v>153</v>
      </c>
      <c r="C9433" s="2">
        <f>HYPERLINK("https://cao.dolgi.msk.ru/account/1080103257/", 1080103257)</f>
        <v>1080103257</v>
      </c>
      <c r="D9433" t="s">
        <v>7923</v>
      </c>
      <c r="E9433">
        <v>-2572.35</v>
      </c>
      <c r="F9433">
        <v>-0.43</v>
      </c>
      <c r="G9433" t="s">
        <v>12</v>
      </c>
      <c r="I9433" t="s">
        <v>230</v>
      </c>
    </row>
    <row r="9434" spans="1:9" hidden="1" x14ac:dyDescent="0.25">
      <c r="A9434" t="s">
        <v>7864</v>
      </c>
      <c r="B9434" t="s">
        <v>155</v>
      </c>
      <c r="C9434" s="2">
        <f>HYPERLINK("https://cao.dolgi.msk.ru/account/1080103265/", 1080103265)</f>
        <v>1080103265</v>
      </c>
      <c r="D9434" t="s">
        <v>7924</v>
      </c>
      <c r="E9434">
        <v>-2745.64</v>
      </c>
      <c r="F9434">
        <v>-1.1000000000000001</v>
      </c>
      <c r="G9434" t="s">
        <v>12</v>
      </c>
      <c r="I9434" t="s">
        <v>230</v>
      </c>
    </row>
    <row r="9435" spans="1:9" hidden="1" x14ac:dyDescent="0.25">
      <c r="A9435" t="s">
        <v>7864</v>
      </c>
      <c r="B9435" t="s">
        <v>157</v>
      </c>
      <c r="C9435" s="2">
        <f>HYPERLINK("https://cao.dolgi.msk.ru/account/1080103273/", 1080103273)</f>
        <v>1080103273</v>
      </c>
      <c r="D9435" t="s">
        <v>7925</v>
      </c>
      <c r="E9435">
        <v>-6748.73</v>
      </c>
      <c r="F9435">
        <v>-1</v>
      </c>
      <c r="G9435" t="s">
        <v>12</v>
      </c>
      <c r="I9435" t="s">
        <v>230</v>
      </c>
    </row>
    <row r="9436" spans="1:9" hidden="1" x14ac:dyDescent="0.25">
      <c r="A9436" t="s">
        <v>7864</v>
      </c>
      <c r="B9436" t="s">
        <v>159</v>
      </c>
      <c r="C9436" s="2">
        <f>HYPERLINK("https://cao.dolgi.msk.ru/account/1080103281/", 1080103281)</f>
        <v>1080103281</v>
      </c>
      <c r="D9436" t="s">
        <v>7926</v>
      </c>
      <c r="E9436">
        <v>-1045.51</v>
      </c>
      <c r="F9436">
        <v>-0.13</v>
      </c>
      <c r="G9436" t="s">
        <v>12</v>
      </c>
      <c r="I9436" t="s">
        <v>230</v>
      </c>
    </row>
    <row r="9437" spans="1:9" hidden="1" x14ac:dyDescent="0.25">
      <c r="A9437" t="s">
        <v>7864</v>
      </c>
      <c r="B9437" t="s">
        <v>161</v>
      </c>
      <c r="C9437" s="2">
        <f>HYPERLINK("https://cao.dolgi.msk.ru/account/1080103302/", 1080103302)</f>
        <v>1080103302</v>
      </c>
      <c r="D9437" t="s">
        <v>7927</v>
      </c>
      <c r="E9437">
        <v>0</v>
      </c>
      <c r="F9437">
        <v>0</v>
      </c>
      <c r="G9437" t="s">
        <v>12</v>
      </c>
      <c r="I9437" t="s">
        <v>230</v>
      </c>
    </row>
    <row r="9438" spans="1:9" hidden="1" x14ac:dyDescent="0.25">
      <c r="A9438" t="s">
        <v>7864</v>
      </c>
      <c r="B9438" t="s">
        <v>163</v>
      </c>
      <c r="C9438" s="2">
        <f>HYPERLINK("https://cao.dolgi.msk.ru/account/1080103329/", 1080103329)</f>
        <v>1080103329</v>
      </c>
      <c r="D9438" t="s">
        <v>7928</v>
      </c>
      <c r="E9438">
        <v>-8023.7</v>
      </c>
      <c r="F9438">
        <v>-1.1499999999999999</v>
      </c>
      <c r="G9438" t="s">
        <v>12</v>
      </c>
      <c r="I9438" t="s">
        <v>230</v>
      </c>
    </row>
    <row r="9439" spans="1:9" hidden="1" x14ac:dyDescent="0.25">
      <c r="A9439" t="s">
        <v>7864</v>
      </c>
      <c r="B9439" t="s">
        <v>571</v>
      </c>
      <c r="C9439" s="2">
        <f>HYPERLINK("https://cao.dolgi.msk.ru/account/1080103337/", 1080103337)</f>
        <v>1080103337</v>
      </c>
      <c r="D9439" t="s">
        <v>7929</v>
      </c>
      <c r="E9439">
        <v>18.329999999999998</v>
      </c>
      <c r="F9439">
        <v>0</v>
      </c>
      <c r="G9439" t="s">
        <v>12</v>
      </c>
      <c r="I9439" t="s">
        <v>230</v>
      </c>
    </row>
    <row r="9440" spans="1:9" hidden="1" x14ac:dyDescent="0.25">
      <c r="A9440" t="s">
        <v>7864</v>
      </c>
      <c r="B9440" t="s">
        <v>682</v>
      </c>
      <c r="C9440" s="2">
        <f>HYPERLINK("https://cao.dolgi.msk.ru/account/1080103345/", 1080103345)</f>
        <v>1080103345</v>
      </c>
      <c r="D9440" t="s">
        <v>7930</v>
      </c>
      <c r="E9440">
        <v>-6482.98</v>
      </c>
      <c r="F9440">
        <v>-1.28</v>
      </c>
      <c r="G9440" t="s">
        <v>12</v>
      </c>
      <c r="I9440" t="s">
        <v>230</v>
      </c>
    </row>
    <row r="9441" spans="1:9" hidden="1" x14ac:dyDescent="0.25">
      <c r="A9441" t="s">
        <v>7864</v>
      </c>
      <c r="B9441" t="s">
        <v>578</v>
      </c>
      <c r="C9441" s="2">
        <f>HYPERLINK("https://cao.dolgi.msk.ru/account/1080103353/", 1080103353)</f>
        <v>1080103353</v>
      </c>
      <c r="D9441" t="s">
        <v>7931</v>
      </c>
      <c r="E9441">
        <v>-1008.05</v>
      </c>
      <c r="F9441">
        <v>-0.11</v>
      </c>
      <c r="G9441" t="s">
        <v>12</v>
      </c>
      <c r="I9441" t="s">
        <v>230</v>
      </c>
    </row>
    <row r="9442" spans="1:9" hidden="1" x14ac:dyDescent="0.25">
      <c r="A9442" t="s">
        <v>7864</v>
      </c>
      <c r="B9442" t="s">
        <v>580</v>
      </c>
      <c r="C9442" s="2">
        <f>HYPERLINK("https://cao.dolgi.msk.ru/account/1080103361/", 1080103361)</f>
        <v>1080103361</v>
      </c>
      <c r="D9442" t="s">
        <v>7932</v>
      </c>
      <c r="E9442">
        <v>-818.58</v>
      </c>
      <c r="F9442">
        <v>-0.28999999999999998</v>
      </c>
      <c r="G9442" t="s">
        <v>12</v>
      </c>
      <c r="I9442" t="s">
        <v>230</v>
      </c>
    </row>
    <row r="9443" spans="1:9" hidden="1" x14ac:dyDescent="0.25">
      <c r="A9443" t="s">
        <v>7864</v>
      </c>
      <c r="B9443" t="s">
        <v>686</v>
      </c>
      <c r="C9443" s="2">
        <f>HYPERLINK("https://cao.dolgi.msk.ru/account/1080103388/", 1080103388)</f>
        <v>1080103388</v>
      </c>
      <c r="D9443" t="s">
        <v>7933</v>
      </c>
      <c r="E9443">
        <v>-69.900000000000006</v>
      </c>
      <c r="F9443">
        <v>-0.02</v>
      </c>
      <c r="G9443" t="s">
        <v>12</v>
      </c>
      <c r="I9443" t="s">
        <v>230</v>
      </c>
    </row>
    <row r="9444" spans="1:9" hidden="1" x14ac:dyDescent="0.25">
      <c r="A9444" t="s">
        <v>7864</v>
      </c>
      <c r="B9444" t="s">
        <v>686</v>
      </c>
      <c r="C9444" s="2">
        <f>HYPERLINK("https://cao.dolgi.msk.ru/account/1083284102/", 1083284102)</f>
        <v>1083284102</v>
      </c>
      <c r="D9444" t="s">
        <v>15</v>
      </c>
      <c r="E9444">
        <v>-330.99</v>
      </c>
      <c r="F9444">
        <v>-0.05</v>
      </c>
      <c r="G9444" t="s">
        <v>12</v>
      </c>
      <c r="I9444" t="s">
        <v>230</v>
      </c>
    </row>
    <row r="9445" spans="1:9" x14ac:dyDescent="0.25">
      <c r="A9445" t="s">
        <v>7864</v>
      </c>
      <c r="B9445" t="s">
        <v>582</v>
      </c>
      <c r="C9445" s="2">
        <f>HYPERLINK("https://cao.dolgi.msk.ru/account/1080103396/", 1080103396)</f>
        <v>1080103396</v>
      </c>
      <c r="D9445" t="s">
        <v>7934</v>
      </c>
      <c r="E9445">
        <v>50719.23</v>
      </c>
      <c r="F9445">
        <v>3.96</v>
      </c>
      <c r="G9445" t="s">
        <v>12</v>
      </c>
      <c r="I9445" t="s">
        <v>230</v>
      </c>
    </row>
    <row r="9446" spans="1:9" hidden="1" x14ac:dyDescent="0.25">
      <c r="A9446" t="s">
        <v>7864</v>
      </c>
      <c r="B9446" t="s">
        <v>584</v>
      </c>
      <c r="C9446" s="2">
        <f>HYPERLINK("https://cao.dolgi.msk.ru/account/1080103409/", 1080103409)</f>
        <v>1080103409</v>
      </c>
      <c r="D9446" t="s">
        <v>7935</v>
      </c>
      <c r="G9446" t="s">
        <v>14</v>
      </c>
      <c r="I9446" t="s">
        <v>230</v>
      </c>
    </row>
    <row r="9447" spans="1:9" hidden="1" x14ac:dyDescent="0.25">
      <c r="A9447" t="s">
        <v>7864</v>
      </c>
      <c r="B9447" t="s">
        <v>586</v>
      </c>
      <c r="C9447" s="2">
        <f>HYPERLINK("https://cao.dolgi.msk.ru/account/1080103417/", 1080103417)</f>
        <v>1080103417</v>
      </c>
      <c r="D9447" t="s">
        <v>7936</v>
      </c>
      <c r="E9447">
        <v>-48057.98</v>
      </c>
      <c r="F9447">
        <v>-4.13</v>
      </c>
      <c r="G9447" t="s">
        <v>12</v>
      </c>
      <c r="I9447" t="s">
        <v>230</v>
      </c>
    </row>
    <row r="9448" spans="1:9" hidden="1" x14ac:dyDescent="0.25">
      <c r="A9448" t="s">
        <v>7864</v>
      </c>
      <c r="B9448" t="s">
        <v>588</v>
      </c>
      <c r="C9448" s="2">
        <f>HYPERLINK("https://cao.dolgi.msk.ru/account/1080103425/", 1080103425)</f>
        <v>1080103425</v>
      </c>
      <c r="D9448" t="s">
        <v>7937</v>
      </c>
      <c r="E9448">
        <v>-5068.8100000000004</v>
      </c>
      <c r="F9448">
        <v>-1.6</v>
      </c>
      <c r="G9448" t="s">
        <v>12</v>
      </c>
      <c r="I9448" t="s">
        <v>230</v>
      </c>
    </row>
    <row r="9449" spans="1:9" hidden="1" x14ac:dyDescent="0.25">
      <c r="A9449" t="s">
        <v>7864</v>
      </c>
      <c r="B9449" t="s">
        <v>590</v>
      </c>
      <c r="C9449" s="2">
        <f>HYPERLINK("https://cao.dolgi.msk.ru/account/1080103433/", 1080103433)</f>
        <v>1080103433</v>
      </c>
      <c r="D9449" t="s">
        <v>7938</v>
      </c>
      <c r="E9449">
        <v>-6730.4</v>
      </c>
      <c r="F9449">
        <v>-1.08</v>
      </c>
      <c r="G9449" t="s">
        <v>12</v>
      </c>
      <c r="I9449" t="s">
        <v>230</v>
      </c>
    </row>
    <row r="9450" spans="1:9" hidden="1" x14ac:dyDescent="0.25">
      <c r="A9450" t="s">
        <v>7864</v>
      </c>
      <c r="B9450" t="s">
        <v>693</v>
      </c>
      <c r="C9450" s="2">
        <f>HYPERLINK("https://cao.dolgi.msk.ru/account/1080103441/", 1080103441)</f>
        <v>1080103441</v>
      </c>
      <c r="D9450" t="s">
        <v>7939</v>
      </c>
      <c r="E9450">
        <v>-146.51</v>
      </c>
      <c r="F9450">
        <v>-0.03</v>
      </c>
      <c r="G9450" t="s">
        <v>12</v>
      </c>
      <c r="I9450" t="s">
        <v>230</v>
      </c>
    </row>
    <row r="9451" spans="1:9" hidden="1" x14ac:dyDescent="0.25">
      <c r="A9451" t="s">
        <v>7864</v>
      </c>
      <c r="B9451" t="s">
        <v>694</v>
      </c>
      <c r="C9451" s="2">
        <f>HYPERLINK("https://cao.dolgi.msk.ru/account/1080103468/", 1080103468)</f>
        <v>1080103468</v>
      </c>
      <c r="D9451" t="s">
        <v>7940</v>
      </c>
      <c r="E9451">
        <v>-41187.17</v>
      </c>
      <c r="F9451">
        <v>-4.95</v>
      </c>
      <c r="G9451" t="s">
        <v>12</v>
      </c>
      <c r="I9451" t="s">
        <v>230</v>
      </c>
    </row>
    <row r="9452" spans="1:9" hidden="1" x14ac:dyDescent="0.25">
      <c r="A9452" t="s">
        <v>7864</v>
      </c>
      <c r="B9452" t="s">
        <v>696</v>
      </c>
      <c r="C9452" s="2">
        <f>HYPERLINK("https://cao.dolgi.msk.ru/account/1080103476/", 1080103476)</f>
        <v>1080103476</v>
      </c>
      <c r="D9452" t="s">
        <v>7941</v>
      </c>
      <c r="E9452">
        <v>-6700.39</v>
      </c>
      <c r="F9452">
        <v>-1.1100000000000001</v>
      </c>
      <c r="G9452" t="s">
        <v>12</v>
      </c>
      <c r="I9452" t="s">
        <v>230</v>
      </c>
    </row>
    <row r="9453" spans="1:9" hidden="1" x14ac:dyDescent="0.25">
      <c r="A9453" t="s">
        <v>7864</v>
      </c>
      <c r="B9453" t="s">
        <v>698</v>
      </c>
      <c r="C9453" s="2">
        <f>HYPERLINK("https://cao.dolgi.msk.ru/account/1080103484/", 1080103484)</f>
        <v>1080103484</v>
      </c>
      <c r="D9453" t="s">
        <v>7942</v>
      </c>
      <c r="E9453">
        <v>-8468.2999999999993</v>
      </c>
      <c r="F9453">
        <v>-1.02</v>
      </c>
      <c r="G9453" t="s">
        <v>12</v>
      </c>
      <c r="I9453" t="s">
        <v>230</v>
      </c>
    </row>
    <row r="9454" spans="1:9" hidden="1" x14ac:dyDescent="0.25">
      <c r="A9454" t="s">
        <v>7864</v>
      </c>
      <c r="B9454" t="s">
        <v>700</v>
      </c>
      <c r="C9454" s="2">
        <f>HYPERLINK("https://cao.dolgi.msk.ru/account/1080103492/", 1080103492)</f>
        <v>1080103492</v>
      </c>
      <c r="D9454" t="s">
        <v>7943</v>
      </c>
      <c r="E9454">
        <v>-949.2</v>
      </c>
      <c r="F9454">
        <v>-0.11</v>
      </c>
      <c r="G9454" t="s">
        <v>12</v>
      </c>
      <c r="I9454" t="s">
        <v>230</v>
      </c>
    </row>
    <row r="9455" spans="1:9" hidden="1" x14ac:dyDescent="0.25">
      <c r="A9455" t="s">
        <v>7864</v>
      </c>
      <c r="B9455" t="s">
        <v>702</v>
      </c>
      <c r="C9455" s="2">
        <f>HYPERLINK("https://cao.dolgi.msk.ru/account/1080103505/", 1080103505)</f>
        <v>1080103505</v>
      </c>
      <c r="D9455" t="s">
        <v>7944</v>
      </c>
      <c r="E9455">
        <v>-6772.63</v>
      </c>
      <c r="F9455">
        <v>-1.27</v>
      </c>
      <c r="G9455" t="s">
        <v>12</v>
      </c>
      <c r="I9455" t="s">
        <v>230</v>
      </c>
    </row>
    <row r="9456" spans="1:9" x14ac:dyDescent="0.25">
      <c r="A9456" t="s">
        <v>7864</v>
      </c>
      <c r="B9456" t="s">
        <v>703</v>
      </c>
      <c r="C9456" s="2">
        <f>HYPERLINK("https://cao.dolgi.msk.ru/account/1080103513/", 1080103513)</f>
        <v>1080103513</v>
      </c>
      <c r="D9456" t="s">
        <v>7945</v>
      </c>
      <c r="E9456">
        <v>10832.3</v>
      </c>
      <c r="F9456">
        <v>1.27</v>
      </c>
      <c r="G9456" t="s">
        <v>12</v>
      </c>
      <c r="I9456" t="s">
        <v>230</v>
      </c>
    </row>
    <row r="9457" spans="1:9" hidden="1" x14ac:dyDescent="0.25">
      <c r="A9457" t="s">
        <v>7864</v>
      </c>
      <c r="B9457" t="s">
        <v>703</v>
      </c>
      <c r="C9457" s="2">
        <f>HYPERLINK("https://cao.dolgi.msk.ru/account/1083274617/", 1083274617)</f>
        <v>1083274617</v>
      </c>
      <c r="D9457" t="s">
        <v>15</v>
      </c>
      <c r="E9457">
        <v>-2499.0700000000002</v>
      </c>
      <c r="G9457" t="s">
        <v>14</v>
      </c>
      <c r="I9457" t="s">
        <v>230</v>
      </c>
    </row>
    <row r="9458" spans="1:9" hidden="1" x14ac:dyDescent="0.25">
      <c r="A9458" t="s">
        <v>7864</v>
      </c>
      <c r="B9458" t="s">
        <v>705</v>
      </c>
      <c r="C9458" s="2">
        <f>HYPERLINK("https://cao.dolgi.msk.ru/account/1080103521/", 1080103521)</f>
        <v>1080103521</v>
      </c>
      <c r="D9458" t="s">
        <v>7946</v>
      </c>
      <c r="E9458">
        <v>-9089.8700000000008</v>
      </c>
      <c r="F9458">
        <v>-1.25</v>
      </c>
      <c r="G9458" t="s">
        <v>12</v>
      </c>
      <c r="I9458" t="s">
        <v>230</v>
      </c>
    </row>
    <row r="9459" spans="1:9" hidden="1" x14ac:dyDescent="0.25">
      <c r="A9459" t="s">
        <v>7864</v>
      </c>
      <c r="B9459" t="s">
        <v>707</v>
      </c>
      <c r="C9459" s="2">
        <f>HYPERLINK("https://cao.dolgi.msk.ru/account/1080103548/", 1080103548)</f>
        <v>1080103548</v>
      </c>
      <c r="D9459" t="s">
        <v>7947</v>
      </c>
      <c r="E9459">
        <v>-5029.03</v>
      </c>
      <c r="F9459">
        <v>-1.1100000000000001</v>
      </c>
      <c r="G9459" t="s">
        <v>12</v>
      </c>
      <c r="I9459" t="s">
        <v>230</v>
      </c>
    </row>
    <row r="9460" spans="1:9" hidden="1" x14ac:dyDescent="0.25">
      <c r="A9460" t="s">
        <v>7864</v>
      </c>
      <c r="B9460" t="s">
        <v>709</v>
      </c>
      <c r="C9460" s="2">
        <f>HYPERLINK("https://cao.dolgi.msk.ru/account/1080103556/", 1080103556)</f>
        <v>1080103556</v>
      </c>
      <c r="D9460" t="s">
        <v>7948</v>
      </c>
      <c r="E9460">
        <v>-8576.32</v>
      </c>
      <c r="F9460">
        <v>-1.02</v>
      </c>
      <c r="G9460" t="s">
        <v>12</v>
      </c>
      <c r="I9460" t="s">
        <v>230</v>
      </c>
    </row>
    <row r="9461" spans="1:9" hidden="1" x14ac:dyDescent="0.25">
      <c r="A9461" t="s">
        <v>7864</v>
      </c>
      <c r="B9461" t="s">
        <v>711</v>
      </c>
      <c r="C9461" s="2">
        <f>HYPERLINK("https://cao.dolgi.msk.ru/account/1080103564/", 1080103564)</f>
        <v>1080103564</v>
      </c>
      <c r="D9461" t="s">
        <v>7949</v>
      </c>
      <c r="E9461">
        <v>0</v>
      </c>
      <c r="F9461">
        <v>0</v>
      </c>
      <c r="G9461" t="s">
        <v>12</v>
      </c>
      <c r="I9461" t="s">
        <v>230</v>
      </c>
    </row>
    <row r="9462" spans="1:9" hidden="1" x14ac:dyDescent="0.25">
      <c r="A9462" t="s">
        <v>7864</v>
      </c>
      <c r="B9462" t="s">
        <v>713</v>
      </c>
      <c r="C9462" s="2">
        <f>HYPERLINK("https://cao.dolgi.msk.ru/account/1080103572/", 1080103572)</f>
        <v>1080103572</v>
      </c>
      <c r="D9462" t="s">
        <v>7950</v>
      </c>
      <c r="E9462">
        <v>-2938.13</v>
      </c>
      <c r="F9462">
        <v>-1.1499999999999999</v>
      </c>
      <c r="G9462" t="s">
        <v>12</v>
      </c>
      <c r="I9462" t="s">
        <v>230</v>
      </c>
    </row>
    <row r="9463" spans="1:9" x14ac:dyDescent="0.25">
      <c r="A9463" t="s">
        <v>7864</v>
      </c>
      <c r="B9463" t="s">
        <v>528</v>
      </c>
      <c r="C9463" s="2">
        <f>HYPERLINK("https://cao.dolgi.msk.ru/account/1080103599/", 1080103599)</f>
        <v>1080103599</v>
      </c>
      <c r="D9463" t="s">
        <v>7951</v>
      </c>
      <c r="E9463">
        <v>16601.29</v>
      </c>
      <c r="F9463">
        <v>2.15</v>
      </c>
      <c r="G9463" t="s">
        <v>12</v>
      </c>
      <c r="I9463" t="s">
        <v>230</v>
      </c>
    </row>
    <row r="9464" spans="1:9" hidden="1" x14ac:dyDescent="0.25">
      <c r="A9464" t="s">
        <v>7864</v>
      </c>
      <c r="B9464" t="s">
        <v>530</v>
      </c>
      <c r="C9464" s="2">
        <f>HYPERLINK("https://cao.dolgi.msk.ru/account/1080103601/", 1080103601)</f>
        <v>1080103601</v>
      </c>
      <c r="D9464" t="s">
        <v>7952</v>
      </c>
      <c r="E9464">
        <v>-7667.06</v>
      </c>
      <c r="F9464">
        <v>-1.02</v>
      </c>
      <c r="G9464" t="s">
        <v>12</v>
      </c>
      <c r="I9464" t="s">
        <v>230</v>
      </c>
    </row>
    <row r="9465" spans="1:9" hidden="1" x14ac:dyDescent="0.25">
      <c r="A9465" t="s">
        <v>7864</v>
      </c>
      <c r="B9465" t="s">
        <v>532</v>
      </c>
      <c r="C9465" s="2">
        <f>HYPERLINK("https://cao.dolgi.msk.ru/account/1080103628/", 1080103628)</f>
        <v>1080103628</v>
      </c>
      <c r="D9465" t="s">
        <v>7953</v>
      </c>
      <c r="E9465">
        <v>-518.67999999999995</v>
      </c>
      <c r="F9465">
        <v>-0.08</v>
      </c>
      <c r="G9465" t="s">
        <v>12</v>
      </c>
      <c r="I9465" t="s">
        <v>230</v>
      </c>
    </row>
    <row r="9466" spans="1:9" hidden="1" x14ac:dyDescent="0.25">
      <c r="A9466" t="s">
        <v>7864</v>
      </c>
      <c r="B9466" t="s">
        <v>534</v>
      </c>
      <c r="C9466" s="2">
        <f>HYPERLINK("https://cao.dolgi.msk.ru/account/1080103636/", 1080103636)</f>
        <v>1080103636</v>
      </c>
      <c r="D9466" t="s">
        <v>7954</v>
      </c>
      <c r="E9466">
        <v>-15898.57</v>
      </c>
      <c r="F9466">
        <v>-0.97</v>
      </c>
      <c r="G9466" t="s">
        <v>12</v>
      </c>
      <c r="I9466" t="s">
        <v>230</v>
      </c>
    </row>
    <row r="9467" spans="1:9" hidden="1" x14ac:dyDescent="0.25">
      <c r="A9467" t="s">
        <v>7864</v>
      </c>
      <c r="B9467" t="s">
        <v>536</v>
      </c>
      <c r="C9467" s="2">
        <f>HYPERLINK("https://cao.dolgi.msk.ru/account/1080103644/", 1080103644)</f>
        <v>1080103644</v>
      </c>
      <c r="D9467" t="s">
        <v>7955</v>
      </c>
      <c r="E9467">
        <v>-5075.03</v>
      </c>
      <c r="F9467">
        <v>-1.58</v>
      </c>
      <c r="G9467" t="s">
        <v>12</v>
      </c>
      <c r="I9467" t="s">
        <v>230</v>
      </c>
    </row>
    <row r="9468" spans="1:9" x14ac:dyDescent="0.25">
      <c r="A9468" t="s">
        <v>7864</v>
      </c>
      <c r="B9468" t="s">
        <v>538</v>
      </c>
      <c r="C9468" s="2">
        <f>HYPERLINK("https://cao.dolgi.msk.ru/account/1080103652/", 1080103652)</f>
        <v>1080103652</v>
      </c>
      <c r="D9468" t="s">
        <v>7956</v>
      </c>
      <c r="E9468">
        <v>4829.43</v>
      </c>
      <c r="F9468">
        <v>1.03</v>
      </c>
      <c r="G9468" t="s">
        <v>12</v>
      </c>
      <c r="I9468" t="s">
        <v>230</v>
      </c>
    </row>
    <row r="9469" spans="1:9" hidden="1" x14ac:dyDescent="0.25">
      <c r="A9469" t="s">
        <v>7864</v>
      </c>
      <c r="B9469" t="s">
        <v>539</v>
      </c>
      <c r="C9469" s="2">
        <f>HYPERLINK("https://cao.dolgi.msk.ru/account/1080103679/", 1080103679)</f>
        <v>1080103679</v>
      </c>
      <c r="D9469" t="s">
        <v>7957</v>
      </c>
      <c r="E9469">
        <v>-11077.22</v>
      </c>
      <c r="F9469">
        <v>-0.88</v>
      </c>
      <c r="G9469" t="s">
        <v>12</v>
      </c>
      <c r="I9469" t="s">
        <v>230</v>
      </c>
    </row>
    <row r="9470" spans="1:9" hidden="1" x14ac:dyDescent="0.25">
      <c r="A9470" t="s">
        <v>7864</v>
      </c>
      <c r="B9470" t="s">
        <v>541</v>
      </c>
      <c r="C9470" s="2">
        <f>HYPERLINK("https://cao.dolgi.msk.ru/account/1080103687/", 1080103687)</f>
        <v>1080103687</v>
      </c>
      <c r="D9470" t="s">
        <v>7958</v>
      </c>
      <c r="E9470">
        <v>-5770.44</v>
      </c>
      <c r="F9470">
        <v>-1.0900000000000001</v>
      </c>
      <c r="G9470" t="s">
        <v>12</v>
      </c>
      <c r="I9470" t="s">
        <v>230</v>
      </c>
    </row>
    <row r="9471" spans="1:9" hidden="1" x14ac:dyDescent="0.25">
      <c r="A9471" t="s">
        <v>7864</v>
      </c>
      <c r="B9471" t="s">
        <v>543</v>
      </c>
      <c r="C9471" s="2">
        <f>HYPERLINK("https://cao.dolgi.msk.ru/account/1080103695/", 1080103695)</f>
        <v>1080103695</v>
      </c>
      <c r="D9471" t="s">
        <v>7959</v>
      </c>
      <c r="E9471">
        <v>-2024.18</v>
      </c>
      <c r="F9471">
        <v>-0.36</v>
      </c>
      <c r="G9471" t="s">
        <v>12</v>
      </c>
      <c r="I9471" t="s">
        <v>230</v>
      </c>
    </row>
    <row r="9472" spans="1:9" hidden="1" x14ac:dyDescent="0.25">
      <c r="A9472" t="s">
        <v>7864</v>
      </c>
      <c r="B9472" t="s">
        <v>545</v>
      </c>
      <c r="C9472" s="2">
        <f>HYPERLINK("https://cao.dolgi.msk.ru/account/1080103708/", 1080103708)</f>
        <v>1080103708</v>
      </c>
      <c r="D9472" t="s">
        <v>7960</v>
      </c>
      <c r="E9472">
        <v>-8435.18</v>
      </c>
      <c r="F9472">
        <v>-0.99</v>
      </c>
      <c r="G9472" t="s">
        <v>12</v>
      </c>
      <c r="I9472" t="s">
        <v>230</v>
      </c>
    </row>
    <row r="9473" spans="1:9" hidden="1" x14ac:dyDescent="0.25">
      <c r="A9473" t="s">
        <v>7864</v>
      </c>
      <c r="B9473" t="s">
        <v>546</v>
      </c>
      <c r="C9473" s="2">
        <f>HYPERLINK("https://cao.dolgi.msk.ru/account/1080103716/", 1080103716)</f>
        <v>1080103716</v>
      </c>
      <c r="D9473" t="s">
        <v>7961</v>
      </c>
      <c r="E9473">
        <v>0</v>
      </c>
      <c r="F9473">
        <v>0</v>
      </c>
      <c r="G9473" t="s">
        <v>12</v>
      </c>
      <c r="I9473" t="s">
        <v>230</v>
      </c>
    </row>
    <row r="9474" spans="1:9" hidden="1" x14ac:dyDescent="0.25">
      <c r="A9474" t="s">
        <v>7864</v>
      </c>
      <c r="B9474" t="s">
        <v>548</v>
      </c>
      <c r="C9474" s="2">
        <f>HYPERLINK("https://cao.dolgi.msk.ru/account/1080103724/", 1080103724)</f>
        <v>1080103724</v>
      </c>
      <c r="D9474" t="s">
        <v>7962</v>
      </c>
      <c r="E9474">
        <v>202.03</v>
      </c>
      <c r="F9474">
        <v>0.04</v>
      </c>
      <c r="G9474" t="s">
        <v>12</v>
      </c>
      <c r="I9474" t="s">
        <v>230</v>
      </c>
    </row>
    <row r="9475" spans="1:9" hidden="1" x14ac:dyDescent="0.25">
      <c r="A9475" t="s">
        <v>7864</v>
      </c>
      <c r="B9475" t="s">
        <v>727</v>
      </c>
      <c r="C9475" s="2">
        <f>HYPERLINK("https://cao.dolgi.msk.ru/account/1080103732/", 1080103732)</f>
        <v>1080103732</v>
      </c>
      <c r="D9475" t="s">
        <v>7963</v>
      </c>
      <c r="E9475">
        <v>-7366.77</v>
      </c>
      <c r="F9475">
        <v>-1.0900000000000001</v>
      </c>
      <c r="G9475" t="s">
        <v>12</v>
      </c>
      <c r="I9475" t="s">
        <v>230</v>
      </c>
    </row>
    <row r="9476" spans="1:9" hidden="1" x14ac:dyDescent="0.25">
      <c r="A9476" t="s">
        <v>7864</v>
      </c>
      <c r="B9476" t="s">
        <v>551</v>
      </c>
      <c r="C9476" s="2">
        <f>HYPERLINK("https://cao.dolgi.msk.ru/account/1080103759/", 1080103759)</f>
        <v>1080103759</v>
      </c>
      <c r="D9476" t="s">
        <v>7964</v>
      </c>
      <c r="E9476">
        <v>-3996.16</v>
      </c>
      <c r="F9476">
        <v>-1.1000000000000001</v>
      </c>
      <c r="G9476" t="s">
        <v>12</v>
      </c>
      <c r="I9476" t="s">
        <v>230</v>
      </c>
    </row>
    <row r="9477" spans="1:9" hidden="1" x14ac:dyDescent="0.25">
      <c r="A9477" t="s">
        <v>7864</v>
      </c>
      <c r="B9477" t="s">
        <v>730</v>
      </c>
      <c r="C9477" s="2">
        <f>HYPERLINK("https://cao.dolgi.msk.ru/account/1080103767/", 1080103767)</f>
        <v>1080103767</v>
      </c>
      <c r="D9477" t="s">
        <v>7965</v>
      </c>
      <c r="E9477">
        <v>-4707.2</v>
      </c>
      <c r="F9477">
        <v>-0.91</v>
      </c>
      <c r="G9477" t="s">
        <v>12</v>
      </c>
      <c r="I9477" t="s">
        <v>230</v>
      </c>
    </row>
    <row r="9478" spans="1:9" hidden="1" x14ac:dyDescent="0.25">
      <c r="A9478" t="s">
        <v>7864</v>
      </c>
      <c r="B9478" t="s">
        <v>732</v>
      </c>
      <c r="C9478" s="2">
        <f>HYPERLINK("https://cao.dolgi.msk.ru/account/1080103775/", 1080103775)</f>
        <v>1080103775</v>
      </c>
      <c r="D9478" t="s">
        <v>7966</v>
      </c>
      <c r="E9478">
        <v>88.52</v>
      </c>
      <c r="F9478">
        <v>0.01</v>
      </c>
      <c r="G9478" t="s">
        <v>12</v>
      </c>
      <c r="I9478" t="s">
        <v>230</v>
      </c>
    </row>
    <row r="9479" spans="1:9" hidden="1" x14ac:dyDescent="0.25">
      <c r="A9479" t="s">
        <v>7864</v>
      </c>
      <c r="B9479" t="s">
        <v>553</v>
      </c>
      <c r="C9479" s="2">
        <f>HYPERLINK("https://cao.dolgi.msk.ru/account/1080103783/", 1080103783)</f>
        <v>1080103783</v>
      </c>
      <c r="D9479" t="s">
        <v>7967</v>
      </c>
      <c r="E9479">
        <v>-5578.18</v>
      </c>
      <c r="F9479">
        <v>-1.08</v>
      </c>
      <c r="G9479" t="s">
        <v>12</v>
      </c>
      <c r="I9479" t="s">
        <v>230</v>
      </c>
    </row>
    <row r="9480" spans="1:9" hidden="1" x14ac:dyDescent="0.25">
      <c r="A9480" t="s">
        <v>7864</v>
      </c>
      <c r="B9480" t="s">
        <v>555</v>
      </c>
      <c r="C9480" s="2">
        <f>HYPERLINK("https://cao.dolgi.msk.ru/account/1080103791/", 1080103791)</f>
        <v>1080103791</v>
      </c>
      <c r="D9480" t="s">
        <v>7968</v>
      </c>
      <c r="E9480">
        <v>-2248.2199999999998</v>
      </c>
      <c r="F9480">
        <v>-0.78</v>
      </c>
      <c r="G9480" t="s">
        <v>12</v>
      </c>
      <c r="I9480" t="s">
        <v>230</v>
      </c>
    </row>
    <row r="9481" spans="1:9" hidden="1" x14ac:dyDescent="0.25">
      <c r="A9481" t="s">
        <v>7864</v>
      </c>
      <c r="B9481" t="s">
        <v>736</v>
      </c>
      <c r="C9481" s="2">
        <f>HYPERLINK("https://cao.dolgi.msk.ru/account/1080103804/", 1080103804)</f>
        <v>1080103804</v>
      </c>
      <c r="D9481" t="s">
        <v>7969</v>
      </c>
      <c r="E9481">
        <v>-6434.64</v>
      </c>
      <c r="F9481">
        <v>-1.77</v>
      </c>
      <c r="G9481" t="s">
        <v>12</v>
      </c>
      <c r="I9481" t="s">
        <v>230</v>
      </c>
    </row>
    <row r="9482" spans="1:9" hidden="1" x14ac:dyDescent="0.25">
      <c r="A9482" t="s">
        <v>7864</v>
      </c>
      <c r="B9482" t="s">
        <v>738</v>
      </c>
      <c r="C9482" s="2">
        <f>HYPERLINK("https://cao.dolgi.msk.ru/account/1080103812/", 1080103812)</f>
        <v>1080103812</v>
      </c>
      <c r="D9482" t="s">
        <v>7970</v>
      </c>
      <c r="E9482">
        <v>-3353.35</v>
      </c>
      <c r="F9482">
        <v>-1.29</v>
      </c>
      <c r="G9482" t="s">
        <v>12</v>
      </c>
      <c r="I9482" t="s">
        <v>230</v>
      </c>
    </row>
    <row r="9483" spans="1:9" hidden="1" x14ac:dyDescent="0.25">
      <c r="A9483" t="s">
        <v>7864</v>
      </c>
      <c r="B9483" t="s">
        <v>740</v>
      </c>
      <c r="C9483" s="2">
        <f>HYPERLINK("https://cao.dolgi.msk.ru/account/1080103839/", 1080103839)</f>
        <v>1080103839</v>
      </c>
      <c r="D9483" t="s">
        <v>7971</v>
      </c>
      <c r="E9483">
        <v>-17631.3</v>
      </c>
      <c r="F9483">
        <v>-2.6</v>
      </c>
      <c r="G9483" t="s">
        <v>12</v>
      </c>
      <c r="I9483" t="s">
        <v>230</v>
      </c>
    </row>
    <row r="9484" spans="1:9" hidden="1" x14ac:dyDescent="0.25">
      <c r="A9484" t="s">
        <v>7864</v>
      </c>
      <c r="B9484" t="s">
        <v>742</v>
      </c>
      <c r="C9484" s="2">
        <f>HYPERLINK("https://cao.dolgi.msk.ru/account/1080103847/", 1080103847)</f>
        <v>1080103847</v>
      </c>
      <c r="D9484" t="s">
        <v>7972</v>
      </c>
      <c r="E9484">
        <v>-10032.450000000001</v>
      </c>
      <c r="F9484">
        <v>-0.89</v>
      </c>
      <c r="G9484" t="s">
        <v>12</v>
      </c>
      <c r="I9484" t="s">
        <v>230</v>
      </c>
    </row>
    <row r="9485" spans="1:9" hidden="1" x14ac:dyDescent="0.25">
      <c r="A9485" t="s">
        <v>7864</v>
      </c>
      <c r="B9485" t="s">
        <v>742</v>
      </c>
      <c r="C9485" s="2">
        <f>HYPERLINK("https://cao.dolgi.msk.ru/account/1080326848/", 1080326848)</f>
        <v>1080326848</v>
      </c>
      <c r="D9485" t="s">
        <v>7973</v>
      </c>
      <c r="E9485">
        <v>-3442.09</v>
      </c>
      <c r="F9485">
        <v>-1.81</v>
      </c>
      <c r="G9485" t="s">
        <v>12</v>
      </c>
      <c r="I9485" t="s">
        <v>230</v>
      </c>
    </row>
    <row r="9486" spans="1:9" hidden="1" x14ac:dyDescent="0.25">
      <c r="A9486" t="s">
        <v>7864</v>
      </c>
      <c r="B9486" t="s">
        <v>557</v>
      </c>
      <c r="C9486" s="2">
        <f>HYPERLINK("https://cao.dolgi.msk.ru/account/1080103855/", 1080103855)</f>
        <v>1080103855</v>
      </c>
      <c r="D9486" t="s">
        <v>7974</v>
      </c>
      <c r="E9486">
        <v>-5298.95</v>
      </c>
      <c r="F9486">
        <v>-1.1299999999999999</v>
      </c>
      <c r="G9486" t="s">
        <v>12</v>
      </c>
      <c r="I9486" t="s">
        <v>230</v>
      </c>
    </row>
    <row r="9487" spans="1:9" hidden="1" x14ac:dyDescent="0.25">
      <c r="A9487" t="s">
        <v>7864</v>
      </c>
      <c r="B9487" t="s">
        <v>558</v>
      </c>
      <c r="C9487" s="2">
        <f>HYPERLINK("https://cao.dolgi.msk.ru/account/1080103863/", 1080103863)</f>
        <v>1080103863</v>
      </c>
      <c r="D9487" t="s">
        <v>7975</v>
      </c>
      <c r="E9487">
        <v>0</v>
      </c>
      <c r="F9487">
        <v>0</v>
      </c>
      <c r="G9487" t="s">
        <v>12</v>
      </c>
      <c r="I9487" t="s">
        <v>230</v>
      </c>
    </row>
    <row r="9488" spans="1:9" hidden="1" x14ac:dyDescent="0.25">
      <c r="A9488" t="s">
        <v>7864</v>
      </c>
      <c r="B9488" t="s">
        <v>746</v>
      </c>
      <c r="C9488" s="2">
        <f>HYPERLINK("https://cao.dolgi.msk.ru/account/1080103871/", 1080103871)</f>
        <v>1080103871</v>
      </c>
      <c r="D9488" t="s">
        <v>7976</v>
      </c>
      <c r="E9488">
        <v>-16146.72</v>
      </c>
      <c r="F9488">
        <v>-0.97</v>
      </c>
      <c r="G9488" t="s">
        <v>12</v>
      </c>
      <c r="I9488" t="s">
        <v>230</v>
      </c>
    </row>
    <row r="9489" spans="1:9" hidden="1" x14ac:dyDescent="0.25">
      <c r="A9489" t="s">
        <v>7864</v>
      </c>
      <c r="B9489" t="s">
        <v>748</v>
      </c>
      <c r="C9489" s="2">
        <f>HYPERLINK("https://cao.dolgi.msk.ru/account/1080103898/", 1080103898)</f>
        <v>1080103898</v>
      </c>
      <c r="D9489" t="s">
        <v>7977</v>
      </c>
      <c r="E9489">
        <v>-29695.48</v>
      </c>
      <c r="F9489">
        <v>-6.82</v>
      </c>
      <c r="G9489" t="s">
        <v>12</v>
      </c>
      <c r="I9489" t="s">
        <v>230</v>
      </c>
    </row>
    <row r="9490" spans="1:9" hidden="1" x14ac:dyDescent="0.25">
      <c r="A9490" t="s">
        <v>7864</v>
      </c>
      <c r="B9490" t="s">
        <v>750</v>
      </c>
      <c r="C9490" s="2">
        <f>HYPERLINK("https://cao.dolgi.msk.ru/account/1080103919/", 1080103919)</f>
        <v>1080103919</v>
      </c>
      <c r="D9490" t="s">
        <v>7978</v>
      </c>
      <c r="E9490">
        <v>-7440.31</v>
      </c>
      <c r="F9490">
        <v>-1.1200000000000001</v>
      </c>
      <c r="G9490" t="s">
        <v>12</v>
      </c>
      <c r="I9490" t="s">
        <v>230</v>
      </c>
    </row>
    <row r="9491" spans="1:9" hidden="1" x14ac:dyDescent="0.25">
      <c r="A9491" t="s">
        <v>7864</v>
      </c>
      <c r="B9491" t="s">
        <v>752</v>
      </c>
      <c r="C9491" s="2">
        <f>HYPERLINK("https://cao.dolgi.msk.ru/account/1080103927/", 1080103927)</f>
        <v>1080103927</v>
      </c>
      <c r="D9491" t="s">
        <v>7979</v>
      </c>
      <c r="E9491">
        <v>-8774.1299999999992</v>
      </c>
      <c r="F9491">
        <v>-1.21</v>
      </c>
      <c r="G9491" t="s">
        <v>12</v>
      </c>
      <c r="I9491" t="s">
        <v>230</v>
      </c>
    </row>
    <row r="9492" spans="1:9" hidden="1" x14ac:dyDescent="0.25">
      <c r="A9492" t="s">
        <v>7864</v>
      </c>
      <c r="B9492" t="s">
        <v>754</v>
      </c>
      <c r="C9492" s="2">
        <f>HYPERLINK("https://cao.dolgi.msk.ru/account/1080103935/", 1080103935)</f>
        <v>1080103935</v>
      </c>
      <c r="D9492" t="s">
        <v>7980</v>
      </c>
      <c r="E9492">
        <v>-2292.0100000000002</v>
      </c>
      <c r="F9492">
        <v>-1.18</v>
      </c>
      <c r="G9492" t="s">
        <v>12</v>
      </c>
      <c r="I9492" t="s">
        <v>230</v>
      </c>
    </row>
    <row r="9493" spans="1:9" hidden="1" x14ac:dyDescent="0.25">
      <c r="A9493" t="s">
        <v>7864</v>
      </c>
      <c r="B9493" t="s">
        <v>756</v>
      </c>
      <c r="C9493" s="2">
        <f>HYPERLINK("https://cao.dolgi.msk.ru/account/1080103943/", 1080103943)</f>
        <v>1080103943</v>
      </c>
      <c r="D9493" t="s">
        <v>7981</v>
      </c>
      <c r="E9493">
        <v>-6008.94</v>
      </c>
      <c r="F9493">
        <v>-1.1100000000000001</v>
      </c>
      <c r="G9493" t="s">
        <v>12</v>
      </c>
      <c r="I9493" t="s">
        <v>230</v>
      </c>
    </row>
    <row r="9494" spans="1:9" hidden="1" x14ac:dyDescent="0.25">
      <c r="A9494" t="s">
        <v>7864</v>
      </c>
      <c r="B9494" t="s">
        <v>758</v>
      </c>
      <c r="C9494" s="2">
        <f>HYPERLINK("https://cao.dolgi.msk.ru/account/1080103951/", 1080103951)</f>
        <v>1080103951</v>
      </c>
      <c r="D9494" t="s">
        <v>7982</v>
      </c>
      <c r="E9494">
        <v>-3466.54</v>
      </c>
      <c r="F9494">
        <v>-1.1399999999999999</v>
      </c>
      <c r="G9494" t="s">
        <v>12</v>
      </c>
      <c r="I9494" t="s">
        <v>230</v>
      </c>
    </row>
    <row r="9495" spans="1:9" hidden="1" x14ac:dyDescent="0.25">
      <c r="A9495" t="s">
        <v>7864</v>
      </c>
      <c r="B9495" t="s">
        <v>760</v>
      </c>
      <c r="C9495" s="2">
        <f>HYPERLINK("https://cao.dolgi.msk.ru/account/1080103978/", 1080103978)</f>
        <v>1080103978</v>
      </c>
      <c r="D9495" t="s">
        <v>7983</v>
      </c>
      <c r="E9495">
        <v>4137.29</v>
      </c>
      <c r="F9495">
        <v>0.98</v>
      </c>
      <c r="G9495" t="s">
        <v>12</v>
      </c>
      <c r="I9495" t="s">
        <v>230</v>
      </c>
    </row>
    <row r="9496" spans="1:9" hidden="1" x14ac:dyDescent="0.25">
      <c r="A9496" t="s">
        <v>7864</v>
      </c>
      <c r="B9496" t="s">
        <v>762</v>
      </c>
      <c r="C9496" s="2">
        <f>HYPERLINK("https://cao.dolgi.msk.ru/account/1080103986/", 1080103986)</f>
        <v>1080103986</v>
      </c>
      <c r="D9496" t="s">
        <v>7984</v>
      </c>
      <c r="E9496">
        <v>-13657.77</v>
      </c>
      <c r="F9496">
        <v>-2.17</v>
      </c>
      <c r="G9496" t="s">
        <v>12</v>
      </c>
      <c r="I9496" t="s">
        <v>230</v>
      </c>
    </row>
    <row r="9497" spans="1:9" hidden="1" x14ac:dyDescent="0.25">
      <c r="A9497" t="s">
        <v>7864</v>
      </c>
      <c r="B9497" t="s">
        <v>764</v>
      </c>
      <c r="C9497" s="2">
        <f>HYPERLINK("https://cao.dolgi.msk.ru/account/1080103994/", 1080103994)</f>
        <v>1080103994</v>
      </c>
      <c r="D9497" t="s">
        <v>7985</v>
      </c>
      <c r="E9497">
        <v>-13862.21</v>
      </c>
      <c r="F9497">
        <v>-2.13</v>
      </c>
      <c r="G9497" t="s">
        <v>12</v>
      </c>
      <c r="I9497" t="s">
        <v>230</v>
      </c>
    </row>
    <row r="9498" spans="1:9" hidden="1" x14ac:dyDescent="0.25">
      <c r="A9498" t="s">
        <v>7864</v>
      </c>
      <c r="B9498" t="s">
        <v>766</v>
      </c>
      <c r="C9498" s="2">
        <f>HYPERLINK("https://cao.dolgi.msk.ru/account/1080104006/", 1080104006)</f>
        <v>1080104006</v>
      </c>
      <c r="D9498" t="s">
        <v>7986</v>
      </c>
      <c r="E9498">
        <v>-2710.14</v>
      </c>
      <c r="F9498">
        <v>-0.89</v>
      </c>
      <c r="G9498" t="s">
        <v>12</v>
      </c>
      <c r="I9498" t="s">
        <v>230</v>
      </c>
    </row>
    <row r="9499" spans="1:9" hidden="1" x14ac:dyDescent="0.25">
      <c r="A9499" t="s">
        <v>7864</v>
      </c>
      <c r="B9499" t="s">
        <v>768</v>
      </c>
      <c r="C9499" s="2">
        <f>HYPERLINK("https://cao.dolgi.msk.ru/account/1080104014/", 1080104014)</f>
        <v>1080104014</v>
      </c>
      <c r="D9499" t="s">
        <v>7987</v>
      </c>
      <c r="E9499">
        <v>-11122.06</v>
      </c>
      <c r="F9499">
        <v>-1.02</v>
      </c>
      <c r="G9499" t="s">
        <v>12</v>
      </c>
      <c r="I9499" t="s">
        <v>230</v>
      </c>
    </row>
    <row r="9500" spans="1:9" hidden="1" x14ac:dyDescent="0.25">
      <c r="A9500" t="s">
        <v>7864</v>
      </c>
      <c r="B9500" t="s">
        <v>770</v>
      </c>
      <c r="C9500" s="2">
        <f>HYPERLINK("https://cao.dolgi.msk.ru/account/1080104022/", 1080104022)</f>
        <v>1080104022</v>
      </c>
      <c r="D9500" t="s">
        <v>7988</v>
      </c>
      <c r="E9500">
        <v>-7924.42</v>
      </c>
      <c r="F9500">
        <v>-1.02</v>
      </c>
      <c r="G9500" t="s">
        <v>12</v>
      </c>
      <c r="I9500" t="s">
        <v>230</v>
      </c>
    </row>
    <row r="9501" spans="1:9" hidden="1" x14ac:dyDescent="0.25">
      <c r="A9501" t="s">
        <v>7864</v>
      </c>
      <c r="B9501" t="s">
        <v>772</v>
      </c>
      <c r="C9501" s="2">
        <f>HYPERLINK("https://cao.dolgi.msk.ru/account/1080104049/", 1080104049)</f>
        <v>1080104049</v>
      </c>
      <c r="D9501" t="s">
        <v>7989</v>
      </c>
      <c r="E9501">
        <v>-5386.63</v>
      </c>
      <c r="F9501">
        <v>-0.97</v>
      </c>
      <c r="G9501" t="s">
        <v>12</v>
      </c>
      <c r="I9501" t="s">
        <v>230</v>
      </c>
    </row>
    <row r="9502" spans="1:9" hidden="1" x14ac:dyDescent="0.25">
      <c r="A9502" t="s">
        <v>7864</v>
      </c>
      <c r="B9502" t="s">
        <v>774</v>
      </c>
      <c r="C9502" s="2">
        <f>HYPERLINK("https://cao.dolgi.msk.ru/account/1080104057/", 1080104057)</f>
        <v>1080104057</v>
      </c>
      <c r="D9502" t="s">
        <v>7990</v>
      </c>
      <c r="E9502">
        <v>-2239.41</v>
      </c>
      <c r="F9502">
        <v>-1</v>
      </c>
      <c r="G9502" t="s">
        <v>12</v>
      </c>
      <c r="I9502" t="s">
        <v>230</v>
      </c>
    </row>
    <row r="9503" spans="1:9" hidden="1" x14ac:dyDescent="0.25">
      <c r="A9503" t="s">
        <v>7864</v>
      </c>
      <c r="B9503" t="s">
        <v>776</v>
      </c>
      <c r="C9503" s="2">
        <f>HYPERLINK("https://cao.dolgi.msk.ru/account/1080104065/", 1080104065)</f>
        <v>1080104065</v>
      </c>
      <c r="D9503" t="s">
        <v>7991</v>
      </c>
      <c r="E9503">
        <v>-6793.79</v>
      </c>
      <c r="F9503">
        <v>-1.1000000000000001</v>
      </c>
      <c r="G9503" t="s">
        <v>12</v>
      </c>
      <c r="I9503" t="s">
        <v>230</v>
      </c>
    </row>
    <row r="9504" spans="1:9" hidden="1" x14ac:dyDescent="0.25">
      <c r="A9504" t="s">
        <v>7864</v>
      </c>
      <c r="B9504" t="s">
        <v>778</v>
      </c>
      <c r="C9504" s="2">
        <f>HYPERLINK("https://cao.dolgi.msk.ru/account/1080104073/", 1080104073)</f>
        <v>1080104073</v>
      </c>
      <c r="D9504" t="s">
        <v>7992</v>
      </c>
      <c r="E9504">
        <v>-3709.46</v>
      </c>
      <c r="F9504">
        <v>-1.32</v>
      </c>
      <c r="G9504" t="s">
        <v>12</v>
      </c>
      <c r="I9504" t="s">
        <v>230</v>
      </c>
    </row>
    <row r="9505" spans="1:9" hidden="1" x14ac:dyDescent="0.25">
      <c r="A9505" t="s">
        <v>7864</v>
      </c>
      <c r="B9505" t="s">
        <v>780</v>
      </c>
      <c r="C9505" s="2">
        <f>HYPERLINK("https://cao.dolgi.msk.ru/account/1080104081/", 1080104081)</f>
        <v>1080104081</v>
      </c>
      <c r="D9505" t="s">
        <v>7993</v>
      </c>
      <c r="E9505">
        <v>-6635.97</v>
      </c>
      <c r="F9505">
        <v>-1.01</v>
      </c>
      <c r="G9505" t="s">
        <v>12</v>
      </c>
      <c r="I9505" t="s">
        <v>230</v>
      </c>
    </row>
    <row r="9506" spans="1:9" hidden="1" x14ac:dyDescent="0.25">
      <c r="A9506" t="s">
        <v>7994</v>
      </c>
      <c r="B9506" t="s">
        <v>38</v>
      </c>
      <c r="C9506" s="2">
        <f>HYPERLINK("https://cao.dolgi.msk.ru/account/1083387523/", 1083387523)</f>
        <v>1083387523</v>
      </c>
      <c r="D9506" t="s">
        <v>15</v>
      </c>
      <c r="E9506">
        <v>-4948.3900000000003</v>
      </c>
      <c r="F9506">
        <v>-1.01</v>
      </c>
      <c r="G9506" t="s">
        <v>12</v>
      </c>
      <c r="I9506" t="s">
        <v>230</v>
      </c>
    </row>
    <row r="9507" spans="1:9" hidden="1" x14ac:dyDescent="0.25">
      <c r="A9507" t="s">
        <v>7994</v>
      </c>
      <c r="B9507" t="s">
        <v>39</v>
      </c>
      <c r="C9507" s="2">
        <f>HYPERLINK("https://cao.dolgi.msk.ru/account/1080084754/", 1080084754)</f>
        <v>1080084754</v>
      </c>
      <c r="D9507" t="s">
        <v>7995</v>
      </c>
      <c r="E9507">
        <v>-20790.48</v>
      </c>
      <c r="G9507" t="s">
        <v>12</v>
      </c>
      <c r="H9507" t="s">
        <v>7</v>
      </c>
      <c r="I9507" t="s">
        <v>230</v>
      </c>
    </row>
    <row r="9508" spans="1:9" hidden="1" x14ac:dyDescent="0.25">
      <c r="A9508" t="s">
        <v>7994</v>
      </c>
      <c r="B9508" t="s">
        <v>39</v>
      </c>
      <c r="C9508" s="2">
        <f>HYPERLINK("https://cao.dolgi.msk.ru/account/1080084906/", 1080084906)</f>
        <v>1080084906</v>
      </c>
      <c r="D9508" t="s">
        <v>15</v>
      </c>
      <c r="E9508">
        <v>-6162.96</v>
      </c>
      <c r="G9508" t="s">
        <v>12</v>
      </c>
      <c r="H9508" t="s">
        <v>7</v>
      </c>
      <c r="I9508" t="s">
        <v>230</v>
      </c>
    </row>
    <row r="9509" spans="1:9" hidden="1" x14ac:dyDescent="0.25">
      <c r="A9509" t="s">
        <v>7994</v>
      </c>
      <c r="B9509" t="s">
        <v>40</v>
      </c>
      <c r="C9509" s="2">
        <f>HYPERLINK("https://cao.dolgi.msk.ru/account/1083387531/", 1083387531)</f>
        <v>1083387531</v>
      </c>
      <c r="D9509" t="s">
        <v>15</v>
      </c>
      <c r="E9509">
        <v>-5046.93</v>
      </c>
      <c r="F9509">
        <v>-1.01</v>
      </c>
      <c r="G9509" t="s">
        <v>12</v>
      </c>
      <c r="I9509" t="s">
        <v>230</v>
      </c>
    </row>
    <row r="9510" spans="1:9" hidden="1" x14ac:dyDescent="0.25">
      <c r="A9510" t="s">
        <v>7994</v>
      </c>
      <c r="B9510" t="s">
        <v>41</v>
      </c>
      <c r="C9510" s="2">
        <f>HYPERLINK("https://cao.dolgi.msk.ru/account/1080084711/", 1080084711)</f>
        <v>1080084711</v>
      </c>
      <c r="D9510" t="s">
        <v>62</v>
      </c>
      <c r="G9510" t="s">
        <v>14</v>
      </c>
      <c r="I9510" t="s">
        <v>230</v>
      </c>
    </row>
    <row r="9511" spans="1:9" hidden="1" x14ac:dyDescent="0.25">
      <c r="A9511" t="s">
        <v>7994</v>
      </c>
      <c r="B9511" t="s">
        <v>42</v>
      </c>
      <c r="C9511" s="2">
        <f>HYPERLINK("https://cao.dolgi.msk.ru/account/1083387558/", 1083387558)</f>
        <v>1083387558</v>
      </c>
      <c r="D9511" t="s">
        <v>15</v>
      </c>
      <c r="E9511">
        <v>-5003.83</v>
      </c>
      <c r="F9511">
        <v>-1.01</v>
      </c>
      <c r="G9511" t="s">
        <v>12</v>
      </c>
      <c r="I9511" t="s">
        <v>230</v>
      </c>
    </row>
    <row r="9512" spans="1:9" hidden="1" x14ac:dyDescent="0.25">
      <c r="A9512" t="s">
        <v>7994</v>
      </c>
      <c r="B9512" t="s">
        <v>44</v>
      </c>
      <c r="C9512" s="2">
        <f>HYPERLINK("https://cao.dolgi.msk.ru/account/1080084738/", 1080084738)</f>
        <v>1080084738</v>
      </c>
      <c r="D9512" t="s">
        <v>15</v>
      </c>
      <c r="E9512">
        <v>-3882.56</v>
      </c>
      <c r="F9512">
        <v>-0.86</v>
      </c>
      <c r="G9512" t="s">
        <v>12</v>
      </c>
      <c r="H9512" t="s">
        <v>7</v>
      </c>
      <c r="I9512" t="s">
        <v>230</v>
      </c>
    </row>
    <row r="9513" spans="1:9" hidden="1" x14ac:dyDescent="0.25">
      <c r="A9513" t="s">
        <v>7994</v>
      </c>
      <c r="B9513" t="s">
        <v>44</v>
      </c>
      <c r="C9513" s="2">
        <f>HYPERLINK("https://cao.dolgi.msk.ru/account/1080084746/", 1080084746)</f>
        <v>1080084746</v>
      </c>
      <c r="D9513" t="s">
        <v>15</v>
      </c>
      <c r="E9513">
        <v>400.71</v>
      </c>
      <c r="F9513">
        <v>0.12</v>
      </c>
      <c r="G9513" t="s">
        <v>12</v>
      </c>
      <c r="H9513" t="s">
        <v>7</v>
      </c>
      <c r="I9513" t="s">
        <v>230</v>
      </c>
    </row>
    <row r="9514" spans="1:9" hidden="1" x14ac:dyDescent="0.25">
      <c r="A9514" t="s">
        <v>7994</v>
      </c>
      <c r="B9514" t="s">
        <v>66</v>
      </c>
      <c r="C9514" s="2">
        <f>HYPERLINK("https://cao.dolgi.msk.ru/account/1083387566/", 1083387566)</f>
        <v>1083387566</v>
      </c>
      <c r="D9514" t="s">
        <v>15</v>
      </c>
      <c r="E9514">
        <v>-28575.95</v>
      </c>
      <c r="F9514">
        <v>-6.38</v>
      </c>
      <c r="G9514" t="s">
        <v>12</v>
      </c>
      <c r="I9514" t="s">
        <v>230</v>
      </c>
    </row>
    <row r="9515" spans="1:9" x14ac:dyDescent="0.25">
      <c r="A9515" t="s">
        <v>7994</v>
      </c>
      <c r="B9515" t="s">
        <v>68</v>
      </c>
      <c r="C9515" s="2">
        <f>HYPERLINK("https://cao.dolgi.msk.ru/account/1080084762/", 1080084762)</f>
        <v>1080084762</v>
      </c>
      <c r="D9515" t="s">
        <v>7996</v>
      </c>
      <c r="E9515">
        <v>20787.79</v>
      </c>
      <c r="F9515">
        <v>4.2699999999999996</v>
      </c>
      <c r="G9515" t="s">
        <v>12</v>
      </c>
      <c r="H9515" t="s">
        <v>7</v>
      </c>
      <c r="I9515" t="s">
        <v>230</v>
      </c>
    </row>
    <row r="9516" spans="1:9" hidden="1" x14ac:dyDescent="0.25">
      <c r="A9516" t="s">
        <v>7994</v>
      </c>
      <c r="B9516" t="s">
        <v>70</v>
      </c>
      <c r="C9516" s="2">
        <f>HYPERLINK("https://cao.dolgi.msk.ru/account/1080084789/", 1080084789)</f>
        <v>1080084789</v>
      </c>
      <c r="D9516" t="s">
        <v>7997</v>
      </c>
      <c r="E9516">
        <v>-4832.47</v>
      </c>
      <c r="F9516">
        <v>-0.98</v>
      </c>
      <c r="G9516" t="s">
        <v>12</v>
      </c>
      <c r="I9516" t="s">
        <v>230</v>
      </c>
    </row>
    <row r="9517" spans="1:9" hidden="1" x14ac:dyDescent="0.25">
      <c r="A9517" t="s">
        <v>7994</v>
      </c>
      <c r="B9517" t="s">
        <v>70</v>
      </c>
      <c r="C9517" s="2">
        <f>HYPERLINK("https://cao.dolgi.msk.ru/account/1089118287/", 1089118287)</f>
        <v>1089118287</v>
      </c>
      <c r="D9517" t="s">
        <v>15</v>
      </c>
      <c r="G9517" t="s">
        <v>14</v>
      </c>
      <c r="I9517" t="s">
        <v>230</v>
      </c>
    </row>
    <row r="9518" spans="1:9" hidden="1" x14ac:dyDescent="0.25">
      <c r="A9518" t="s">
        <v>7994</v>
      </c>
      <c r="B9518" t="s">
        <v>74</v>
      </c>
      <c r="C9518" s="2">
        <f>HYPERLINK("https://cao.dolgi.msk.ru/account/1080084797/", 1080084797)</f>
        <v>1080084797</v>
      </c>
      <c r="D9518" t="s">
        <v>7998</v>
      </c>
      <c r="E9518">
        <v>-5118.78</v>
      </c>
      <c r="F9518">
        <v>-1.03</v>
      </c>
      <c r="G9518" t="s">
        <v>12</v>
      </c>
      <c r="I9518" t="s">
        <v>230</v>
      </c>
    </row>
    <row r="9519" spans="1:9" hidden="1" x14ac:dyDescent="0.25">
      <c r="A9519" t="s">
        <v>7994</v>
      </c>
      <c r="B9519" t="s">
        <v>76</v>
      </c>
      <c r="C9519" s="2">
        <f>HYPERLINK("https://cao.dolgi.msk.ru/account/1080084818/", 1080084818)</f>
        <v>1080084818</v>
      </c>
      <c r="D9519" t="s">
        <v>7999</v>
      </c>
      <c r="E9519">
        <v>-10260.42</v>
      </c>
      <c r="F9519">
        <v>-2.0299999999999998</v>
      </c>
      <c r="G9519" t="s">
        <v>12</v>
      </c>
      <c r="I9519" t="s">
        <v>230</v>
      </c>
    </row>
    <row r="9520" spans="1:9" hidden="1" x14ac:dyDescent="0.25">
      <c r="A9520" t="s">
        <v>7994</v>
      </c>
      <c r="B9520" t="s">
        <v>78</v>
      </c>
      <c r="C9520" s="2">
        <f>HYPERLINK("https://cao.dolgi.msk.ru/account/1080084826/", 1080084826)</f>
        <v>1080084826</v>
      </c>
      <c r="D9520" t="s">
        <v>8000</v>
      </c>
      <c r="E9520">
        <v>-1189.46</v>
      </c>
      <c r="F9520">
        <v>-0.98</v>
      </c>
      <c r="G9520" t="s">
        <v>12</v>
      </c>
      <c r="H9520" t="s">
        <v>7</v>
      </c>
      <c r="I9520" t="s">
        <v>230</v>
      </c>
    </row>
    <row r="9521" spans="1:9" hidden="1" x14ac:dyDescent="0.25">
      <c r="A9521" t="s">
        <v>7994</v>
      </c>
      <c r="B9521" t="s">
        <v>78</v>
      </c>
      <c r="C9521" s="2">
        <f>HYPERLINK("https://cao.dolgi.msk.ru/account/1080084834/", 1080084834)</f>
        <v>1080084834</v>
      </c>
      <c r="D9521" t="s">
        <v>8000</v>
      </c>
      <c r="E9521">
        <v>-2350.92</v>
      </c>
      <c r="F9521">
        <v>-1.06</v>
      </c>
      <c r="G9521" t="s">
        <v>12</v>
      </c>
      <c r="H9521" t="s">
        <v>7</v>
      </c>
      <c r="I9521" t="s">
        <v>230</v>
      </c>
    </row>
    <row r="9522" spans="1:9" hidden="1" x14ac:dyDescent="0.25">
      <c r="A9522" t="s">
        <v>7994</v>
      </c>
      <c r="B9522" t="s">
        <v>78</v>
      </c>
      <c r="C9522" s="2">
        <f>HYPERLINK("https://cao.dolgi.msk.ru/account/1080084842/", 1080084842)</f>
        <v>1080084842</v>
      </c>
      <c r="D9522" t="s">
        <v>8000</v>
      </c>
      <c r="E9522">
        <v>-3181.47</v>
      </c>
      <c r="F9522">
        <v>-1</v>
      </c>
      <c r="G9522" t="s">
        <v>12</v>
      </c>
      <c r="H9522" t="s">
        <v>7</v>
      </c>
      <c r="I9522" t="s">
        <v>230</v>
      </c>
    </row>
    <row r="9523" spans="1:9" hidden="1" x14ac:dyDescent="0.25">
      <c r="A9523" t="s">
        <v>7994</v>
      </c>
      <c r="B9523" t="s">
        <v>80</v>
      </c>
      <c r="C9523" s="2">
        <f>HYPERLINK("https://cao.dolgi.msk.ru/account/1080084869/", 1080084869)</f>
        <v>1080084869</v>
      </c>
      <c r="D9523" t="s">
        <v>8001</v>
      </c>
      <c r="E9523">
        <v>-8808.0300000000007</v>
      </c>
      <c r="F9523">
        <v>-1.2</v>
      </c>
      <c r="G9523" t="s">
        <v>12</v>
      </c>
      <c r="I9523" t="s">
        <v>230</v>
      </c>
    </row>
    <row r="9524" spans="1:9" hidden="1" x14ac:dyDescent="0.25">
      <c r="A9524" t="s">
        <v>7994</v>
      </c>
      <c r="B9524" t="s">
        <v>82</v>
      </c>
      <c r="C9524" s="2">
        <f>HYPERLINK("https://cao.dolgi.msk.ru/account/1080084877/", 1080084877)</f>
        <v>1080084877</v>
      </c>
      <c r="D9524" t="s">
        <v>8002</v>
      </c>
      <c r="E9524">
        <v>-2978.22</v>
      </c>
      <c r="F9524">
        <v>-1.04</v>
      </c>
      <c r="G9524" t="s">
        <v>12</v>
      </c>
      <c r="H9524" t="s">
        <v>7</v>
      </c>
      <c r="I9524" t="s">
        <v>230</v>
      </c>
    </row>
    <row r="9525" spans="1:9" hidden="1" x14ac:dyDescent="0.25">
      <c r="A9525" t="s">
        <v>7994</v>
      </c>
      <c r="B9525" t="s">
        <v>82</v>
      </c>
      <c r="C9525" s="2">
        <f>HYPERLINK("https://cao.dolgi.msk.ru/account/1080084885/", 1080084885)</f>
        <v>1080084885</v>
      </c>
      <c r="D9525" t="s">
        <v>8002</v>
      </c>
      <c r="E9525">
        <v>-6600.42</v>
      </c>
      <c r="F9525">
        <v>-3.38</v>
      </c>
      <c r="G9525" t="s">
        <v>12</v>
      </c>
      <c r="H9525" t="s">
        <v>7</v>
      </c>
      <c r="I9525" t="s">
        <v>230</v>
      </c>
    </row>
    <row r="9526" spans="1:9" hidden="1" x14ac:dyDescent="0.25">
      <c r="A9526" t="s">
        <v>7994</v>
      </c>
      <c r="B9526" t="s">
        <v>84</v>
      </c>
      <c r="C9526" s="2">
        <f>HYPERLINK("https://cao.dolgi.msk.ru/account/1080084893/", 1080084893)</f>
        <v>1080084893</v>
      </c>
      <c r="D9526" t="s">
        <v>8003</v>
      </c>
      <c r="E9526">
        <v>-6846.05</v>
      </c>
      <c r="F9526">
        <v>-1.06</v>
      </c>
      <c r="G9526" t="s">
        <v>12</v>
      </c>
      <c r="I9526" t="s">
        <v>230</v>
      </c>
    </row>
    <row r="9527" spans="1:9" hidden="1" x14ac:dyDescent="0.25">
      <c r="A9527" t="s">
        <v>8004</v>
      </c>
      <c r="B9527" t="s">
        <v>10</v>
      </c>
      <c r="C9527" s="2">
        <f>HYPERLINK("https://cao.dolgi.msk.ru/account/1080084914/", 1080084914)</f>
        <v>1080084914</v>
      </c>
      <c r="D9527" t="s">
        <v>8005</v>
      </c>
      <c r="E9527">
        <v>-17025.830000000002</v>
      </c>
      <c r="F9527">
        <v>-2.04</v>
      </c>
      <c r="G9527" t="s">
        <v>12</v>
      </c>
      <c r="I9527" t="s">
        <v>230</v>
      </c>
    </row>
    <row r="9528" spans="1:9" hidden="1" x14ac:dyDescent="0.25">
      <c r="A9528" t="s">
        <v>8004</v>
      </c>
      <c r="B9528" t="s">
        <v>16</v>
      </c>
      <c r="C9528" s="2">
        <f>HYPERLINK("https://cao.dolgi.msk.ru/account/1080084957/", 1080084957)</f>
        <v>1080084957</v>
      </c>
      <c r="D9528" t="s">
        <v>8006</v>
      </c>
      <c r="E9528">
        <v>-32132.21</v>
      </c>
      <c r="F9528">
        <v>-3.34</v>
      </c>
      <c r="G9528" t="s">
        <v>12</v>
      </c>
      <c r="I9528" t="s">
        <v>230</v>
      </c>
    </row>
    <row r="9529" spans="1:9" hidden="1" x14ac:dyDescent="0.25">
      <c r="A9529" t="s">
        <v>8004</v>
      </c>
      <c r="B9529" t="s">
        <v>18</v>
      </c>
      <c r="C9529" s="2">
        <f>HYPERLINK("https://cao.dolgi.msk.ru/account/1080084973/", 1080084973)</f>
        <v>1080084973</v>
      </c>
      <c r="D9529" t="s">
        <v>8007</v>
      </c>
      <c r="E9529">
        <v>-4866.76</v>
      </c>
      <c r="F9529">
        <v>-0.71</v>
      </c>
      <c r="G9529" t="s">
        <v>12</v>
      </c>
      <c r="I9529" t="s">
        <v>230</v>
      </c>
    </row>
    <row r="9530" spans="1:9" hidden="1" x14ac:dyDescent="0.25">
      <c r="A9530" t="s">
        <v>8004</v>
      </c>
      <c r="B9530" t="s">
        <v>20</v>
      </c>
      <c r="C9530" s="2">
        <f>HYPERLINK("https://cao.dolgi.msk.ru/account/1080084981/", 1080084981)</f>
        <v>1080084981</v>
      </c>
      <c r="D9530" t="s">
        <v>8008</v>
      </c>
      <c r="E9530">
        <v>-55902.77</v>
      </c>
      <c r="F9530">
        <v>-3.07</v>
      </c>
      <c r="G9530" t="s">
        <v>12</v>
      </c>
      <c r="I9530" t="s">
        <v>230</v>
      </c>
    </row>
    <row r="9531" spans="1:9" hidden="1" x14ac:dyDescent="0.25">
      <c r="A9531" t="s">
        <v>8004</v>
      </c>
      <c r="B9531" t="s">
        <v>21</v>
      </c>
      <c r="C9531" s="2">
        <f>HYPERLINK("https://cao.dolgi.msk.ru/account/1080085001/", 1080085001)</f>
        <v>1080085001</v>
      </c>
      <c r="D9531" t="s">
        <v>8009</v>
      </c>
      <c r="E9531">
        <v>-15285.47</v>
      </c>
      <c r="F9531">
        <v>-1.07</v>
      </c>
      <c r="G9531" t="s">
        <v>12</v>
      </c>
      <c r="I9531" t="s">
        <v>230</v>
      </c>
    </row>
    <row r="9532" spans="1:9" hidden="1" x14ac:dyDescent="0.25">
      <c r="A9532" t="s">
        <v>8004</v>
      </c>
      <c r="B9532" t="s">
        <v>22</v>
      </c>
      <c r="C9532" s="2">
        <f>HYPERLINK("https://cao.dolgi.msk.ru/account/1080085028/", 1080085028)</f>
        <v>1080085028</v>
      </c>
      <c r="D9532" t="s">
        <v>8010</v>
      </c>
      <c r="E9532">
        <v>-16102.11</v>
      </c>
      <c r="F9532">
        <v>-1.62</v>
      </c>
      <c r="G9532" t="s">
        <v>12</v>
      </c>
      <c r="I9532" t="s">
        <v>230</v>
      </c>
    </row>
    <row r="9533" spans="1:9" hidden="1" x14ac:dyDescent="0.25">
      <c r="A9533" t="s">
        <v>8004</v>
      </c>
      <c r="B9533" t="s">
        <v>23</v>
      </c>
      <c r="C9533" s="2">
        <f>HYPERLINK("https://cao.dolgi.msk.ru/account/1080085044/", 1080085044)</f>
        <v>1080085044</v>
      </c>
      <c r="D9533" t="s">
        <v>15</v>
      </c>
      <c r="G9533" t="s">
        <v>14</v>
      </c>
      <c r="I9533" t="s">
        <v>230</v>
      </c>
    </row>
    <row r="9534" spans="1:9" hidden="1" x14ac:dyDescent="0.25">
      <c r="A9534" t="s">
        <v>8004</v>
      </c>
      <c r="B9534" t="s">
        <v>23</v>
      </c>
      <c r="C9534" s="2">
        <f>HYPERLINK("https://cao.dolgi.msk.ru/account/1080085052/", 1080085052)</f>
        <v>1080085052</v>
      </c>
      <c r="D9534" t="s">
        <v>8011</v>
      </c>
      <c r="E9534">
        <v>636.9</v>
      </c>
      <c r="F9534">
        <v>0.04</v>
      </c>
      <c r="G9534" t="s">
        <v>12</v>
      </c>
      <c r="I9534" t="s">
        <v>230</v>
      </c>
    </row>
    <row r="9535" spans="1:9" hidden="1" x14ac:dyDescent="0.25">
      <c r="A9535" t="s">
        <v>8004</v>
      </c>
      <c r="B9535" t="s">
        <v>23</v>
      </c>
      <c r="C9535" s="2">
        <f>HYPERLINK("https://cao.dolgi.msk.ru/account/1080085079/", 1080085079)</f>
        <v>1080085079</v>
      </c>
      <c r="D9535" t="s">
        <v>8012</v>
      </c>
      <c r="G9535" t="s">
        <v>14</v>
      </c>
      <c r="I9535" t="s">
        <v>230</v>
      </c>
    </row>
    <row r="9536" spans="1:9" hidden="1" x14ac:dyDescent="0.25">
      <c r="A9536" t="s">
        <v>8004</v>
      </c>
      <c r="B9536" t="s">
        <v>24</v>
      </c>
      <c r="C9536" s="2">
        <f>HYPERLINK("https://cao.dolgi.msk.ru/account/1080085087/", 1080085087)</f>
        <v>1080085087</v>
      </c>
      <c r="D9536" t="s">
        <v>8013</v>
      </c>
      <c r="E9536">
        <v>-1178.45</v>
      </c>
      <c r="F9536">
        <v>-0.09</v>
      </c>
      <c r="G9536" t="s">
        <v>12</v>
      </c>
      <c r="I9536" t="s">
        <v>230</v>
      </c>
    </row>
    <row r="9537" spans="1:9" hidden="1" x14ac:dyDescent="0.25">
      <c r="A9537" t="s">
        <v>8004</v>
      </c>
      <c r="B9537" t="s">
        <v>27</v>
      </c>
      <c r="C9537" s="2">
        <f>HYPERLINK("https://cao.dolgi.msk.ru/account/1080085095/", 1080085095)</f>
        <v>1080085095</v>
      </c>
      <c r="D9537" t="s">
        <v>8014</v>
      </c>
      <c r="E9537">
        <v>-276.52999999999997</v>
      </c>
      <c r="F9537">
        <v>-0.04</v>
      </c>
      <c r="G9537" t="s">
        <v>12</v>
      </c>
      <c r="I9537" t="s">
        <v>230</v>
      </c>
    </row>
    <row r="9538" spans="1:9" hidden="1" x14ac:dyDescent="0.25">
      <c r="A9538" t="s">
        <v>8004</v>
      </c>
      <c r="B9538" t="s">
        <v>29</v>
      </c>
      <c r="C9538" s="2">
        <f>HYPERLINK("https://cao.dolgi.msk.ru/account/1080085036/", 1080085036)</f>
        <v>1080085036</v>
      </c>
      <c r="D9538" t="s">
        <v>8015</v>
      </c>
      <c r="E9538">
        <v>-10380.469999999999</v>
      </c>
      <c r="F9538">
        <v>-1.3</v>
      </c>
      <c r="G9538" t="s">
        <v>12</v>
      </c>
      <c r="I9538" t="s">
        <v>230</v>
      </c>
    </row>
    <row r="9539" spans="1:9" hidden="1" x14ac:dyDescent="0.25">
      <c r="A9539" t="s">
        <v>8004</v>
      </c>
      <c r="B9539" t="s">
        <v>31</v>
      </c>
      <c r="C9539" s="2">
        <f>HYPERLINK("https://cao.dolgi.msk.ru/account/1080085108/", 1080085108)</f>
        <v>1080085108</v>
      </c>
      <c r="D9539" t="s">
        <v>8016</v>
      </c>
      <c r="E9539">
        <v>-3658.02</v>
      </c>
      <c r="F9539">
        <v>-1.1000000000000001</v>
      </c>
      <c r="G9539" t="s">
        <v>12</v>
      </c>
      <c r="I9539" t="s">
        <v>230</v>
      </c>
    </row>
    <row r="9540" spans="1:9" hidden="1" x14ac:dyDescent="0.25">
      <c r="A9540" t="s">
        <v>8017</v>
      </c>
      <c r="B9540" t="s">
        <v>10</v>
      </c>
      <c r="C9540" s="2">
        <f>HYPERLINK("https://cao.dolgi.msk.ru/account/1080085116/", 1080085116)</f>
        <v>1080085116</v>
      </c>
      <c r="D9540" t="s">
        <v>8018</v>
      </c>
      <c r="E9540">
        <v>-4702.1899999999996</v>
      </c>
      <c r="F9540">
        <v>-1.79</v>
      </c>
      <c r="G9540" t="s">
        <v>12</v>
      </c>
      <c r="I9540" t="s">
        <v>230</v>
      </c>
    </row>
    <row r="9541" spans="1:9" hidden="1" x14ac:dyDescent="0.25">
      <c r="A9541" t="s">
        <v>8017</v>
      </c>
      <c r="B9541" t="s">
        <v>16</v>
      </c>
      <c r="C9541" s="2">
        <f>HYPERLINK("https://cao.dolgi.msk.ru/account/1080085124/", 1080085124)</f>
        <v>1080085124</v>
      </c>
      <c r="D9541" t="s">
        <v>8019</v>
      </c>
      <c r="E9541">
        <v>-1915.81</v>
      </c>
      <c r="F9541">
        <v>-1.37</v>
      </c>
      <c r="G9541" t="s">
        <v>12</v>
      </c>
      <c r="I9541" t="s">
        <v>230</v>
      </c>
    </row>
    <row r="9542" spans="1:9" hidden="1" x14ac:dyDescent="0.25">
      <c r="A9542" t="s">
        <v>8017</v>
      </c>
      <c r="B9542" t="s">
        <v>18</v>
      </c>
      <c r="C9542" s="2">
        <f>HYPERLINK("https://cao.dolgi.msk.ru/account/1080085132/", 1080085132)</f>
        <v>1080085132</v>
      </c>
      <c r="D9542" t="s">
        <v>8020</v>
      </c>
      <c r="E9542">
        <v>1908.19</v>
      </c>
      <c r="F9542">
        <v>0.28000000000000003</v>
      </c>
      <c r="G9542" t="s">
        <v>12</v>
      </c>
      <c r="I9542" t="s">
        <v>230</v>
      </c>
    </row>
    <row r="9543" spans="1:9" hidden="1" x14ac:dyDescent="0.25">
      <c r="A9543" t="s">
        <v>8017</v>
      </c>
      <c r="B9543" t="s">
        <v>20</v>
      </c>
      <c r="C9543" s="2">
        <f>HYPERLINK("https://cao.dolgi.msk.ru/account/1080085159/", 1080085159)</f>
        <v>1080085159</v>
      </c>
      <c r="D9543" t="s">
        <v>8021</v>
      </c>
      <c r="E9543">
        <v>-1270.07</v>
      </c>
      <c r="F9543">
        <v>-1.04</v>
      </c>
      <c r="G9543" t="s">
        <v>12</v>
      </c>
      <c r="I9543" t="s">
        <v>230</v>
      </c>
    </row>
    <row r="9544" spans="1:9" hidden="1" x14ac:dyDescent="0.25">
      <c r="A9544" t="s">
        <v>8017</v>
      </c>
      <c r="B9544" t="s">
        <v>20</v>
      </c>
      <c r="C9544" s="2">
        <f>HYPERLINK("https://cao.dolgi.msk.ru/account/1089125014/", 1089125014)</f>
        <v>1089125014</v>
      </c>
      <c r="D9544" t="s">
        <v>8022</v>
      </c>
      <c r="E9544">
        <v>-3360.4</v>
      </c>
      <c r="F9544">
        <v>-1.24</v>
      </c>
      <c r="G9544" t="s">
        <v>12</v>
      </c>
      <c r="I9544" t="s">
        <v>230</v>
      </c>
    </row>
    <row r="9545" spans="1:9" hidden="1" x14ac:dyDescent="0.25">
      <c r="A9545" t="s">
        <v>8017</v>
      </c>
      <c r="B9545" t="s">
        <v>21</v>
      </c>
      <c r="C9545" s="2">
        <f>HYPERLINK("https://cao.dolgi.msk.ru/account/1080085167/", 1080085167)</f>
        <v>1080085167</v>
      </c>
      <c r="D9545" t="s">
        <v>8023</v>
      </c>
      <c r="E9545">
        <v>-1864.57</v>
      </c>
      <c r="F9545">
        <v>-0.98</v>
      </c>
      <c r="G9545" t="s">
        <v>12</v>
      </c>
      <c r="I9545" t="s">
        <v>230</v>
      </c>
    </row>
    <row r="9546" spans="1:9" hidden="1" x14ac:dyDescent="0.25">
      <c r="A9546" t="s">
        <v>8017</v>
      </c>
      <c r="B9546" t="s">
        <v>22</v>
      </c>
      <c r="C9546" s="2">
        <f>HYPERLINK("https://cao.dolgi.msk.ru/account/1080085175/", 1080085175)</f>
        <v>1080085175</v>
      </c>
      <c r="D9546" t="s">
        <v>8024</v>
      </c>
      <c r="E9546">
        <v>-6190.68</v>
      </c>
      <c r="F9546">
        <v>-1.36</v>
      </c>
      <c r="G9546" t="s">
        <v>12</v>
      </c>
      <c r="I9546" t="s">
        <v>230</v>
      </c>
    </row>
    <row r="9547" spans="1:9" hidden="1" x14ac:dyDescent="0.25">
      <c r="A9547" t="s">
        <v>8017</v>
      </c>
      <c r="B9547" t="s">
        <v>23</v>
      </c>
      <c r="C9547" s="2">
        <f>HYPERLINK("https://cao.dolgi.msk.ru/account/1080085183/", 1080085183)</f>
        <v>1080085183</v>
      </c>
      <c r="D9547" t="s">
        <v>8025</v>
      </c>
      <c r="E9547">
        <v>-5080.97</v>
      </c>
      <c r="F9547">
        <v>-1.85</v>
      </c>
      <c r="G9547" t="s">
        <v>12</v>
      </c>
      <c r="I9547" t="s">
        <v>230</v>
      </c>
    </row>
    <row r="9548" spans="1:9" hidden="1" x14ac:dyDescent="0.25">
      <c r="A9548" t="s">
        <v>8017</v>
      </c>
      <c r="B9548" t="s">
        <v>24</v>
      </c>
      <c r="C9548" s="2">
        <f>HYPERLINK("https://cao.dolgi.msk.ru/account/1080085191/", 1080085191)</f>
        <v>1080085191</v>
      </c>
      <c r="D9548" t="s">
        <v>8026</v>
      </c>
      <c r="E9548">
        <v>-5058.41</v>
      </c>
      <c r="F9548">
        <v>-1.27</v>
      </c>
      <c r="G9548" t="s">
        <v>12</v>
      </c>
      <c r="I9548" t="s">
        <v>230</v>
      </c>
    </row>
    <row r="9549" spans="1:9" hidden="1" x14ac:dyDescent="0.25">
      <c r="A9549" t="s">
        <v>8017</v>
      </c>
      <c r="B9549" t="s">
        <v>27</v>
      </c>
      <c r="C9549" s="2">
        <f>HYPERLINK("https://cao.dolgi.msk.ru/account/1080085204/", 1080085204)</f>
        <v>1080085204</v>
      </c>
      <c r="D9549" t="s">
        <v>8027</v>
      </c>
      <c r="E9549">
        <v>0</v>
      </c>
      <c r="F9549">
        <v>0</v>
      </c>
      <c r="G9549" t="s">
        <v>12</v>
      </c>
      <c r="I9549" t="s">
        <v>230</v>
      </c>
    </row>
    <row r="9550" spans="1:9" hidden="1" x14ac:dyDescent="0.25">
      <c r="A9550" t="s">
        <v>8017</v>
      </c>
      <c r="B9550" t="s">
        <v>29</v>
      </c>
      <c r="C9550" s="2">
        <f>HYPERLINK("https://cao.dolgi.msk.ru/account/1080085212/", 1080085212)</f>
        <v>1080085212</v>
      </c>
      <c r="D9550" t="s">
        <v>8028</v>
      </c>
      <c r="E9550">
        <v>-3305.81</v>
      </c>
      <c r="F9550">
        <v>-1.1100000000000001</v>
      </c>
      <c r="G9550" t="s">
        <v>12</v>
      </c>
      <c r="I9550" t="s">
        <v>230</v>
      </c>
    </row>
    <row r="9551" spans="1:9" hidden="1" x14ac:dyDescent="0.25">
      <c r="A9551" t="s">
        <v>8017</v>
      </c>
      <c r="B9551" t="s">
        <v>31</v>
      </c>
      <c r="C9551" s="2">
        <f>HYPERLINK("https://cao.dolgi.msk.ru/account/1080085239/", 1080085239)</f>
        <v>1080085239</v>
      </c>
      <c r="D9551" t="s">
        <v>8029</v>
      </c>
      <c r="E9551">
        <v>-5182.3599999999997</v>
      </c>
      <c r="F9551">
        <v>-1.1100000000000001</v>
      </c>
      <c r="G9551" t="s">
        <v>12</v>
      </c>
      <c r="I9551" t="s">
        <v>230</v>
      </c>
    </row>
    <row r="9552" spans="1:9" hidden="1" x14ac:dyDescent="0.25">
      <c r="A9552" t="s">
        <v>8017</v>
      </c>
      <c r="B9552" t="s">
        <v>33</v>
      </c>
      <c r="C9552" s="2">
        <f>HYPERLINK("https://cao.dolgi.msk.ru/account/1080085247/", 1080085247)</f>
        <v>1080085247</v>
      </c>
      <c r="D9552" t="s">
        <v>8030</v>
      </c>
      <c r="E9552">
        <v>3434.95</v>
      </c>
      <c r="F9552">
        <v>0.84</v>
      </c>
      <c r="G9552" t="s">
        <v>12</v>
      </c>
      <c r="I9552" t="s">
        <v>230</v>
      </c>
    </row>
    <row r="9553" spans="1:9" hidden="1" x14ac:dyDescent="0.25">
      <c r="A9553" t="s">
        <v>8017</v>
      </c>
      <c r="B9553" t="s">
        <v>34</v>
      </c>
      <c r="C9553" s="2">
        <f>HYPERLINK("https://cao.dolgi.msk.ru/account/1080085255/", 1080085255)</f>
        <v>1080085255</v>
      </c>
      <c r="D9553" t="s">
        <v>8031</v>
      </c>
      <c r="E9553">
        <v>-3486.96</v>
      </c>
      <c r="F9553">
        <v>-1.3</v>
      </c>
      <c r="G9553" t="s">
        <v>12</v>
      </c>
      <c r="I9553" t="s">
        <v>230</v>
      </c>
    </row>
    <row r="9554" spans="1:9" hidden="1" x14ac:dyDescent="0.25">
      <c r="A9554" t="s">
        <v>8017</v>
      </c>
      <c r="B9554" t="s">
        <v>36</v>
      </c>
      <c r="C9554" s="2">
        <f>HYPERLINK("https://cao.dolgi.msk.ru/account/1080085263/", 1080085263)</f>
        <v>1080085263</v>
      </c>
      <c r="D9554" t="s">
        <v>8032</v>
      </c>
      <c r="E9554">
        <v>-2549.48</v>
      </c>
      <c r="F9554">
        <v>-1.1399999999999999</v>
      </c>
      <c r="G9554" t="s">
        <v>12</v>
      </c>
      <c r="I9554" t="s">
        <v>230</v>
      </c>
    </row>
    <row r="9555" spans="1:9" hidden="1" x14ac:dyDescent="0.25">
      <c r="A9555" t="s">
        <v>8017</v>
      </c>
      <c r="B9555" t="s">
        <v>38</v>
      </c>
      <c r="C9555" s="2">
        <f>HYPERLINK("https://cao.dolgi.msk.ru/account/1080085271/", 1080085271)</f>
        <v>1080085271</v>
      </c>
      <c r="D9555" t="s">
        <v>8033</v>
      </c>
      <c r="E9555">
        <v>-2892.53</v>
      </c>
      <c r="F9555">
        <v>-1.21</v>
      </c>
      <c r="G9555" t="s">
        <v>12</v>
      </c>
      <c r="I9555" t="s">
        <v>230</v>
      </c>
    </row>
    <row r="9556" spans="1:9" hidden="1" x14ac:dyDescent="0.25">
      <c r="A9556" t="s">
        <v>8017</v>
      </c>
      <c r="B9556" t="s">
        <v>39</v>
      </c>
      <c r="C9556" s="2">
        <f>HYPERLINK("https://cao.dolgi.msk.ru/account/1080085298/", 1080085298)</f>
        <v>1080085298</v>
      </c>
      <c r="D9556" t="s">
        <v>8034</v>
      </c>
      <c r="E9556">
        <v>-4170.5200000000004</v>
      </c>
      <c r="F9556">
        <v>-1.2</v>
      </c>
      <c r="G9556" t="s">
        <v>12</v>
      </c>
      <c r="I9556" t="s">
        <v>230</v>
      </c>
    </row>
    <row r="9557" spans="1:9" hidden="1" x14ac:dyDescent="0.25">
      <c r="A9557" t="s">
        <v>8017</v>
      </c>
      <c r="B9557" t="s">
        <v>40</v>
      </c>
      <c r="C9557" s="2">
        <f>HYPERLINK("https://cao.dolgi.msk.ru/account/1080085319/", 1080085319)</f>
        <v>1080085319</v>
      </c>
      <c r="D9557" t="s">
        <v>8035</v>
      </c>
      <c r="E9557">
        <v>-609.29</v>
      </c>
      <c r="F9557">
        <v>-0.14000000000000001</v>
      </c>
      <c r="G9557" t="s">
        <v>12</v>
      </c>
      <c r="I9557" t="s">
        <v>230</v>
      </c>
    </row>
    <row r="9558" spans="1:9" hidden="1" x14ac:dyDescent="0.25">
      <c r="A9558" t="s">
        <v>8017</v>
      </c>
      <c r="B9558" t="s">
        <v>41</v>
      </c>
      <c r="C9558" s="2">
        <f>HYPERLINK("https://cao.dolgi.msk.ru/account/1080085327/", 1080085327)</f>
        <v>1080085327</v>
      </c>
      <c r="D9558" t="s">
        <v>8036</v>
      </c>
      <c r="E9558">
        <v>-6383.88</v>
      </c>
      <c r="F9558">
        <v>-0.99</v>
      </c>
      <c r="G9558" t="s">
        <v>12</v>
      </c>
      <c r="I9558" t="s">
        <v>230</v>
      </c>
    </row>
    <row r="9559" spans="1:9" hidden="1" x14ac:dyDescent="0.25">
      <c r="A9559" t="s">
        <v>8017</v>
      </c>
      <c r="B9559" t="s">
        <v>42</v>
      </c>
      <c r="C9559" s="2">
        <f>HYPERLINK("https://cao.dolgi.msk.ru/account/1080085335/", 1080085335)</f>
        <v>1080085335</v>
      </c>
      <c r="D9559" t="s">
        <v>8037</v>
      </c>
      <c r="E9559">
        <v>-4409.66</v>
      </c>
      <c r="F9559">
        <v>-1.19</v>
      </c>
      <c r="G9559" t="s">
        <v>12</v>
      </c>
      <c r="I9559" t="s">
        <v>230</v>
      </c>
    </row>
    <row r="9560" spans="1:9" hidden="1" x14ac:dyDescent="0.25">
      <c r="A9560" t="s">
        <v>8017</v>
      </c>
      <c r="B9560" t="s">
        <v>44</v>
      </c>
      <c r="C9560" s="2">
        <f>HYPERLINK("https://cao.dolgi.msk.ru/account/1080085343/", 1080085343)</f>
        <v>1080085343</v>
      </c>
      <c r="D9560" t="s">
        <v>8038</v>
      </c>
      <c r="E9560">
        <v>-7661.4</v>
      </c>
      <c r="F9560">
        <v>-1.55</v>
      </c>
      <c r="G9560" t="s">
        <v>12</v>
      </c>
      <c r="I9560" t="s">
        <v>230</v>
      </c>
    </row>
    <row r="9561" spans="1:9" hidden="1" x14ac:dyDescent="0.25">
      <c r="A9561" t="s">
        <v>8017</v>
      </c>
      <c r="B9561" t="s">
        <v>66</v>
      </c>
      <c r="C9561" s="2">
        <f>HYPERLINK("https://cao.dolgi.msk.ru/account/1080085351/", 1080085351)</f>
        <v>1080085351</v>
      </c>
      <c r="D9561" t="s">
        <v>8039</v>
      </c>
      <c r="E9561">
        <v>-4656.4799999999996</v>
      </c>
      <c r="F9561">
        <v>-1.32</v>
      </c>
      <c r="G9561" t="s">
        <v>12</v>
      </c>
      <c r="I9561" t="s">
        <v>230</v>
      </c>
    </row>
    <row r="9562" spans="1:9" hidden="1" x14ac:dyDescent="0.25">
      <c r="A9562" t="s">
        <v>8017</v>
      </c>
      <c r="B9562" t="s">
        <v>68</v>
      </c>
      <c r="C9562" s="2">
        <f>HYPERLINK("https://cao.dolgi.msk.ru/account/1080085378/", 1080085378)</f>
        <v>1080085378</v>
      </c>
      <c r="D9562" t="s">
        <v>8040</v>
      </c>
      <c r="E9562">
        <v>-4639.1400000000003</v>
      </c>
      <c r="F9562">
        <v>-1.27</v>
      </c>
      <c r="G9562" t="s">
        <v>12</v>
      </c>
      <c r="I9562" t="s">
        <v>230</v>
      </c>
    </row>
    <row r="9563" spans="1:9" hidden="1" x14ac:dyDescent="0.25">
      <c r="A9563" t="s">
        <v>8017</v>
      </c>
      <c r="B9563" t="s">
        <v>70</v>
      </c>
      <c r="C9563" s="2">
        <f>HYPERLINK("https://cao.dolgi.msk.ru/account/1080085386/", 1080085386)</f>
        <v>1080085386</v>
      </c>
      <c r="D9563" t="s">
        <v>8041</v>
      </c>
      <c r="E9563">
        <v>-3005.6</v>
      </c>
      <c r="F9563">
        <v>-1.18</v>
      </c>
      <c r="G9563" t="s">
        <v>12</v>
      </c>
      <c r="I9563" t="s">
        <v>230</v>
      </c>
    </row>
    <row r="9564" spans="1:9" hidden="1" x14ac:dyDescent="0.25">
      <c r="A9564" t="s">
        <v>8017</v>
      </c>
      <c r="B9564" t="s">
        <v>72</v>
      </c>
      <c r="C9564" s="2">
        <f>HYPERLINK("https://cao.dolgi.msk.ru/account/1080085394/", 1080085394)</f>
        <v>1080085394</v>
      </c>
      <c r="D9564" t="s">
        <v>8042</v>
      </c>
      <c r="E9564">
        <v>-5585.36</v>
      </c>
      <c r="F9564">
        <v>-1.45</v>
      </c>
      <c r="G9564" t="s">
        <v>12</v>
      </c>
      <c r="I9564" t="s">
        <v>230</v>
      </c>
    </row>
    <row r="9565" spans="1:9" hidden="1" x14ac:dyDescent="0.25">
      <c r="A9565" t="s">
        <v>8017</v>
      </c>
      <c r="B9565" t="s">
        <v>74</v>
      </c>
      <c r="C9565" s="2">
        <f>HYPERLINK("https://cao.dolgi.msk.ru/account/1080085407/", 1080085407)</f>
        <v>1080085407</v>
      </c>
      <c r="D9565" t="s">
        <v>8043</v>
      </c>
      <c r="E9565">
        <v>-392.78</v>
      </c>
      <c r="F9565">
        <v>-0.15</v>
      </c>
      <c r="G9565" t="s">
        <v>12</v>
      </c>
      <c r="I9565" t="s">
        <v>230</v>
      </c>
    </row>
    <row r="9566" spans="1:9" hidden="1" x14ac:dyDescent="0.25">
      <c r="A9566" t="s">
        <v>8017</v>
      </c>
      <c r="B9566" t="s">
        <v>76</v>
      </c>
      <c r="C9566" s="2">
        <f>HYPERLINK("https://cao.dolgi.msk.ru/account/1080085415/", 1080085415)</f>
        <v>1080085415</v>
      </c>
      <c r="D9566" t="s">
        <v>8044</v>
      </c>
      <c r="E9566">
        <v>-8238.8799999999992</v>
      </c>
      <c r="F9566">
        <v>-2.15</v>
      </c>
      <c r="G9566" t="s">
        <v>12</v>
      </c>
      <c r="I9566" t="s">
        <v>230</v>
      </c>
    </row>
    <row r="9567" spans="1:9" hidden="1" x14ac:dyDescent="0.25">
      <c r="A9567" t="s">
        <v>8017</v>
      </c>
      <c r="B9567" t="s">
        <v>78</v>
      </c>
      <c r="C9567" s="2">
        <f>HYPERLINK("https://cao.dolgi.msk.ru/account/1080085423/", 1080085423)</f>
        <v>1080085423</v>
      </c>
      <c r="D9567" t="s">
        <v>8045</v>
      </c>
      <c r="E9567">
        <v>-4805.82</v>
      </c>
      <c r="F9567">
        <v>-1.36</v>
      </c>
      <c r="G9567" t="s">
        <v>12</v>
      </c>
      <c r="I9567" t="s">
        <v>230</v>
      </c>
    </row>
    <row r="9568" spans="1:9" hidden="1" x14ac:dyDescent="0.25">
      <c r="A9568" t="s">
        <v>8017</v>
      </c>
      <c r="B9568" t="s">
        <v>80</v>
      </c>
      <c r="C9568" s="2">
        <f>HYPERLINK("https://cao.dolgi.msk.ru/account/1080085431/", 1080085431)</f>
        <v>1080085431</v>
      </c>
      <c r="D9568" t="s">
        <v>8046</v>
      </c>
      <c r="E9568">
        <v>-3447.31</v>
      </c>
      <c r="F9568">
        <v>-1.21</v>
      </c>
      <c r="G9568" t="s">
        <v>12</v>
      </c>
      <c r="I9568" t="s">
        <v>230</v>
      </c>
    </row>
    <row r="9569" spans="1:9" hidden="1" x14ac:dyDescent="0.25">
      <c r="A9569" t="s">
        <v>8017</v>
      </c>
      <c r="B9569" t="s">
        <v>82</v>
      </c>
      <c r="C9569" s="2">
        <f>HYPERLINK("https://cao.dolgi.msk.ru/account/1080085458/", 1080085458)</f>
        <v>1080085458</v>
      </c>
      <c r="D9569" t="s">
        <v>8047</v>
      </c>
      <c r="E9569">
        <v>-4698.93</v>
      </c>
      <c r="F9569">
        <v>-2.82</v>
      </c>
      <c r="G9569" t="s">
        <v>12</v>
      </c>
      <c r="I9569" t="s">
        <v>230</v>
      </c>
    </row>
    <row r="9570" spans="1:9" hidden="1" x14ac:dyDescent="0.25">
      <c r="A9570" t="s">
        <v>8017</v>
      </c>
      <c r="B9570" t="s">
        <v>84</v>
      </c>
      <c r="C9570" s="2">
        <f>HYPERLINK("https://cao.dolgi.msk.ru/account/1080085466/", 1080085466)</f>
        <v>1080085466</v>
      </c>
      <c r="D9570" t="s">
        <v>15</v>
      </c>
      <c r="E9570">
        <v>-4355.3599999999997</v>
      </c>
      <c r="F9570">
        <v>-1.18</v>
      </c>
      <c r="G9570" t="s">
        <v>12</v>
      </c>
      <c r="I9570" t="s">
        <v>230</v>
      </c>
    </row>
    <row r="9571" spans="1:9" hidden="1" x14ac:dyDescent="0.25">
      <c r="A9571" t="s">
        <v>8017</v>
      </c>
      <c r="B9571" t="s">
        <v>86</v>
      </c>
      <c r="C9571" s="2">
        <f>HYPERLINK("https://cao.dolgi.msk.ru/account/1080085474/", 1080085474)</f>
        <v>1080085474</v>
      </c>
      <c r="D9571" t="s">
        <v>8048</v>
      </c>
      <c r="E9571">
        <v>-3498.59</v>
      </c>
      <c r="F9571">
        <v>-1.21</v>
      </c>
      <c r="G9571" t="s">
        <v>12</v>
      </c>
      <c r="I9571" t="s">
        <v>230</v>
      </c>
    </row>
    <row r="9572" spans="1:9" hidden="1" x14ac:dyDescent="0.25">
      <c r="A9572" t="s">
        <v>8017</v>
      </c>
      <c r="B9572" t="s">
        <v>88</v>
      </c>
      <c r="C9572" s="2">
        <f>HYPERLINK("https://cao.dolgi.msk.ru/account/1080085482/", 1080085482)</f>
        <v>1080085482</v>
      </c>
      <c r="D9572" t="s">
        <v>8049</v>
      </c>
      <c r="E9572">
        <v>-4202.62</v>
      </c>
      <c r="F9572">
        <v>-1.95</v>
      </c>
      <c r="G9572" t="s">
        <v>12</v>
      </c>
      <c r="I9572" t="s">
        <v>230</v>
      </c>
    </row>
    <row r="9573" spans="1:9" hidden="1" x14ac:dyDescent="0.25">
      <c r="A9573" t="s">
        <v>8017</v>
      </c>
      <c r="B9573" t="s">
        <v>90</v>
      </c>
      <c r="C9573" s="2">
        <f>HYPERLINK("https://cao.dolgi.msk.ru/account/1080085503/", 1080085503)</f>
        <v>1080085503</v>
      </c>
      <c r="D9573" t="s">
        <v>8050</v>
      </c>
      <c r="E9573">
        <v>-5151.1099999999997</v>
      </c>
      <c r="F9573">
        <v>-1.03</v>
      </c>
      <c r="G9573" t="s">
        <v>12</v>
      </c>
      <c r="I9573" t="s">
        <v>230</v>
      </c>
    </row>
    <row r="9574" spans="1:9" hidden="1" x14ac:dyDescent="0.25">
      <c r="A9574" t="s">
        <v>8017</v>
      </c>
      <c r="B9574" t="s">
        <v>92</v>
      </c>
      <c r="C9574" s="2">
        <f>HYPERLINK("https://cao.dolgi.msk.ru/account/1080085511/", 1080085511)</f>
        <v>1080085511</v>
      </c>
      <c r="D9574" t="s">
        <v>8051</v>
      </c>
      <c r="E9574">
        <v>-6044.49</v>
      </c>
      <c r="F9574">
        <v>-1.54</v>
      </c>
      <c r="G9574" t="s">
        <v>12</v>
      </c>
      <c r="I9574" t="s">
        <v>230</v>
      </c>
    </row>
    <row r="9575" spans="1:9" hidden="1" x14ac:dyDescent="0.25">
      <c r="A9575" t="s">
        <v>8017</v>
      </c>
      <c r="B9575" t="s">
        <v>94</v>
      </c>
      <c r="C9575" s="2">
        <f>HYPERLINK("https://cao.dolgi.msk.ru/account/1080085538/", 1080085538)</f>
        <v>1080085538</v>
      </c>
      <c r="D9575" t="s">
        <v>8052</v>
      </c>
      <c r="E9575">
        <v>-5564.91</v>
      </c>
      <c r="F9575">
        <v>-1.1000000000000001</v>
      </c>
      <c r="G9575" t="s">
        <v>12</v>
      </c>
      <c r="I9575" t="s">
        <v>230</v>
      </c>
    </row>
    <row r="9576" spans="1:9" hidden="1" x14ac:dyDescent="0.25">
      <c r="A9576" t="s">
        <v>8017</v>
      </c>
      <c r="B9576" t="s">
        <v>96</v>
      </c>
      <c r="C9576" s="2">
        <f>HYPERLINK("https://cao.dolgi.msk.ru/account/1080085546/", 1080085546)</f>
        <v>1080085546</v>
      </c>
      <c r="D9576" t="s">
        <v>8053</v>
      </c>
      <c r="E9576">
        <v>-4202.8999999999996</v>
      </c>
      <c r="F9576">
        <v>-1.2</v>
      </c>
      <c r="G9576" t="s">
        <v>12</v>
      </c>
      <c r="I9576" t="s">
        <v>230</v>
      </c>
    </row>
    <row r="9577" spans="1:9" hidden="1" x14ac:dyDescent="0.25">
      <c r="A9577" t="s">
        <v>8017</v>
      </c>
      <c r="B9577" t="s">
        <v>98</v>
      </c>
      <c r="C9577" s="2">
        <f>HYPERLINK("https://cao.dolgi.msk.ru/account/1080085554/", 1080085554)</f>
        <v>1080085554</v>
      </c>
      <c r="D9577" t="s">
        <v>15</v>
      </c>
      <c r="E9577">
        <v>-3333.73</v>
      </c>
      <c r="F9577">
        <v>-0.78</v>
      </c>
      <c r="G9577" t="s">
        <v>12</v>
      </c>
      <c r="I9577" t="s">
        <v>230</v>
      </c>
    </row>
    <row r="9578" spans="1:9" hidden="1" x14ac:dyDescent="0.25">
      <c r="A9578" t="s">
        <v>8017</v>
      </c>
      <c r="B9578" t="s">
        <v>100</v>
      </c>
      <c r="C9578" s="2">
        <f>HYPERLINK("https://cao.dolgi.msk.ru/account/1080085562/", 1080085562)</f>
        <v>1080085562</v>
      </c>
      <c r="D9578" t="s">
        <v>8054</v>
      </c>
      <c r="E9578">
        <v>-3497.22</v>
      </c>
      <c r="F9578">
        <v>-1.17</v>
      </c>
      <c r="G9578" t="s">
        <v>12</v>
      </c>
      <c r="I9578" t="s">
        <v>230</v>
      </c>
    </row>
    <row r="9579" spans="1:9" hidden="1" x14ac:dyDescent="0.25">
      <c r="A9579" t="s">
        <v>8017</v>
      </c>
      <c r="B9579" t="s">
        <v>102</v>
      </c>
      <c r="C9579" s="2">
        <f>HYPERLINK("https://cao.dolgi.msk.ru/account/1080085589/", 1080085589)</f>
        <v>1080085589</v>
      </c>
      <c r="D9579" t="s">
        <v>8055</v>
      </c>
      <c r="E9579">
        <v>-6296.87</v>
      </c>
      <c r="F9579">
        <v>-1.01</v>
      </c>
      <c r="G9579" t="s">
        <v>12</v>
      </c>
      <c r="I9579" t="s">
        <v>230</v>
      </c>
    </row>
    <row r="9580" spans="1:9" x14ac:dyDescent="0.25">
      <c r="A9580" t="s">
        <v>8017</v>
      </c>
      <c r="B9580" t="s">
        <v>104</v>
      </c>
      <c r="C9580" s="2">
        <f>HYPERLINK("https://cao.dolgi.msk.ru/account/1080085597/", 1080085597)</f>
        <v>1080085597</v>
      </c>
      <c r="D9580" t="s">
        <v>8056</v>
      </c>
      <c r="E9580">
        <v>152917.54</v>
      </c>
      <c r="F9580">
        <v>49.46</v>
      </c>
      <c r="G9580" t="s">
        <v>12</v>
      </c>
      <c r="I9580" t="s">
        <v>230</v>
      </c>
    </row>
    <row r="9581" spans="1:9" hidden="1" x14ac:dyDescent="0.25">
      <c r="A9581" t="s">
        <v>8017</v>
      </c>
      <c r="B9581" t="s">
        <v>106</v>
      </c>
      <c r="C9581" s="2">
        <f>HYPERLINK("https://cao.dolgi.msk.ru/account/1080085618/", 1080085618)</f>
        <v>1080085618</v>
      </c>
      <c r="D9581" t="s">
        <v>8057</v>
      </c>
      <c r="E9581">
        <v>-6950.07</v>
      </c>
      <c r="F9581">
        <v>-1.3</v>
      </c>
      <c r="G9581" t="s">
        <v>12</v>
      </c>
      <c r="I9581" t="s">
        <v>230</v>
      </c>
    </row>
    <row r="9582" spans="1:9" hidden="1" x14ac:dyDescent="0.25">
      <c r="A9582" t="s">
        <v>8017</v>
      </c>
      <c r="B9582" t="s">
        <v>108</v>
      </c>
      <c r="C9582" s="2">
        <f>HYPERLINK("https://cao.dolgi.msk.ru/account/1080085626/", 1080085626)</f>
        <v>1080085626</v>
      </c>
      <c r="D9582" t="s">
        <v>8058</v>
      </c>
      <c r="E9582">
        <v>-6635.1</v>
      </c>
      <c r="F9582">
        <v>-1.38</v>
      </c>
      <c r="G9582" t="s">
        <v>12</v>
      </c>
      <c r="I9582" t="s">
        <v>230</v>
      </c>
    </row>
    <row r="9583" spans="1:9" hidden="1" x14ac:dyDescent="0.25">
      <c r="A9583" t="s">
        <v>8017</v>
      </c>
      <c r="B9583" t="s">
        <v>110</v>
      </c>
      <c r="C9583" s="2">
        <f>HYPERLINK("https://cao.dolgi.msk.ru/account/1080085634/", 1080085634)</f>
        <v>1080085634</v>
      </c>
      <c r="D9583" t="s">
        <v>8059</v>
      </c>
      <c r="E9583">
        <v>-7351.08</v>
      </c>
      <c r="F9583">
        <v>-1.1200000000000001</v>
      </c>
      <c r="G9583" t="s">
        <v>12</v>
      </c>
      <c r="I9583" t="s">
        <v>230</v>
      </c>
    </row>
    <row r="9584" spans="1:9" hidden="1" x14ac:dyDescent="0.25">
      <c r="A9584" t="s">
        <v>8017</v>
      </c>
      <c r="B9584" t="s">
        <v>112</v>
      </c>
      <c r="C9584" s="2">
        <f>HYPERLINK("https://cao.dolgi.msk.ru/account/1080085642/", 1080085642)</f>
        <v>1080085642</v>
      </c>
      <c r="D9584" t="s">
        <v>8060</v>
      </c>
      <c r="E9584">
        <v>-2691.07</v>
      </c>
      <c r="F9584">
        <v>-1.0900000000000001</v>
      </c>
      <c r="G9584" t="s">
        <v>12</v>
      </c>
      <c r="I9584" t="s">
        <v>230</v>
      </c>
    </row>
    <row r="9585" spans="1:9" hidden="1" x14ac:dyDescent="0.25">
      <c r="A9585" t="s">
        <v>8017</v>
      </c>
      <c r="B9585" t="s">
        <v>114</v>
      </c>
      <c r="C9585" s="2">
        <f>HYPERLINK("https://cao.dolgi.msk.ru/account/1080085669/", 1080085669)</f>
        <v>1080085669</v>
      </c>
      <c r="D9585" t="s">
        <v>8061</v>
      </c>
      <c r="E9585">
        <v>-3794.61</v>
      </c>
      <c r="F9585">
        <v>-1.26</v>
      </c>
      <c r="G9585" t="s">
        <v>12</v>
      </c>
      <c r="I9585" t="s">
        <v>230</v>
      </c>
    </row>
    <row r="9586" spans="1:9" hidden="1" x14ac:dyDescent="0.25">
      <c r="A9586" t="s">
        <v>8017</v>
      </c>
      <c r="B9586" t="s">
        <v>116</v>
      </c>
      <c r="C9586" s="2">
        <f>HYPERLINK("https://cao.dolgi.msk.ru/account/1080085677/", 1080085677)</f>
        <v>1080085677</v>
      </c>
      <c r="D9586" t="s">
        <v>8062</v>
      </c>
      <c r="E9586">
        <v>-13057.26</v>
      </c>
      <c r="F9586">
        <v>-2.71</v>
      </c>
      <c r="G9586" t="s">
        <v>12</v>
      </c>
      <c r="I9586" t="s">
        <v>230</v>
      </c>
    </row>
    <row r="9587" spans="1:9" hidden="1" x14ac:dyDescent="0.25">
      <c r="A9587" t="s">
        <v>8017</v>
      </c>
      <c r="B9587" t="s">
        <v>118</v>
      </c>
      <c r="C9587" s="2">
        <f>HYPERLINK("https://cao.dolgi.msk.ru/account/1080085685/", 1080085685)</f>
        <v>1080085685</v>
      </c>
      <c r="D9587" t="s">
        <v>8063</v>
      </c>
      <c r="E9587">
        <v>-6548.55</v>
      </c>
      <c r="F9587">
        <v>-1.1599999999999999</v>
      </c>
      <c r="G9587" t="s">
        <v>12</v>
      </c>
      <c r="I9587" t="s">
        <v>230</v>
      </c>
    </row>
    <row r="9588" spans="1:9" hidden="1" x14ac:dyDescent="0.25">
      <c r="A9588" t="s">
        <v>8017</v>
      </c>
      <c r="B9588" t="s">
        <v>120</v>
      </c>
      <c r="C9588" s="2">
        <f>HYPERLINK("https://cao.dolgi.msk.ru/account/1080085693/", 1080085693)</f>
        <v>1080085693</v>
      </c>
      <c r="D9588" t="s">
        <v>8064</v>
      </c>
      <c r="E9588">
        <v>-2920.59</v>
      </c>
      <c r="F9588">
        <v>-0.93</v>
      </c>
      <c r="G9588" t="s">
        <v>12</v>
      </c>
      <c r="I9588" t="s">
        <v>230</v>
      </c>
    </row>
    <row r="9589" spans="1:9" hidden="1" x14ac:dyDescent="0.25">
      <c r="A9589" t="s">
        <v>8017</v>
      </c>
      <c r="B9589" t="s">
        <v>122</v>
      </c>
      <c r="C9589" s="2">
        <f>HYPERLINK("https://cao.dolgi.msk.ru/account/1080085706/", 1080085706)</f>
        <v>1080085706</v>
      </c>
      <c r="D9589" t="s">
        <v>8065</v>
      </c>
      <c r="E9589">
        <v>-6337.77</v>
      </c>
      <c r="F9589">
        <v>-1.36</v>
      </c>
      <c r="G9589" t="s">
        <v>12</v>
      </c>
      <c r="I9589" t="s">
        <v>230</v>
      </c>
    </row>
    <row r="9590" spans="1:9" hidden="1" x14ac:dyDescent="0.25">
      <c r="A9590" t="s">
        <v>8017</v>
      </c>
      <c r="B9590" t="s">
        <v>124</v>
      </c>
      <c r="C9590" s="2">
        <f>HYPERLINK("https://cao.dolgi.msk.ru/account/1080085714/", 1080085714)</f>
        <v>1080085714</v>
      </c>
      <c r="D9590" t="s">
        <v>8066</v>
      </c>
      <c r="E9590">
        <v>-5192.6099999999997</v>
      </c>
      <c r="F9590">
        <v>-0.75</v>
      </c>
      <c r="G9590" t="s">
        <v>12</v>
      </c>
      <c r="I9590" t="s">
        <v>230</v>
      </c>
    </row>
    <row r="9591" spans="1:9" hidden="1" x14ac:dyDescent="0.25">
      <c r="A9591" t="s">
        <v>8017</v>
      </c>
      <c r="B9591" t="s">
        <v>126</v>
      </c>
      <c r="C9591" s="2">
        <f>HYPERLINK("https://cao.dolgi.msk.ru/account/1080085722/", 1080085722)</f>
        <v>1080085722</v>
      </c>
      <c r="D9591" t="s">
        <v>8067</v>
      </c>
      <c r="E9591">
        <v>0</v>
      </c>
      <c r="F9591">
        <v>0</v>
      </c>
      <c r="G9591" t="s">
        <v>12</v>
      </c>
      <c r="I9591" t="s">
        <v>230</v>
      </c>
    </row>
    <row r="9592" spans="1:9" hidden="1" x14ac:dyDescent="0.25">
      <c r="A9592" t="s">
        <v>8017</v>
      </c>
      <c r="B9592" t="s">
        <v>128</v>
      </c>
      <c r="C9592" s="2">
        <f>HYPERLINK("https://cao.dolgi.msk.ru/account/1080085749/", 1080085749)</f>
        <v>1080085749</v>
      </c>
      <c r="D9592" t="s">
        <v>8068</v>
      </c>
      <c r="E9592">
        <v>-84.21</v>
      </c>
      <c r="F9592">
        <v>-0.02</v>
      </c>
      <c r="G9592" t="s">
        <v>12</v>
      </c>
      <c r="I9592" t="s">
        <v>230</v>
      </c>
    </row>
    <row r="9593" spans="1:9" hidden="1" x14ac:dyDescent="0.25">
      <c r="A9593" t="s">
        <v>8017</v>
      </c>
      <c r="B9593" t="s">
        <v>130</v>
      </c>
      <c r="C9593" s="2">
        <f>HYPERLINK("https://cao.dolgi.msk.ru/account/1080085757/", 1080085757)</f>
        <v>1080085757</v>
      </c>
      <c r="D9593" t="s">
        <v>8069</v>
      </c>
      <c r="E9593">
        <v>-6510.44</v>
      </c>
      <c r="F9593">
        <v>-1.36</v>
      </c>
      <c r="G9593" t="s">
        <v>12</v>
      </c>
      <c r="I9593" t="s">
        <v>230</v>
      </c>
    </row>
    <row r="9594" spans="1:9" hidden="1" x14ac:dyDescent="0.25">
      <c r="A9594" t="s">
        <v>8017</v>
      </c>
      <c r="B9594" t="s">
        <v>130</v>
      </c>
      <c r="C9594" s="2">
        <f>HYPERLINK("https://cao.dolgi.msk.ru/account/1080085765/", 1080085765)</f>
        <v>1080085765</v>
      </c>
      <c r="D9594" t="s">
        <v>8070</v>
      </c>
      <c r="G9594" t="s">
        <v>14</v>
      </c>
      <c r="I9594" t="s">
        <v>230</v>
      </c>
    </row>
    <row r="9595" spans="1:9" hidden="1" x14ac:dyDescent="0.25">
      <c r="A9595" t="s">
        <v>8017</v>
      </c>
      <c r="B9595" t="s">
        <v>132</v>
      </c>
      <c r="C9595" s="2">
        <f>HYPERLINK("https://cao.dolgi.msk.ru/account/1080085773/", 1080085773)</f>
        <v>1080085773</v>
      </c>
      <c r="D9595" t="s">
        <v>8071</v>
      </c>
      <c r="E9595">
        <v>-4649.66</v>
      </c>
      <c r="F9595">
        <v>-1.28</v>
      </c>
      <c r="G9595" t="s">
        <v>12</v>
      </c>
      <c r="I9595" t="s">
        <v>230</v>
      </c>
    </row>
    <row r="9596" spans="1:9" hidden="1" x14ac:dyDescent="0.25">
      <c r="A9596" t="s">
        <v>8017</v>
      </c>
      <c r="B9596" t="s">
        <v>133</v>
      </c>
      <c r="C9596" s="2">
        <f>HYPERLINK("https://cao.dolgi.msk.ru/account/1080085781/", 1080085781)</f>
        <v>1080085781</v>
      </c>
      <c r="D9596" t="s">
        <v>15</v>
      </c>
      <c r="E9596">
        <v>-7169.66</v>
      </c>
      <c r="F9596">
        <v>-1.17</v>
      </c>
      <c r="G9596" t="s">
        <v>12</v>
      </c>
      <c r="I9596" t="s">
        <v>230</v>
      </c>
    </row>
    <row r="9597" spans="1:9" hidden="1" x14ac:dyDescent="0.25">
      <c r="A9597" t="s">
        <v>8017</v>
      </c>
      <c r="B9597" t="s">
        <v>135</v>
      </c>
      <c r="C9597" s="2">
        <f>HYPERLINK("https://cao.dolgi.msk.ru/account/1080085802/", 1080085802)</f>
        <v>1080085802</v>
      </c>
      <c r="D9597" t="s">
        <v>8072</v>
      </c>
      <c r="E9597">
        <v>-2594.16</v>
      </c>
      <c r="F9597">
        <v>-1.1299999999999999</v>
      </c>
      <c r="G9597" t="s">
        <v>12</v>
      </c>
      <c r="I9597" t="s">
        <v>230</v>
      </c>
    </row>
    <row r="9598" spans="1:9" hidden="1" x14ac:dyDescent="0.25">
      <c r="A9598" t="s">
        <v>8017</v>
      </c>
      <c r="B9598" t="s">
        <v>137</v>
      </c>
      <c r="C9598" s="2">
        <f>HYPERLINK("https://cao.dolgi.msk.ru/account/1080085829/", 1080085829)</f>
        <v>1080085829</v>
      </c>
      <c r="D9598" t="s">
        <v>8073</v>
      </c>
      <c r="E9598">
        <v>-2774.98</v>
      </c>
      <c r="F9598">
        <v>-0.52</v>
      </c>
      <c r="G9598" t="s">
        <v>12</v>
      </c>
      <c r="I9598" t="s">
        <v>230</v>
      </c>
    </row>
    <row r="9599" spans="1:9" hidden="1" x14ac:dyDescent="0.25">
      <c r="A9599" t="s">
        <v>8017</v>
      </c>
      <c r="B9599" t="s">
        <v>139</v>
      </c>
      <c r="C9599" s="2">
        <f>HYPERLINK("https://cao.dolgi.msk.ru/account/1080085837/", 1080085837)</f>
        <v>1080085837</v>
      </c>
      <c r="D9599" t="s">
        <v>8074</v>
      </c>
      <c r="E9599">
        <v>-3215.54</v>
      </c>
      <c r="F9599">
        <v>-1.26</v>
      </c>
      <c r="G9599" t="s">
        <v>12</v>
      </c>
      <c r="I9599" t="s">
        <v>230</v>
      </c>
    </row>
    <row r="9600" spans="1:9" hidden="1" x14ac:dyDescent="0.25">
      <c r="A9600" t="s">
        <v>8017</v>
      </c>
      <c r="B9600" t="s">
        <v>141</v>
      </c>
      <c r="C9600" s="2">
        <f>HYPERLINK("https://cao.dolgi.msk.ru/account/1080085845/", 1080085845)</f>
        <v>1080085845</v>
      </c>
      <c r="D9600" t="s">
        <v>8075</v>
      </c>
      <c r="E9600">
        <v>-12717.75</v>
      </c>
      <c r="F9600">
        <v>-3.28</v>
      </c>
      <c r="G9600" t="s">
        <v>12</v>
      </c>
      <c r="I9600" t="s">
        <v>230</v>
      </c>
    </row>
    <row r="9601" spans="1:9" hidden="1" x14ac:dyDescent="0.25">
      <c r="A9601" t="s">
        <v>8017</v>
      </c>
      <c r="B9601" t="s">
        <v>143</v>
      </c>
      <c r="C9601" s="2">
        <f>HYPERLINK("https://cao.dolgi.msk.ru/account/1080085853/", 1080085853)</f>
        <v>1080085853</v>
      </c>
      <c r="D9601" t="s">
        <v>8076</v>
      </c>
      <c r="E9601">
        <v>-6455.92</v>
      </c>
      <c r="F9601">
        <v>-1.36</v>
      </c>
      <c r="G9601" t="s">
        <v>12</v>
      </c>
      <c r="I9601" t="s">
        <v>230</v>
      </c>
    </row>
    <row r="9602" spans="1:9" hidden="1" x14ac:dyDescent="0.25">
      <c r="A9602" t="s">
        <v>8017</v>
      </c>
      <c r="B9602" t="s">
        <v>145</v>
      </c>
      <c r="C9602" s="2">
        <f>HYPERLINK("https://cao.dolgi.msk.ru/account/1080085861/", 1080085861)</f>
        <v>1080085861</v>
      </c>
      <c r="D9602" t="s">
        <v>8077</v>
      </c>
      <c r="E9602">
        <v>-6337.96</v>
      </c>
      <c r="F9602">
        <v>-1.37</v>
      </c>
      <c r="G9602" t="s">
        <v>12</v>
      </c>
      <c r="I9602" t="s">
        <v>230</v>
      </c>
    </row>
    <row r="9603" spans="1:9" hidden="1" x14ac:dyDescent="0.25">
      <c r="A9603" t="s">
        <v>8017</v>
      </c>
      <c r="B9603" t="s">
        <v>147</v>
      </c>
      <c r="C9603" s="2">
        <f>HYPERLINK("https://cao.dolgi.msk.ru/account/1080085888/", 1080085888)</f>
        <v>1080085888</v>
      </c>
      <c r="D9603" t="s">
        <v>8078</v>
      </c>
      <c r="E9603">
        <v>-6720.22</v>
      </c>
      <c r="F9603">
        <v>-1.1499999999999999</v>
      </c>
      <c r="G9603" t="s">
        <v>12</v>
      </c>
      <c r="I9603" t="s">
        <v>230</v>
      </c>
    </row>
    <row r="9604" spans="1:9" hidden="1" x14ac:dyDescent="0.25">
      <c r="A9604" t="s">
        <v>8017</v>
      </c>
      <c r="B9604" t="s">
        <v>149</v>
      </c>
      <c r="C9604" s="2">
        <f>HYPERLINK("https://cao.dolgi.msk.ru/account/1080085896/", 1080085896)</f>
        <v>1080085896</v>
      </c>
      <c r="D9604" t="s">
        <v>8079</v>
      </c>
      <c r="E9604">
        <v>0</v>
      </c>
      <c r="F9604">
        <v>0</v>
      </c>
      <c r="G9604" t="s">
        <v>12</v>
      </c>
      <c r="I9604" t="s">
        <v>230</v>
      </c>
    </row>
    <row r="9605" spans="1:9" hidden="1" x14ac:dyDescent="0.25">
      <c r="A9605" t="s">
        <v>8017</v>
      </c>
      <c r="B9605" t="s">
        <v>151</v>
      </c>
      <c r="C9605" s="2">
        <f>HYPERLINK("https://cao.dolgi.msk.ru/account/1080085909/", 1080085909)</f>
        <v>1080085909</v>
      </c>
      <c r="D9605" t="s">
        <v>8080</v>
      </c>
      <c r="E9605">
        <v>0</v>
      </c>
      <c r="F9605">
        <v>0</v>
      </c>
      <c r="G9605" t="s">
        <v>12</v>
      </c>
      <c r="I9605" t="s">
        <v>230</v>
      </c>
    </row>
    <row r="9606" spans="1:9" hidden="1" x14ac:dyDescent="0.25">
      <c r="A9606" t="s">
        <v>8017</v>
      </c>
      <c r="B9606" t="s">
        <v>153</v>
      </c>
      <c r="C9606" s="2">
        <f>HYPERLINK("https://cao.dolgi.msk.ru/account/1080085917/", 1080085917)</f>
        <v>1080085917</v>
      </c>
      <c r="D9606" t="s">
        <v>8081</v>
      </c>
      <c r="E9606">
        <v>-5572.32</v>
      </c>
      <c r="F9606">
        <v>-1.1200000000000001</v>
      </c>
      <c r="G9606" t="s">
        <v>12</v>
      </c>
      <c r="I9606" t="s">
        <v>230</v>
      </c>
    </row>
    <row r="9607" spans="1:9" hidden="1" x14ac:dyDescent="0.25">
      <c r="A9607" t="s">
        <v>8017</v>
      </c>
      <c r="B9607" t="s">
        <v>155</v>
      </c>
      <c r="C9607" s="2">
        <f>HYPERLINK("https://cao.dolgi.msk.ru/account/1080085925/", 1080085925)</f>
        <v>1080085925</v>
      </c>
      <c r="D9607" t="s">
        <v>8082</v>
      </c>
      <c r="E9607">
        <v>62.58</v>
      </c>
      <c r="F9607">
        <v>0.01</v>
      </c>
      <c r="G9607" t="s">
        <v>12</v>
      </c>
      <c r="I9607" t="s">
        <v>230</v>
      </c>
    </row>
    <row r="9608" spans="1:9" hidden="1" x14ac:dyDescent="0.25">
      <c r="A9608" t="s">
        <v>8017</v>
      </c>
      <c r="B9608" t="s">
        <v>157</v>
      </c>
      <c r="C9608" s="2">
        <f>HYPERLINK("https://cao.dolgi.msk.ru/account/1080085933/", 1080085933)</f>
        <v>1080085933</v>
      </c>
      <c r="D9608" t="s">
        <v>8083</v>
      </c>
      <c r="E9608">
        <v>-7091.54</v>
      </c>
      <c r="F9608">
        <v>-0.82</v>
      </c>
      <c r="G9608" t="s">
        <v>12</v>
      </c>
      <c r="I9608" t="s">
        <v>230</v>
      </c>
    </row>
    <row r="9609" spans="1:9" hidden="1" x14ac:dyDescent="0.25">
      <c r="A9609" t="s">
        <v>8017</v>
      </c>
      <c r="B9609" t="s">
        <v>159</v>
      </c>
      <c r="C9609" s="2">
        <f>HYPERLINK("https://cao.dolgi.msk.ru/account/1080085941/", 1080085941)</f>
        <v>1080085941</v>
      </c>
      <c r="D9609" t="s">
        <v>8084</v>
      </c>
      <c r="E9609">
        <v>-4706.7299999999996</v>
      </c>
      <c r="F9609">
        <v>-1.0900000000000001</v>
      </c>
      <c r="G9609" t="s">
        <v>12</v>
      </c>
      <c r="I9609" t="s">
        <v>230</v>
      </c>
    </row>
    <row r="9610" spans="1:9" hidden="1" x14ac:dyDescent="0.25">
      <c r="A9610" t="s">
        <v>8017</v>
      </c>
      <c r="B9610" t="s">
        <v>161</v>
      </c>
      <c r="C9610" s="2">
        <f>HYPERLINK("https://cao.dolgi.msk.ru/account/1080085968/", 1080085968)</f>
        <v>1080085968</v>
      </c>
      <c r="D9610" t="s">
        <v>8085</v>
      </c>
      <c r="E9610">
        <v>79.17</v>
      </c>
      <c r="F9610">
        <v>0.02</v>
      </c>
      <c r="G9610" t="s">
        <v>12</v>
      </c>
      <c r="I9610" t="s">
        <v>230</v>
      </c>
    </row>
    <row r="9611" spans="1:9" hidden="1" x14ac:dyDescent="0.25">
      <c r="A9611" t="s">
        <v>8017</v>
      </c>
      <c r="B9611" t="s">
        <v>163</v>
      </c>
      <c r="C9611" s="2">
        <f>HYPERLINK("https://cao.dolgi.msk.ru/account/1080085976/", 1080085976)</f>
        <v>1080085976</v>
      </c>
      <c r="D9611" t="s">
        <v>8086</v>
      </c>
      <c r="E9611">
        <v>-5544.03</v>
      </c>
      <c r="F9611">
        <v>-1.04</v>
      </c>
      <c r="G9611" t="s">
        <v>12</v>
      </c>
      <c r="I9611" t="s">
        <v>230</v>
      </c>
    </row>
    <row r="9612" spans="1:9" hidden="1" x14ac:dyDescent="0.25">
      <c r="A9612" t="s">
        <v>8017</v>
      </c>
      <c r="B9612" t="s">
        <v>571</v>
      </c>
      <c r="C9612" s="2">
        <f>HYPERLINK("https://cao.dolgi.msk.ru/account/1080085984/", 1080085984)</f>
        <v>1080085984</v>
      </c>
      <c r="D9612" t="s">
        <v>8087</v>
      </c>
      <c r="E9612">
        <v>-7243.94</v>
      </c>
      <c r="F9612">
        <v>-1.44</v>
      </c>
      <c r="G9612" t="s">
        <v>12</v>
      </c>
      <c r="I9612" t="s">
        <v>230</v>
      </c>
    </row>
    <row r="9613" spans="1:9" hidden="1" x14ac:dyDescent="0.25">
      <c r="A9613" t="s">
        <v>8017</v>
      </c>
      <c r="B9613" t="s">
        <v>682</v>
      </c>
      <c r="C9613" s="2">
        <f>HYPERLINK("https://cao.dolgi.msk.ru/account/1080085992/", 1080085992)</f>
        <v>1080085992</v>
      </c>
      <c r="D9613" t="s">
        <v>8088</v>
      </c>
      <c r="E9613">
        <v>-6407.54</v>
      </c>
      <c r="F9613">
        <v>-2.4</v>
      </c>
      <c r="G9613" t="s">
        <v>12</v>
      </c>
      <c r="I9613" t="s">
        <v>230</v>
      </c>
    </row>
    <row r="9614" spans="1:9" hidden="1" x14ac:dyDescent="0.25">
      <c r="A9614" t="s">
        <v>8017</v>
      </c>
      <c r="B9614" t="s">
        <v>578</v>
      </c>
      <c r="C9614" s="2">
        <f>HYPERLINK("https://cao.dolgi.msk.ru/account/1080086004/", 1080086004)</f>
        <v>1080086004</v>
      </c>
      <c r="D9614" t="s">
        <v>8089</v>
      </c>
      <c r="E9614">
        <v>-974.27</v>
      </c>
      <c r="F9614">
        <v>-0.28999999999999998</v>
      </c>
      <c r="G9614" t="s">
        <v>12</v>
      </c>
      <c r="I9614" t="s">
        <v>230</v>
      </c>
    </row>
    <row r="9615" spans="1:9" hidden="1" x14ac:dyDescent="0.25">
      <c r="A9615" t="s">
        <v>8017</v>
      </c>
      <c r="B9615" t="s">
        <v>580</v>
      </c>
      <c r="C9615" s="2">
        <f>HYPERLINK("https://cao.dolgi.msk.ru/account/1080086012/", 1080086012)</f>
        <v>1080086012</v>
      </c>
      <c r="D9615" t="s">
        <v>8090</v>
      </c>
      <c r="E9615">
        <v>-3213.04</v>
      </c>
      <c r="F9615">
        <v>-1.2</v>
      </c>
      <c r="G9615" t="s">
        <v>12</v>
      </c>
      <c r="I9615" t="s">
        <v>230</v>
      </c>
    </row>
    <row r="9616" spans="1:9" hidden="1" x14ac:dyDescent="0.25">
      <c r="A9616" t="s">
        <v>8017</v>
      </c>
      <c r="B9616" t="s">
        <v>686</v>
      </c>
      <c r="C9616" s="2">
        <f>HYPERLINK("https://cao.dolgi.msk.ru/account/1080086039/", 1080086039)</f>
        <v>1080086039</v>
      </c>
      <c r="D9616" t="s">
        <v>15</v>
      </c>
      <c r="G9616" t="s">
        <v>14</v>
      </c>
      <c r="I9616" t="s">
        <v>230</v>
      </c>
    </row>
    <row r="9617" spans="1:9" hidden="1" x14ac:dyDescent="0.25">
      <c r="A9617" t="s">
        <v>8017</v>
      </c>
      <c r="B9617" t="s">
        <v>582</v>
      </c>
      <c r="C9617" s="2">
        <f>HYPERLINK("https://cao.dolgi.msk.ru/account/1080086047/", 1080086047)</f>
        <v>1080086047</v>
      </c>
      <c r="D9617" t="s">
        <v>8091</v>
      </c>
      <c r="E9617">
        <v>164.72</v>
      </c>
      <c r="F9617">
        <v>0.05</v>
      </c>
      <c r="G9617" t="s">
        <v>12</v>
      </c>
      <c r="I9617" t="s">
        <v>230</v>
      </c>
    </row>
    <row r="9618" spans="1:9" hidden="1" x14ac:dyDescent="0.25">
      <c r="A9618" t="s">
        <v>8017</v>
      </c>
      <c r="B9618" t="s">
        <v>584</v>
      </c>
      <c r="C9618" s="2">
        <f>HYPERLINK("https://cao.dolgi.msk.ru/account/1080086055/", 1080086055)</f>
        <v>1080086055</v>
      </c>
      <c r="D9618" t="s">
        <v>8092</v>
      </c>
      <c r="E9618">
        <v>-8500.91</v>
      </c>
      <c r="F9618">
        <v>-1.03</v>
      </c>
      <c r="G9618" t="s">
        <v>12</v>
      </c>
      <c r="I9618" t="s">
        <v>230</v>
      </c>
    </row>
    <row r="9619" spans="1:9" hidden="1" x14ac:dyDescent="0.25">
      <c r="A9619" t="s">
        <v>8017</v>
      </c>
      <c r="B9619" t="s">
        <v>586</v>
      </c>
      <c r="C9619" s="2">
        <f>HYPERLINK("https://cao.dolgi.msk.ru/account/1080086063/", 1080086063)</f>
        <v>1080086063</v>
      </c>
      <c r="D9619" t="s">
        <v>8093</v>
      </c>
      <c r="E9619">
        <v>-4760.75</v>
      </c>
      <c r="F9619">
        <v>-1.01</v>
      </c>
      <c r="G9619" t="s">
        <v>12</v>
      </c>
      <c r="I9619" t="s">
        <v>230</v>
      </c>
    </row>
    <row r="9620" spans="1:9" hidden="1" x14ac:dyDescent="0.25">
      <c r="A9620" t="s">
        <v>8017</v>
      </c>
      <c r="B9620" t="s">
        <v>588</v>
      </c>
      <c r="C9620" s="2">
        <f>HYPERLINK("https://cao.dolgi.msk.ru/account/1080086071/", 1080086071)</f>
        <v>1080086071</v>
      </c>
      <c r="D9620" t="s">
        <v>8094</v>
      </c>
      <c r="E9620">
        <v>-4011.84</v>
      </c>
      <c r="F9620">
        <v>-1.46</v>
      </c>
      <c r="G9620" t="s">
        <v>12</v>
      </c>
      <c r="I9620" t="s">
        <v>230</v>
      </c>
    </row>
    <row r="9621" spans="1:9" hidden="1" x14ac:dyDescent="0.25">
      <c r="A9621" t="s">
        <v>8017</v>
      </c>
      <c r="B9621" t="s">
        <v>590</v>
      </c>
      <c r="C9621" s="2">
        <f>HYPERLINK("https://cao.dolgi.msk.ru/account/1080086098/", 1080086098)</f>
        <v>1080086098</v>
      </c>
      <c r="D9621" t="s">
        <v>8095</v>
      </c>
      <c r="E9621">
        <v>-5009.7</v>
      </c>
      <c r="F9621">
        <v>-0.94</v>
      </c>
      <c r="G9621" t="s">
        <v>12</v>
      </c>
      <c r="I9621" t="s">
        <v>230</v>
      </c>
    </row>
    <row r="9622" spans="1:9" x14ac:dyDescent="0.25">
      <c r="A9622" t="s">
        <v>8017</v>
      </c>
      <c r="B9622" t="s">
        <v>693</v>
      </c>
      <c r="C9622" s="2">
        <f>HYPERLINK("https://cao.dolgi.msk.ru/account/1080086119/", 1080086119)</f>
        <v>1080086119</v>
      </c>
      <c r="D9622" t="s">
        <v>8096</v>
      </c>
      <c r="E9622">
        <v>157695.57</v>
      </c>
      <c r="F9622">
        <v>33.51</v>
      </c>
      <c r="G9622" t="s">
        <v>12</v>
      </c>
      <c r="I9622" t="s">
        <v>230</v>
      </c>
    </row>
    <row r="9623" spans="1:9" hidden="1" x14ac:dyDescent="0.25">
      <c r="A9623" t="s">
        <v>8017</v>
      </c>
      <c r="B9623" t="s">
        <v>694</v>
      </c>
      <c r="C9623" s="2">
        <f>HYPERLINK("https://cao.dolgi.msk.ru/account/1080086127/", 1080086127)</f>
        <v>1080086127</v>
      </c>
      <c r="D9623" t="s">
        <v>8097</v>
      </c>
      <c r="E9623">
        <v>-5448.55</v>
      </c>
      <c r="F9623">
        <v>-1.32</v>
      </c>
      <c r="G9623" t="s">
        <v>12</v>
      </c>
      <c r="I9623" t="s">
        <v>230</v>
      </c>
    </row>
    <row r="9624" spans="1:9" hidden="1" x14ac:dyDescent="0.25">
      <c r="A9624" t="s">
        <v>8017</v>
      </c>
      <c r="B9624" t="s">
        <v>696</v>
      </c>
      <c r="C9624" s="2">
        <f>HYPERLINK("https://cao.dolgi.msk.ru/account/1080086135/", 1080086135)</f>
        <v>1080086135</v>
      </c>
      <c r="D9624" t="s">
        <v>8098</v>
      </c>
      <c r="E9624">
        <v>-4061.79</v>
      </c>
      <c r="F9624">
        <v>-1.27</v>
      </c>
      <c r="G9624" t="s">
        <v>12</v>
      </c>
      <c r="I9624" t="s">
        <v>230</v>
      </c>
    </row>
    <row r="9625" spans="1:9" hidden="1" x14ac:dyDescent="0.25">
      <c r="A9625" t="s">
        <v>8017</v>
      </c>
      <c r="B9625" t="s">
        <v>698</v>
      </c>
      <c r="C9625" s="2">
        <f>HYPERLINK("https://cao.dolgi.msk.ru/account/1080086143/", 1080086143)</f>
        <v>1080086143</v>
      </c>
      <c r="D9625" t="s">
        <v>8099</v>
      </c>
      <c r="E9625">
        <v>-3688.16</v>
      </c>
      <c r="F9625">
        <v>-1.45</v>
      </c>
      <c r="G9625" t="s">
        <v>12</v>
      </c>
      <c r="I9625" t="s">
        <v>230</v>
      </c>
    </row>
    <row r="9626" spans="1:9" hidden="1" x14ac:dyDescent="0.25">
      <c r="A9626" t="s">
        <v>8017</v>
      </c>
      <c r="B9626" t="s">
        <v>700</v>
      </c>
      <c r="C9626" s="2">
        <f>HYPERLINK("https://cao.dolgi.msk.ru/account/1080086151/", 1080086151)</f>
        <v>1080086151</v>
      </c>
      <c r="D9626" t="s">
        <v>8100</v>
      </c>
      <c r="E9626">
        <v>0</v>
      </c>
      <c r="F9626">
        <v>0</v>
      </c>
      <c r="G9626" t="s">
        <v>12</v>
      </c>
      <c r="I9626" t="s">
        <v>230</v>
      </c>
    </row>
    <row r="9627" spans="1:9" hidden="1" x14ac:dyDescent="0.25">
      <c r="A9627" t="s">
        <v>8017</v>
      </c>
      <c r="B9627" t="s">
        <v>702</v>
      </c>
      <c r="C9627" s="2">
        <f>HYPERLINK("https://cao.dolgi.msk.ru/account/1080086178/", 1080086178)</f>
        <v>1080086178</v>
      </c>
      <c r="D9627" t="s">
        <v>8101</v>
      </c>
      <c r="E9627">
        <v>0</v>
      </c>
      <c r="F9627">
        <v>0</v>
      </c>
      <c r="G9627" t="s">
        <v>12</v>
      </c>
      <c r="I9627" t="s">
        <v>230</v>
      </c>
    </row>
    <row r="9628" spans="1:9" hidden="1" x14ac:dyDescent="0.25">
      <c r="A9628" t="s">
        <v>8017</v>
      </c>
      <c r="B9628" t="s">
        <v>703</v>
      </c>
      <c r="C9628" s="2">
        <f>HYPERLINK("https://cao.dolgi.msk.ru/account/1080086186/", 1080086186)</f>
        <v>1080086186</v>
      </c>
      <c r="D9628" t="s">
        <v>8102</v>
      </c>
      <c r="E9628">
        <v>-14085.13</v>
      </c>
      <c r="F9628">
        <v>-3.09</v>
      </c>
      <c r="G9628" t="s">
        <v>12</v>
      </c>
      <c r="I9628" t="s">
        <v>230</v>
      </c>
    </row>
    <row r="9629" spans="1:9" hidden="1" x14ac:dyDescent="0.25">
      <c r="A9629" t="s">
        <v>8017</v>
      </c>
      <c r="B9629" t="s">
        <v>705</v>
      </c>
      <c r="C9629" s="2">
        <f>HYPERLINK("https://cao.dolgi.msk.ru/account/1080086194/", 1080086194)</f>
        <v>1080086194</v>
      </c>
      <c r="D9629" t="s">
        <v>4623</v>
      </c>
      <c r="E9629">
        <v>-38.659999999999997</v>
      </c>
      <c r="F9629">
        <v>-0.01</v>
      </c>
      <c r="G9629" t="s">
        <v>12</v>
      </c>
      <c r="I9629" t="s">
        <v>230</v>
      </c>
    </row>
    <row r="9630" spans="1:9" hidden="1" x14ac:dyDescent="0.25">
      <c r="A9630" t="s">
        <v>8017</v>
      </c>
      <c r="B9630" t="s">
        <v>707</v>
      </c>
      <c r="C9630" s="2">
        <f>HYPERLINK("https://cao.dolgi.msk.ru/account/1080086207/", 1080086207)</f>
        <v>1080086207</v>
      </c>
      <c r="D9630" t="s">
        <v>8103</v>
      </c>
      <c r="E9630">
        <v>-4927.6400000000003</v>
      </c>
      <c r="F9630">
        <v>-1.2</v>
      </c>
      <c r="G9630" t="s">
        <v>12</v>
      </c>
      <c r="I9630" t="s">
        <v>230</v>
      </c>
    </row>
    <row r="9631" spans="1:9" hidden="1" x14ac:dyDescent="0.25">
      <c r="A9631" t="s">
        <v>8017</v>
      </c>
      <c r="B9631" t="s">
        <v>709</v>
      </c>
      <c r="C9631" s="2">
        <f>HYPERLINK("https://cao.dolgi.msk.ru/account/1080086215/", 1080086215)</f>
        <v>1080086215</v>
      </c>
      <c r="D9631" t="s">
        <v>8104</v>
      </c>
      <c r="E9631">
        <v>5.0999999999999996</v>
      </c>
      <c r="F9631">
        <v>0</v>
      </c>
      <c r="G9631" t="s">
        <v>12</v>
      </c>
      <c r="I9631" t="s">
        <v>230</v>
      </c>
    </row>
    <row r="9632" spans="1:9" hidden="1" x14ac:dyDescent="0.25">
      <c r="A9632" t="s">
        <v>8017</v>
      </c>
      <c r="B9632" t="s">
        <v>711</v>
      </c>
      <c r="C9632" s="2">
        <f>HYPERLINK("https://cao.dolgi.msk.ru/account/1080086223/", 1080086223)</f>
        <v>1080086223</v>
      </c>
      <c r="D9632" t="s">
        <v>8105</v>
      </c>
      <c r="E9632">
        <v>-5420.49</v>
      </c>
      <c r="F9632">
        <v>-0.99</v>
      </c>
      <c r="G9632" t="s">
        <v>12</v>
      </c>
      <c r="I9632" t="s">
        <v>230</v>
      </c>
    </row>
    <row r="9633" spans="1:9" hidden="1" x14ac:dyDescent="0.25">
      <c r="A9633" t="s">
        <v>8017</v>
      </c>
      <c r="B9633" t="s">
        <v>713</v>
      </c>
      <c r="C9633" s="2">
        <f>HYPERLINK("https://cao.dolgi.msk.ru/account/1080086231/", 1080086231)</f>
        <v>1080086231</v>
      </c>
      <c r="D9633" t="s">
        <v>8106</v>
      </c>
      <c r="E9633">
        <v>-7945.24</v>
      </c>
      <c r="F9633">
        <v>-1.88</v>
      </c>
      <c r="G9633" t="s">
        <v>12</v>
      </c>
      <c r="I9633" t="s">
        <v>230</v>
      </c>
    </row>
    <row r="9634" spans="1:9" hidden="1" x14ac:dyDescent="0.25">
      <c r="A9634" t="s">
        <v>8017</v>
      </c>
      <c r="B9634" t="s">
        <v>528</v>
      </c>
      <c r="C9634" s="2">
        <f>HYPERLINK("https://cao.dolgi.msk.ru/account/1080086258/", 1080086258)</f>
        <v>1080086258</v>
      </c>
      <c r="D9634" t="s">
        <v>8107</v>
      </c>
      <c r="E9634">
        <v>-4163.12</v>
      </c>
      <c r="F9634">
        <v>-1.17</v>
      </c>
      <c r="G9634" t="s">
        <v>12</v>
      </c>
      <c r="I9634" t="s">
        <v>230</v>
      </c>
    </row>
    <row r="9635" spans="1:9" hidden="1" x14ac:dyDescent="0.25">
      <c r="A9635" t="s">
        <v>8017</v>
      </c>
      <c r="B9635" t="s">
        <v>530</v>
      </c>
      <c r="C9635" s="2">
        <f>HYPERLINK("https://cao.dolgi.msk.ru/account/1080086266/", 1080086266)</f>
        <v>1080086266</v>
      </c>
      <c r="D9635" t="s">
        <v>8108</v>
      </c>
      <c r="E9635">
        <v>-3495.14</v>
      </c>
      <c r="F9635">
        <v>-1.46</v>
      </c>
      <c r="G9635" t="s">
        <v>12</v>
      </c>
      <c r="I9635" t="s">
        <v>230</v>
      </c>
    </row>
    <row r="9636" spans="1:9" hidden="1" x14ac:dyDescent="0.25">
      <c r="A9636" t="s">
        <v>8017</v>
      </c>
      <c r="B9636" t="s">
        <v>532</v>
      </c>
      <c r="C9636" s="2">
        <f>HYPERLINK("https://cao.dolgi.msk.ru/account/1080086274/", 1080086274)</f>
        <v>1080086274</v>
      </c>
      <c r="D9636" t="s">
        <v>8109</v>
      </c>
      <c r="E9636">
        <v>-312.31</v>
      </c>
      <c r="F9636">
        <v>-0.06</v>
      </c>
      <c r="G9636" t="s">
        <v>12</v>
      </c>
      <c r="I9636" t="s">
        <v>230</v>
      </c>
    </row>
    <row r="9637" spans="1:9" x14ac:dyDescent="0.25">
      <c r="A9637" t="s">
        <v>8017</v>
      </c>
      <c r="B9637" t="s">
        <v>534</v>
      </c>
      <c r="C9637" s="2">
        <f>HYPERLINK("https://cao.dolgi.msk.ru/account/1080086282/", 1080086282)</f>
        <v>1080086282</v>
      </c>
      <c r="D9637" t="s">
        <v>8110</v>
      </c>
      <c r="E9637">
        <v>16235.65</v>
      </c>
      <c r="F9637">
        <v>4.5999999999999996</v>
      </c>
      <c r="G9637" t="s">
        <v>12</v>
      </c>
      <c r="I9637" t="s">
        <v>230</v>
      </c>
    </row>
    <row r="9638" spans="1:9" hidden="1" x14ac:dyDescent="0.25">
      <c r="A9638" t="s">
        <v>8017</v>
      </c>
      <c r="B9638" t="s">
        <v>536</v>
      </c>
      <c r="C9638" s="2">
        <f>HYPERLINK("https://cao.dolgi.msk.ru/account/1080086303/", 1080086303)</f>
        <v>1080086303</v>
      </c>
      <c r="D9638" t="s">
        <v>8111</v>
      </c>
      <c r="E9638">
        <v>-5139.4399999999996</v>
      </c>
      <c r="F9638">
        <v>-2.36</v>
      </c>
      <c r="G9638" t="s">
        <v>12</v>
      </c>
      <c r="I9638" t="s">
        <v>230</v>
      </c>
    </row>
    <row r="9639" spans="1:9" hidden="1" x14ac:dyDescent="0.25">
      <c r="A9639" t="s">
        <v>8017</v>
      </c>
      <c r="B9639" t="s">
        <v>538</v>
      </c>
      <c r="C9639" s="2">
        <f>HYPERLINK("https://cao.dolgi.msk.ru/account/1080086311/", 1080086311)</f>
        <v>1080086311</v>
      </c>
      <c r="D9639" t="s">
        <v>8112</v>
      </c>
      <c r="E9639">
        <v>-3977.38</v>
      </c>
      <c r="F9639">
        <v>-1.01</v>
      </c>
      <c r="G9639" t="s">
        <v>12</v>
      </c>
      <c r="I9639" t="s">
        <v>230</v>
      </c>
    </row>
    <row r="9640" spans="1:9" hidden="1" x14ac:dyDescent="0.25">
      <c r="A9640" t="s">
        <v>8017</v>
      </c>
      <c r="B9640" t="s">
        <v>539</v>
      </c>
      <c r="C9640" s="2">
        <f>HYPERLINK("https://cao.dolgi.msk.ru/account/1080086338/", 1080086338)</f>
        <v>1080086338</v>
      </c>
      <c r="D9640" t="s">
        <v>8113</v>
      </c>
      <c r="E9640">
        <v>-4685.63</v>
      </c>
      <c r="F9640">
        <v>-1.17</v>
      </c>
      <c r="G9640" t="s">
        <v>12</v>
      </c>
      <c r="I9640" t="s">
        <v>230</v>
      </c>
    </row>
    <row r="9641" spans="1:9" hidden="1" x14ac:dyDescent="0.25">
      <c r="A9641" t="s">
        <v>8017</v>
      </c>
      <c r="B9641" t="s">
        <v>541</v>
      </c>
      <c r="C9641" s="2">
        <f>HYPERLINK("https://cao.dolgi.msk.ru/account/1080086346/", 1080086346)</f>
        <v>1080086346</v>
      </c>
      <c r="D9641" t="s">
        <v>8114</v>
      </c>
      <c r="E9641">
        <v>-0.64</v>
      </c>
      <c r="F9641">
        <v>0</v>
      </c>
      <c r="G9641" t="s">
        <v>12</v>
      </c>
      <c r="I9641" t="s">
        <v>230</v>
      </c>
    </row>
    <row r="9642" spans="1:9" hidden="1" x14ac:dyDescent="0.25">
      <c r="A9642" t="s">
        <v>8017</v>
      </c>
      <c r="B9642" t="s">
        <v>543</v>
      </c>
      <c r="C9642" s="2">
        <f>HYPERLINK("https://cao.dolgi.msk.ru/account/1080086354/", 1080086354)</f>
        <v>1080086354</v>
      </c>
      <c r="D9642" t="s">
        <v>8115</v>
      </c>
      <c r="E9642">
        <v>-5920.05</v>
      </c>
      <c r="F9642">
        <v>-1.0900000000000001</v>
      </c>
      <c r="G9642" t="s">
        <v>12</v>
      </c>
      <c r="I9642" t="s">
        <v>230</v>
      </c>
    </row>
    <row r="9643" spans="1:9" hidden="1" x14ac:dyDescent="0.25">
      <c r="A9643" t="s">
        <v>8017</v>
      </c>
      <c r="B9643" t="s">
        <v>545</v>
      </c>
      <c r="C9643" s="2">
        <f>HYPERLINK("https://cao.dolgi.msk.ru/account/1080086362/", 1080086362)</f>
        <v>1080086362</v>
      </c>
      <c r="D9643" t="s">
        <v>8116</v>
      </c>
      <c r="E9643">
        <v>-7339.56</v>
      </c>
      <c r="F9643">
        <v>-1.24</v>
      </c>
      <c r="G9643" t="s">
        <v>12</v>
      </c>
      <c r="I9643" t="s">
        <v>230</v>
      </c>
    </row>
    <row r="9644" spans="1:9" hidden="1" x14ac:dyDescent="0.25">
      <c r="A9644" t="s">
        <v>8017</v>
      </c>
      <c r="B9644" t="s">
        <v>546</v>
      </c>
      <c r="C9644" s="2">
        <f>HYPERLINK("https://cao.dolgi.msk.ru/account/1080086389/", 1080086389)</f>
        <v>1080086389</v>
      </c>
      <c r="D9644" t="s">
        <v>8117</v>
      </c>
      <c r="E9644">
        <v>0</v>
      </c>
      <c r="F9644">
        <v>0</v>
      </c>
      <c r="G9644" t="s">
        <v>12</v>
      </c>
      <c r="I9644" t="s">
        <v>230</v>
      </c>
    </row>
    <row r="9645" spans="1:9" hidden="1" x14ac:dyDescent="0.25">
      <c r="A9645" t="s">
        <v>8017</v>
      </c>
      <c r="B9645" t="s">
        <v>548</v>
      </c>
      <c r="C9645" s="2">
        <f>HYPERLINK("https://cao.dolgi.msk.ru/account/1080086397/", 1080086397)</f>
        <v>1080086397</v>
      </c>
      <c r="D9645" t="s">
        <v>8118</v>
      </c>
      <c r="E9645">
        <v>-1922.1</v>
      </c>
      <c r="F9645">
        <v>-1.1499999999999999</v>
      </c>
      <c r="G9645" t="s">
        <v>12</v>
      </c>
      <c r="I9645" t="s">
        <v>230</v>
      </c>
    </row>
    <row r="9646" spans="1:9" hidden="1" x14ac:dyDescent="0.25">
      <c r="A9646" t="s">
        <v>8017</v>
      </c>
      <c r="B9646" t="s">
        <v>548</v>
      </c>
      <c r="C9646" s="2">
        <f>HYPERLINK("https://cao.dolgi.msk.ru/account/1089123975/", 1089123975)</f>
        <v>1089123975</v>
      </c>
      <c r="D9646" t="s">
        <v>8118</v>
      </c>
      <c r="E9646">
        <v>-1038.27</v>
      </c>
      <c r="F9646">
        <v>-1.1399999999999999</v>
      </c>
      <c r="G9646" t="s">
        <v>12</v>
      </c>
      <c r="I9646" t="s">
        <v>230</v>
      </c>
    </row>
    <row r="9647" spans="1:9" hidden="1" x14ac:dyDescent="0.25">
      <c r="A9647" t="s">
        <v>8017</v>
      </c>
      <c r="B9647" t="s">
        <v>727</v>
      </c>
      <c r="C9647" s="2">
        <f>HYPERLINK("https://cao.dolgi.msk.ru/account/1080086418/", 1080086418)</f>
        <v>1080086418</v>
      </c>
      <c r="D9647" t="s">
        <v>15</v>
      </c>
      <c r="E9647">
        <v>0</v>
      </c>
      <c r="F9647">
        <v>0</v>
      </c>
      <c r="G9647" t="s">
        <v>12</v>
      </c>
      <c r="I9647" t="s">
        <v>230</v>
      </c>
    </row>
    <row r="9648" spans="1:9" hidden="1" x14ac:dyDescent="0.25">
      <c r="A9648" t="s">
        <v>8017</v>
      </c>
      <c r="B9648" t="s">
        <v>551</v>
      </c>
      <c r="C9648" s="2">
        <f>HYPERLINK("https://cao.dolgi.msk.ru/account/1080086426/", 1080086426)</f>
        <v>1080086426</v>
      </c>
      <c r="D9648" t="s">
        <v>8119</v>
      </c>
      <c r="E9648">
        <v>-4732.3</v>
      </c>
      <c r="F9648">
        <v>-1.27</v>
      </c>
      <c r="G9648" t="s">
        <v>12</v>
      </c>
      <c r="I9648" t="s">
        <v>230</v>
      </c>
    </row>
    <row r="9649" spans="1:9" hidden="1" x14ac:dyDescent="0.25">
      <c r="A9649" t="s">
        <v>8017</v>
      </c>
      <c r="B9649" t="s">
        <v>730</v>
      </c>
      <c r="C9649" s="2">
        <f>HYPERLINK("https://cao.dolgi.msk.ru/account/1080086434/", 1080086434)</f>
        <v>1080086434</v>
      </c>
      <c r="D9649" t="s">
        <v>8120</v>
      </c>
      <c r="E9649">
        <v>3283.29</v>
      </c>
      <c r="F9649">
        <v>0.81</v>
      </c>
      <c r="G9649" t="s">
        <v>12</v>
      </c>
      <c r="I9649" t="s">
        <v>230</v>
      </c>
    </row>
    <row r="9650" spans="1:9" hidden="1" x14ac:dyDescent="0.25">
      <c r="A9650" t="s">
        <v>8017</v>
      </c>
      <c r="B9650" t="s">
        <v>732</v>
      </c>
      <c r="C9650" s="2">
        <f>HYPERLINK("https://cao.dolgi.msk.ru/account/1080086442/", 1080086442)</f>
        <v>1080086442</v>
      </c>
      <c r="D9650" t="s">
        <v>8121</v>
      </c>
      <c r="E9650">
        <v>-5197.58</v>
      </c>
      <c r="F9650">
        <v>-1.4</v>
      </c>
      <c r="G9650" t="s">
        <v>12</v>
      </c>
      <c r="I9650" t="s">
        <v>230</v>
      </c>
    </row>
    <row r="9651" spans="1:9" hidden="1" x14ac:dyDescent="0.25">
      <c r="A9651" t="s">
        <v>8122</v>
      </c>
      <c r="B9651" t="s">
        <v>10</v>
      </c>
      <c r="C9651" s="2">
        <f>HYPERLINK("https://cao.dolgi.msk.ru/account/1080086952/", 1080086952)</f>
        <v>1080086952</v>
      </c>
      <c r="D9651" t="s">
        <v>8123</v>
      </c>
      <c r="E9651">
        <v>-4990.62</v>
      </c>
      <c r="F9651">
        <v>-0.61</v>
      </c>
      <c r="G9651" t="s">
        <v>12</v>
      </c>
      <c r="I9651" t="s">
        <v>230</v>
      </c>
    </row>
    <row r="9652" spans="1:9" hidden="1" x14ac:dyDescent="0.25">
      <c r="A9652" t="s">
        <v>8122</v>
      </c>
      <c r="B9652" t="s">
        <v>16</v>
      </c>
      <c r="C9652" s="2">
        <f>HYPERLINK("https://cao.dolgi.msk.ru/account/1080086979/", 1080086979)</f>
        <v>1080086979</v>
      </c>
      <c r="D9652" t="s">
        <v>8124</v>
      </c>
      <c r="E9652">
        <v>-4378.3900000000003</v>
      </c>
      <c r="F9652">
        <v>-1.1000000000000001</v>
      </c>
      <c r="G9652" t="s">
        <v>12</v>
      </c>
      <c r="I9652" t="s">
        <v>230</v>
      </c>
    </row>
    <row r="9653" spans="1:9" hidden="1" x14ac:dyDescent="0.25">
      <c r="A9653" t="s">
        <v>8122</v>
      </c>
      <c r="B9653" t="s">
        <v>18</v>
      </c>
      <c r="C9653" s="2">
        <f>HYPERLINK("https://cao.dolgi.msk.ru/account/1080086987/", 1080086987)</f>
        <v>1080086987</v>
      </c>
      <c r="D9653" t="s">
        <v>8125</v>
      </c>
      <c r="E9653">
        <v>-5725.63</v>
      </c>
      <c r="F9653">
        <v>-1.17</v>
      </c>
      <c r="G9653" t="s">
        <v>12</v>
      </c>
      <c r="I9653" t="s">
        <v>230</v>
      </c>
    </row>
    <row r="9654" spans="1:9" hidden="1" x14ac:dyDescent="0.25">
      <c r="A9654" t="s">
        <v>8122</v>
      </c>
      <c r="B9654" t="s">
        <v>20</v>
      </c>
      <c r="C9654" s="2">
        <f>HYPERLINK("https://cao.dolgi.msk.ru/account/1080086995/", 1080086995)</f>
        <v>1080086995</v>
      </c>
      <c r="D9654" t="s">
        <v>15</v>
      </c>
      <c r="G9654" t="s">
        <v>14</v>
      </c>
      <c r="I9654" t="s">
        <v>230</v>
      </c>
    </row>
    <row r="9655" spans="1:9" hidden="1" x14ac:dyDescent="0.25">
      <c r="A9655" t="s">
        <v>8122</v>
      </c>
      <c r="B9655" t="s">
        <v>20</v>
      </c>
      <c r="C9655" s="2">
        <f>HYPERLINK("https://cao.dolgi.msk.ru/account/1080087007/", 1080087007)</f>
        <v>1080087007</v>
      </c>
      <c r="D9655" t="s">
        <v>8126</v>
      </c>
      <c r="G9655" t="s">
        <v>14</v>
      </c>
      <c r="I9655" t="s">
        <v>230</v>
      </c>
    </row>
    <row r="9656" spans="1:9" hidden="1" x14ac:dyDescent="0.25">
      <c r="A9656" t="s">
        <v>8122</v>
      </c>
      <c r="B9656" t="s">
        <v>20</v>
      </c>
      <c r="C9656" s="2">
        <f>HYPERLINK("https://cao.dolgi.msk.ru/account/1080325706/", 1080325706)</f>
        <v>1080325706</v>
      </c>
      <c r="D9656" t="s">
        <v>15</v>
      </c>
      <c r="E9656">
        <v>0</v>
      </c>
      <c r="G9656" t="s">
        <v>14</v>
      </c>
      <c r="I9656" t="s">
        <v>230</v>
      </c>
    </row>
    <row r="9657" spans="1:9" hidden="1" x14ac:dyDescent="0.25">
      <c r="A9657" t="s">
        <v>8122</v>
      </c>
      <c r="B9657" t="s">
        <v>20</v>
      </c>
      <c r="C9657" s="2">
        <f>HYPERLINK("https://cao.dolgi.msk.ru/account/1080326928/", 1080326928)</f>
        <v>1080326928</v>
      </c>
      <c r="D9657" t="s">
        <v>15</v>
      </c>
      <c r="G9657" t="s">
        <v>14</v>
      </c>
      <c r="I9657" t="s">
        <v>230</v>
      </c>
    </row>
    <row r="9658" spans="1:9" hidden="1" x14ac:dyDescent="0.25">
      <c r="A9658" t="s">
        <v>8122</v>
      </c>
      <c r="B9658" t="s">
        <v>20</v>
      </c>
      <c r="C9658" s="2">
        <f>HYPERLINK("https://cao.dolgi.msk.ru/account/1089125946/", 1089125946)</f>
        <v>1089125946</v>
      </c>
      <c r="D9658" t="s">
        <v>8127</v>
      </c>
      <c r="E9658">
        <v>0</v>
      </c>
      <c r="G9658" t="s">
        <v>14</v>
      </c>
      <c r="I9658" t="s">
        <v>230</v>
      </c>
    </row>
    <row r="9659" spans="1:9" hidden="1" x14ac:dyDescent="0.25">
      <c r="A9659" t="s">
        <v>8122</v>
      </c>
      <c r="B9659" t="s">
        <v>21</v>
      </c>
      <c r="C9659" s="2">
        <f>HYPERLINK("https://cao.dolgi.msk.ru/account/1080087015/", 1080087015)</f>
        <v>1080087015</v>
      </c>
      <c r="D9659" t="s">
        <v>8128</v>
      </c>
      <c r="E9659">
        <v>-4578.6000000000004</v>
      </c>
      <c r="F9659">
        <v>-1.22</v>
      </c>
      <c r="G9659" t="s">
        <v>12</v>
      </c>
      <c r="I9659" t="s">
        <v>230</v>
      </c>
    </row>
    <row r="9660" spans="1:9" hidden="1" x14ac:dyDescent="0.25">
      <c r="A9660" t="s">
        <v>8122</v>
      </c>
      <c r="B9660" t="s">
        <v>22</v>
      </c>
      <c r="C9660" s="2">
        <f>HYPERLINK("https://cao.dolgi.msk.ru/account/1080087023/", 1080087023)</f>
        <v>1080087023</v>
      </c>
      <c r="D9660" t="s">
        <v>8129</v>
      </c>
      <c r="E9660">
        <v>-6484.86</v>
      </c>
      <c r="F9660">
        <v>-1.2</v>
      </c>
      <c r="G9660" t="s">
        <v>12</v>
      </c>
      <c r="I9660" t="s">
        <v>230</v>
      </c>
    </row>
    <row r="9661" spans="1:9" hidden="1" x14ac:dyDescent="0.25">
      <c r="A9661" t="s">
        <v>8122</v>
      </c>
      <c r="B9661" t="s">
        <v>23</v>
      </c>
      <c r="C9661" s="2">
        <f>HYPERLINK("https://cao.dolgi.msk.ru/account/1080087031/", 1080087031)</f>
        <v>1080087031</v>
      </c>
      <c r="D9661" t="s">
        <v>8130</v>
      </c>
      <c r="E9661">
        <v>-3640.22</v>
      </c>
      <c r="F9661">
        <v>-1.08</v>
      </c>
      <c r="G9661" t="s">
        <v>12</v>
      </c>
      <c r="I9661" t="s">
        <v>230</v>
      </c>
    </row>
    <row r="9662" spans="1:9" hidden="1" x14ac:dyDescent="0.25">
      <c r="A9662" t="s">
        <v>8122</v>
      </c>
      <c r="B9662" t="s">
        <v>24</v>
      </c>
      <c r="C9662" s="2">
        <f>HYPERLINK("https://cao.dolgi.msk.ru/account/1080087058/", 1080087058)</f>
        <v>1080087058</v>
      </c>
      <c r="D9662" t="s">
        <v>15</v>
      </c>
      <c r="E9662">
        <v>-158.22</v>
      </c>
      <c r="F9662">
        <v>-0.03</v>
      </c>
      <c r="G9662" t="s">
        <v>12</v>
      </c>
      <c r="I9662" t="s">
        <v>230</v>
      </c>
    </row>
    <row r="9663" spans="1:9" hidden="1" x14ac:dyDescent="0.25">
      <c r="A9663" t="s">
        <v>8122</v>
      </c>
      <c r="B9663" t="s">
        <v>27</v>
      </c>
      <c r="C9663" s="2">
        <f>HYPERLINK("https://cao.dolgi.msk.ru/account/1080087066/", 1080087066)</f>
        <v>1080087066</v>
      </c>
      <c r="D9663" t="s">
        <v>8131</v>
      </c>
      <c r="E9663">
        <v>-6735.59</v>
      </c>
      <c r="F9663">
        <v>-1.18</v>
      </c>
      <c r="G9663" t="s">
        <v>12</v>
      </c>
      <c r="I9663" t="s">
        <v>230</v>
      </c>
    </row>
    <row r="9664" spans="1:9" x14ac:dyDescent="0.25">
      <c r="A9664" t="s">
        <v>8122</v>
      </c>
      <c r="B9664" t="s">
        <v>29</v>
      </c>
      <c r="C9664" s="2">
        <f>HYPERLINK("https://cao.dolgi.msk.ru/account/1080087074/", 1080087074)</f>
        <v>1080087074</v>
      </c>
      <c r="D9664" t="s">
        <v>15</v>
      </c>
      <c r="E9664">
        <v>12602.71</v>
      </c>
      <c r="F9664">
        <v>1.1499999999999999</v>
      </c>
      <c r="G9664" t="s">
        <v>12</v>
      </c>
      <c r="I9664" t="s">
        <v>230</v>
      </c>
    </row>
    <row r="9665" spans="1:9" hidden="1" x14ac:dyDescent="0.25">
      <c r="A9665" t="s">
        <v>8122</v>
      </c>
      <c r="B9665" t="s">
        <v>31</v>
      </c>
      <c r="C9665" s="2">
        <f>HYPERLINK("https://cao.dolgi.msk.ru/account/1080087082/", 1080087082)</f>
        <v>1080087082</v>
      </c>
      <c r="D9665" t="s">
        <v>8132</v>
      </c>
      <c r="E9665">
        <v>-4030.23</v>
      </c>
      <c r="F9665">
        <v>-1.06</v>
      </c>
      <c r="G9665" t="s">
        <v>12</v>
      </c>
      <c r="I9665" t="s">
        <v>230</v>
      </c>
    </row>
    <row r="9666" spans="1:9" hidden="1" x14ac:dyDescent="0.25">
      <c r="A9666" t="s">
        <v>8122</v>
      </c>
      <c r="B9666" t="s">
        <v>33</v>
      </c>
      <c r="C9666" s="2">
        <f>HYPERLINK("https://cao.dolgi.msk.ru/account/1080087103/", 1080087103)</f>
        <v>1080087103</v>
      </c>
      <c r="D9666" t="s">
        <v>8133</v>
      </c>
      <c r="E9666">
        <v>0</v>
      </c>
      <c r="F9666">
        <v>0</v>
      </c>
      <c r="G9666" t="s">
        <v>12</v>
      </c>
      <c r="I9666" t="s">
        <v>230</v>
      </c>
    </row>
    <row r="9667" spans="1:9" hidden="1" x14ac:dyDescent="0.25">
      <c r="A9667" t="s">
        <v>8122</v>
      </c>
      <c r="B9667" t="s">
        <v>34</v>
      </c>
      <c r="C9667" s="2">
        <f>HYPERLINK("https://cao.dolgi.msk.ru/account/1080087111/", 1080087111)</f>
        <v>1080087111</v>
      </c>
      <c r="D9667" t="s">
        <v>8134</v>
      </c>
      <c r="E9667">
        <v>-4276.8500000000004</v>
      </c>
      <c r="F9667">
        <v>-1.17</v>
      </c>
      <c r="G9667" t="s">
        <v>12</v>
      </c>
      <c r="I9667" t="s">
        <v>230</v>
      </c>
    </row>
    <row r="9668" spans="1:9" hidden="1" x14ac:dyDescent="0.25">
      <c r="A9668" t="s">
        <v>8122</v>
      </c>
      <c r="B9668" t="s">
        <v>36</v>
      </c>
      <c r="C9668" s="2">
        <f>HYPERLINK("https://cao.dolgi.msk.ru/account/1080087138/", 1080087138)</f>
        <v>1080087138</v>
      </c>
      <c r="D9668" t="s">
        <v>8135</v>
      </c>
      <c r="E9668">
        <v>-5854.61</v>
      </c>
      <c r="F9668">
        <v>-1.1100000000000001</v>
      </c>
      <c r="G9668" t="s">
        <v>12</v>
      </c>
      <c r="I9668" t="s">
        <v>230</v>
      </c>
    </row>
    <row r="9669" spans="1:9" hidden="1" x14ac:dyDescent="0.25">
      <c r="A9669" t="s">
        <v>8122</v>
      </c>
      <c r="B9669" t="s">
        <v>38</v>
      </c>
      <c r="C9669" s="2">
        <f>HYPERLINK("https://cao.dolgi.msk.ru/account/1080087146/", 1080087146)</f>
        <v>1080087146</v>
      </c>
      <c r="D9669" t="s">
        <v>8136</v>
      </c>
      <c r="E9669">
        <v>-7523.02</v>
      </c>
      <c r="F9669">
        <v>-1.0900000000000001</v>
      </c>
      <c r="G9669" t="s">
        <v>12</v>
      </c>
      <c r="I9669" t="s">
        <v>230</v>
      </c>
    </row>
    <row r="9670" spans="1:9" hidden="1" x14ac:dyDescent="0.25">
      <c r="A9670" t="s">
        <v>8122</v>
      </c>
      <c r="B9670" t="s">
        <v>39</v>
      </c>
      <c r="C9670" s="2">
        <f>HYPERLINK("https://cao.dolgi.msk.ru/account/1080087154/", 1080087154)</f>
        <v>1080087154</v>
      </c>
      <c r="D9670" t="s">
        <v>8137</v>
      </c>
      <c r="E9670">
        <v>-8256.81</v>
      </c>
      <c r="F9670">
        <v>-1.38</v>
      </c>
      <c r="G9670" t="s">
        <v>12</v>
      </c>
      <c r="I9670" t="s">
        <v>230</v>
      </c>
    </row>
    <row r="9671" spans="1:9" hidden="1" x14ac:dyDescent="0.25">
      <c r="A9671" t="s">
        <v>8122</v>
      </c>
      <c r="B9671" t="s">
        <v>40</v>
      </c>
      <c r="C9671" s="2">
        <f>HYPERLINK("https://cao.dolgi.msk.ru/account/1080087162/", 1080087162)</f>
        <v>1080087162</v>
      </c>
      <c r="D9671" t="s">
        <v>8138</v>
      </c>
      <c r="E9671">
        <v>-5316.57</v>
      </c>
      <c r="F9671">
        <v>-1.1100000000000001</v>
      </c>
      <c r="G9671" t="s">
        <v>12</v>
      </c>
      <c r="I9671" t="s">
        <v>230</v>
      </c>
    </row>
    <row r="9672" spans="1:9" hidden="1" x14ac:dyDescent="0.25">
      <c r="A9672" t="s">
        <v>8122</v>
      </c>
      <c r="B9672" t="s">
        <v>41</v>
      </c>
      <c r="C9672" s="2">
        <f>HYPERLINK("https://cao.dolgi.msk.ru/account/1080087189/", 1080087189)</f>
        <v>1080087189</v>
      </c>
      <c r="D9672" t="s">
        <v>8139</v>
      </c>
      <c r="E9672">
        <v>-4427.6099999999997</v>
      </c>
      <c r="F9672">
        <v>-1.1399999999999999</v>
      </c>
      <c r="G9672" t="s">
        <v>12</v>
      </c>
      <c r="I9672" t="s">
        <v>230</v>
      </c>
    </row>
    <row r="9673" spans="1:9" hidden="1" x14ac:dyDescent="0.25">
      <c r="A9673" t="s">
        <v>8122</v>
      </c>
      <c r="B9673" t="s">
        <v>42</v>
      </c>
      <c r="C9673" s="2">
        <f>HYPERLINK("https://cao.dolgi.msk.ru/account/1080087197/", 1080087197)</f>
        <v>1080087197</v>
      </c>
      <c r="D9673" t="s">
        <v>8140</v>
      </c>
      <c r="E9673">
        <v>-333.62</v>
      </c>
      <c r="F9673">
        <v>-0.05</v>
      </c>
      <c r="G9673" t="s">
        <v>12</v>
      </c>
      <c r="I9673" t="s">
        <v>230</v>
      </c>
    </row>
    <row r="9674" spans="1:9" hidden="1" x14ac:dyDescent="0.25">
      <c r="A9674" t="s">
        <v>8122</v>
      </c>
      <c r="B9674" t="s">
        <v>44</v>
      </c>
      <c r="C9674" s="2">
        <f>HYPERLINK("https://cao.dolgi.msk.ru/account/1080087218/", 1080087218)</f>
        <v>1080087218</v>
      </c>
      <c r="D9674" t="s">
        <v>8141</v>
      </c>
      <c r="E9674">
        <v>-11622.89</v>
      </c>
      <c r="F9674">
        <v>-1.06</v>
      </c>
      <c r="G9674" t="s">
        <v>12</v>
      </c>
      <c r="I9674" t="s">
        <v>230</v>
      </c>
    </row>
    <row r="9675" spans="1:9" hidden="1" x14ac:dyDescent="0.25">
      <c r="A9675" t="s">
        <v>8122</v>
      </c>
      <c r="B9675" t="s">
        <v>66</v>
      </c>
      <c r="C9675" s="2">
        <f>HYPERLINK("https://cao.dolgi.msk.ru/account/1080087234/", 1080087234)</f>
        <v>1080087234</v>
      </c>
      <c r="D9675" t="s">
        <v>8142</v>
      </c>
      <c r="E9675">
        <v>-5763.87</v>
      </c>
      <c r="F9675">
        <v>-1.07</v>
      </c>
      <c r="G9675" t="s">
        <v>12</v>
      </c>
      <c r="I9675" t="s">
        <v>230</v>
      </c>
    </row>
    <row r="9676" spans="1:9" hidden="1" x14ac:dyDescent="0.25">
      <c r="A9676" t="s">
        <v>8122</v>
      </c>
      <c r="B9676" t="s">
        <v>68</v>
      </c>
      <c r="C9676" s="2">
        <f>HYPERLINK("https://cao.dolgi.msk.ru/account/1080087242/", 1080087242)</f>
        <v>1080087242</v>
      </c>
      <c r="D9676" t="s">
        <v>15</v>
      </c>
      <c r="G9676" t="s">
        <v>14</v>
      </c>
      <c r="I9676" t="s">
        <v>230</v>
      </c>
    </row>
    <row r="9677" spans="1:9" hidden="1" x14ac:dyDescent="0.25">
      <c r="A9677" t="s">
        <v>8122</v>
      </c>
      <c r="B9677" t="s">
        <v>68</v>
      </c>
      <c r="C9677" s="2">
        <f>HYPERLINK("https://cao.dolgi.msk.ru/account/1080087269/", 1080087269)</f>
        <v>1080087269</v>
      </c>
      <c r="D9677" t="s">
        <v>8143</v>
      </c>
      <c r="E9677">
        <v>-9341.81</v>
      </c>
      <c r="F9677">
        <v>-1.1499999999999999</v>
      </c>
      <c r="G9677" t="s">
        <v>12</v>
      </c>
      <c r="I9677" t="s">
        <v>230</v>
      </c>
    </row>
    <row r="9678" spans="1:9" hidden="1" x14ac:dyDescent="0.25">
      <c r="A9678" t="s">
        <v>8122</v>
      </c>
      <c r="B9678" t="s">
        <v>68</v>
      </c>
      <c r="C9678" s="2">
        <f>HYPERLINK("https://cao.dolgi.msk.ru/account/1080087277/", 1080087277)</f>
        <v>1080087277</v>
      </c>
      <c r="D9678" t="s">
        <v>15</v>
      </c>
      <c r="G9678" t="s">
        <v>14</v>
      </c>
      <c r="I9678" t="s">
        <v>230</v>
      </c>
    </row>
    <row r="9679" spans="1:9" x14ac:dyDescent="0.25">
      <c r="A9679" t="s">
        <v>8122</v>
      </c>
      <c r="B9679" t="s">
        <v>70</v>
      </c>
      <c r="C9679" s="2">
        <f>HYPERLINK("https://cao.dolgi.msk.ru/account/1083370983/", 1083370983)</f>
        <v>1083370983</v>
      </c>
      <c r="D9679" t="s">
        <v>15</v>
      </c>
      <c r="E9679">
        <v>78322.28</v>
      </c>
      <c r="F9679">
        <v>33.53</v>
      </c>
      <c r="G9679" t="s">
        <v>12</v>
      </c>
      <c r="I9679" t="s">
        <v>230</v>
      </c>
    </row>
    <row r="9680" spans="1:9" hidden="1" x14ac:dyDescent="0.25">
      <c r="A9680" t="s">
        <v>8122</v>
      </c>
      <c r="B9680" t="s">
        <v>70</v>
      </c>
      <c r="C9680" s="2">
        <f>HYPERLINK("https://cao.dolgi.msk.ru/account/1083370991/", 1083370991)</f>
        <v>1083370991</v>
      </c>
      <c r="D9680" t="s">
        <v>15</v>
      </c>
      <c r="E9680">
        <v>-3073.4</v>
      </c>
      <c r="F9680">
        <v>-1.31</v>
      </c>
      <c r="G9680" t="s">
        <v>12</v>
      </c>
      <c r="I9680" t="s">
        <v>230</v>
      </c>
    </row>
    <row r="9681" spans="1:9" hidden="1" x14ac:dyDescent="0.25">
      <c r="A9681" t="s">
        <v>8122</v>
      </c>
      <c r="B9681" t="s">
        <v>70</v>
      </c>
      <c r="C9681" s="2">
        <f>HYPERLINK("https://cao.dolgi.msk.ru/account/1083371003/", 1083371003)</f>
        <v>1083371003</v>
      </c>
      <c r="D9681" t="s">
        <v>15</v>
      </c>
      <c r="E9681">
        <v>-5271.5</v>
      </c>
      <c r="F9681">
        <v>-1.32</v>
      </c>
      <c r="G9681" t="s">
        <v>12</v>
      </c>
      <c r="I9681" t="s">
        <v>230</v>
      </c>
    </row>
    <row r="9682" spans="1:9" x14ac:dyDescent="0.25">
      <c r="A9682" t="s">
        <v>8122</v>
      </c>
      <c r="B9682" t="s">
        <v>70</v>
      </c>
      <c r="C9682" s="2">
        <f>HYPERLINK("https://cao.dolgi.msk.ru/account/1083371011/", 1083371011)</f>
        <v>1083371011</v>
      </c>
      <c r="D9682" t="s">
        <v>15</v>
      </c>
      <c r="E9682">
        <v>125816.65</v>
      </c>
      <c r="F9682">
        <v>104.09</v>
      </c>
      <c r="G9682" t="s">
        <v>12</v>
      </c>
      <c r="I9682" t="s">
        <v>230</v>
      </c>
    </row>
    <row r="9683" spans="1:9" x14ac:dyDescent="0.25">
      <c r="A9683" t="s">
        <v>8122</v>
      </c>
      <c r="B9683" t="s">
        <v>70</v>
      </c>
      <c r="C9683" s="2">
        <f>HYPERLINK("https://cao.dolgi.msk.ru/account/1083371038/", 1083371038)</f>
        <v>1083371038</v>
      </c>
      <c r="D9683" t="s">
        <v>15</v>
      </c>
      <c r="E9683">
        <v>16997.68</v>
      </c>
      <c r="F9683">
        <v>7.97</v>
      </c>
      <c r="G9683" t="s">
        <v>12</v>
      </c>
      <c r="I9683" t="s">
        <v>230</v>
      </c>
    </row>
    <row r="9684" spans="1:9" hidden="1" x14ac:dyDescent="0.25">
      <c r="A9684" t="s">
        <v>8122</v>
      </c>
      <c r="B9684" t="s">
        <v>72</v>
      </c>
      <c r="C9684" s="2">
        <f>HYPERLINK("https://cao.dolgi.msk.ru/account/1080319824/", 1080319824)</f>
        <v>1080319824</v>
      </c>
      <c r="D9684" t="s">
        <v>8144</v>
      </c>
      <c r="E9684">
        <v>-7685.49</v>
      </c>
      <c r="F9684">
        <v>-1.01</v>
      </c>
      <c r="G9684" t="s">
        <v>12</v>
      </c>
      <c r="I9684" t="s">
        <v>230</v>
      </c>
    </row>
    <row r="9685" spans="1:9" hidden="1" x14ac:dyDescent="0.25">
      <c r="A9685" t="s">
        <v>8122</v>
      </c>
      <c r="B9685" t="s">
        <v>74</v>
      </c>
      <c r="C9685" s="2">
        <f>HYPERLINK("https://cao.dolgi.msk.ru/account/1080087664/", 1080087664)</f>
        <v>1080087664</v>
      </c>
      <c r="D9685" t="s">
        <v>8145</v>
      </c>
      <c r="E9685">
        <v>-1198.6400000000001</v>
      </c>
      <c r="F9685">
        <v>-0.1</v>
      </c>
      <c r="G9685" t="s">
        <v>12</v>
      </c>
      <c r="I9685" t="s">
        <v>230</v>
      </c>
    </row>
    <row r="9686" spans="1:9" hidden="1" x14ac:dyDescent="0.25">
      <c r="A9686" t="s">
        <v>8122</v>
      </c>
      <c r="B9686" t="s">
        <v>76</v>
      </c>
      <c r="C9686" s="2">
        <f>HYPERLINK("https://cao.dolgi.msk.ru/account/1080087314/", 1080087314)</f>
        <v>1080087314</v>
      </c>
      <c r="D9686" t="s">
        <v>8146</v>
      </c>
      <c r="E9686">
        <v>-10820.61</v>
      </c>
      <c r="F9686">
        <v>-1.18</v>
      </c>
      <c r="G9686" t="s">
        <v>12</v>
      </c>
      <c r="I9686" t="s">
        <v>230</v>
      </c>
    </row>
    <row r="9687" spans="1:9" hidden="1" x14ac:dyDescent="0.25">
      <c r="A9687" t="s">
        <v>8122</v>
      </c>
      <c r="B9687" t="s">
        <v>78</v>
      </c>
      <c r="C9687" s="2">
        <f>HYPERLINK("https://cao.dolgi.msk.ru/account/1080087322/", 1080087322)</f>
        <v>1080087322</v>
      </c>
      <c r="D9687" t="s">
        <v>8147</v>
      </c>
      <c r="E9687">
        <v>169.45</v>
      </c>
      <c r="F9687">
        <v>0.03</v>
      </c>
      <c r="G9687" t="s">
        <v>12</v>
      </c>
      <c r="I9687" t="s">
        <v>230</v>
      </c>
    </row>
    <row r="9688" spans="1:9" hidden="1" x14ac:dyDescent="0.25">
      <c r="A9688" t="s">
        <v>8122</v>
      </c>
      <c r="B9688" t="s">
        <v>80</v>
      </c>
      <c r="C9688" s="2">
        <f>HYPERLINK("https://cao.dolgi.msk.ru/account/1080087349/", 1080087349)</f>
        <v>1080087349</v>
      </c>
      <c r="D9688" t="s">
        <v>8148</v>
      </c>
      <c r="E9688">
        <v>-8306.5</v>
      </c>
      <c r="F9688">
        <v>-1.18</v>
      </c>
      <c r="G9688" t="s">
        <v>12</v>
      </c>
      <c r="I9688" t="s">
        <v>230</v>
      </c>
    </row>
    <row r="9689" spans="1:9" hidden="1" x14ac:dyDescent="0.25">
      <c r="A9689" t="s">
        <v>8122</v>
      </c>
      <c r="B9689" t="s">
        <v>82</v>
      </c>
      <c r="C9689" s="2">
        <f>HYPERLINK("https://cao.dolgi.msk.ru/account/1080087357/", 1080087357)</f>
        <v>1080087357</v>
      </c>
      <c r="D9689" t="s">
        <v>8149</v>
      </c>
      <c r="E9689">
        <v>-8157.53</v>
      </c>
      <c r="F9689">
        <v>-1.31</v>
      </c>
      <c r="G9689" t="s">
        <v>12</v>
      </c>
      <c r="I9689" t="s">
        <v>230</v>
      </c>
    </row>
    <row r="9690" spans="1:9" hidden="1" x14ac:dyDescent="0.25">
      <c r="A9690" t="s">
        <v>8122</v>
      </c>
      <c r="B9690" t="s">
        <v>84</v>
      </c>
      <c r="C9690" s="2">
        <f>HYPERLINK("https://cao.dolgi.msk.ru/account/1080087365/", 1080087365)</f>
        <v>1080087365</v>
      </c>
      <c r="D9690" t="s">
        <v>8150</v>
      </c>
      <c r="E9690">
        <v>89.8</v>
      </c>
      <c r="F9690">
        <v>0.01</v>
      </c>
      <c r="G9690" t="s">
        <v>12</v>
      </c>
      <c r="I9690" t="s">
        <v>230</v>
      </c>
    </row>
    <row r="9691" spans="1:9" hidden="1" x14ac:dyDescent="0.25">
      <c r="A9691" t="s">
        <v>8122</v>
      </c>
      <c r="B9691" t="s">
        <v>86</v>
      </c>
      <c r="C9691" s="2">
        <f>HYPERLINK("https://cao.dolgi.msk.ru/account/1080087373/", 1080087373)</f>
        <v>1080087373</v>
      </c>
      <c r="D9691" t="s">
        <v>8151</v>
      </c>
      <c r="E9691">
        <v>-7257.67</v>
      </c>
      <c r="F9691">
        <v>-1.1100000000000001</v>
      </c>
      <c r="G9691" t="s">
        <v>12</v>
      </c>
      <c r="I9691" t="s">
        <v>230</v>
      </c>
    </row>
    <row r="9692" spans="1:9" hidden="1" x14ac:dyDescent="0.25">
      <c r="A9692" t="s">
        <v>8122</v>
      </c>
      <c r="B9692" t="s">
        <v>88</v>
      </c>
      <c r="C9692" s="2">
        <f>HYPERLINK("https://cao.dolgi.msk.ru/account/1080087381/", 1080087381)</f>
        <v>1080087381</v>
      </c>
      <c r="D9692" t="s">
        <v>8152</v>
      </c>
      <c r="E9692">
        <v>-7640.98</v>
      </c>
      <c r="F9692">
        <v>-1.0900000000000001</v>
      </c>
      <c r="G9692" t="s">
        <v>12</v>
      </c>
      <c r="I9692" t="s">
        <v>230</v>
      </c>
    </row>
    <row r="9693" spans="1:9" hidden="1" x14ac:dyDescent="0.25">
      <c r="A9693" t="s">
        <v>8122</v>
      </c>
      <c r="B9693" t="s">
        <v>90</v>
      </c>
      <c r="C9693" s="2">
        <f>HYPERLINK("https://cao.dolgi.msk.ru/account/1080087402/", 1080087402)</f>
        <v>1080087402</v>
      </c>
      <c r="D9693" t="s">
        <v>8153</v>
      </c>
      <c r="E9693">
        <v>4873.24</v>
      </c>
      <c r="F9693">
        <v>0.83</v>
      </c>
      <c r="G9693" t="s">
        <v>12</v>
      </c>
      <c r="I9693" t="s">
        <v>230</v>
      </c>
    </row>
    <row r="9694" spans="1:9" hidden="1" x14ac:dyDescent="0.25">
      <c r="A9694" t="s">
        <v>8122</v>
      </c>
      <c r="B9694" t="s">
        <v>92</v>
      </c>
      <c r="C9694" s="2">
        <f>HYPERLINK("https://cao.dolgi.msk.ru/account/1080087445/", 1080087445)</f>
        <v>1080087445</v>
      </c>
      <c r="D9694" t="s">
        <v>8154</v>
      </c>
      <c r="E9694">
        <v>-57.62</v>
      </c>
      <c r="F9694">
        <v>-0.01</v>
      </c>
      <c r="G9694" t="s">
        <v>12</v>
      </c>
      <c r="H9694" t="s">
        <v>7</v>
      </c>
      <c r="I9694" t="s">
        <v>230</v>
      </c>
    </row>
    <row r="9695" spans="1:9" hidden="1" x14ac:dyDescent="0.25">
      <c r="A9695" t="s">
        <v>8122</v>
      </c>
      <c r="B9695" t="s">
        <v>92</v>
      </c>
      <c r="C9695" s="2">
        <f>HYPERLINK("https://cao.dolgi.msk.ru/account/1080322708/", 1080322708)</f>
        <v>1080322708</v>
      </c>
      <c r="D9695" t="s">
        <v>8155</v>
      </c>
      <c r="E9695">
        <v>0</v>
      </c>
      <c r="F9695">
        <v>0</v>
      </c>
      <c r="G9695" t="s">
        <v>12</v>
      </c>
      <c r="H9695" t="s">
        <v>7</v>
      </c>
      <c r="I9695" t="s">
        <v>230</v>
      </c>
    </row>
    <row r="9696" spans="1:9" hidden="1" x14ac:dyDescent="0.25">
      <c r="A9696" t="s">
        <v>8122</v>
      </c>
      <c r="B9696" t="s">
        <v>94</v>
      </c>
      <c r="C9696" s="2">
        <f>HYPERLINK("https://cao.dolgi.msk.ru/account/1080087453/", 1080087453)</f>
        <v>1080087453</v>
      </c>
      <c r="D9696" t="s">
        <v>8156</v>
      </c>
      <c r="E9696">
        <v>-8481.5499999999993</v>
      </c>
      <c r="F9696">
        <v>-1.1399999999999999</v>
      </c>
      <c r="G9696" t="s">
        <v>12</v>
      </c>
      <c r="I9696" t="s">
        <v>230</v>
      </c>
    </row>
    <row r="9697" spans="1:9" hidden="1" x14ac:dyDescent="0.25">
      <c r="A9697" t="s">
        <v>8122</v>
      </c>
      <c r="B9697" t="s">
        <v>96</v>
      </c>
      <c r="C9697" s="2">
        <f>HYPERLINK("https://cao.dolgi.msk.ru/account/1080087461/", 1080087461)</f>
        <v>1080087461</v>
      </c>
      <c r="D9697" t="s">
        <v>8157</v>
      </c>
      <c r="E9697">
        <v>-5735.69</v>
      </c>
      <c r="F9697">
        <v>-1.1399999999999999</v>
      </c>
      <c r="G9697" t="s">
        <v>12</v>
      </c>
      <c r="I9697" t="s">
        <v>230</v>
      </c>
    </row>
    <row r="9698" spans="1:9" hidden="1" x14ac:dyDescent="0.25">
      <c r="A9698" t="s">
        <v>8122</v>
      </c>
      <c r="B9698" t="s">
        <v>98</v>
      </c>
      <c r="C9698" s="2">
        <f>HYPERLINK("https://cao.dolgi.msk.ru/account/1080087488/", 1080087488)</f>
        <v>1080087488</v>
      </c>
      <c r="D9698" t="s">
        <v>8158</v>
      </c>
      <c r="E9698">
        <v>-8811.09</v>
      </c>
      <c r="F9698">
        <v>-1.27</v>
      </c>
      <c r="G9698" t="s">
        <v>12</v>
      </c>
      <c r="I9698" t="s">
        <v>230</v>
      </c>
    </row>
    <row r="9699" spans="1:9" hidden="1" x14ac:dyDescent="0.25">
      <c r="A9699" t="s">
        <v>8122</v>
      </c>
      <c r="B9699" t="s">
        <v>100</v>
      </c>
      <c r="C9699" s="2">
        <f>HYPERLINK("https://cao.dolgi.msk.ru/account/1080087496/", 1080087496)</f>
        <v>1080087496</v>
      </c>
      <c r="D9699" t="s">
        <v>8159</v>
      </c>
      <c r="E9699">
        <v>-6447.7</v>
      </c>
      <c r="F9699">
        <v>-1.1599999999999999</v>
      </c>
      <c r="G9699" t="s">
        <v>12</v>
      </c>
      <c r="I9699" t="s">
        <v>230</v>
      </c>
    </row>
    <row r="9700" spans="1:9" hidden="1" x14ac:dyDescent="0.25">
      <c r="A9700" t="s">
        <v>8122</v>
      </c>
      <c r="B9700" t="s">
        <v>102</v>
      </c>
      <c r="C9700" s="2">
        <f>HYPERLINK("https://cao.dolgi.msk.ru/account/1080087525/", 1080087525)</f>
        <v>1080087525</v>
      </c>
      <c r="D9700" t="s">
        <v>8160</v>
      </c>
      <c r="E9700">
        <v>-8361.2099999999991</v>
      </c>
      <c r="F9700">
        <v>-1.1499999999999999</v>
      </c>
      <c r="G9700" t="s">
        <v>12</v>
      </c>
      <c r="H9700" t="s">
        <v>7</v>
      </c>
      <c r="I9700" t="s">
        <v>230</v>
      </c>
    </row>
    <row r="9701" spans="1:9" hidden="1" x14ac:dyDescent="0.25">
      <c r="A9701" t="s">
        <v>8122</v>
      </c>
      <c r="B9701" t="s">
        <v>104</v>
      </c>
      <c r="C9701" s="2">
        <f>HYPERLINK("https://cao.dolgi.msk.ru/account/1080087533/", 1080087533)</f>
        <v>1080087533</v>
      </c>
      <c r="D9701" t="s">
        <v>8161</v>
      </c>
      <c r="E9701">
        <v>-1458.17</v>
      </c>
      <c r="F9701">
        <v>-0.3</v>
      </c>
      <c r="G9701" t="s">
        <v>12</v>
      </c>
      <c r="I9701" t="s">
        <v>230</v>
      </c>
    </row>
    <row r="9702" spans="1:9" hidden="1" x14ac:dyDescent="0.25">
      <c r="A9702" t="s">
        <v>8122</v>
      </c>
      <c r="B9702" t="s">
        <v>106</v>
      </c>
      <c r="C9702" s="2">
        <f>HYPERLINK("https://cao.dolgi.msk.ru/account/1080087541/", 1080087541)</f>
        <v>1080087541</v>
      </c>
      <c r="D9702" t="s">
        <v>8162</v>
      </c>
      <c r="E9702">
        <v>-7116.51</v>
      </c>
      <c r="F9702">
        <v>-1.25</v>
      </c>
      <c r="G9702" t="s">
        <v>12</v>
      </c>
      <c r="I9702" t="s">
        <v>230</v>
      </c>
    </row>
    <row r="9703" spans="1:9" hidden="1" x14ac:dyDescent="0.25">
      <c r="A9703" t="s">
        <v>8122</v>
      </c>
      <c r="B9703" t="s">
        <v>108</v>
      </c>
      <c r="C9703" s="2">
        <f>HYPERLINK("https://cao.dolgi.msk.ru/account/1080087568/", 1080087568)</f>
        <v>1080087568</v>
      </c>
      <c r="D9703" t="s">
        <v>8163</v>
      </c>
      <c r="E9703">
        <v>-1366.29</v>
      </c>
      <c r="F9703">
        <v>-0.22</v>
      </c>
      <c r="G9703" t="s">
        <v>12</v>
      </c>
      <c r="I9703" t="s">
        <v>230</v>
      </c>
    </row>
    <row r="9704" spans="1:9" hidden="1" x14ac:dyDescent="0.25">
      <c r="A9704" t="s">
        <v>8122</v>
      </c>
      <c r="B9704" t="s">
        <v>110</v>
      </c>
      <c r="C9704" s="2">
        <f>HYPERLINK("https://cao.dolgi.msk.ru/account/1080087576/", 1080087576)</f>
        <v>1080087576</v>
      </c>
      <c r="D9704" t="s">
        <v>8164</v>
      </c>
      <c r="E9704">
        <v>-6337.36</v>
      </c>
      <c r="F9704">
        <v>-1.32</v>
      </c>
      <c r="G9704" t="s">
        <v>12</v>
      </c>
      <c r="I9704" t="s">
        <v>230</v>
      </c>
    </row>
    <row r="9705" spans="1:9" hidden="1" x14ac:dyDescent="0.25">
      <c r="A9705" t="s">
        <v>8122</v>
      </c>
      <c r="B9705" t="s">
        <v>112</v>
      </c>
      <c r="C9705" s="2">
        <f>HYPERLINK("https://cao.dolgi.msk.ru/account/1080087584/", 1080087584)</f>
        <v>1080087584</v>
      </c>
      <c r="D9705" t="s">
        <v>8165</v>
      </c>
      <c r="E9705">
        <v>-3628.01</v>
      </c>
      <c r="F9705">
        <v>-1.1599999999999999</v>
      </c>
      <c r="G9705" t="s">
        <v>12</v>
      </c>
      <c r="I9705" t="s">
        <v>230</v>
      </c>
    </row>
    <row r="9706" spans="1:9" hidden="1" x14ac:dyDescent="0.25">
      <c r="A9706" t="s">
        <v>8122</v>
      </c>
      <c r="B9706" t="s">
        <v>114</v>
      </c>
      <c r="C9706" s="2">
        <f>HYPERLINK("https://cao.dolgi.msk.ru/account/1080087592/", 1080087592)</f>
        <v>1080087592</v>
      </c>
      <c r="D9706" t="s">
        <v>8166</v>
      </c>
      <c r="E9706">
        <v>-12215.05</v>
      </c>
      <c r="F9706">
        <v>-1.1100000000000001</v>
      </c>
      <c r="G9706" t="s">
        <v>12</v>
      </c>
      <c r="I9706" t="s">
        <v>230</v>
      </c>
    </row>
    <row r="9707" spans="1:9" hidden="1" x14ac:dyDescent="0.25">
      <c r="A9707" t="s">
        <v>8122</v>
      </c>
      <c r="B9707" t="s">
        <v>114</v>
      </c>
      <c r="C9707" s="2">
        <f>HYPERLINK("https://cao.dolgi.msk.ru/account/1089126113/", 1089126113)</f>
        <v>1089126113</v>
      </c>
      <c r="D9707" t="s">
        <v>8166</v>
      </c>
      <c r="E9707">
        <v>-2594.8000000000002</v>
      </c>
      <c r="G9707" t="s">
        <v>14</v>
      </c>
      <c r="I9707" t="s">
        <v>230</v>
      </c>
    </row>
    <row r="9708" spans="1:9" hidden="1" x14ac:dyDescent="0.25">
      <c r="A9708" t="s">
        <v>8122</v>
      </c>
      <c r="B9708" t="s">
        <v>116</v>
      </c>
      <c r="C9708" s="2">
        <f>HYPERLINK("https://cao.dolgi.msk.ru/account/1080087605/", 1080087605)</f>
        <v>1080087605</v>
      </c>
      <c r="D9708" t="s">
        <v>8167</v>
      </c>
      <c r="E9708">
        <v>-9686.91</v>
      </c>
      <c r="F9708">
        <v>-1.17</v>
      </c>
      <c r="G9708" t="s">
        <v>12</v>
      </c>
      <c r="I9708" t="s">
        <v>230</v>
      </c>
    </row>
    <row r="9709" spans="1:9" hidden="1" x14ac:dyDescent="0.25">
      <c r="A9709" t="s">
        <v>8122</v>
      </c>
      <c r="B9709" t="s">
        <v>118</v>
      </c>
      <c r="C9709" s="2">
        <f>HYPERLINK("https://cao.dolgi.msk.ru/account/1080087613/", 1080087613)</f>
        <v>1080087613</v>
      </c>
      <c r="D9709" t="s">
        <v>8168</v>
      </c>
      <c r="E9709">
        <v>-1904.68</v>
      </c>
      <c r="F9709">
        <v>-0.28999999999999998</v>
      </c>
      <c r="G9709" t="s">
        <v>12</v>
      </c>
      <c r="I9709" t="s">
        <v>230</v>
      </c>
    </row>
    <row r="9710" spans="1:9" hidden="1" x14ac:dyDescent="0.25">
      <c r="A9710" t="s">
        <v>8122</v>
      </c>
      <c r="B9710" t="s">
        <v>120</v>
      </c>
      <c r="C9710" s="2">
        <f>HYPERLINK("https://cao.dolgi.msk.ru/account/1080087621/", 1080087621)</f>
        <v>1080087621</v>
      </c>
      <c r="D9710" t="s">
        <v>8169</v>
      </c>
      <c r="E9710">
        <v>-31.8</v>
      </c>
      <c r="F9710">
        <v>0</v>
      </c>
      <c r="G9710" t="s">
        <v>12</v>
      </c>
      <c r="I9710" t="s">
        <v>230</v>
      </c>
    </row>
    <row r="9711" spans="1:9" hidden="1" x14ac:dyDescent="0.25">
      <c r="A9711" t="s">
        <v>8122</v>
      </c>
      <c r="B9711" t="s">
        <v>122</v>
      </c>
      <c r="C9711" s="2">
        <f>HYPERLINK("https://cao.dolgi.msk.ru/account/1080087648/", 1080087648)</f>
        <v>1080087648</v>
      </c>
      <c r="D9711" t="s">
        <v>15</v>
      </c>
      <c r="E9711">
        <v>-8746.5499999999993</v>
      </c>
      <c r="F9711">
        <v>-1.19</v>
      </c>
      <c r="G9711" t="s">
        <v>12</v>
      </c>
      <c r="I9711" t="s">
        <v>230</v>
      </c>
    </row>
    <row r="9712" spans="1:9" hidden="1" x14ac:dyDescent="0.25">
      <c r="A9712" t="s">
        <v>8122</v>
      </c>
      <c r="B9712" t="s">
        <v>124</v>
      </c>
      <c r="C9712" s="2">
        <f>HYPERLINK("https://cao.dolgi.msk.ru/account/1080087656/", 1080087656)</f>
        <v>1080087656</v>
      </c>
      <c r="D9712" t="s">
        <v>8170</v>
      </c>
      <c r="E9712">
        <v>-9906.26</v>
      </c>
      <c r="F9712">
        <v>-1.0900000000000001</v>
      </c>
      <c r="G9712" t="s">
        <v>12</v>
      </c>
      <c r="I9712" t="s">
        <v>230</v>
      </c>
    </row>
    <row r="9713" spans="1:9" hidden="1" x14ac:dyDescent="0.25">
      <c r="A9713" t="s">
        <v>8122</v>
      </c>
      <c r="B9713" t="s">
        <v>126</v>
      </c>
      <c r="C9713" s="2">
        <f>HYPERLINK("https://cao.dolgi.msk.ru/account/1080087672/", 1080087672)</f>
        <v>1080087672</v>
      </c>
      <c r="D9713" t="s">
        <v>8171</v>
      </c>
      <c r="E9713">
        <v>-6421.52</v>
      </c>
      <c r="F9713">
        <v>-1.17</v>
      </c>
      <c r="G9713" t="s">
        <v>12</v>
      </c>
      <c r="I9713" t="s">
        <v>230</v>
      </c>
    </row>
    <row r="9714" spans="1:9" hidden="1" x14ac:dyDescent="0.25">
      <c r="A9714" t="s">
        <v>8122</v>
      </c>
      <c r="B9714" t="s">
        <v>128</v>
      </c>
      <c r="C9714" s="2">
        <f>HYPERLINK("https://cao.dolgi.msk.ru/account/1080087699/", 1080087699)</f>
        <v>1080087699</v>
      </c>
      <c r="D9714" t="s">
        <v>8172</v>
      </c>
      <c r="E9714">
        <v>-5391</v>
      </c>
      <c r="F9714">
        <v>-1.17</v>
      </c>
      <c r="G9714" t="s">
        <v>12</v>
      </c>
      <c r="I9714" t="s">
        <v>230</v>
      </c>
    </row>
    <row r="9715" spans="1:9" hidden="1" x14ac:dyDescent="0.25">
      <c r="A9715" t="s">
        <v>8122</v>
      </c>
      <c r="B9715" t="s">
        <v>128</v>
      </c>
      <c r="C9715" s="2">
        <f>HYPERLINK("https://cao.dolgi.msk.ru/account/1083273091/", 1083273091)</f>
        <v>1083273091</v>
      </c>
      <c r="D9715" t="s">
        <v>8172</v>
      </c>
      <c r="E9715">
        <v>-3625.36</v>
      </c>
      <c r="F9715">
        <v>-1</v>
      </c>
      <c r="G9715" t="s">
        <v>12</v>
      </c>
      <c r="I9715" t="s">
        <v>230</v>
      </c>
    </row>
    <row r="9716" spans="1:9" hidden="1" x14ac:dyDescent="0.25">
      <c r="A9716" t="s">
        <v>8122</v>
      </c>
      <c r="B9716" t="s">
        <v>130</v>
      </c>
      <c r="C9716" s="2">
        <f>HYPERLINK("https://cao.dolgi.msk.ru/account/1080087701/", 1080087701)</f>
        <v>1080087701</v>
      </c>
      <c r="D9716" t="s">
        <v>8173</v>
      </c>
      <c r="E9716">
        <v>3353.78</v>
      </c>
      <c r="F9716">
        <v>1</v>
      </c>
      <c r="G9716" t="s">
        <v>12</v>
      </c>
      <c r="I9716" t="s">
        <v>230</v>
      </c>
    </row>
    <row r="9717" spans="1:9" hidden="1" x14ac:dyDescent="0.25">
      <c r="A9717" t="s">
        <v>8122</v>
      </c>
      <c r="B9717" t="s">
        <v>130</v>
      </c>
      <c r="C9717" s="2">
        <f>HYPERLINK("https://cao.dolgi.msk.ru/account/1083394985/", 1083394985)</f>
        <v>1083394985</v>
      </c>
      <c r="D9717" t="s">
        <v>189</v>
      </c>
      <c r="E9717">
        <v>10539.66</v>
      </c>
      <c r="F9717">
        <v>3.01</v>
      </c>
      <c r="G9717" t="s">
        <v>14</v>
      </c>
      <c r="I9717" t="s">
        <v>230</v>
      </c>
    </row>
    <row r="9718" spans="1:9" hidden="1" x14ac:dyDescent="0.25">
      <c r="A9718" t="s">
        <v>8122</v>
      </c>
      <c r="B9718" t="s">
        <v>130</v>
      </c>
      <c r="C9718" s="2">
        <f>HYPERLINK("https://cao.dolgi.msk.ru/account/1083394993/", 1083394993)</f>
        <v>1083394993</v>
      </c>
      <c r="D9718" t="s">
        <v>189</v>
      </c>
      <c r="E9718">
        <v>-1475.94</v>
      </c>
      <c r="F9718">
        <v>-0.62</v>
      </c>
      <c r="G9718" t="s">
        <v>12</v>
      </c>
      <c r="I9718" t="s">
        <v>230</v>
      </c>
    </row>
    <row r="9719" spans="1:9" hidden="1" x14ac:dyDescent="0.25">
      <c r="A9719" t="s">
        <v>8122</v>
      </c>
      <c r="B9719" t="s">
        <v>132</v>
      </c>
      <c r="C9719" s="2">
        <f>HYPERLINK("https://cao.dolgi.msk.ru/account/1080087728/", 1080087728)</f>
        <v>1080087728</v>
      </c>
      <c r="D9719" t="s">
        <v>8174</v>
      </c>
      <c r="E9719">
        <v>-8673.69</v>
      </c>
      <c r="F9719">
        <v>-1.07</v>
      </c>
      <c r="G9719" t="s">
        <v>12</v>
      </c>
      <c r="I9719" t="s">
        <v>230</v>
      </c>
    </row>
    <row r="9720" spans="1:9" hidden="1" x14ac:dyDescent="0.25">
      <c r="A9720" t="s">
        <v>8122</v>
      </c>
      <c r="B9720" t="s">
        <v>133</v>
      </c>
      <c r="C9720" s="2">
        <f>HYPERLINK("https://cao.dolgi.msk.ru/account/1080087736/", 1080087736)</f>
        <v>1080087736</v>
      </c>
      <c r="D9720" t="s">
        <v>8175</v>
      </c>
      <c r="E9720">
        <v>-82.59</v>
      </c>
      <c r="F9720">
        <v>-0.01</v>
      </c>
      <c r="G9720" t="s">
        <v>12</v>
      </c>
      <c r="I9720" t="s">
        <v>230</v>
      </c>
    </row>
    <row r="9721" spans="1:9" hidden="1" x14ac:dyDescent="0.25">
      <c r="A9721" t="s">
        <v>8122</v>
      </c>
      <c r="B9721" t="s">
        <v>135</v>
      </c>
      <c r="C9721" s="2">
        <f>HYPERLINK("https://cao.dolgi.msk.ru/account/1080087744/", 1080087744)</f>
        <v>1080087744</v>
      </c>
      <c r="D9721" t="s">
        <v>8176</v>
      </c>
      <c r="E9721">
        <v>-332.25</v>
      </c>
      <c r="F9721">
        <v>-0.04</v>
      </c>
      <c r="G9721" t="s">
        <v>12</v>
      </c>
      <c r="I9721" t="s">
        <v>230</v>
      </c>
    </row>
    <row r="9722" spans="1:9" hidden="1" x14ac:dyDescent="0.25">
      <c r="A9722" t="s">
        <v>8122</v>
      </c>
      <c r="B9722" t="s">
        <v>135</v>
      </c>
      <c r="C9722" s="2">
        <f>HYPERLINK("https://cao.dolgi.msk.ru/account/1080087752/", 1080087752)</f>
        <v>1080087752</v>
      </c>
      <c r="D9722" t="s">
        <v>8177</v>
      </c>
      <c r="E9722">
        <v>0</v>
      </c>
      <c r="G9722" t="s">
        <v>14</v>
      </c>
      <c r="I9722" t="s">
        <v>230</v>
      </c>
    </row>
    <row r="9723" spans="1:9" hidden="1" x14ac:dyDescent="0.25">
      <c r="A9723" t="s">
        <v>8122</v>
      </c>
      <c r="B9723" t="s">
        <v>135</v>
      </c>
      <c r="C9723" s="2">
        <f>HYPERLINK("https://cao.dolgi.msk.ru/account/1080087779/", 1080087779)</f>
        <v>1080087779</v>
      </c>
      <c r="D9723" t="s">
        <v>8177</v>
      </c>
      <c r="E9723">
        <v>0</v>
      </c>
      <c r="G9723" t="s">
        <v>14</v>
      </c>
      <c r="I9723" t="s">
        <v>230</v>
      </c>
    </row>
    <row r="9724" spans="1:9" hidden="1" x14ac:dyDescent="0.25">
      <c r="A9724" t="s">
        <v>8122</v>
      </c>
      <c r="B9724" t="s">
        <v>135</v>
      </c>
      <c r="C9724" s="2">
        <f>HYPERLINK("https://cao.dolgi.msk.ru/account/1080087787/", 1080087787)</f>
        <v>1080087787</v>
      </c>
      <c r="D9724" t="s">
        <v>8177</v>
      </c>
      <c r="E9724">
        <v>0</v>
      </c>
      <c r="G9724" t="s">
        <v>14</v>
      </c>
      <c r="I9724" t="s">
        <v>230</v>
      </c>
    </row>
    <row r="9725" spans="1:9" hidden="1" x14ac:dyDescent="0.25">
      <c r="A9725" t="s">
        <v>8122</v>
      </c>
      <c r="B9725" t="s">
        <v>137</v>
      </c>
      <c r="C9725" s="2">
        <f>HYPERLINK("https://cao.dolgi.msk.ru/account/1080087795/", 1080087795)</f>
        <v>1080087795</v>
      </c>
      <c r="D9725" t="s">
        <v>8178</v>
      </c>
      <c r="E9725">
        <v>45.55</v>
      </c>
      <c r="F9725">
        <v>0.01</v>
      </c>
      <c r="G9725" t="s">
        <v>12</v>
      </c>
      <c r="I9725" t="s">
        <v>230</v>
      </c>
    </row>
    <row r="9726" spans="1:9" hidden="1" x14ac:dyDescent="0.25">
      <c r="A9726" t="s">
        <v>8122</v>
      </c>
      <c r="B9726" t="s">
        <v>139</v>
      </c>
      <c r="C9726" s="2">
        <f>HYPERLINK("https://cao.dolgi.msk.ru/account/1080087808/", 1080087808)</f>
        <v>1080087808</v>
      </c>
      <c r="D9726" t="s">
        <v>8179</v>
      </c>
      <c r="E9726">
        <v>-4731.0200000000004</v>
      </c>
      <c r="F9726">
        <v>-1.54</v>
      </c>
      <c r="G9726" t="s">
        <v>12</v>
      </c>
      <c r="I9726" t="s">
        <v>230</v>
      </c>
    </row>
    <row r="9727" spans="1:9" hidden="1" x14ac:dyDescent="0.25">
      <c r="A9727" t="s">
        <v>8122</v>
      </c>
      <c r="B9727" t="s">
        <v>139</v>
      </c>
      <c r="C9727" s="2">
        <f>HYPERLINK("https://cao.dolgi.msk.ru/account/1080087816/", 1080087816)</f>
        <v>1080087816</v>
      </c>
      <c r="D9727" t="s">
        <v>8180</v>
      </c>
      <c r="E9727">
        <v>-7354.02</v>
      </c>
      <c r="F9727">
        <v>-1.24</v>
      </c>
      <c r="G9727" t="s">
        <v>12</v>
      </c>
      <c r="I9727" t="s">
        <v>230</v>
      </c>
    </row>
    <row r="9728" spans="1:9" hidden="1" x14ac:dyDescent="0.25">
      <c r="A9728" t="s">
        <v>8122</v>
      </c>
      <c r="B9728" t="s">
        <v>139</v>
      </c>
      <c r="C9728" s="2">
        <f>HYPERLINK("https://cao.dolgi.msk.ru/account/1083274094/", 1083274094)</f>
        <v>1083274094</v>
      </c>
      <c r="D9728" t="s">
        <v>15</v>
      </c>
      <c r="E9728">
        <v>-582.83000000000004</v>
      </c>
      <c r="F9728">
        <v>-1.22</v>
      </c>
      <c r="G9728" t="s">
        <v>12</v>
      </c>
      <c r="I9728" t="s">
        <v>230</v>
      </c>
    </row>
    <row r="9729" spans="1:9" hidden="1" x14ac:dyDescent="0.25">
      <c r="A9729" t="s">
        <v>8122</v>
      </c>
      <c r="B9729" t="s">
        <v>141</v>
      </c>
      <c r="C9729" s="2">
        <f>HYPERLINK("https://cao.dolgi.msk.ru/account/1080087859/", 1080087859)</f>
        <v>1080087859</v>
      </c>
      <c r="D9729" t="s">
        <v>8181</v>
      </c>
      <c r="E9729">
        <v>-20926.939999999999</v>
      </c>
      <c r="F9729">
        <v>-2.11</v>
      </c>
      <c r="G9729" t="s">
        <v>12</v>
      </c>
      <c r="I9729" t="s">
        <v>230</v>
      </c>
    </row>
    <row r="9730" spans="1:9" hidden="1" x14ac:dyDescent="0.25">
      <c r="A9730" t="s">
        <v>8122</v>
      </c>
      <c r="B9730" t="s">
        <v>143</v>
      </c>
      <c r="C9730" s="2">
        <f>HYPERLINK("https://cao.dolgi.msk.ru/account/1080087867/", 1080087867)</f>
        <v>1080087867</v>
      </c>
      <c r="D9730" t="s">
        <v>8182</v>
      </c>
      <c r="E9730">
        <v>-7829.66</v>
      </c>
      <c r="F9730">
        <v>-1.1299999999999999</v>
      </c>
      <c r="G9730" t="s">
        <v>12</v>
      </c>
      <c r="I9730" t="s">
        <v>230</v>
      </c>
    </row>
    <row r="9731" spans="1:9" hidden="1" x14ac:dyDescent="0.25">
      <c r="A9731" t="s">
        <v>8122</v>
      </c>
      <c r="B9731" t="s">
        <v>147</v>
      </c>
      <c r="C9731" s="2">
        <f>HYPERLINK("https://cao.dolgi.msk.ru/account/1080087875/", 1080087875)</f>
        <v>1080087875</v>
      </c>
      <c r="D9731" t="s">
        <v>8183</v>
      </c>
      <c r="E9731">
        <v>-18579.57</v>
      </c>
      <c r="F9731">
        <v>-1.66</v>
      </c>
      <c r="G9731" t="s">
        <v>12</v>
      </c>
      <c r="I9731" t="s">
        <v>230</v>
      </c>
    </row>
    <row r="9732" spans="1:9" hidden="1" x14ac:dyDescent="0.25">
      <c r="A9732" t="s">
        <v>8122</v>
      </c>
      <c r="B9732" t="s">
        <v>149</v>
      </c>
      <c r="C9732" s="2">
        <f>HYPERLINK("https://cao.dolgi.msk.ru/account/1080087883/", 1080087883)</f>
        <v>1080087883</v>
      </c>
      <c r="D9732" t="s">
        <v>8184</v>
      </c>
      <c r="E9732">
        <v>-6311.67</v>
      </c>
      <c r="F9732">
        <v>-0.91</v>
      </c>
      <c r="G9732" t="s">
        <v>12</v>
      </c>
      <c r="I9732" t="s">
        <v>230</v>
      </c>
    </row>
    <row r="9733" spans="1:9" hidden="1" x14ac:dyDescent="0.25">
      <c r="A9733" t="s">
        <v>8122</v>
      </c>
      <c r="B9733" t="s">
        <v>151</v>
      </c>
      <c r="C9733" s="2">
        <f>HYPERLINK("https://cao.dolgi.msk.ru/account/1080087891/", 1080087891)</f>
        <v>1080087891</v>
      </c>
      <c r="D9733" t="s">
        <v>8185</v>
      </c>
      <c r="E9733">
        <v>-6448.12</v>
      </c>
      <c r="F9733">
        <v>-1.1599999999999999</v>
      </c>
      <c r="G9733" t="s">
        <v>12</v>
      </c>
      <c r="I9733" t="s">
        <v>230</v>
      </c>
    </row>
    <row r="9734" spans="1:9" hidden="1" x14ac:dyDescent="0.25">
      <c r="A9734" t="s">
        <v>8122</v>
      </c>
      <c r="B9734" t="s">
        <v>153</v>
      </c>
      <c r="C9734" s="2">
        <f>HYPERLINK("https://cao.dolgi.msk.ru/account/1080087904/", 1080087904)</f>
        <v>1080087904</v>
      </c>
      <c r="D9734" t="s">
        <v>8186</v>
      </c>
      <c r="E9734">
        <v>130.66999999999999</v>
      </c>
      <c r="F9734">
        <v>0.02</v>
      </c>
      <c r="G9734" t="s">
        <v>12</v>
      </c>
      <c r="I9734" t="s">
        <v>230</v>
      </c>
    </row>
    <row r="9735" spans="1:9" hidden="1" x14ac:dyDescent="0.25">
      <c r="A9735" t="s">
        <v>8122</v>
      </c>
      <c r="B9735" t="s">
        <v>155</v>
      </c>
      <c r="C9735" s="2">
        <f>HYPERLINK("https://cao.dolgi.msk.ru/account/1080087912/", 1080087912)</f>
        <v>1080087912</v>
      </c>
      <c r="D9735" t="s">
        <v>8187</v>
      </c>
      <c r="E9735">
        <v>360.99</v>
      </c>
      <c r="F9735">
        <v>0.04</v>
      </c>
      <c r="G9735" t="s">
        <v>12</v>
      </c>
      <c r="I9735" t="s">
        <v>230</v>
      </c>
    </row>
    <row r="9736" spans="1:9" x14ac:dyDescent="0.25">
      <c r="A9736" t="s">
        <v>8122</v>
      </c>
      <c r="B9736" t="s">
        <v>157</v>
      </c>
      <c r="C9736" s="2">
        <f>HYPERLINK("https://cao.dolgi.msk.ru/account/1080087939/", 1080087939)</f>
        <v>1080087939</v>
      </c>
      <c r="D9736" t="s">
        <v>8188</v>
      </c>
      <c r="E9736">
        <v>12429.33</v>
      </c>
      <c r="F9736">
        <v>1.67</v>
      </c>
      <c r="G9736" t="s">
        <v>12</v>
      </c>
      <c r="I9736" t="s">
        <v>230</v>
      </c>
    </row>
    <row r="9737" spans="1:9" hidden="1" x14ac:dyDescent="0.25">
      <c r="A9737" t="s">
        <v>8122</v>
      </c>
      <c r="B9737" t="s">
        <v>159</v>
      </c>
      <c r="C9737" s="2">
        <f>HYPERLINK("https://cao.dolgi.msk.ru/account/1080087947/", 1080087947)</f>
        <v>1080087947</v>
      </c>
      <c r="D9737" t="s">
        <v>8189</v>
      </c>
      <c r="E9737">
        <v>-11042.41</v>
      </c>
      <c r="F9737">
        <v>-1.1299999999999999</v>
      </c>
      <c r="G9737" t="s">
        <v>12</v>
      </c>
      <c r="I9737" t="s">
        <v>230</v>
      </c>
    </row>
    <row r="9738" spans="1:9" hidden="1" x14ac:dyDescent="0.25">
      <c r="A9738" t="s">
        <v>8122</v>
      </c>
      <c r="B9738" t="s">
        <v>161</v>
      </c>
      <c r="C9738" s="2">
        <f>HYPERLINK("https://cao.dolgi.msk.ru/account/1080087955/", 1080087955)</f>
        <v>1080087955</v>
      </c>
      <c r="D9738" t="s">
        <v>8190</v>
      </c>
      <c r="E9738">
        <v>-831.97</v>
      </c>
      <c r="F9738">
        <v>-0.11</v>
      </c>
      <c r="G9738" t="s">
        <v>12</v>
      </c>
      <c r="I9738" t="s">
        <v>230</v>
      </c>
    </row>
    <row r="9739" spans="1:9" hidden="1" x14ac:dyDescent="0.25">
      <c r="A9739" t="s">
        <v>8122</v>
      </c>
      <c r="B9739" t="s">
        <v>163</v>
      </c>
      <c r="C9739" s="2">
        <f>HYPERLINK("https://cao.dolgi.msk.ru/account/1080087963/", 1080087963)</f>
        <v>1080087963</v>
      </c>
      <c r="D9739" t="s">
        <v>8191</v>
      </c>
      <c r="E9739">
        <v>-9292.7900000000009</v>
      </c>
      <c r="F9739">
        <v>-1.27</v>
      </c>
      <c r="G9739" t="s">
        <v>12</v>
      </c>
      <c r="I9739" t="s">
        <v>230</v>
      </c>
    </row>
    <row r="9740" spans="1:9" hidden="1" x14ac:dyDescent="0.25">
      <c r="A9740" t="s">
        <v>8122</v>
      </c>
      <c r="B9740" t="s">
        <v>571</v>
      </c>
      <c r="C9740" s="2">
        <f>HYPERLINK("https://cao.dolgi.msk.ru/account/1080087971/", 1080087971)</f>
        <v>1080087971</v>
      </c>
      <c r="D9740" t="s">
        <v>8192</v>
      </c>
      <c r="E9740">
        <v>-5608.81</v>
      </c>
      <c r="F9740">
        <v>-1.03</v>
      </c>
      <c r="G9740" t="s">
        <v>12</v>
      </c>
      <c r="I9740" t="s">
        <v>230</v>
      </c>
    </row>
    <row r="9741" spans="1:9" hidden="1" x14ac:dyDescent="0.25">
      <c r="A9741" t="s">
        <v>8122</v>
      </c>
      <c r="B9741" t="s">
        <v>682</v>
      </c>
      <c r="C9741" s="2">
        <f>HYPERLINK("https://cao.dolgi.msk.ru/account/1080087998/", 1080087998)</f>
        <v>1080087998</v>
      </c>
      <c r="D9741" t="s">
        <v>8193</v>
      </c>
      <c r="E9741">
        <v>-6827.54</v>
      </c>
      <c r="F9741">
        <v>-1.1599999999999999</v>
      </c>
      <c r="G9741" t="s">
        <v>12</v>
      </c>
      <c r="I9741" t="s">
        <v>230</v>
      </c>
    </row>
    <row r="9742" spans="1:9" hidden="1" x14ac:dyDescent="0.25">
      <c r="A9742" t="s">
        <v>8122</v>
      </c>
      <c r="B9742" t="s">
        <v>578</v>
      </c>
      <c r="C9742" s="2">
        <f>HYPERLINK("https://cao.dolgi.msk.ru/account/1080088018/", 1080088018)</f>
        <v>1080088018</v>
      </c>
      <c r="D9742" t="s">
        <v>8194</v>
      </c>
      <c r="E9742">
        <v>-5458.16</v>
      </c>
      <c r="F9742">
        <v>-1.17</v>
      </c>
      <c r="G9742" t="s">
        <v>12</v>
      </c>
      <c r="I9742" t="s">
        <v>230</v>
      </c>
    </row>
    <row r="9743" spans="1:9" hidden="1" x14ac:dyDescent="0.25">
      <c r="A9743" t="s">
        <v>8122</v>
      </c>
      <c r="B9743" t="s">
        <v>580</v>
      </c>
      <c r="C9743" s="2">
        <f>HYPERLINK("https://cao.dolgi.msk.ru/account/1080088026/", 1080088026)</f>
        <v>1080088026</v>
      </c>
      <c r="D9743" t="s">
        <v>8195</v>
      </c>
      <c r="E9743">
        <v>-16358.63</v>
      </c>
      <c r="F9743">
        <v>-1.61</v>
      </c>
      <c r="G9743" t="s">
        <v>12</v>
      </c>
      <c r="I9743" t="s">
        <v>230</v>
      </c>
    </row>
    <row r="9744" spans="1:9" hidden="1" x14ac:dyDescent="0.25">
      <c r="A9744" t="s">
        <v>8122</v>
      </c>
      <c r="B9744" t="s">
        <v>686</v>
      </c>
      <c r="C9744" s="2">
        <f>HYPERLINK("https://cao.dolgi.msk.ru/account/1080088034/", 1080088034)</f>
        <v>1080088034</v>
      </c>
      <c r="D9744" t="s">
        <v>8196</v>
      </c>
      <c r="E9744">
        <v>-8179.46</v>
      </c>
      <c r="F9744">
        <v>-1.31</v>
      </c>
      <c r="G9744" t="s">
        <v>12</v>
      </c>
      <c r="I9744" t="s">
        <v>230</v>
      </c>
    </row>
    <row r="9745" spans="1:9" hidden="1" x14ac:dyDescent="0.25">
      <c r="A9745" t="s">
        <v>8122</v>
      </c>
      <c r="B9745" t="s">
        <v>582</v>
      </c>
      <c r="C9745" s="2">
        <f>HYPERLINK("https://cao.dolgi.msk.ru/account/1080088042/", 1080088042)</f>
        <v>1080088042</v>
      </c>
      <c r="D9745" t="s">
        <v>8197</v>
      </c>
      <c r="E9745">
        <v>-8595.76</v>
      </c>
      <c r="F9745">
        <v>-1.36</v>
      </c>
      <c r="G9745" t="s">
        <v>12</v>
      </c>
      <c r="I9745" t="s">
        <v>230</v>
      </c>
    </row>
    <row r="9746" spans="1:9" hidden="1" x14ac:dyDescent="0.25">
      <c r="A9746" t="s">
        <v>8122</v>
      </c>
      <c r="B9746" t="s">
        <v>582</v>
      </c>
      <c r="C9746" s="2">
        <f>HYPERLINK("https://cao.dolgi.msk.ru/account/1080088069/", 1080088069)</f>
        <v>1080088069</v>
      </c>
      <c r="D9746" t="s">
        <v>8198</v>
      </c>
      <c r="E9746">
        <v>-2561</v>
      </c>
      <c r="G9746" t="s">
        <v>14</v>
      </c>
      <c r="I9746" t="s">
        <v>230</v>
      </c>
    </row>
    <row r="9747" spans="1:9" hidden="1" x14ac:dyDescent="0.25">
      <c r="A9747" t="s">
        <v>8122</v>
      </c>
      <c r="B9747" t="s">
        <v>584</v>
      </c>
      <c r="C9747" s="2">
        <f>HYPERLINK("https://cao.dolgi.msk.ru/account/1080088077/", 1080088077)</f>
        <v>1080088077</v>
      </c>
      <c r="D9747" t="s">
        <v>8199</v>
      </c>
      <c r="E9747">
        <v>-3447.07</v>
      </c>
      <c r="F9747">
        <v>-1.17</v>
      </c>
      <c r="G9747" t="s">
        <v>12</v>
      </c>
      <c r="I9747" t="s">
        <v>230</v>
      </c>
    </row>
    <row r="9748" spans="1:9" hidden="1" x14ac:dyDescent="0.25">
      <c r="A9748" t="s">
        <v>8122</v>
      </c>
      <c r="B9748" t="s">
        <v>586</v>
      </c>
      <c r="C9748" s="2">
        <f>HYPERLINK("https://cao.dolgi.msk.ru/account/1080088085/", 1080088085)</f>
        <v>1080088085</v>
      </c>
      <c r="D9748" t="s">
        <v>8200</v>
      </c>
      <c r="E9748">
        <v>-8737.7800000000007</v>
      </c>
      <c r="F9748">
        <v>-1.22</v>
      </c>
      <c r="G9748" t="s">
        <v>12</v>
      </c>
      <c r="I9748" t="s">
        <v>230</v>
      </c>
    </row>
    <row r="9749" spans="1:9" hidden="1" x14ac:dyDescent="0.25">
      <c r="A9749" t="s">
        <v>8122</v>
      </c>
      <c r="B9749" t="s">
        <v>588</v>
      </c>
      <c r="C9749" s="2">
        <f>HYPERLINK("https://cao.dolgi.msk.ru/account/1080088093/", 1080088093)</f>
        <v>1080088093</v>
      </c>
      <c r="D9749" t="s">
        <v>8201</v>
      </c>
      <c r="E9749">
        <v>-7072.1</v>
      </c>
      <c r="F9749">
        <v>-0.83</v>
      </c>
      <c r="G9749" t="s">
        <v>12</v>
      </c>
      <c r="I9749" t="s">
        <v>230</v>
      </c>
    </row>
    <row r="9750" spans="1:9" hidden="1" x14ac:dyDescent="0.25">
      <c r="A9750" t="s">
        <v>8122</v>
      </c>
      <c r="B9750" t="s">
        <v>590</v>
      </c>
      <c r="C9750" s="2">
        <f>HYPERLINK("https://cao.dolgi.msk.ru/account/1080088106/", 1080088106)</f>
        <v>1080088106</v>
      </c>
      <c r="D9750" t="s">
        <v>8202</v>
      </c>
      <c r="E9750">
        <v>-3638.26</v>
      </c>
      <c r="F9750">
        <v>-1.1299999999999999</v>
      </c>
      <c r="G9750" t="s">
        <v>12</v>
      </c>
      <c r="I9750" t="s">
        <v>230</v>
      </c>
    </row>
    <row r="9751" spans="1:9" x14ac:dyDescent="0.25">
      <c r="A9751" t="s">
        <v>8122</v>
      </c>
      <c r="B9751" t="s">
        <v>693</v>
      </c>
      <c r="C9751" s="2">
        <f>HYPERLINK("https://cao.dolgi.msk.ru/account/1080088114/", 1080088114)</f>
        <v>1080088114</v>
      </c>
      <c r="D9751" t="s">
        <v>8203</v>
      </c>
      <c r="E9751">
        <v>11286.11</v>
      </c>
      <c r="F9751">
        <v>2.02</v>
      </c>
      <c r="G9751" t="s">
        <v>12</v>
      </c>
      <c r="I9751" t="s">
        <v>230</v>
      </c>
    </row>
    <row r="9752" spans="1:9" hidden="1" x14ac:dyDescent="0.25">
      <c r="A9752" t="s">
        <v>8122</v>
      </c>
      <c r="B9752" t="s">
        <v>694</v>
      </c>
      <c r="C9752" s="2">
        <f>HYPERLINK("https://cao.dolgi.msk.ru/account/1080088122/", 1080088122)</f>
        <v>1080088122</v>
      </c>
      <c r="D9752" t="s">
        <v>8204</v>
      </c>
      <c r="E9752">
        <v>556.20000000000005</v>
      </c>
      <c r="F9752">
        <v>0.1</v>
      </c>
      <c r="G9752" t="s">
        <v>12</v>
      </c>
      <c r="I9752" t="s">
        <v>230</v>
      </c>
    </row>
    <row r="9753" spans="1:9" hidden="1" x14ac:dyDescent="0.25">
      <c r="A9753" t="s">
        <v>8122</v>
      </c>
      <c r="B9753" t="s">
        <v>696</v>
      </c>
      <c r="C9753" s="2">
        <f>HYPERLINK("https://cao.dolgi.msk.ru/account/1080088157/", 1080088157)</f>
        <v>1080088157</v>
      </c>
      <c r="D9753" t="s">
        <v>8205</v>
      </c>
      <c r="E9753">
        <v>-29.1</v>
      </c>
      <c r="F9753">
        <v>-0.01</v>
      </c>
      <c r="G9753" t="s">
        <v>12</v>
      </c>
      <c r="I9753" t="s">
        <v>230</v>
      </c>
    </row>
    <row r="9754" spans="1:9" hidden="1" x14ac:dyDescent="0.25">
      <c r="A9754" t="s">
        <v>8122</v>
      </c>
      <c r="B9754" t="s">
        <v>696</v>
      </c>
      <c r="C9754" s="2">
        <f>HYPERLINK("https://cao.dolgi.msk.ru/account/1080325298/", 1080325298)</f>
        <v>1080325298</v>
      </c>
      <c r="D9754" t="s">
        <v>15</v>
      </c>
      <c r="E9754">
        <v>0</v>
      </c>
      <c r="F9754">
        <v>0</v>
      </c>
      <c r="G9754" t="s">
        <v>12</v>
      </c>
      <c r="I9754" t="s">
        <v>230</v>
      </c>
    </row>
    <row r="9755" spans="1:9" hidden="1" x14ac:dyDescent="0.25">
      <c r="A9755" t="s">
        <v>8122</v>
      </c>
      <c r="B9755" t="s">
        <v>698</v>
      </c>
      <c r="C9755" s="2">
        <f>HYPERLINK("https://cao.dolgi.msk.ru/account/1080088165/", 1080088165)</f>
        <v>1080088165</v>
      </c>
      <c r="D9755" t="s">
        <v>8206</v>
      </c>
      <c r="E9755">
        <v>-6267.84</v>
      </c>
      <c r="F9755">
        <v>-1.19</v>
      </c>
      <c r="G9755" t="s">
        <v>12</v>
      </c>
      <c r="I9755" t="s">
        <v>230</v>
      </c>
    </row>
    <row r="9756" spans="1:9" hidden="1" x14ac:dyDescent="0.25">
      <c r="A9756" t="s">
        <v>8122</v>
      </c>
      <c r="B9756" t="s">
        <v>700</v>
      </c>
      <c r="C9756" s="2">
        <f>HYPERLINK("https://cao.dolgi.msk.ru/account/1080088173/", 1080088173)</f>
        <v>1080088173</v>
      </c>
      <c r="D9756" t="s">
        <v>8207</v>
      </c>
      <c r="E9756">
        <v>-3221.16</v>
      </c>
      <c r="F9756">
        <v>-1.1399999999999999</v>
      </c>
      <c r="G9756" t="s">
        <v>12</v>
      </c>
      <c r="I9756" t="s">
        <v>230</v>
      </c>
    </row>
    <row r="9757" spans="1:9" x14ac:dyDescent="0.25">
      <c r="A9757" t="s">
        <v>8122</v>
      </c>
      <c r="B9757" t="s">
        <v>702</v>
      </c>
      <c r="C9757" s="2">
        <f>HYPERLINK("https://cao.dolgi.msk.ru/account/1080088181/", 1080088181)</f>
        <v>1080088181</v>
      </c>
      <c r="D9757" t="s">
        <v>8208</v>
      </c>
      <c r="E9757">
        <v>7374.76</v>
      </c>
      <c r="F9757">
        <v>1.36</v>
      </c>
      <c r="G9757" t="s">
        <v>12</v>
      </c>
      <c r="I9757" t="s">
        <v>230</v>
      </c>
    </row>
    <row r="9758" spans="1:9" x14ac:dyDescent="0.25">
      <c r="A9758" t="s">
        <v>8122</v>
      </c>
      <c r="B9758" t="s">
        <v>703</v>
      </c>
      <c r="C9758" s="2">
        <f>HYPERLINK("https://cao.dolgi.msk.ru/account/1080088202/", 1080088202)</f>
        <v>1080088202</v>
      </c>
      <c r="D9758" t="s">
        <v>8209</v>
      </c>
      <c r="E9758">
        <v>7677.22</v>
      </c>
      <c r="F9758">
        <v>1.05</v>
      </c>
      <c r="G9758" t="s">
        <v>12</v>
      </c>
      <c r="I9758" t="s">
        <v>230</v>
      </c>
    </row>
    <row r="9759" spans="1:9" hidden="1" x14ac:dyDescent="0.25">
      <c r="A9759" t="s">
        <v>8122</v>
      </c>
      <c r="B9759" t="s">
        <v>705</v>
      </c>
      <c r="C9759" s="2">
        <f>HYPERLINK("https://cao.dolgi.msk.ru/account/1080088229/", 1080088229)</f>
        <v>1080088229</v>
      </c>
      <c r="D9759" t="s">
        <v>8210</v>
      </c>
      <c r="E9759">
        <v>3865.24</v>
      </c>
      <c r="F9759">
        <v>0.35</v>
      </c>
      <c r="G9759" t="s">
        <v>12</v>
      </c>
      <c r="I9759" t="s">
        <v>230</v>
      </c>
    </row>
    <row r="9760" spans="1:9" hidden="1" x14ac:dyDescent="0.25">
      <c r="A9760" t="s">
        <v>8122</v>
      </c>
      <c r="B9760" t="s">
        <v>707</v>
      </c>
      <c r="C9760" s="2">
        <f>HYPERLINK("https://cao.dolgi.msk.ru/account/1080088237/", 1080088237)</f>
        <v>1080088237</v>
      </c>
      <c r="D9760" t="s">
        <v>8211</v>
      </c>
      <c r="E9760">
        <v>-2684.86</v>
      </c>
      <c r="F9760">
        <v>-0.6</v>
      </c>
      <c r="G9760" t="s">
        <v>12</v>
      </c>
      <c r="I9760" t="s">
        <v>230</v>
      </c>
    </row>
    <row r="9761" spans="1:9" hidden="1" x14ac:dyDescent="0.25">
      <c r="A9761" t="s">
        <v>8122</v>
      </c>
      <c r="B9761" t="s">
        <v>709</v>
      </c>
      <c r="C9761" s="2">
        <f>HYPERLINK("https://cao.dolgi.msk.ru/account/1080088245/", 1080088245)</f>
        <v>1080088245</v>
      </c>
      <c r="D9761" t="s">
        <v>8212</v>
      </c>
      <c r="E9761">
        <v>-7955.07</v>
      </c>
      <c r="F9761">
        <v>-1.1599999999999999</v>
      </c>
      <c r="G9761" t="s">
        <v>12</v>
      </c>
      <c r="I9761" t="s">
        <v>230</v>
      </c>
    </row>
    <row r="9762" spans="1:9" hidden="1" x14ac:dyDescent="0.25">
      <c r="A9762" t="s">
        <v>8213</v>
      </c>
      <c r="B9762" t="s">
        <v>10</v>
      </c>
      <c r="C9762" s="2">
        <f>HYPERLINK("https://cao.dolgi.msk.ru/account/1080086469/", 1080086469)</f>
        <v>1080086469</v>
      </c>
      <c r="D9762" t="s">
        <v>8214</v>
      </c>
      <c r="E9762">
        <v>-7448.65</v>
      </c>
      <c r="F9762">
        <v>-1.06</v>
      </c>
      <c r="G9762" t="s">
        <v>12</v>
      </c>
      <c r="I9762" t="s">
        <v>230</v>
      </c>
    </row>
    <row r="9763" spans="1:9" hidden="1" x14ac:dyDescent="0.25">
      <c r="A9763" t="s">
        <v>8213</v>
      </c>
      <c r="B9763" t="s">
        <v>16</v>
      </c>
      <c r="C9763" s="2">
        <f>HYPERLINK("https://cao.dolgi.msk.ru/account/1080086477/", 1080086477)</f>
        <v>1080086477</v>
      </c>
      <c r="D9763" t="s">
        <v>8215</v>
      </c>
      <c r="E9763">
        <v>-4304.93</v>
      </c>
      <c r="F9763">
        <v>-0.73</v>
      </c>
      <c r="G9763" t="s">
        <v>12</v>
      </c>
      <c r="I9763" t="s">
        <v>230</v>
      </c>
    </row>
    <row r="9764" spans="1:9" hidden="1" x14ac:dyDescent="0.25">
      <c r="A9764" t="s">
        <v>8213</v>
      </c>
      <c r="B9764" t="s">
        <v>18</v>
      </c>
      <c r="C9764" s="2">
        <f>HYPERLINK("https://cao.dolgi.msk.ru/account/1080086485/", 1080086485)</f>
        <v>1080086485</v>
      </c>
      <c r="D9764" t="s">
        <v>8216</v>
      </c>
      <c r="E9764">
        <v>-4639.22</v>
      </c>
      <c r="F9764">
        <v>-0.8</v>
      </c>
      <c r="G9764" t="s">
        <v>12</v>
      </c>
      <c r="I9764" t="s">
        <v>230</v>
      </c>
    </row>
    <row r="9765" spans="1:9" hidden="1" x14ac:dyDescent="0.25">
      <c r="A9765" t="s">
        <v>8213</v>
      </c>
      <c r="B9765" t="s">
        <v>20</v>
      </c>
      <c r="C9765" s="2">
        <f>HYPERLINK("https://cao.dolgi.msk.ru/account/1080086493/", 1080086493)</f>
        <v>1080086493</v>
      </c>
      <c r="D9765" t="s">
        <v>8217</v>
      </c>
      <c r="E9765">
        <v>-4980.8500000000004</v>
      </c>
      <c r="F9765">
        <v>-0.93</v>
      </c>
      <c r="G9765" t="s">
        <v>12</v>
      </c>
      <c r="I9765" t="s">
        <v>230</v>
      </c>
    </row>
    <row r="9766" spans="1:9" hidden="1" x14ac:dyDescent="0.25">
      <c r="A9766" t="s">
        <v>8213</v>
      </c>
      <c r="B9766" t="s">
        <v>21</v>
      </c>
      <c r="C9766" s="2">
        <f>HYPERLINK("https://cao.dolgi.msk.ru/account/1080086506/", 1080086506)</f>
        <v>1080086506</v>
      </c>
      <c r="D9766" t="s">
        <v>8218</v>
      </c>
      <c r="E9766">
        <v>-6326.02</v>
      </c>
      <c r="F9766">
        <v>-1.1100000000000001</v>
      </c>
      <c r="G9766" t="s">
        <v>12</v>
      </c>
      <c r="I9766" t="s">
        <v>230</v>
      </c>
    </row>
    <row r="9767" spans="1:9" hidden="1" x14ac:dyDescent="0.25">
      <c r="A9767" t="s">
        <v>8213</v>
      </c>
      <c r="B9767" t="s">
        <v>22</v>
      </c>
      <c r="C9767" s="2">
        <f>HYPERLINK("https://cao.dolgi.msk.ru/account/1080086514/", 1080086514)</f>
        <v>1080086514</v>
      </c>
      <c r="D9767" t="s">
        <v>8219</v>
      </c>
      <c r="E9767">
        <v>-4571.8599999999997</v>
      </c>
      <c r="F9767">
        <v>-0.38</v>
      </c>
      <c r="G9767" t="s">
        <v>12</v>
      </c>
      <c r="I9767" t="s">
        <v>230</v>
      </c>
    </row>
    <row r="9768" spans="1:9" hidden="1" x14ac:dyDescent="0.25">
      <c r="A9768" t="s">
        <v>8213</v>
      </c>
      <c r="B9768" t="s">
        <v>23</v>
      </c>
      <c r="C9768" s="2">
        <f>HYPERLINK("https://cao.dolgi.msk.ru/account/1080086522/", 1080086522)</f>
        <v>1080086522</v>
      </c>
      <c r="D9768" t="s">
        <v>8220</v>
      </c>
      <c r="E9768">
        <v>-3542.02</v>
      </c>
      <c r="F9768">
        <v>-1.0900000000000001</v>
      </c>
      <c r="G9768" t="s">
        <v>12</v>
      </c>
      <c r="I9768" t="s">
        <v>230</v>
      </c>
    </row>
    <row r="9769" spans="1:9" hidden="1" x14ac:dyDescent="0.25">
      <c r="A9769" t="s">
        <v>8213</v>
      </c>
      <c r="B9769" t="s">
        <v>24</v>
      </c>
      <c r="C9769" s="2">
        <f>HYPERLINK("https://cao.dolgi.msk.ru/account/1080086549/", 1080086549)</f>
        <v>1080086549</v>
      </c>
      <c r="D9769" t="s">
        <v>8221</v>
      </c>
      <c r="E9769">
        <v>-6764.75</v>
      </c>
      <c r="F9769">
        <v>-1.1499999999999999</v>
      </c>
      <c r="G9769" t="s">
        <v>12</v>
      </c>
      <c r="I9769" t="s">
        <v>230</v>
      </c>
    </row>
    <row r="9770" spans="1:9" hidden="1" x14ac:dyDescent="0.25">
      <c r="A9770" t="s">
        <v>8213</v>
      </c>
      <c r="B9770" t="s">
        <v>27</v>
      </c>
      <c r="C9770" s="2">
        <f>HYPERLINK("https://cao.dolgi.msk.ru/account/1080086557/", 1080086557)</f>
        <v>1080086557</v>
      </c>
      <c r="D9770" t="s">
        <v>8222</v>
      </c>
      <c r="E9770">
        <v>-1687.03</v>
      </c>
      <c r="F9770">
        <v>-1.53</v>
      </c>
      <c r="G9770" t="s">
        <v>12</v>
      </c>
      <c r="I9770" t="s">
        <v>230</v>
      </c>
    </row>
    <row r="9771" spans="1:9" hidden="1" x14ac:dyDescent="0.25">
      <c r="A9771" t="s">
        <v>8213</v>
      </c>
      <c r="B9771" t="s">
        <v>29</v>
      </c>
      <c r="C9771" s="2">
        <f>HYPERLINK("https://cao.dolgi.msk.ru/account/1080086573/", 1080086573)</f>
        <v>1080086573</v>
      </c>
      <c r="D9771" t="s">
        <v>8223</v>
      </c>
      <c r="E9771">
        <v>-18654.8</v>
      </c>
      <c r="F9771">
        <v>-1.04</v>
      </c>
      <c r="G9771" t="s">
        <v>12</v>
      </c>
      <c r="I9771" t="s">
        <v>230</v>
      </c>
    </row>
    <row r="9772" spans="1:9" hidden="1" x14ac:dyDescent="0.25">
      <c r="A9772" t="s">
        <v>8213</v>
      </c>
      <c r="B9772" t="s">
        <v>31</v>
      </c>
      <c r="C9772" s="2">
        <f>HYPERLINK("https://cao.dolgi.msk.ru/account/1080086581/", 1080086581)</f>
        <v>1080086581</v>
      </c>
      <c r="D9772" t="s">
        <v>15</v>
      </c>
      <c r="E9772">
        <v>-6577.06</v>
      </c>
      <c r="F9772">
        <v>-2.2200000000000002</v>
      </c>
      <c r="G9772" t="s">
        <v>12</v>
      </c>
      <c r="I9772" t="s">
        <v>230</v>
      </c>
    </row>
    <row r="9773" spans="1:9" hidden="1" x14ac:dyDescent="0.25">
      <c r="A9773" t="s">
        <v>8213</v>
      </c>
      <c r="B9773" t="s">
        <v>33</v>
      </c>
      <c r="C9773" s="2">
        <f>HYPERLINK("https://cao.dolgi.msk.ru/account/1080086602/", 1080086602)</f>
        <v>1080086602</v>
      </c>
      <c r="D9773" t="s">
        <v>8224</v>
      </c>
      <c r="E9773">
        <v>-5092.67</v>
      </c>
      <c r="F9773">
        <v>-1.0900000000000001</v>
      </c>
      <c r="G9773" t="s">
        <v>12</v>
      </c>
      <c r="I9773" t="s">
        <v>230</v>
      </c>
    </row>
    <row r="9774" spans="1:9" hidden="1" x14ac:dyDescent="0.25">
      <c r="A9774" t="s">
        <v>8213</v>
      </c>
      <c r="B9774" t="s">
        <v>34</v>
      </c>
      <c r="C9774" s="2">
        <f>HYPERLINK("https://cao.dolgi.msk.ru/account/1080086629/", 1080086629)</f>
        <v>1080086629</v>
      </c>
      <c r="D9774" t="s">
        <v>8225</v>
      </c>
      <c r="E9774">
        <v>-6771.28</v>
      </c>
      <c r="F9774">
        <v>-1.07</v>
      </c>
      <c r="G9774" t="s">
        <v>12</v>
      </c>
      <c r="I9774" t="s">
        <v>230</v>
      </c>
    </row>
    <row r="9775" spans="1:9" hidden="1" x14ac:dyDescent="0.25">
      <c r="A9775" t="s">
        <v>8213</v>
      </c>
      <c r="B9775" t="s">
        <v>36</v>
      </c>
      <c r="C9775" s="2">
        <f>HYPERLINK("https://cao.dolgi.msk.ru/account/1080086637/", 1080086637)</f>
        <v>1080086637</v>
      </c>
      <c r="D9775" t="s">
        <v>8226</v>
      </c>
      <c r="E9775">
        <v>-5921.93</v>
      </c>
      <c r="F9775">
        <v>-1.1399999999999999</v>
      </c>
      <c r="G9775" t="s">
        <v>12</v>
      </c>
      <c r="I9775" t="s">
        <v>230</v>
      </c>
    </row>
    <row r="9776" spans="1:9" hidden="1" x14ac:dyDescent="0.25">
      <c r="A9776" t="s">
        <v>8213</v>
      </c>
      <c r="B9776" t="s">
        <v>38</v>
      </c>
      <c r="C9776" s="2">
        <f>HYPERLINK("https://cao.dolgi.msk.ru/account/1080086645/", 1080086645)</f>
        <v>1080086645</v>
      </c>
      <c r="D9776" t="s">
        <v>8227</v>
      </c>
      <c r="E9776">
        <v>-6395.74</v>
      </c>
      <c r="F9776">
        <v>-1.03</v>
      </c>
      <c r="G9776" t="s">
        <v>12</v>
      </c>
      <c r="I9776" t="s">
        <v>230</v>
      </c>
    </row>
    <row r="9777" spans="1:9" hidden="1" x14ac:dyDescent="0.25">
      <c r="A9777" t="s">
        <v>8213</v>
      </c>
      <c r="B9777" t="s">
        <v>39</v>
      </c>
      <c r="C9777" s="2">
        <f>HYPERLINK("https://cao.dolgi.msk.ru/account/1080086653/", 1080086653)</f>
        <v>1080086653</v>
      </c>
      <c r="D9777" t="s">
        <v>8228</v>
      </c>
      <c r="E9777">
        <v>-7150.98</v>
      </c>
      <c r="F9777">
        <v>-1.05</v>
      </c>
      <c r="G9777" t="s">
        <v>12</v>
      </c>
      <c r="I9777" t="s">
        <v>230</v>
      </c>
    </row>
    <row r="9778" spans="1:9" hidden="1" x14ac:dyDescent="0.25">
      <c r="A9778" t="s">
        <v>8213</v>
      </c>
      <c r="B9778" t="s">
        <v>40</v>
      </c>
      <c r="C9778" s="2">
        <f>HYPERLINK("https://cao.dolgi.msk.ru/account/1080086661/", 1080086661)</f>
        <v>1080086661</v>
      </c>
      <c r="D9778" t="s">
        <v>8229</v>
      </c>
      <c r="E9778">
        <v>-7034.11</v>
      </c>
      <c r="F9778">
        <v>-1.1399999999999999</v>
      </c>
      <c r="G9778" t="s">
        <v>12</v>
      </c>
      <c r="I9778" t="s">
        <v>230</v>
      </c>
    </row>
    <row r="9779" spans="1:9" hidden="1" x14ac:dyDescent="0.25">
      <c r="A9779" t="s">
        <v>8213</v>
      </c>
      <c r="B9779" t="s">
        <v>41</v>
      </c>
      <c r="C9779" s="2">
        <f>HYPERLINK("https://cao.dolgi.msk.ru/account/1080086688/", 1080086688)</f>
        <v>1080086688</v>
      </c>
      <c r="D9779" t="s">
        <v>8230</v>
      </c>
      <c r="E9779">
        <v>-5938.64</v>
      </c>
      <c r="F9779">
        <v>-1.04</v>
      </c>
      <c r="G9779" t="s">
        <v>12</v>
      </c>
      <c r="I9779" t="s">
        <v>230</v>
      </c>
    </row>
    <row r="9780" spans="1:9" hidden="1" x14ac:dyDescent="0.25">
      <c r="A9780" t="s">
        <v>8213</v>
      </c>
      <c r="B9780" t="s">
        <v>42</v>
      </c>
      <c r="C9780" s="2">
        <f>HYPERLINK("https://cao.dolgi.msk.ru/account/1080086696/", 1080086696)</f>
        <v>1080086696</v>
      </c>
      <c r="D9780" t="s">
        <v>15</v>
      </c>
      <c r="E9780">
        <v>-42.04</v>
      </c>
      <c r="F9780">
        <v>-0.01</v>
      </c>
      <c r="G9780" t="s">
        <v>12</v>
      </c>
      <c r="I9780" t="s">
        <v>230</v>
      </c>
    </row>
    <row r="9781" spans="1:9" hidden="1" x14ac:dyDescent="0.25">
      <c r="A9781" t="s">
        <v>8213</v>
      </c>
      <c r="B9781" t="s">
        <v>44</v>
      </c>
      <c r="C9781" s="2">
        <f>HYPERLINK("https://cao.dolgi.msk.ru/account/1080086709/", 1080086709)</f>
        <v>1080086709</v>
      </c>
      <c r="D9781" t="s">
        <v>8231</v>
      </c>
      <c r="E9781">
        <v>-4322.3999999999996</v>
      </c>
      <c r="F9781">
        <v>-0.95</v>
      </c>
      <c r="G9781" t="s">
        <v>12</v>
      </c>
      <c r="I9781" t="s">
        <v>230</v>
      </c>
    </row>
    <row r="9782" spans="1:9" hidden="1" x14ac:dyDescent="0.25">
      <c r="A9782" t="s">
        <v>8213</v>
      </c>
      <c r="B9782" t="s">
        <v>66</v>
      </c>
      <c r="C9782" s="2">
        <f>HYPERLINK("https://cao.dolgi.msk.ru/account/1080086717/", 1080086717)</f>
        <v>1080086717</v>
      </c>
      <c r="D9782" t="s">
        <v>8232</v>
      </c>
      <c r="E9782">
        <v>491.9</v>
      </c>
      <c r="F9782">
        <v>0.12</v>
      </c>
      <c r="G9782" t="s">
        <v>12</v>
      </c>
      <c r="I9782" t="s">
        <v>230</v>
      </c>
    </row>
    <row r="9783" spans="1:9" hidden="1" x14ac:dyDescent="0.25">
      <c r="A9783" t="s">
        <v>8213</v>
      </c>
      <c r="B9783" t="s">
        <v>68</v>
      </c>
      <c r="C9783" s="2">
        <f>HYPERLINK("https://cao.dolgi.msk.ru/account/1080086725/", 1080086725)</f>
        <v>1080086725</v>
      </c>
      <c r="D9783" t="s">
        <v>8233</v>
      </c>
      <c r="E9783">
        <v>-7003.08</v>
      </c>
      <c r="F9783">
        <v>-1.1000000000000001</v>
      </c>
      <c r="G9783" t="s">
        <v>12</v>
      </c>
      <c r="I9783" t="s">
        <v>230</v>
      </c>
    </row>
    <row r="9784" spans="1:9" hidden="1" x14ac:dyDescent="0.25">
      <c r="A9784" t="s">
        <v>8213</v>
      </c>
      <c r="B9784" t="s">
        <v>70</v>
      </c>
      <c r="C9784" s="2">
        <f>HYPERLINK("https://cao.dolgi.msk.ru/account/1080086733/", 1080086733)</f>
        <v>1080086733</v>
      </c>
      <c r="D9784" t="s">
        <v>8234</v>
      </c>
      <c r="E9784">
        <v>-2355.5700000000002</v>
      </c>
      <c r="F9784">
        <v>-1.18</v>
      </c>
      <c r="G9784" t="s">
        <v>12</v>
      </c>
      <c r="I9784" t="s">
        <v>230</v>
      </c>
    </row>
    <row r="9785" spans="1:9" hidden="1" x14ac:dyDescent="0.25">
      <c r="A9785" t="s">
        <v>8213</v>
      </c>
      <c r="B9785" t="s">
        <v>70</v>
      </c>
      <c r="C9785" s="2">
        <f>HYPERLINK("https://cao.dolgi.msk.ru/account/1089130112/", 1089130112)</f>
        <v>1089130112</v>
      </c>
      <c r="D9785" t="s">
        <v>8234</v>
      </c>
      <c r="E9785">
        <v>-2787.06</v>
      </c>
      <c r="F9785">
        <v>-1.46</v>
      </c>
      <c r="G9785" t="s">
        <v>12</v>
      </c>
      <c r="I9785" t="s">
        <v>230</v>
      </c>
    </row>
    <row r="9786" spans="1:9" hidden="1" x14ac:dyDescent="0.25">
      <c r="A9786" t="s">
        <v>8213</v>
      </c>
      <c r="B9786" t="s">
        <v>72</v>
      </c>
      <c r="C9786" s="2">
        <f>HYPERLINK("https://cao.dolgi.msk.ru/account/1080086741/", 1080086741)</f>
        <v>1080086741</v>
      </c>
      <c r="D9786" t="s">
        <v>8235</v>
      </c>
      <c r="E9786">
        <v>-139.27000000000001</v>
      </c>
      <c r="F9786">
        <v>-0.09</v>
      </c>
      <c r="G9786" t="s">
        <v>12</v>
      </c>
      <c r="I9786" t="s">
        <v>230</v>
      </c>
    </row>
    <row r="9787" spans="1:9" hidden="1" x14ac:dyDescent="0.25">
      <c r="A9787" t="s">
        <v>8213</v>
      </c>
      <c r="B9787" t="s">
        <v>72</v>
      </c>
      <c r="C9787" s="2">
        <f>HYPERLINK("https://cao.dolgi.msk.ru/account/1083273737/", 1083273737)</f>
        <v>1083273737</v>
      </c>
      <c r="D9787" t="s">
        <v>8236</v>
      </c>
      <c r="E9787">
        <v>-1240.57</v>
      </c>
      <c r="F9787">
        <v>-1.1299999999999999</v>
      </c>
      <c r="G9787" t="s">
        <v>12</v>
      </c>
      <c r="I9787" t="s">
        <v>230</v>
      </c>
    </row>
    <row r="9788" spans="1:9" hidden="1" x14ac:dyDescent="0.25">
      <c r="A9788" t="s">
        <v>8213</v>
      </c>
      <c r="B9788" t="s">
        <v>74</v>
      </c>
      <c r="C9788" s="2">
        <f>HYPERLINK("https://cao.dolgi.msk.ru/account/1080086768/", 1080086768)</f>
        <v>1080086768</v>
      </c>
      <c r="D9788" t="s">
        <v>8237</v>
      </c>
      <c r="E9788">
        <v>-4447.01</v>
      </c>
      <c r="F9788">
        <v>-1.0900000000000001</v>
      </c>
      <c r="G9788" t="s">
        <v>12</v>
      </c>
      <c r="I9788" t="s">
        <v>230</v>
      </c>
    </row>
    <row r="9789" spans="1:9" hidden="1" x14ac:dyDescent="0.25">
      <c r="A9789" t="s">
        <v>8213</v>
      </c>
      <c r="B9789" t="s">
        <v>76</v>
      </c>
      <c r="C9789" s="2">
        <f>HYPERLINK("https://cao.dolgi.msk.ru/account/1080086776/", 1080086776)</f>
        <v>1080086776</v>
      </c>
      <c r="D9789" t="s">
        <v>8238</v>
      </c>
      <c r="E9789">
        <v>-6785.49</v>
      </c>
      <c r="F9789">
        <v>-1.0900000000000001</v>
      </c>
      <c r="G9789" t="s">
        <v>12</v>
      </c>
      <c r="I9789" t="s">
        <v>230</v>
      </c>
    </row>
    <row r="9790" spans="1:9" hidden="1" x14ac:dyDescent="0.25">
      <c r="A9790" t="s">
        <v>8213</v>
      </c>
      <c r="B9790" t="s">
        <v>78</v>
      </c>
      <c r="C9790" s="2">
        <f>HYPERLINK("https://cao.dolgi.msk.ru/account/1080086784/", 1080086784)</f>
        <v>1080086784</v>
      </c>
      <c r="D9790" t="s">
        <v>8239</v>
      </c>
      <c r="E9790">
        <v>-6624.61</v>
      </c>
      <c r="F9790">
        <v>-1.1000000000000001</v>
      </c>
      <c r="G9790" t="s">
        <v>12</v>
      </c>
      <c r="I9790" t="s">
        <v>230</v>
      </c>
    </row>
    <row r="9791" spans="1:9" hidden="1" x14ac:dyDescent="0.25">
      <c r="A9791" t="s">
        <v>8213</v>
      </c>
      <c r="B9791" t="s">
        <v>80</v>
      </c>
      <c r="C9791" s="2">
        <f>HYPERLINK("https://cao.dolgi.msk.ru/account/1080086792/", 1080086792)</f>
        <v>1080086792</v>
      </c>
      <c r="D9791" t="s">
        <v>8240</v>
      </c>
      <c r="E9791">
        <v>-4779.92</v>
      </c>
      <c r="F9791">
        <v>-1.05</v>
      </c>
      <c r="G9791" t="s">
        <v>12</v>
      </c>
      <c r="I9791" t="s">
        <v>230</v>
      </c>
    </row>
    <row r="9792" spans="1:9" hidden="1" x14ac:dyDescent="0.25">
      <c r="A9792" t="s">
        <v>8213</v>
      </c>
      <c r="B9792" t="s">
        <v>82</v>
      </c>
      <c r="C9792" s="2">
        <f>HYPERLINK("https://cao.dolgi.msk.ru/account/1080086805/", 1080086805)</f>
        <v>1080086805</v>
      </c>
      <c r="D9792" t="s">
        <v>8241</v>
      </c>
      <c r="E9792">
        <v>-3776.88</v>
      </c>
      <c r="F9792">
        <v>-1.1299999999999999</v>
      </c>
      <c r="G9792" t="s">
        <v>12</v>
      </c>
      <c r="I9792" t="s">
        <v>230</v>
      </c>
    </row>
    <row r="9793" spans="1:9" hidden="1" x14ac:dyDescent="0.25">
      <c r="A9793" t="s">
        <v>8213</v>
      </c>
      <c r="B9793" t="s">
        <v>84</v>
      </c>
      <c r="C9793" s="2">
        <f>HYPERLINK("https://cao.dolgi.msk.ru/account/1080086813/", 1080086813)</f>
        <v>1080086813</v>
      </c>
      <c r="D9793" t="s">
        <v>8242</v>
      </c>
      <c r="E9793">
        <v>-6191.03</v>
      </c>
      <c r="F9793">
        <v>-0.9</v>
      </c>
      <c r="G9793" t="s">
        <v>12</v>
      </c>
      <c r="I9793" t="s">
        <v>230</v>
      </c>
    </row>
    <row r="9794" spans="1:9" hidden="1" x14ac:dyDescent="0.25">
      <c r="A9794" t="s">
        <v>8213</v>
      </c>
      <c r="B9794" t="s">
        <v>86</v>
      </c>
      <c r="C9794" s="2">
        <f>HYPERLINK("https://cao.dolgi.msk.ru/account/1080086821/", 1080086821)</f>
        <v>1080086821</v>
      </c>
      <c r="D9794" t="s">
        <v>8243</v>
      </c>
      <c r="E9794">
        <v>-4907.76</v>
      </c>
      <c r="F9794">
        <v>-1.93</v>
      </c>
      <c r="G9794" t="s">
        <v>12</v>
      </c>
      <c r="I9794" t="s">
        <v>230</v>
      </c>
    </row>
    <row r="9795" spans="1:9" hidden="1" x14ac:dyDescent="0.25">
      <c r="A9795" t="s">
        <v>8213</v>
      </c>
      <c r="B9795" t="s">
        <v>88</v>
      </c>
      <c r="C9795" s="2">
        <f>HYPERLINK("https://cao.dolgi.msk.ru/account/1080086848/", 1080086848)</f>
        <v>1080086848</v>
      </c>
      <c r="D9795" t="s">
        <v>8244</v>
      </c>
      <c r="E9795">
        <v>-4448.2</v>
      </c>
      <c r="F9795">
        <v>-1.1200000000000001</v>
      </c>
      <c r="G9795" t="s">
        <v>12</v>
      </c>
      <c r="I9795" t="s">
        <v>230</v>
      </c>
    </row>
    <row r="9796" spans="1:9" hidden="1" x14ac:dyDescent="0.25">
      <c r="A9796" t="s">
        <v>8213</v>
      </c>
      <c r="B9796" t="s">
        <v>90</v>
      </c>
      <c r="C9796" s="2">
        <f>HYPERLINK("https://cao.dolgi.msk.ru/account/1080086856/", 1080086856)</f>
        <v>1080086856</v>
      </c>
      <c r="D9796" t="s">
        <v>8245</v>
      </c>
      <c r="E9796">
        <v>-5855.76</v>
      </c>
      <c r="F9796">
        <v>-0.99</v>
      </c>
      <c r="G9796" t="s">
        <v>12</v>
      </c>
      <c r="I9796" t="s">
        <v>230</v>
      </c>
    </row>
    <row r="9797" spans="1:9" hidden="1" x14ac:dyDescent="0.25">
      <c r="A9797" t="s">
        <v>8213</v>
      </c>
      <c r="B9797" t="s">
        <v>92</v>
      </c>
      <c r="C9797" s="2">
        <f>HYPERLINK("https://cao.dolgi.msk.ru/account/1080086864/", 1080086864)</f>
        <v>1080086864</v>
      </c>
      <c r="D9797" t="s">
        <v>8246</v>
      </c>
      <c r="E9797">
        <v>-5743.3</v>
      </c>
      <c r="F9797">
        <v>-1.18</v>
      </c>
      <c r="G9797" t="s">
        <v>12</v>
      </c>
      <c r="I9797" t="s">
        <v>230</v>
      </c>
    </row>
    <row r="9798" spans="1:9" hidden="1" x14ac:dyDescent="0.25">
      <c r="A9798" t="s">
        <v>8213</v>
      </c>
      <c r="B9798" t="s">
        <v>94</v>
      </c>
      <c r="C9798" s="2">
        <f>HYPERLINK("https://cao.dolgi.msk.ru/account/1080086872/", 1080086872)</f>
        <v>1080086872</v>
      </c>
      <c r="D9798" t="s">
        <v>8247</v>
      </c>
      <c r="E9798">
        <v>-13014.93</v>
      </c>
      <c r="F9798">
        <v>-1.48</v>
      </c>
      <c r="G9798" t="s">
        <v>12</v>
      </c>
      <c r="I9798" t="s">
        <v>230</v>
      </c>
    </row>
    <row r="9799" spans="1:9" hidden="1" x14ac:dyDescent="0.25">
      <c r="A9799" t="s">
        <v>8213</v>
      </c>
      <c r="B9799" t="s">
        <v>96</v>
      </c>
      <c r="C9799" s="2">
        <f>HYPERLINK("https://cao.dolgi.msk.ru/account/1080086899/", 1080086899)</f>
        <v>1080086899</v>
      </c>
      <c r="D9799" t="s">
        <v>8248</v>
      </c>
      <c r="E9799">
        <v>-5646.82</v>
      </c>
      <c r="F9799">
        <v>-1.4</v>
      </c>
      <c r="G9799" t="s">
        <v>12</v>
      </c>
      <c r="I9799" t="s">
        <v>230</v>
      </c>
    </row>
    <row r="9800" spans="1:9" hidden="1" x14ac:dyDescent="0.25">
      <c r="A9800" t="s">
        <v>8213</v>
      </c>
      <c r="B9800" t="s">
        <v>98</v>
      </c>
      <c r="C9800" s="2">
        <f>HYPERLINK("https://cao.dolgi.msk.ru/account/1080086901/", 1080086901)</f>
        <v>1080086901</v>
      </c>
      <c r="D9800" t="s">
        <v>8249</v>
      </c>
      <c r="E9800">
        <v>-5939.41</v>
      </c>
      <c r="F9800">
        <v>-1.25</v>
      </c>
      <c r="G9800" t="s">
        <v>12</v>
      </c>
      <c r="I9800" t="s">
        <v>230</v>
      </c>
    </row>
    <row r="9801" spans="1:9" hidden="1" x14ac:dyDescent="0.25">
      <c r="A9801" t="s">
        <v>8213</v>
      </c>
      <c r="B9801" t="s">
        <v>100</v>
      </c>
      <c r="C9801" s="2">
        <f>HYPERLINK("https://cao.dolgi.msk.ru/account/1080086928/", 1080086928)</f>
        <v>1080086928</v>
      </c>
      <c r="D9801" t="s">
        <v>8250</v>
      </c>
      <c r="E9801">
        <v>-12265.94</v>
      </c>
      <c r="F9801">
        <v>-2.2599999999999998</v>
      </c>
      <c r="G9801" t="s">
        <v>12</v>
      </c>
      <c r="I9801" t="s">
        <v>230</v>
      </c>
    </row>
    <row r="9802" spans="1:9" hidden="1" x14ac:dyDescent="0.25">
      <c r="A9802" t="s">
        <v>8213</v>
      </c>
      <c r="B9802" t="s">
        <v>102</v>
      </c>
      <c r="C9802" s="2">
        <f>HYPERLINK("https://cao.dolgi.msk.ru/account/1080086936/", 1080086936)</f>
        <v>1080086936</v>
      </c>
      <c r="D9802" t="s">
        <v>8251</v>
      </c>
      <c r="E9802">
        <v>-7982.68</v>
      </c>
      <c r="F9802">
        <v>-0.78</v>
      </c>
      <c r="G9802" t="s">
        <v>12</v>
      </c>
      <c r="I9802" t="s">
        <v>230</v>
      </c>
    </row>
    <row r="9803" spans="1:9" hidden="1" x14ac:dyDescent="0.25">
      <c r="A9803" t="s">
        <v>8213</v>
      </c>
      <c r="B9803" t="s">
        <v>104</v>
      </c>
      <c r="C9803" s="2">
        <f>HYPERLINK("https://cao.dolgi.msk.ru/account/1080086944/", 1080086944)</f>
        <v>1080086944</v>
      </c>
      <c r="D9803" t="s">
        <v>8252</v>
      </c>
      <c r="E9803">
        <v>-5970.31</v>
      </c>
      <c r="F9803">
        <v>-1.07</v>
      </c>
      <c r="G9803" t="s">
        <v>12</v>
      </c>
      <c r="I9803" t="s">
        <v>230</v>
      </c>
    </row>
    <row r="9804" spans="1:9" hidden="1" x14ac:dyDescent="0.25">
      <c r="A9804" t="s">
        <v>8253</v>
      </c>
      <c r="B9804" t="s">
        <v>942</v>
      </c>
      <c r="C9804" s="2">
        <f>HYPERLINK("https://cao.dolgi.msk.ru/account/1080105367/", 1080105367)</f>
        <v>1080105367</v>
      </c>
      <c r="D9804" t="s">
        <v>15</v>
      </c>
      <c r="G9804" t="s">
        <v>14</v>
      </c>
      <c r="I9804" t="s">
        <v>230</v>
      </c>
    </row>
    <row r="9805" spans="1:9" hidden="1" x14ac:dyDescent="0.25">
      <c r="A9805" t="s">
        <v>8253</v>
      </c>
      <c r="B9805" t="s">
        <v>10</v>
      </c>
      <c r="C9805" s="2">
        <f>HYPERLINK("https://cao.dolgi.msk.ru/account/1080105295/", 1080105295)</f>
        <v>1080105295</v>
      </c>
      <c r="D9805" t="s">
        <v>8254</v>
      </c>
      <c r="E9805">
        <v>-11109.04</v>
      </c>
      <c r="F9805">
        <v>-1.1200000000000001</v>
      </c>
      <c r="G9805" t="s">
        <v>12</v>
      </c>
      <c r="I9805" t="s">
        <v>230</v>
      </c>
    </row>
    <row r="9806" spans="1:9" hidden="1" x14ac:dyDescent="0.25">
      <c r="A9806" t="s">
        <v>8253</v>
      </c>
      <c r="B9806" t="s">
        <v>18</v>
      </c>
      <c r="C9806" s="2">
        <f>HYPERLINK("https://cao.dolgi.msk.ru/account/1080105316/", 1080105316)</f>
        <v>1080105316</v>
      </c>
      <c r="D9806" t="s">
        <v>8255</v>
      </c>
      <c r="E9806">
        <v>-4844.88</v>
      </c>
      <c r="F9806">
        <v>-1.08</v>
      </c>
      <c r="G9806" t="s">
        <v>12</v>
      </c>
      <c r="I9806" t="s">
        <v>230</v>
      </c>
    </row>
    <row r="9807" spans="1:9" hidden="1" x14ac:dyDescent="0.25">
      <c r="A9807" t="s">
        <v>8253</v>
      </c>
      <c r="B9807" t="s">
        <v>20</v>
      </c>
      <c r="C9807" s="2">
        <f>HYPERLINK("https://cao.dolgi.msk.ru/account/1080105324/", 1080105324)</f>
        <v>1080105324</v>
      </c>
      <c r="D9807" t="s">
        <v>8256</v>
      </c>
      <c r="E9807">
        <v>-18189.349999999999</v>
      </c>
      <c r="F9807">
        <v>-2.2200000000000002</v>
      </c>
      <c r="G9807" t="s">
        <v>12</v>
      </c>
      <c r="I9807" t="s">
        <v>230</v>
      </c>
    </row>
    <row r="9808" spans="1:9" hidden="1" x14ac:dyDescent="0.25">
      <c r="A9808" t="s">
        <v>8253</v>
      </c>
      <c r="B9808" t="s">
        <v>8257</v>
      </c>
      <c r="C9808" s="2">
        <f>HYPERLINK("https://cao.dolgi.msk.ru/account/1080105332/", 1080105332)</f>
        <v>1080105332</v>
      </c>
      <c r="D9808" t="s">
        <v>8258</v>
      </c>
      <c r="E9808">
        <v>-2.83</v>
      </c>
      <c r="F9808">
        <v>0</v>
      </c>
      <c r="G9808" t="s">
        <v>12</v>
      </c>
      <c r="I9808" t="s">
        <v>230</v>
      </c>
    </row>
    <row r="9809" spans="1:9" hidden="1" x14ac:dyDescent="0.25">
      <c r="A9809" t="s">
        <v>8253</v>
      </c>
      <c r="B9809" t="s">
        <v>22</v>
      </c>
      <c r="C9809" s="2">
        <f>HYPERLINK("https://cao.dolgi.msk.ru/account/1080105359/", 1080105359)</f>
        <v>1080105359</v>
      </c>
      <c r="D9809" t="s">
        <v>15</v>
      </c>
      <c r="G9809" t="s">
        <v>14</v>
      </c>
      <c r="I9809" t="s">
        <v>230</v>
      </c>
    </row>
    <row r="9810" spans="1:9" hidden="1" x14ac:dyDescent="0.25">
      <c r="A9810" t="s">
        <v>8253</v>
      </c>
      <c r="B9810" t="s">
        <v>23</v>
      </c>
      <c r="C9810" s="2">
        <f>HYPERLINK("https://cao.dolgi.msk.ru/account/1080105375/", 1080105375)</f>
        <v>1080105375</v>
      </c>
      <c r="D9810" t="s">
        <v>8259</v>
      </c>
      <c r="E9810">
        <v>0</v>
      </c>
      <c r="F9810">
        <v>0</v>
      </c>
      <c r="G9810" t="s">
        <v>12</v>
      </c>
      <c r="I9810" t="s">
        <v>230</v>
      </c>
    </row>
    <row r="9811" spans="1:9" hidden="1" x14ac:dyDescent="0.25">
      <c r="A9811" t="s">
        <v>8253</v>
      </c>
      <c r="B9811" t="s">
        <v>251</v>
      </c>
      <c r="C9811" s="2">
        <f>HYPERLINK("https://cao.dolgi.msk.ru/account/1080105893/", 1080105893)</f>
        <v>1080105893</v>
      </c>
      <c r="D9811" t="s">
        <v>15</v>
      </c>
      <c r="E9811">
        <v>-1572.39</v>
      </c>
      <c r="G9811" t="s">
        <v>14</v>
      </c>
      <c r="I9811" t="s">
        <v>230</v>
      </c>
    </row>
    <row r="9812" spans="1:9" hidden="1" x14ac:dyDescent="0.25">
      <c r="A9812" t="s">
        <v>8253</v>
      </c>
      <c r="B9812" t="s">
        <v>27</v>
      </c>
      <c r="C9812" s="2">
        <f>HYPERLINK("https://cao.dolgi.msk.ru/account/1080105383/", 1080105383)</f>
        <v>1080105383</v>
      </c>
      <c r="D9812" t="s">
        <v>8260</v>
      </c>
      <c r="E9812">
        <v>-4416.51</v>
      </c>
      <c r="F9812">
        <v>-1.1599999999999999</v>
      </c>
      <c r="G9812" t="s">
        <v>12</v>
      </c>
      <c r="I9812" t="s">
        <v>230</v>
      </c>
    </row>
    <row r="9813" spans="1:9" hidden="1" x14ac:dyDescent="0.25">
      <c r="A9813" t="s">
        <v>8253</v>
      </c>
      <c r="B9813" t="s">
        <v>29</v>
      </c>
      <c r="C9813" s="2">
        <f>HYPERLINK("https://cao.dolgi.msk.ru/account/1080105391/", 1080105391)</f>
        <v>1080105391</v>
      </c>
      <c r="D9813" t="s">
        <v>8261</v>
      </c>
      <c r="E9813">
        <v>-13640.53</v>
      </c>
      <c r="F9813">
        <v>-1.07</v>
      </c>
      <c r="G9813" t="s">
        <v>12</v>
      </c>
      <c r="I9813" t="s">
        <v>230</v>
      </c>
    </row>
    <row r="9814" spans="1:9" hidden="1" x14ac:dyDescent="0.25">
      <c r="A9814" t="s">
        <v>8253</v>
      </c>
      <c r="B9814" t="s">
        <v>31</v>
      </c>
      <c r="C9814" s="2">
        <f>HYPERLINK("https://cao.dolgi.msk.ru/account/1080105404/", 1080105404)</f>
        <v>1080105404</v>
      </c>
      <c r="D9814" t="s">
        <v>8262</v>
      </c>
      <c r="E9814">
        <v>7759.97</v>
      </c>
      <c r="F9814">
        <v>0.96</v>
      </c>
      <c r="G9814" t="s">
        <v>12</v>
      </c>
      <c r="I9814" t="s">
        <v>230</v>
      </c>
    </row>
    <row r="9815" spans="1:9" hidden="1" x14ac:dyDescent="0.25">
      <c r="A9815" t="s">
        <v>8253</v>
      </c>
      <c r="B9815" t="s">
        <v>33</v>
      </c>
      <c r="C9815" s="2">
        <f>HYPERLINK("https://cao.dolgi.msk.ru/account/1080105412/", 1080105412)</f>
        <v>1080105412</v>
      </c>
      <c r="D9815" t="s">
        <v>8263</v>
      </c>
      <c r="E9815">
        <v>-9140.33</v>
      </c>
      <c r="F9815">
        <v>-1.1000000000000001</v>
      </c>
      <c r="G9815" t="s">
        <v>12</v>
      </c>
      <c r="I9815" t="s">
        <v>230</v>
      </c>
    </row>
    <row r="9816" spans="1:9" hidden="1" x14ac:dyDescent="0.25">
      <c r="A9816" t="s">
        <v>8253</v>
      </c>
      <c r="B9816" t="s">
        <v>34</v>
      </c>
      <c r="C9816" s="2">
        <f>HYPERLINK("https://cao.dolgi.msk.ru/account/1080105439/", 1080105439)</f>
        <v>1080105439</v>
      </c>
      <c r="D9816" t="s">
        <v>8264</v>
      </c>
      <c r="E9816">
        <v>-7275.94</v>
      </c>
      <c r="F9816">
        <v>-1.45</v>
      </c>
      <c r="G9816" t="s">
        <v>12</v>
      </c>
      <c r="I9816" t="s">
        <v>230</v>
      </c>
    </row>
    <row r="9817" spans="1:9" hidden="1" x14ac:dyDescent="0.25">
      <c r="A9817" t="s">
        <v>8253</v>
      </c>
      <c r="B9817" t="s">
        <v>36</v>
      </c>
      <c r="C9817" s="2">
        <f>HYPERLINK("https://cao.dolgi.msk.ru/account/1080105447/", 1080105447)</f>
        <v>1080105447</v>
      </c>
      <c r="D9817" t="s">
        <v>62</v>
      </c>
      <c r="E9817">
        <v>-5827.25</v>
      </c>
      <c r="F9817">
        <v>-1.1299999999999999</v>
      </c>
      <c r="G9817" t="s">
        <v>12</v>
      </c>
      <c r="I9817" t="s">
        <v>230</v>
      </c>
    </row>
    <row r="9818" spans="1:9" hidden="1" x14ac:dyDescent="0.25">
      <c r="A9818" t="s">
        <v>8253</v>
      </c>
      <c r="B9818" t="s">
        <v>891</v>
      </c>
      <c r="C9818" s="2">
        <f>HYPERLINK("https://cao.dolgi.msk.ru/account/1080105455/", 1080105455)</f>
        <v>1080105455</v>
      </c>
      <c r="D9818" t="s">
        <v>8265</v>
      </c>
      <c r="E9818">
        <v>-18251.7</v>
      </c>
      <c r="F9818">
        <v>-1.1200000000000001</v>
      </c>
      <c r="G9818" t="s">
        <v>12</v>
      </c>
      <c r="I9818" t="s">
        <v>230</v>
      </c>
    </row>
    <row r="9819" spans="1:9" hidden="1" x14ac:dyDescent="0.25">
      <c r="A9819" t="s">
        <v>8253</v>
      </c>
      <c r="B9819" t="s">
        <v>40</v>
      </c>
      <c r="C9819" s="2">
        <f>HYPERLINK("https://cao.dolgi.msk.ru/account/1080105463/", 1080105463)</f>
        <v>1080105463</v>
      </c>
      <c r="D9819" t="s">
        <v>62</v>
      </c>
      <c r="E9819">
        <v>-5227.7</v>
      </c>
      <c r="F9819">
        <v>-1.08</v>
      </c>
      <c r="G9819" t="s">
        <v>12</v>
      </c>
      <c r="I9819" t="s">
        <v>230</v>
      </c>
    </row>
    <row r="9820" spans="1:9" hidden="1" x14ac:dyDescent="0.25">
      <c r="A9820" t="s">
        <v>8253</v>
      </c>
      <c r="B9820" t="s">
        <v>41</v>
      </c>
      <c r="C9820" s="2">
        <f>HYPERLINK("https://cao.dolgi.msk.ru/account/1080105471/", 1080105471)</f>
        <v>1080105471</v>
      </c>
      <c r="D9820" t="s">
        <v>8266</v>
      </c>
      <c r="E9820">
        <v>-5576.12</v>
      </c>
      <c r="F9820">
        <v>-1.0900000000000001</v>
      </c>
      <c r="G9820" t="s">
        <v>12</v>
      </c>
      <c r="I9820" t="s">
        <v>230</v>
      </c>
    </row>
    <row r="9821" spans="1:9" hidden="1" x14ac:dyDescent="0.25">
      <c r="A9821" t="s">
        <v>8253</v>
      </c>
      <c r="B9821" t="s">
        <v>42</v>
      </c>
      <c r="C9821" s="2">
        <f>HYPERLINK("https://cao.dolgi.msk.ru/account/1080105498/", 1080105498)</f>
        <v>1080105498</v>
      </c>
      <c r="D9821" t="s">
        <v>8267</v>
      </c>
      <c r="E9821">
        <v>0</v>
      </c>
      <c r="F9821">
        <v>0</v>
      </c>
      <c r="G9821" t="s">
        <v>12</v>
      </c>
      <c r="I9821" t="s">
        <v>230</v>
      </c>
    </row>
    <row r="9822" spans="1:9" hidden="1" x14ac:dyDescent="0.25">
      <c r="A9822" t="s">
        <v>8253</v>
      </c>
      <c r="B9822" t="s">
        <v>44</v>
      </c>
      <c r="C9822" s="2">
        <f>HYPERLINK("https://cao.dolgi.msk.ru/account/1080105519/", 1080105519)</f>
        <v>1080105519</v>
      </c>
      <c r="D9822" t="s">
        <v>8268</v>
      </c>
      <c r="E9822">
        <v>-8352.76</v>
      </c>
      <c r="F9822">
        <v>-1.0900000000000001</v>
      </c>
      <c r="G9822" t="s">
        <v>12</v>
      </c>
      <c r="I9822" t="s">
        <v>230</v>
      </c>
    </row>
    <row r="9823" spans="1:9" hidden="1" x14ac:dyDescent="0.25">
      <c r="A9823" t="s">
        <v>8253</v>
      </c>
      <c r="B9823" t="s">
        <v>44</v>
      </c>
      <c r="C9823" s="2">
        <f>HYPERLINK("https://cao.dolgi.msk.ru/account/1083271483/", 1083271483)</f>
        <v>1083271483</v>
      </c>
      <c r="D9823" t="s">
        <v>8269</v>
      </c>
      <c r="E9823">
        <v>-3608.32</v>
      </c>
      <c r="F9823">
        <v>-2.1800000000000002</v>
      </c>
      <c r="G9823" t="s">
        <v>12</v>
      </c>
      <c r="I9823" t="s">
        <v>230</v>
      </c>
    </row>
    <row r="9824" spans="1:9" hidden="1" x14ac:dyDescent="0.25">
      <c r="A9824" t="s">
        <v>8253</v>
      </c>
      <c r="B9824" t="s">
        <v>66</v>
      </c>
      <c r="C9824" s="2">
        <f>HYPERLINK("https://cao.dolgi.msk.ru/account/1080105527/", 1080105527)</f>
        <v>1080105527</v>
      </c>
      <c r="D9824" t="s">
        <v>8270</v>
      </c>
      <c r="E9824">
        <v>-73</v>
      </c>
      <c r="F9824">
        <v>-0.02</v>
      </c>
      <c r="G9824" t="s">
        <v>12</v>
      </c>
      <c r="I9824" t="s">
        <v>230</v>
      </c>
    </row>
    <row r="9825" spans="1:9" hidden="1" x14ac:dyDescent="0.25">
      <c r="A9825" t="s">
        <v>8253</v>
      </c>
      <c r="B9825" t="s">
        <v>68</v>
      </c>
      <c r="C9825" s="2">
        <f>HYPERLINK("https://cao.dolgi.msk.ru/account/1080105535/", 1080105535)</f>
        <v>1080105535</v>
      </c>
      <c r="D9825" t="s">
        <v>8271</v>
      </c>
      <c r="E9825">
        <v>-8204.64</v>
      </c>
      <c r="F9825">
        <v>-1.0900000000000001</v>
      </c>
      <c r="G9825" t="s">
        <v>12</v>
      </c>
      <c r="I9825" t="s">
        <v>230</v>
      </c>
    </row>
    <row r="9826" spans="1:9" hidden="1" x14ac:dyDescent="0.25">
      <c r="A9826" t="s">
        <v>8253</v>
      </c>
      <c r="B9826" t="s">
        <v>70</v>
      </c>
      <c r="C9826" s="2">
        <f>HYPERLINK("https://cao.dolgi.msk.ru/account/1080105543/", 1080105543)</f>
        <v>1080105543</v>
      </c>
      <c r="D9826" t="s">
        <v>8272</v>
      </c>
      <c r="E9826">
        <v>-4561.3500000000004</v>
      </c>
      <c r="F9826">
        <v>-1.1399999999999999</v>
      </c>
      <c r="G9826" t="s">
        <v>12</v>
      </c>
      <c r="I9826" t="s">
        <v>230</v>
      </c>
    </row>
    <row r="9827" spans="1:9" hidden="1" x14ac:dyDescent="0.25">
      <c r="A9827" t="s">
        <v>8253</v>
      </c>
      <c r="B9827" t="s">
        <v>72</v>
      </c>
      <c r="C9827" s="2">
        <f>HYPERLINK("https://cao.dolgi.msk.ru/account/1080105551/", 1080105551)</f>
        <v>1080105551</v>
      </c>
      <c r="D9827" t="s">
        <v>8273</v>
      </c>
      <c r="E9827">
        <v>-14177.89</v>
      </c>
      <c r="F9827">
        <v>-1.07</v>
      </c>
      <c r="G9827" t="s">
        <v>12</v>
      </c>
      <c r="I9827" t="s">
        <v>230</v>
      </c>
    </row>
    <row r="9828" spans="1:9" hidden="1" x14ac:dyDescent="0.25">
      <c r="A9828" t="s">
        <v>8253</v>
      </c>
      <c r="B9828" t="s">
        <v>74</v>
      </c>
      <c r="C9828" s="2">
        <f>HYPERLINK("https://cao.dolgi.msk.ru/account/1080105578/", 1080105578)</f>
        <v>1080105578</v>
      </c>
      <c r="D9828" t="s">
        <v>8274</v>
      </c>
      <c r="E9828">
        <v>47.43</v>
      </c>
      <c r="F9828">
        <v>0</v>
      </c>
      <c r="G9828" t="s">
        <v>12</v>
      </c>
      <c r="I9828" t="s">
        <v>230</v>
      </c>
    </row>
    <row r="9829" spans="1:9" hidden="1" x14ac:dyDescent="0.25">
      <c r="A9829" t="s">
        <v>8253</v>
      </c>
      <c r="B9829" t="s">
        <v>76</v>
      </c>
      <c r="C9829" s="2">
        <f>HYPERLINK("https://cao.dolgi.msk.ru/account/1080105586/", 1080105586)</f>
        <v>1080105586</v>
      </c>
      <c r="D9829" t="s">
        <v>8275</v>
      </c>
      <c r="E9829">
        <v>-11259.38</v>
      </c>
      <c r="F9829">
        <v>-1.08</v>
      </c>
      <c r="G9829" t="s">
        <v>12</v>
      </c>
      <c r="I9829" t="s">
        <v>230</v>
      </c>
    </row>
    <row r="9830" spans="1:9" hidden="1" x14ac:dyDescent="0.25">
      <c r="A9830" t="s">
        <v>8253</v>
      </c>
      <c r="B9830" t="s">
        <v>78</v>
      </c>
      <c r="C9830" s="2">
        <f>HYPERLINK("https://cao.dolgi.msk.ru/account/1080105594/", 1080105594)</f>
        <v>1080105594</v>
      </c>
      <c r="D9830" t="s">
        <v>8275</v>
      </c>
      <c r="E9830">
        <v>0</v>
      </c>
      <c r="F9830">
        <v>0</v>
      </c>
      <c r="G9830" t="s">
        <v>12</v>
      </c>
      <c r="I9830" t="s">
        <v>230</v>
      </c>
    </row>
    <row r="9831" spans="1:9" hidden="1" x14ac:dyDescent="0.25">
      <c r="A9831" t="s">
        <v>8253</v>
      </c>
      <c r="B9831" t="s">
        <v>80</v>
      </c>
      <c r="C9831" s="2">
        <f>HYPERLINK("https://cao.dolgi.msk.ru/account/1080105607/", 1080105607)</f>
        <v>1080105607</v>
      </c>
      <c r="D9831" t="s">
        <v>8276</v>
      </c>
      <c r="E9831">
        <v>-15454.68</v>
      </c>
      <c r="F9831">
        <v>-1.0900000000000001</v>
      </c>
      <c r="G9831" t="s">
        <v>12</v>
      </c>
      <c r="I9831" t="s">
        <v>230</v>
      </c>
    </row>
    <row r="9832" spans="1:9" hidden="1" x14ac:dyDescent="0.25">
      <c r="A9832" t="s">
        <v>8253</v>
      </c>
      <c r="B9832" t="s">
        <v>82</v>
      </c>
      <c r="C9832" s="2">
        <f>HYPERLINK("https://cao.dolgi.msk.ru/account/1080105615/", 1080105615)</f>
        <v>1080105615</v>
      </c>
      <c r="D9832" t="s">
        <v>8277</v>
      </c>
      <c r="E9832">
        <v>-8576.27</v>
      </c>
      <c r="F9832">
        <v>-1.08</v>
      </c>
      <c r="G9832" t="s">
        <v>12</v>
      </c>
      <c r="I9832" t="s">
        <v>230</v>
      </c>
    </row>
    <row r="9833" spans="1:9" hidden="1" x14ac:dyDescent="0.25">
      <c r="A9833" t="s">
        <v>8253</v>
      </c>
      <c r="B9833" t="s">
        <v>84</v>
      </c>
      <c r="C9833" s="2">
        <f>HYPERLINK("https://cao.dolgi.msk.ru/account/1080105623/", 1080105623)</f>
        <v>1080105623</v>
      </c>
      <c r="D9833" t="s">
        <v>15</v>
      </c>
      <c r="G9833" t="s">
        <v>14</v>
      </c>
      <c r="I9833" t="s">
        <v>230</v>
      </c>
    </row>
    <row r="9834" spans="1:9" hidden="1" x14ac:dyDescent="0.25">
      <c r="A9834" t="s">
        <v>8253</v>
      </c>
      <c r="B9834" t="s">
        <v>84</v>
      </c>
      <c r="C9834" s="2">
        <f>HYPERLINK("https://cao.dolgi.msk.ru/account/1080319859/", 1080319859)</f>
        <v>1080319859</v>
      </c>
      <c r="D9834" t="s">
        <v>8278</v>
      </c>
      <c r="E9834">
        <v>-9727.73</v>
      </c>
      <c r="F9834">
        <v>-2.1</v>
      </c>
      <c r="G9834" t="s">
        <v>12</v>
      </c>
      <c r="I9834" t="s">
        <v>230</v>
      </c>
    </row>
    <row r="9835" spans="1:9" hidden="1" x14ac:dyDescent="0.25">
      <c r="A9835" t="s">
        <v>8253</v>
      </c>
      <c r="B9835" t="s">
        <v>86</v>
      </c>
      <c r="C9835" s="2">
        <f>HYPERLINK("https://cao.dolgi.msk.ru/account/1080105631/", 1080105631)</f>
        <v>1080105631</v>
      </c>
      <c r="D9835" t="s">
        <v>8279</v>
      </c>
      <c r="E9835">
        <v>-11884.26</v>
      </c>
      <c r="F9835">
        <v>-1.1000000000000001</v>
      </c>
      <c r="G9835" t="s">
        <v>12</v>
      </c>
      <c r="I9835" t="s">
        <v>230</v>
      </c>
    </row>
    <row r="9836" spans="1:9" hidden="1" x14ac:dyDescent="0.25">
      <c r="A9836" t="s">
        <v>8253</v>
      </c>
      <c r="B9836" t="s">
        <v>88</v>
      </c>
      <c r="C9836" s="2">
        <f>HYPERLINK("https://cao.dolgi.msk.ru/account/1080105658/", 1080105658)</f>
        <v>1080105658</v>
      </c>
      <c r="D9836" t="s">
        <v>8280</v>
      </c>
      <c r="E9836">
        <v>-10635.98</v>
      </c>
      <c r="F9836">
        <v>-1.1499999999999999</v>
      </c>
      <c r="G9836" t="s">
        <v>12</v>
      </c>
      <c r="I9836" t="s">
        <v>230</v>
      </c>
    </row>
    <row r="9837" spans="1:9" hidden="1" x14ac:dyDescent="0.25">
      <c r="A9837" t="s">
        <v>8253</v>
      </c>
      <c r="B9837" t="s">
        <v>90</v>
      </c>
      <c r="C9837" s="2">
        <f>HYPERLINK("https://cao.dolgi.msk.ru/account/1080105666/", 1080105666)</f>
        <v>1080105666</v>
      </c>
      <c r="D9837" t="s">
        <v>8281</v>
      </c>
      <c r="E9837">
        <v>-738.46</v>
      </c>
      <c r="F9837">
        <v>-0.1</v>
      </c>
      <c r="G9837" t="s">
        <v>12</v>
      </c>
      <c r="I9837" t="s">
        <v>230</v>
      </c>
    </row>
    <row r="9838" spans="1:9" hidden="1" x14ac:dyDescent="0.25">
      <c r="A9838" t="s">
        <v>8253</v>
      </c>
      <c r="B9838" t="s">
        <v>8282</v>
      </c>
      <c r="C9838" s="2">
        <f>HYPERLINK("https://cao.dolgi.msk.ru/account/1080105674/", 1080105674)</f>
        <v>1080105674</v>
      </c>
      <c r="D9838" t="s">
        <v>8283</v>
      </c>
      <c r="E9838">
        <v>-9829.09</v>
      </c>
      <c r="F9838">
        <v>-1.1000000000000001</v>
      </c>
      <c r="G9838" t="s">
        <v>12</v>
      </c>
      <c r="I9838" t="s">
        <v>230</v>
      </c>
    </row>
    <row r="9839" spans="1:9" hidden="1" x14ac:dyDescent="0.25">
      <c r="A9839" t="s">
        <v>8253</v>
      </c>
      <c r="B9839" t="s">
        <v>96</v>
      </c>
      <c r="C9839" s="2">
        <f>HYPERLINK("https://cao.dolgi.msk.ru/account/1080105682/", 1080105682)</f>
        <v>1080105682</v>
      </c>
      <c r="D9839" t="s">
        <v>8284</v>
      </c>
      <c r="E9839">
        <v>-236.01</v>
      </c>
      <c r="F9839">
        <v>-0.03</v>
      </c>
      <c r="G9839" t="s">
        <v>12</v>
      </c>
      <c r="I9839" t="s">
        <v>230</v>
      </c>
    </row>
    <row r="9840" spans="1:9" hidden="1" x14ac:dyDescent="0.25">
      <c r="A9840" t="s">
        <v>8253</v>
      </c>
      <c r="B9840" t="s">
        <v>98</v>
      </c>
      <c r="C9840" s="2">
        <f>HYPERLINK("https://cao.dolgi.msk.ru/account/1080105703/", 1080105703)</f>
        <v>1080105703</v>
      </c>
      <c r="D9840" t="s">
        <v>8285</v>
      </c>
      <c r="E9840">
        <v>791.78</v>
      </c>
      <c r="F9840">
        <v>0.18</v>
      </c>
      <c r="G9840" t="s">
        <v>12</v>
      </c>
      <c r="I9840" t="s">
        <v>230</v>
      </c>
    </row>
    <row r="9841" spans="1:9" hidden="1" x14ac:dyDescent="0.25">
      <c r="A9841" t="s">
        <v>8253</v>
      </c>
      <c r="B9841" t="s">
        <v>100</v>
      </c>
      <c r="C9841" s="2">
        <f>HYPERLINK("https://cao.dolgi.msk.ru/account/1080105711/", 1080105711)</f>
        <v>1080105711</v>
      </c>
      <c r="D9841" t="s">
        <v>8286</v>
      </c>
      <c r="E9841">
        <v>-9644.11</v>
      </c>
      <c r="F9841">
        <v>-1.1100000000000001</v>
      </c>
      <c r="G9841" t="s">
        <v>12</v>
      </c>
      <c r="I9841" t="s">
        <v>230</v>
      </c>
    </row>
    <row r="9842" spans="1:9" hidden="1" x14ac:dyDescent="0.25">
      <c r="A9842" t="s">
        <v>8253</v>
      </c>
      <c r="B9842" t="s">
        <v>102</v>
      </c>
      <c r="C9842" s="2">
        <f>HYPERLINK("https://cao.dolgi.msk.ru/account/1080105738/", 1080105738)</f>
        <v>1080105738</v>
      </c>
      <c r="D9842" t="s">
        <v>8287</v>
      </c>
      <c r="E9842">
        <v>0</v>
      </c>
      <c r="F9842">
        <v>0</v>
      </c>
      <c r="G9842" t="s">
        <v>12</v>
      </c>
      <c r="I9842" t="s">
        <v>230</v>
      </c>
    </row>
    <row r="9843" spans="1:9" hidden="1" x14ac:dyDescent="0.25">
      <c r="A9843" t="s">
        <v>8253</v>
      </c>
      <c r="B9843" t="s">
        <v>8288</v>
      </c>
      <c r="C9843" s="2">
        <f>HYPERLINK("https://cao.dolgi.msk.ru/account/1080105746/", 1080105746)</f>
        <v>1080105746</v>
      </c>
      <c r="D9843" t="s">
        <v>8289</v>
      </c>
      <c r="E9843">
        <v>-5490.9</v>
      </c>
      <c r="F9843">
        <v>-0.39</v>
      </c>
      <c r="G9843" t="s">
        <v>12</v>
      </c>
      <c r="I9843" t="s">
        <v>230</v>
      </c>
    </row>
    <row r="9844" spans="1:9" hidden="1" x14ac:dyDescent="0.25">
      <c r="A9844" t="s">
        <v>8253</v>
      </c>
      <c r="B9844" t="s">
        <v>106</v>
      </c>
      <c r="C9844" s="2">
        <f>HYPERLINK("https://cao.dolgi.msk.ru/account/1080105754/", 1080105754)</f>
        <v>1080105754</v>
      </c>
      <c r="D9844" t="s">
        <v>8290</v>
      </c>
      <c r="E9844">
        <v>0</v>
      </c>
      <c r="G9844" t="s">
        <v>14</v>
      </c>
      <c r="I9844" t="s">
        <v>230</v>
      </c>
    </row>
    <row r="9845" spans="1:9" hidden="1" x14ac:dyDescent="0.25">
      <c r="A9845" t="s">
        <v>8253</v>
      </c>
      <c r="B9845" t="s">
        <v>108</v>
      </c>
      <c r="C9845" s="2">
        <f>HYPERLINK("https://cao.dolgi.msk.ru/account/1080105762/", 1080105762)</f>
        <v>1080105762</v>
      </c>
      <c r="D9845" t="s">
        <v>8291</v>
      </c>
      <c r="E9845">
        <v>0</v>
      </c>
      <c r="F9845">
        <v>0</v>
      </c>
      <c r="G9845" t="s">
        <v>12</v>
      </c>
      <c r="I9845" t="s">
        <v>230</v>
      </c>
    </row>
    <row r="9846" spans="1:9" hidden="1" x14ac:dyDescent="0.25">
      <c r="A9846" t="s">
        <v>8253</v>
      </c>
      <c r="B9846" t="s">
        <v>110</v>
      </c>
      <c r="C9846" s="2">
        <f>HYPERLINK("https://cao.dolgi.msk.ru/account/1080105789/", 1080105789)</f>
        <v>1080105789</v>
      </c>
      <c r="D9846" t="s">
        <v>15</v>
      </c>
      <c r="E9846">
        <v>0</v>
      </c>
      <c r="G9846" t="s">
        <v>14</v>
      </c>
      <c r="I9846" t="s">
        <v>230</v>
      </c>
    </row>
    <row r="9847" spans="1:9" hidden="1" x14ac:dyDescent="0.25">
      <c r="A9847" t="s">
        <v>8253</v>
      </c>
      <c r="B9847" t="s">
        <v>112</v>
      </c>
      <c r="C9847" s="2">
        <f>HYPERLINK("https://cao.dolgi.msk.ru/account/1080105797/", 1080105797)</f>
        <v>1080105797</v>
      </c>
      <c r="D9847" t="s">
        <v>8292</v>
      </c>
      <c r="E9847">
        <v>-11485.57</v>
      </c>
      <c r="F9847">
        <v>-1.0900000000000001</v>
      </c>
      <c r="G9847" t="s">
        <v>12</v>
      </c>
      <c r="I9847" t="s">
        <v>230</v>
      </c>
    </row>
    <row r="9848" spans="1:9" hidden="1" x14ac:dyDescent="0.25">
      <c r="A9848" t="s">
        <v>8253</v>
      </c>
      <c r="B9848" t="s">
        <v>114</v>
      </c>
      <c r="C9848" s="2">
        <f>HYPERLINK("https://cao.dolgi.msk.ru/account/1080105818/", 1080105818)</f>
        <v>1080105818</v>
      </c>
      <c r="D9848" t="s">
        <v>8293</v>
      </c>
      <c r="E9848">
        <v>1015.68</v>
      </c>
      <c r="F9848">
        <v>0.11</v>
      </c>
      <c r="G9848" t="s">
        <v>12</v>
      </c>
      <c r="I9848" t="s">
        <v>230</v>
      </c>
    </row>
    <row r="9849" spans="1:9" hidden="1" x14ac:dyDescent="0.25">
      <c r="A9849" t="s">
        <v>8253</v>
      </c>
      <c r="B9849" t="s">
        <v>8294</v>
      </c>
      <c r="C9849" s="2">
        <f>HYPERLINK("https://cao.dolgi.msk.ru/account/1080105834/", 1080105834)</f>
        <v>1080105834</v>
      </c>
      <c r="D9849" t="s">
        <v>8295</v>
      </c>
      <c r="E9849">
        <v>-29835.69</v>
      </c>
      <c r="F9849">
        <v>-1.39</v>
      </c>
      <c r="G9849" t="s">
        <v>12</v>
      </c>
      <c r="I9849" t="s">
        <v>230</v>
      </c>
    </row>
    <row r="9850" spans="1:9" hidden="1" x14ac:dyDescent="0.25">
      <c r="A9850" t="s">
        <v>8253</v>
      </c>
      <c r="B9850" t="s">
        <v>120</v>
      </c>
      <c r="C9850" s="2">
        <f>HYPERLINK("https://cao.dolgi.msk.ru/account/1080105869/", 1080105869)</f>
        <v>1080105869</v>
      </c>
      <c r="D9850" t="s">
        <v>62</v>
      </c>
      <c r="E9850">
        <v>-10200.719999999999</v>
      </c>
      <c r="F9850">
        <v>-1.0900000000000001</v>
      </c>
      <c r="G9850" t="s">
        <v>12</v>
      </c>
      <c r="I9850" t="s">
        <v>230</v>
      </c>
    </row>
    <row r="9851" spans="1:9" hidden="1" x14ac:dyDescent="0.25">
      <c r="A9851" t="s">
        <v>8253</v>
      </c>
      <c r="B9851" t="s">
        <v>122</v>
      </c>
      <c r="C9851" s="2">
        <f>HYPERLINK("https://cao.dolgi.msk.ru/account/1080105877/", 1080105877)</f>
        <v>1080105877</v>
      </c>
      <c r="D9851" t="s">
        <v>8296</v>
      </c>
      <c r="E9851">
        <v>-7901.94</v>
      </c>
      <c r="F9851">
        <v>-1.1000000000000001</v>
      </c>
      <c r="G9851" t="s">
        <v>12</v>
      </c>
      <c r="I9851" t="s">
        <v>230</v>
      </c>
    </row>
    <row r="9852" spans="1:9" hidden="1" x14ac:dyDescent="0.25">
      <c r="A9852" t="s">
        <v>8253</v>
      </c>
      <c r="B9852" t="s">
        <v>124</v>
      </c>
      <c r="C9852" s="2">
        <f>HYPERLINK("https://cao.dolgi.msk.ru/account/1080105826/", 1080105826)</f>
        <v>1080105826</v>
      </c>
      <c r="D9852" t="s">
        <v>8297</v>
      </c>
      <c r="G9852" t="s">
        <v>14</v>
      </c>
      <c r="I9852" t="s">
        <v>230</v>
      </c>
    </row>
    <row r="9853" spans="1:9" hidden="1" x14ac:dyDescent="0.25">
      <c r="A9853" t="s">
        <v>8253</v>
      </c>
      <c r="B9853" t="s">
        <v>8298</v>
      </c>
      <c r="C9853" s="2">
        <f>HYPERLINK("https://cao.dolgi.msk.ru/account/1080105885/", 1080105885)</f>
        <v>1080105885</v>
      </c>
      <c r="D9853" t="s">
        <v>15</v>
      </c>
      <c r="E9853">
        <v>-38914.82</v>
      </c>
      <c r="F9853">
        <v>-1.1000000000000001</v>
      </c>
      <c r="G9853" t="s">
        <v>12</v>
      </c>
      <c r="I9853" t="s">
        <v>230</v>
      </c>
    </row>
    <row r="9854" spans="1:9" hidden="1" x14ac:dyDescent="0.25">
      <c r="A9854" t="s">
        <v>8299</v>
      </c>
      <c r="B9854" t="s">
        <v>8300</v>
      </c>
      <c r="C9854" s="2">
        <f>HYPERLINK("https://cao.dolgi.msk.ru/account/1083282502/", 1083282502)</f>
        <v>1083282502</v>
      </c>
      <c r="D9854" t="s">
        <v>15</v>
      </c>
      <c r="E9854">
        <v>44.82</v>
      </c>
      <c r="G9854" t="s">
        <v>14</v>
      </c>
      <c r="H9854" t="s">
        <v>7</v>
      </c>
      <c r="I9854" t="s">
        <v>230</v>
      </c>
    </row>
    <row r="9855" spans="1:9" hidden="1" x14ac:dyDescent="0.25">
      <c r="A9855" t="s">
        <v>8299</v>
      </c>
      <c r="B9855" t="s">
        <v>8300</v>
      </c>
      <c r="C9855" s="2">
        <f>HYPERLINK("https://cao.dolgi.msk.ru/account/1083282545/", 1083282545)</f>
        <v>1083282545</v>
      </c>
      <c r="D9855" t="s">
        <v>15</v>
      </c>
      <c r="E9855">
        <v>44.82</v>
      </c>
      <c r="G9855" t="s">
        <v>14</v>
      </c>
      <c r="H9855" t="s">
        <v>7</v>
      </c>
      <c r="I9855" t="s">
        <v>230</v>
      </c>
    </row>
    <row r="9856" spans="1:9" hidden="1" x14ac:dyDescent="0.25">
      <c r="A9856" t="s">
        <v>8299</v>
      </c>
      <c r="B9856" t="s">
        <v>8300</v>
      </c>
      <c r="C9856" s="2">
        <f>HYPERLINK("https://cao.dolgi.msk.ru/account/1083282553/", 1083282553)</f>
        <v>1083282553</v>
      </c>
      <c r="D9856" t="s">
        <v>15</v>
      </c>
      <c r="E9856">
        <v>44.82</v>
      </c>
      <c r="G9856" t="s">
        <v>14</v>
      </c>
      <c r="H9856" t="s">
        <v>7</v>
      </c>
      <c r="I9856" t="s">
        <v>230</v>
      </c>
    </row>
    <row r="9857" spans="1:9" hidden="1" x14ac:dyDescent="0.25">
      <c r="A9857" t="s">
        <v>8299</v>
      </c>
      <c r="B9857" t="s">
        <v>8300</v>
      </c>
      <c r="C9857" s="2">
        <f>HYPERLINK("https://cao.dolgi.msk.ru/account/1083282561/", 1083282561)</f>
        <v>1083282561</v>
      </c>
      <c r="D9857" t="s">
        <v>15</v>
      </c>
      <c r="E9857">
        <v>44.82</v>
      </c>
      <c r="G9857" t="s">
        <v>14</v>
      </c>
      <c r="H9857" t="s">
        <v>7</v>
      </c>
      <c r="I9857" t="s">
        <v>230</v>
      </c>
    </row>
    <row r="9858" spans="1:9" hidden="1" x14ac:dyDescent="0.25">
      <c r="A9858" t="s">
        <v>8299</v>
      </c>
      <c r="B9858" t="s">
        <v>8300</v>
      </c>
      <c r="C9858" s="2">
        <f>HYPERLINK("https://cao.dolgi.msk.ru/account/1083282588/", 1083282588)</f>
        <v>1083282588</v>
      </c>
      <c r="D9858" t="s">
        <v>15</v>
      </c>
      <c r="E9858">
        <v>44.82</v>
      </c>
      <c r="G9858" t="s">
        <v>14</v>
      </c>
      <c r="H9858" t="s">
        <v>7</v>
      </c>
      <c r="I9858" t="s">
        <v>230</v>
      </c>
    </row>
    <row r="9859" spans="1:9" hidden="1" x14ac:dyDescent="0.25">
      <c r="A9859" t="s">
        <v>8299</v>
      </c>
      <c r="B9859" t="s">
        <v>8300</v>
      </c>
      <c r="C9859" s="2">
        <f>HYPERLINK("https://cao.dolgi.msk.ru/account/1083282596/", 1083282596)</f>
        <v>1083282596</v>
      </c>
      <c r="D9859" t="s">
        <v>15</v>
      </c>
      <c r="E9859">
        <v>44.82</v>
      </c>
      <c r="G9859" t="s">
        <v>14</v>
      </c>
      <c r="H9859" t="s">
        <v>7</v>
      </c>
      <c r="I9859" t="s">
        <v>230</v>
      </c>
    </row>
    <row r="9860" spans="1:9" hidden="1" x14ac:dyDescent="0.25">
      <c r="A9860" t="s">
        <v>8299</v>
      </c>
      <c r="B9860" t="s">
        <v>8300</v>
      </c>
      <c r="C9860" s="2">
        <f>HYPERLINK("https://cao.dolgi.msk.ru/account/1083282609/", 1083282609)</f>
        <v>1083282609</v>
      </c>
      <c r="D9860" t="s">
        <v>15</v>
      </c>
      <c r="E9860">
        <v>44.82</v>
      </c>
      <c r="G9860" t="s">
        <v>14</v>
      </c>
      <c r="H9860" t="s">
        <v>7</v>
      </c>
      <c r="I9860" t="s">
        <v>230</v>
      </c>
    </row>
    <row r="9861" spans="1:9" hidden="1" x14ac:dyDescent="0.25">
      <c r="A9861" t="s">
        <v>8299</v>
      </c>
      <c r="B9861" t="s">
        <v>8300</v>
      </c>
      <c r="C9861" s="2">
        <f>HYPERLINK("https://cao.dolgi.msk.ru/account/1083282617/", 1083282617)</f>
        <v>1083282617</v>
      </c>
      <c r="D9861" t="s">
        <v>15</v>
      </c>
      <c r="E9861">
        <v>44.82</v>
      </c>
      <c r="G9861" t="s">
        <v>14</v>
      </c>
      <c r="H9861" t="s">
        <v>7</v>
      </c>
      <c r="I9861" t="s">
        <v>230</v>
      </c>
    </row>
    <row r="9862" spans="1:9" hidden="1" x14ac:dyDescent="0.25">
      <c r="A9862" t="s">
        <v>8299</v>
      </c>
      <c r="B9862" t="s">
        <v>8300</v>
      </c>
      <c r="C9862" s="2">
        <f>HYPERLINK("https://cao.dolgi.msk.ru/account/1083282625/", 1083282625)</f>
        <v>1083282625</v>
      </c>
      <c r="D9862" t="s">
        <v>15</v>
      </c>
      <c r="E9862">
        <v>44.82</v>
      </c>
      <c r="G9862" t="s">
        <v>14</v>
      </c>
      <c r="H9862" t="s">
        <v>7</v>
      </c>
      <c r="I9862" t="s">
        <v>230</v>
      </c>
    </row>
    <row r="9863" spans="1:9" hidden="1" x14ac:dyDescent="0.25">
      <c r="A9863" t="s">
        <v>8299</v>
      </c>
      <c r="B9863" t="s">
        <v>8301</v>
      </c>
      <c r="C9863" s="2">
        <f>HYPERLINK("https://cao.dolgi.msk.ru/account/1083282633/", 1083282633)</f>
        <v>1083282633</v>
      </c>
      <c r="D9863" t="s">
        <v>15</v>
      </c>
      <c r="E9863">
        <v>0</v>
      </c>
      <c r="G9863" t="s">
        <v>14</v>
      </c>
      <c r="H9863" t="s">
        <v>7</v>
      </c>
      <c r="I9863" t="s">
        <v>230</v>
      </c>
    </row>
    <row r="9864" spans="1:9" hidden="1" x14ac:dyDescent="0.25">
      <c r="A9864" t="s">
        <v>8299</v>
      </c>
      <c r="B9864" t="s">
        <v>8301</v>
      </c>
      <c r="C9864" s="2">
        <f>HYPERLINK("https://cao.dolgi.msk.ru/account/1083282641/", 1083282641)</f>
        <v>1083282641</v>
      </c>
      <c r="D9864" t="s">
        <v>15</v>
      </c>
      <c r="E9864">
        <v>-311.61</v>
      </c>
      <c r="G9864" t="s">
        <v>14</v>
      </c>
      <c r="H9864" t="s">
        <v>7</v>
      </c>
      <c r="I9864" t="s">
        <v>230</v>
      </c>
    </row>
    <row r="9865" spans="1:9" hidden="1" x14ac:dyDescent="0.25">
      <c r="A9865" t="s">
        <v>8299</v>
      </c>
      <c r="B9865" t="s">
        <v>8301</v>
      </c>
      <c r="C9865" s="2">
        <f>HYPERLINK("https://cao.dolgi.msk.ru/account/1083282668/", 1083282668)</f>
        <v>1083282668</v>
      </c>
      <c r="D9865" t="s">
        <v>15</v>
      </c>
      <c r="E9865">
        <v>-311.61</v>
      </c>
      <c r="G9865" t="s">
        <v>14</v>
      </c>
      <c r="H9865" t="s">
        <v>7</v>
      </c>
      <c r="I9865" t="s">
        <v>230</v>
      </c>
    </row>
    <row r="9866" spans="1:9" hidden="1" x14ac:dyDescent="0.25">
      <c r="A9866" t="s">
        <v>8299</v>
      </c>
      <c r="B9866" t="s">
        <v>8301</v>
      </c>
      <c r="C9866" s="2">
        <f>HYPERLINK("https://cao.dolgi.msk.ru/account/1083282676/", 1083282676)</f>
        <v>1083282676</v>
      </c>
      <c r="D9866" t="s">
        <v>15</v>
      </c>
      <c r="E9866">
        <v>44.82</v>
      </c>
      <c r="G9866" t="s">
        <v>14</v>
      </c>
      <c r="H9866" t="s">
        <v>7</v>
      </c>
      <c r="I9866" t="s">
        <v>230</v>
      </c>
    </row>
    <row r="9867" spans="1:9" hidden="1" x14ac:dyDescent="0.25">
      <c r="A9867" t="s">
        <v>8299</v>
      </c>
      <c r="B9867" t="s">
        <v>8301</v>
      </c>
      <c r="C9867" s="2">
        <f>HYPERLINK("https://cao.dolgi.msk.ru/account/1083282684/", 1083282684)</f>
        <v>1083282684</v>
      </c>
      <c r="D9867" t="s">
        <v>15</v>
      </c>
      <c r="E9867">
        <v>44.82</v>
      </c>
      <c r="G9867" t="s">
        <v>14</v>
      </c>
      <c r="H9867" t="s">
        <v>7</v>
      </c>
      <c r="I9867" t="s">
        <v>230</v>
      </c>
    </row>
    <row r="9868" spans="1:9" hidden="1" x14ac:dyDescent="0.25">
      <c r="A9868" t="s">
        <v>8299</v>
      </c>
      <c r="B9868" t="s">
        <v>8301</v>
      </c>
      <c r="C9868" s="2">
        <f>HYPERLINK("https://cao.dolgi.msk.ru/account/1083282692/", 1083282692)</f>
        <v>1083282692</v>
      </c>
      <c r="D9868" t="s">
        <v>15</v>
      </c>
      <c r="E9868">
        <v>-311.61</v>
      </c>
      <c r="G9868" t="s">
        <v>14</v>
      </c>
      <c r="H9868" t="s">
        <v>7</v>
      </c>
      <c r="I9868" t="s">
        <v>230</v>
      </c>
    </row>
    <row r="9869" spans="1:9" hidden="1" x14ac:dyDescent="0.25">
      <c r="A9869" t="s">
        <v>8299</v>
      </c>
      <c r="B9869" t="s">
        <v>8302</v>
      </c>
      <c r="C9869" s="2">
        <f>HYPERLINK("https://cao.dolgi.msk.ru/account/1083282916/", 1083282916)</f>
        <v>1083282916</v>
      </c>
      <c r="D9869" t="s">
        <v>15</v>
      </c>
      <c r="E9869">
        <v>-2416.5700000000002</v>
      </c>
      <c r="F9869">
        <v>-0.66</v>
      </c>
      <c r="G9869" t="s">
        <v>12</v>
      </c>
      <c r="H9869" t="s">
        <v>7</v>
      </c>
      <c r="I9869" t="s">
        <v>230</v>
      </c>
    </row>
    <row r="9870" spans="1:9" hidden="1" x14ac:dyDescent="0.25">
      <c r="A9870" t="s">
        <v>8299</v>
      </c>
      <c r="B9870" t="s">
        <v>8302</v>
      </c>
      <c r="C9870" s="2">
        <f>HYPERLINK("https://cao.dolgi.msk.ru/account/1083282924/", 1083282924)</f>
        <v>1083282924</v>
      </c>
      <c r="D9870" t="s">
        <v>15</v>
      </c>
      <c r="E9870">
        <v>-9995.85</v>
      </c>
      <c r="F9870">
        <v>-1</v>
      </c>
      <c r="G9870" t="s">
        <v>12</v>
      </c>
      <c r="H9870" t="s">
        <v>7</v>
      </c>
      <c r="I9870" t="s">
        <v>230</v>
      </c>
    </row>
    <row r="9871" spans="1:9" hidden="1" x14ac:dyDescent="0.25">
      <c r="A9871" t="s">
        <v>8299</v>
      </c>
      <c r="B9871" t="s">
        <v>8302</v>
      </c>
      <c r="C9871" s="2">
        <f>HYPERLINK("https://cao.dolgi.msk.ru/account/1083282959/", 1083282959)</f>
        <v>1083282959</v>
      </c>
      <c r="D9871" t="s">
        <v>15</v>
      </c>
      <c r="E9871">
        <v>0</v>
      </c>
      <c r="F9871">
        <v>0</v>
      </c>
      <c r="G9871" t="s">
        <v>14</v>
      </c>
      <c r="I9871" t="s">
        <v>230</v>
      </c>
    </row>
    <row r="9872" spans="1:9" x14ac:dyDescent="0.25">
      <c r="A9872" t="s">
        <v>8299</v>
      </c>
      <c r="B9872" t="s">
        <v>8302</v>
      </c>
      <c r="C9872" s="2">
        <f>HYPERLINK("https://cao.dolgi.msk.ru/account/1083282975/", 1083282975)</f>
        <v>1083282975</v>
      </c>
      <c r="D9872" t="s">
        <v>15</v>
      </c>
      <c r="E9872">
        <v>63837.3</v>
      </c>
      <c r="F9872">
        <v>16.690000000000001</v>
      </c>
      <c r="G9872" t="s">
        <v>12</v>
      </c>
      <c r="H9872" t="s">
        <v>7</v>
      </c>
      <c r="I9872" t="s">
        <v>230</v>
      </c>
    </row>
    <row r="9873" spans="1:9" hidden="1" x14ac:dyDescent="0.25">
      <c r="A9873" t="s">
        <v>8299</v>
      </c>
      <c r="B9873" t="s">
        <v>8302</v>
      </c>
      <c r="C9873" s="2">
        <f>HYPERLINK("https://cao.dolgi.msk.ru/account/1083282983/", 1083282983)</f>
        <v>1083282983</v>
      </c>
      <c r="D9873" t="s">
        <v>15</v>
      </c>
      <c r="E9873">
        <v>0</v>
      </c>
      <c r="G9873" t="s">
        <v>14</v>
      </c>
      <c r="I9873" t="s">
        <v>230</v>
      </c>
    </row>
    <row r="9874" spans="1:9" hidden="1" x14ac:dyDescent="0.25">
      <c r="A9874" t="s">
        <v>8299</v>
      </c>
      <c r="B9874" t="s">
        <v>8302</v>
      </c>
      <c r="C9874" s="2">
        <f>HYPERLINK("https://cao.dolgi.msk.ru/account/1083282991/", 1083282991)</f>
        <v>1083282991</v>
      </c>
      <c r="D9874" t="s">
        <v>15</v>
      </c>
      <c r="E9874">
        <v>0</v>
      </c>
      <c r="G9874" t="s">
        <v>14</v>
      </c>
      <c r="I9874" t="s">
        <v>230</v>
      </c>
    </row>
    <row r="9875" spans="1:9" x14ac:dyDescent="0.25">
      <c r="A9875" t="s">
        <v>8299</v>
      </c>
      <c r="B9875" t="s">
        <v>8302</v>
      </c>
      <c r="C9875" s="2">
        <f>HYPERLINK("https://cao.dolgi.msk.ru/account/1083283003/", 1083283003)</f>
        <v>1083283003</v>
      </c>
      <c r="D9875" t="s">
        <v>15</v>
      </c>
      <c r="E9875">
        <v>10393.84</v>
      </c>
      <c r="F9875">
        <v>2.92</v>
      </c>
      <c r="G9875" t="s">
        <v>12</v>
      </c>
      <c r="H9875" t="s">
        <v>7</v>
      </c>
      <c r="I9875" t="s">
        <v>230</v>
      </c>
    </row>
    <row r="9876" spans="1:9" hidden="1" x14ac:dyDescent="0.25">
      <c r="A9876" t="s">
        <v>8299</v>
      </c>
      <c r="B9876" t="s">
        <v>8302</v>
      </c>
      <c r="C9876" s="2">
        <f>HYPERLINK("https://cao.dolgi.msk.ru/account/1083283011/", 1083283011)</f>
        <v>1083283011</v>
      </c>
      <c r="D9876" t="s">
        <v>15</v>
      </c>
      <c r="E9876">
        <v>0</v>
      </c>
      <c r="G9876" t="s">
        <v>14</v>
      </c>
      <c r="I9876" t="s">
        <v>230</v>
      </c>
    </row>
    <row r="9877" spans="1:9" hidden="1" x14ac:dyDescent="0.25">
      <c r="A9877" t="s">
        <v>8299</v>
      </c>
      <c r="B9877" t="s">
        <v>8302</v>
      </c>
      <c r="C9877" s="2">
        <f>HYPERLINK("https://cao.dolgi.msk.ru/account/1083283038/", 1083283038)</f>
        <v>1083283038</v>
      </c>
      <c r="D9877" t="s">
        <v>15</v>
      </c>
      <c r="E9877">
        <v>-38.340000000000003</v>
      </c>
      <c r="G9877" t="s">
        <v>14</v>
      </c>
      <c r="H9877" t="s">
        <v>7</v>
      </c>
      <c r="I9877" t="s">
        <v>230</v>
      </c>
    </row>
    <row r="9878" spans="1:9" hidden="1" x14ac:dyDescent="0.25">
      <c r="A9878" t="s">
        <v>8299</v>
      </c>
      <c r="B9878" t="s">
        <v>8302</v>
      </c>
      <c r="C9878" s="2">
        <f>HYPERLINK("https://cao.dolgi.msk.ru/account/1083283046/", 1083283046)</f>
        <v>1083283046</v>
      </c>
      <c r="D9878" t="s">
        <v>15</v>
      </c>
      <c r="E9878">
        <v>2162.58</v>
      </c>
      <c r="G9878" t="s">
        <v>14</v>
      </c>
      <c r="H9878" t="s">
        <v>7</v>
      </c>
      <c r="I9878" t="s">
        <v>230</v>
      </c>
    </row>
    <row r="9879" spans="1:9" x14ac:dyDescent="0.25">
      <c r="A9879" t="s">
        <v>8299</v>
      </c>
      <c r="B9879" t="s">
        <v>8302</v>
      </c>
      <c r="C9879" s="2">
        <f>HYPERLINK("https://cao.dolgi.msk.ru/account/1083283054/", 1083283054)</f>
        <v>1083283054</v>
      </c>
      <c r="D9879" t="s">
        <v>15</v>
      </c>
      <c r="E9879">
        <v>75862.850000000006</v>
      </c>
      <c r="F9879">
        <v>20.59</v>
      </c>
      <c r="G9879" t="s">
        <v>12</v>
      </c>
      <c r="H9879" t="s">
        <v>7</v>
      </c>
      <c r="I9879" t="s">
        <v>230</v>
      </c>
    </row>
    <row r="9880" spans="1:9" x14ac:dyDescent="0.25">
      <c r="A9880" t="s">
        <v>8299</v>
      </c>
      <c r="B9880" t="s">
        <v>8302</v>
      </c>
      <c r="C9880" s="2">
        <f>HYPERLINK("https://cao.dolgi.msk.ru/account/1083283062/", 1083283062)</f>
        <v>1083283062</v>
      </c>
      <c r="D9880" t="s">
        <v>15</v>
      </c>
      <c r="E9880">
        <v>96728.23</v>
      </c>
      <c r="F9880">
        <v>28.46</v>
      </c>
      <c r="G9880" t="s">
        <v>12</v>
      </c>
      <c r="H9880" t="s">
        <v>7</v>
      </c>
      <c r="I9880" t="s">
        <v>230</v>
      </c>
    </row>
    <row r="9881" spans="1:9" hidden="1" x14ac:dyDescent="0.25">
      <c r="A9881" t="s">
        <v>8299</v>
      </c>
      <c r="B9881" t="s">
        <v>8302</v>
      </c>
      <c r="C9881" s="2">
        <f>HYPERLINK("https://cao.dolgi.msk.ru/account/1083283089/", 1083283089)</f>
        <v>1083283089</v>
      </c>
      <c r="D9881" t="s">
        <v>15</v>
      </c>
      <c r="E9881">
        <v>-1141.6500000000001</v>
      </c>
      <c r="F9881">
        <v>-1.96</v>
      </c>
      <c r="G9881" t="s">
        <v>12</v>
      </c>
      <c r="H9881" t="s">
        <v>7</v>
      </c>
      <c r="I9881" t="s">
        <v>230</v>
      </c>
    </row>
    <row r="9882" spans="1:9" hidden="1" x14ac:dyDescent="0.25">
      <c r="A9882" t="s">
        <v>8299</v>
      </c>
      <c r="B9882" t="s">
        <v>8302</v>
      </c>
      <c r="C9882" s="2">
        <f>HYPERLINK("https://cao.dolgi.msk.ru/account/1083283097/", 1083283097)</f>
        <v>1083283097</v>
      </c>
      <c r="D9882" t="s">
        <v>15</v>
      </c>
      <c r="E9882">
        <v>0</v>
      </c>
      <c r="G9882" t="s">
        <v>14</v>
      </c>
      <c r="I9882" t="s">
        <v>230</v>
      </c>
    </row>
    <row r="9883" spans="1:9" hidden="1" x14ac:dyDescent="0.25">
      <c r="A9883" t="s">
        <v>8299</v>
      </c>
      <c r="B9883" t="s">
        <v>8302</v>
      </c>
      <c r="C9883" s="2">
        <f>HYPERLINK("https://cao.dolgi.msk.ru/account/1083283118/", 1083283118)</f>
        <v>1083283118</v>
      </c>
      <c r="D9883" t="s">
        <v>15</v>
      </c>
      <c r="E9883">
        <v>9695.02</v>
      </c>
      <c r="F9883">
        <v>13.09</v>
      </c>
      <c r="G9883" t="s">
        <v>14</v>
      </c>
      <c r="H9883" t="s">
        <v>7</v>
      </c>
      <c r="I9883" t="s">
        <v>230</v>
      </c>
    </row>
    <row r="9884" spans="1:9" hidden="1" x14ac:dyDescent="0.25">
      <c r="A9884" t="s">
        <v>8299</v>
      </c>
      <c r="B9884" t="s">
        <v>8302</v>
      </c>
      <c r="C9884" s="2">
        <f>HYPERLINK("https://cao.dolgi.msk.ru/account/1083283126/", 1083283126)</f>
        <v>1083283126</v>
      </c>
      <c r="D9884" t="s">
        <v>15</v>
      </c>
      <c r="E9884">
        <v>0</v>
      </c>
      <c r="G9884" t="s">
        <v>14</v>
      </c>
      <c r="I9884" t="s">
        <v>230</v>
      </c>
    </row>
    <row r="9885" spans="1:9" hidden="1" x14ac:dyDescent="0.25">
      <c r="A9885" t="s">
        <v>8299</v>
      </c>
      <c r="B9885" t="s">
        <v>8302</v>
      </c>
      <c r="C9885" s="2">
        <f>HYPERLINK("https://cao.dolgi.msk.ru/account/1083283134/", 1083283134)</f>
        <v>1083283134</v>
      </c>
      <c r="D9885" t="s">
        <v>15</v>
      </c>
      <c r="E9885">
        <v>-462</v>
      </c>
      <c r="G9885" t="s">
        <v>14</v>
      </c>
      <c r="H9885" t="s">
        <v>7</v>
      </c>
      <c r="I9885" t="s">
        <v>230</v>
      </c>
    </row>
    <row r="9886" spans="1:9" hidden="1" x14ac:dyDescent="0.25">
      <c r="A9886" t="s">
        <v>8299</v>
      </c>
      <c r="B9886" t="s">
        <v>8302</v>
      </c>
      <c r="C9886" s="2">
        <f>HYPERLINK("https://cao.dolgi.msk.ru/account/1083283142/", 1083283142)</f>
        <v>1083283142</v>
      </c>
      <c r="D9886" t="s">
        <v>15</v>
      </c>
      <c r="E9886">
        <v>-7442.9</v>
      </c>
      <c r="F9886">
        <v>-1.37</v>
      </c>
      <c r="G9886" t="s">
        <v>12</v>
      </c>
      <c r="H9886" t="s">
        <v>7</v>
      </c>
      <c r="I9886" t="s">
        <v>230</v>
      </c>
    </row>
    <row r="9887" spans="1:9" hidden="1" x14ac:dyDescent="0.25">
      <c r="A9887" t="s">
        <v>8299</v>
      </c>
      <c r="B9887" t="s">
        <v>8302</v>
      </c>
      <c r="C9887" s="2">
        <f>HYPERLINK("https://cao.dolgi.msk.ru/account/1083283169/", 1083283169)</f>
        <v>1083283169</v>
      </c>
      <c r="D9887" t="s">
        <v>15</v>
      </c>
      <c r="E9887">
        <v>0</v>
      </c>
      <c r="G9887" t="s">
        <v>12</v>
      </c>
      <c r="I9887" t="s">
        <v>230</v>
      </c>
    </row>
    <row r="9888" spans="1:9" hidden="1" x14ac:dyDescent="0.25">
      <c r="A9888" t="s">
        <v>8299</v>
      </c>
      <c r="B9888" t="s">
        <v>8302</v>
      </c>
      <c r="C9888" s="2">
        <f>HYPERLINK("https://cao.dolgi.msk.ru/account/1083283177/", 1083283177)</f>
        <v>1083283177</v>
      </c>
      <c r="D9888" t="s">
        <v>15</v>
      </c>
      <c r="E9888">
        <v>-1589.07</v>
      </c>
      <c r="G9888" t="s">
        <v>14</v>
      </c>
      <c r="H9888" t="s">
        <v>7</v>
      </c>
      <c r="I9888" t="s">
        <v>230</v>
      </c>
    </row>
    <row r="9889" spans="1:9" hidden="1" x14ac:dyDescent="0.25">
      <c r="A9889" t="s">
        <v>8299</v>
      </c>
      <c r="B9889" t="s">
        <v>8302</v>
      </c>
      <c r="C9889" s="2">
        <f>HYPERLINK("https://cao.dolgi.msk.ru/account/1083283185/", 1083283185)</f>
        <v>1083283185</v>
      </c>
      <c r="D9889" t="s">
        <v>15</v>
      </c>
      <c r="E9889">
        <v>0</v>
      </c>
      <c r="G9889" t="s">
        <v>14</v>
      </c>
      <c r="I9889" t="s">
        <v>230</v>
      </c>
    </row>
    <row r="9890" spans="1:9" x14ac:dyDescent="0.25">
      <c r="A9890" t="s">
        <v>8299</v>
      </c>
      <c r="B9890" t="s">
        <v>8302</v>
      </c>
      <c r="C9890" s="2">
        <f>HYPERLINK("https://cao.dolgi.msk.ru/account/1083283193/", 1083283193)</f>
        <v>1083283193</v>
      </c>
      <c r="D9890" t="s">
        <v>15</v>
      </c>
      <c r="E9890">
        <v>109257.12</v>
      </c>
      <c r="F9890">
        <v>27.87</v>
      </c>
      <c r="G9890" t="s">
        <v>12</v>
      </c>
      <c r="H9890" t="s">
        <v>7</v>
      </c>
      <c r="I9890" t="s">
        <v>230</v>
      </c>
    </row>
    <row r="9891" spans="1:9" x14ac:dyDescent="0.25">
      <c r="A9891" t="s">
        <v>8299</v>
      </c>
      <c r="B9891" t="s">
        <v>8302</v>
      </c>
      <c r="C9891" s="2">
        <f>HYPERLINK("https://cao.dolgi.msk.ru/account/1083283206/", 1083283206)</f>
        <v>1083283206</v>
      </c>
      <c r="D9891" t="s">
        <v>8303</v>
      </c>
      <c r="E9891">
        <v>219330.36</v>
      </c>
      <c r="F9891">
        <v>34.9</v>
      </c>
      <c r="G9891" t="s">
        <v>12</v>
      </c>
      <c r="H9891" t="s">
        <v>7</v>
      </c>
      <c r="I9891" t="s">
        <v>230</v>
      </c>
    </row>
    <row r="9892" spans="1:9" hidden="1" x14ac:dyDescent="0.25">
      <c r="A9892" t="s">
        <v>8299</v>
      </c>
      <c r="B9892" t="s">
        <v>8302</v>
      </c>
      <c r="C9892" s="2">
        <f>HYPERLINK("https://cao.dolgi.msk.ru/account/1083283214/", 1083283214)</f>
        <v>1083283214</v>
      </c>
      <c r="D9892" t="s">
        <v>15</v>
      </c>
      <c r="E9892">
        <v>0</v>
      </c>
      <c r="G9892" t="s">
        <v>14</v>
      </c>
      <c r="I9892" t="s">
        <v>230</v>
      </c>
    </row>
    <row r="9893" spans="1:9" x14ac:dyDescent="0.25">
      <c r="A9893" t="s">
        <v>8299</v>
      </c>
      <c r="B9893" t="s">
        <v>8302</v>
      </c>
      <c r="C9893" s="2">
        <f>HYPERLINK("https://cao.dolgi.msk.ru/account/1083283222/", 1083283222)</f>
        <v>1083283222</v>
      </c>
      <c r="D9893" t="s">
        <v>15</v>
      </c>
      <c r="E9893">
        <v>9006.7800000000007</v>
      </c>
      <c r="F9893">
        <v>11.61</v>
      </c>
      <c r="G9893" t="s">
        <v>12</v>
      </c>
      <c r="H9893" t="s">
        <v>7</v>
      </c>
      <c r="I9893" t="s">
        <v>230</v>
      </c>
    </row>
    <row r="9894" spans="1:9" hidden="1" x14ac:dyDescent="0.25">
      <c r="A9894" t="s">
        <v>8299</v>
      </c>
      <c r="B9894" t="s">
        <v>8302</v>
      </c>
      <c r="C9894" s="2">
        <f>HYPERLINK("https://cao.dolgi.msk.ru/account/1083283249/", 1083283249)</f>
        <v>1083283249</v>
      </c>
      <c r="D9894" t="s">
        <v>15</v>
      </c>
      <c r="E9894">
        <v>-4539.46</v>
      </c>
      <c r="F9894">
        <v>-0.82</v>
      </c>
      <c r="G9894" t="s">
        <v>12</v>
      </c>
      <c r="H9894" t="s">
        <v>7</v>
      </c>
      <c r="I9894" t="s">
        <v>230</v>
      </c>
    </row>
    <row r="9895" spans="1:9" hidden="1" x14ac:dyDescent="0.25">
      <c r="A9895" t="s">
        <v>8299</v>
      </c>
      <c r="B9895" t="s">
        <v>8302</v>
      </c>
      <c r="C9895" s="2">
        <f>HYPERLINK("https://cao.dolgi.msk.ru/account/1083283257/", 1083283257)</f>
        <v>1083283257</v>
      </c>
      <c r="D9895" t="s">
        <v>15</v>
      </c>
      <c r="E9895">
        <v>0</v>
      </c>
      <c r="G9895" t="s">
        <v>14</v>
      </c>
      <c r="H9895" t="s">
        <v>7</v>
      </c>
      <c r="I9895" t="s">
        <v>230</v>
      </c>
    </row>
    <row r="9896" spans="1:9" hidden="1" x14ac:dyDescent="0.25">
      <c r="A9896" t="s">
        <v>8299</v>
      </c>
      <c r="B9896" t="s">
        <v>8302</v>
      </c>
      <c r="C9896" s="2">
        <f>HYPERLINK("https://cao.dolgi.msk.ru/account/1083283265/", 1083283265)</f>
        <v>1083283265</v>
      </c>
      <c r="D9896" t="s">
        <v>15</v>
      </c>
      <c r="E9896">
        <v>-627.75</v>
      </c>
      <c r="G9896" t="s">
        <v>14</v>
      </c>
      <c r="H9896" t="s">
        <v>7</v>
      </c>
      <c r="I9896" t="s">
        <v>230</v>
      </c>
    </row>
    <row r="9897" spans="1:9" hidden="1" x14ac:dyDescent="0.25">
      <c r="A9897" t="s">
        <v>8299</v>
      </c>
      <c r="B9897" t="s">
        <v>8302</v>
      </c>
      <c r="C9897" s="2">
        <f>HYPERLINK("https://cao.dolgi.msk.ru/account/1083283273/", 1083283273)</f>
        <v>1083283273</v>
      </c>
      <c r="D9897" t="s">
        <v>15</v>
      </c>
      <c r="E9897">
        <v>-3731.8</v>
      </c>
      <c r="F9897">
        <v>-1.01</v>
      </c>
      <c r="G9897" t="s">
        <v>12</v>
      </c>
      <c r="H9897" t="s">
        <v>7</v>
      </c>
      <c r="I9897" t="s">
        <v>230</v>
      </c>
    </row>
    <row r="9898" spans="1:9" hidden="1" x14ac:dyDescent="0.25">
      <c r="A9898" t="s">
        <v>8299</v>
      </c>
      <c r="B9898" t="s">
        <v>8302</v>
      </c>
      <c r="C9898" s="2">
        <f>HYPERLINK("https://cao.dolgi.msk.ru/account/1083283281/", 1083283281)</f>
        <v>1083283281</v>
      </c>
      <c r="D9898" t="s">
        <v>15</v>
      </c>
      <c r="E9898">
        <v>0</v>
      </c>
      <c r="G9898" t="s">
        <v>14</v>
      </c>
      <c r="I9898" t="s">
        <v>230</v>
      </c>
    </row>
    <row r="9899" spans="1:9" hidden="1" x14ac:dyDescent="0.25">
      <c r="A9899" t="s">
        <v>8299</v>
      </c>
      <c r="B9899" t="s">
        <v>16</v>
      </c>
      <c r="C9899" s="2">
        <f>HYPERLINK("https://cao.dolgi.msk.ru/account/1083282377/", 1083282377)</f>
        <v>1083282377</v>
      </c>
      <c r="D9899" t="s">
        <v>15</v>
      </c>
      <c r="E9899">
        <v>165.18</v>
      </c>
      <c r="F9899">
        <v>0.06</v>
      </c>
      <c r="G9899" t="s">
        <v>12</v>
      </c>
      <c r="H9899" t="s">
        <v>7</v>
      </c>
      <c r="I9899" t="s">
        <v>230</v>
      </c>
    </row>
    <row r="9900" spans="1:9" hidden="1" x14ac:dyDescent="0.25">
      <c r="A9900" t="s">
        <v>8299</v>
      </c>
      <c r="B9900" t="s">
        <v>16</v>
      </c>
      <c r="C9900" s="2">
        <f>HYPERLINK("https://cao.dolgi.msk.ru/account/1083283353/", 1083283353)</f>
        <v>1083283353</v>
      </c>
      <c r="D9900" t="s">
        <v>8304</v>
      </c>
      <c r="E9900">
        <v>-4129.79</v>
      </c>
      <c r="F9900">
        <v>-1.27</v>
      </c>
      <c r="G9900" t="s">
        <v>12</v>
      </c>
      <c r="H9900" t="s">
        <v>7</v>
      </c>
      <c r="I9900" t="s">
        <v>230</v>
      </c>
    </row>
    <row r="9901" spans="1:9" hidden="1" x14ac:dyDescent="0.25">
      <c r="A9901" t="s">
        <v>8299</v>
      </c>
      <c r="B9901" t="s">
        <v>16</v>
      </c>
      <c r="C9901" s="2">
        <f>HYPERLINK("https://cao.dolgi.msk.ru/account/1083283476/", 1083283476)</f>
        <v>1083283476</v>
      </c>
      <c r="D9901" t="s">
        <v>8305</v>
      </c>
      <c r="E9901">
        <v>-3114.74</v>
      </c>
      <c r="F9901">
        <v>-0.98</v>
      </c>
      <c r="G9901" t="s">
        <v>12</v>
      </c>
      <c r="H9901" t="s">
        <v>7</v>
      </c>
      <c r="I9901" t="s">
        <v>230</v>
      </c>
    </row>
    <row r="9902" spans="1:9" hidden="1" x14ac:dyDescent="0.25">
      <c r="A9902" t="s">
        <v>8299</v>
      </c>
      <c r="B9902" t="s">
        <v>16</v>
      </c>
      <c r="C9902" s="2">
        <f>HYPERLINK("https://cao.dolgi.msk.ru/account/1083283679/", 1083283679)</f>
        <v>1083283679</v>
      </c>
      <c r="D9902" t="s">
        <v>15</v>
      </c>
      <c r="E9902">
        <v>-2842.95</v>
      </c>
      <c r="F9902">
        <v>-0.99</v>
      </c>
      <c r="G9902" t="s">
        <v>12</v>
      </c>
      <c r="H9902" t="s">
        <v>7</v>
      </c>
      <c r="I9902" t="s">
        <v>230</v>
      </c>
    </row>
    <row r="9903" spans="1:9" hidden="1" x14ac:dyDescent="0.25">
      <c r="A9903" t="s">
        <v>8299</v>
      </c>
      <c r="B9903" t="s">
        <v>16</v>
      </c>
      <c r="C9903" s="2">
        <f>HYPERLINK("https://cao.dolgi.msk.ru/account/1083283687/", 1083283687)</f>
        <v>1083283687</v>
      </c>
      <c r="D9903" t="s">
        <v>15</v>
      </c>
      <c r="E9903">
        <v>0</v>
      </c>
      <c r="G9903" t="s">
        <v>14</v>
      </c>
      <c r="I9903" t="s">
        <v>230</v>
      </c>
    </row>
    <row r="9904" spans="1:9" hidden="1" x14ac:dyDescent="0.25">
      <c r="A9904" t="s">
        <v>8299</v>
      </c>
      <c r="B9904" t="s">
        <v>16</v>
      </c>
      <c r="C9904" s="2">
        <f>HYPERLINK("https://cao.dolgi.msk.ru/account/1083283724/", 1083283724)</f>
        <v>1083283724</v>
      </c>
      <c r="D9904" t="s">
        <v>15</v>
      </c>
      <c r="E9904">
        <v>0</v>
      </c>
      <c r="G9904" t="s">
        <v>14</v>
      </c>
      <c r="I9904" t="s">
        <v>230</v>
      </c>
    </row>
    <row r="9905" spans="1:9" hidden="1" x14ac:dyDescent="0.25">
      <c r="A9905" t="s">
        <v>8299</v>
      </c>
      <c r="B9905" t="s">
        <v>16</v>
      </c>
      <c r="C9905" s="2">
        <f>HYPERLINK("https://cao.dolgi.msk.ru/account/1083283732/", 1083283732)</f>
        <v>1083283732</v>
      </c>
      <c r="D9905" t="s">
        <v>15</v>
      </c>
      <c r="E9905">
        <v>0</v>
      </c>
      <c r="G9905" t="s">
        <v>12</v>
      </c>
      <c r="I9905" t="s">
        <v>230</v>
      </c>
    </row>
    <row r="9906" spans="1:9" x14ac:dyDescent="0.25">
      <c r="A9906" t="s">
        <v>8299</v>
      </c>
      <c r="B9906" t="s">
        <v>16</v>
      </c>
      <c r="C9906" s="2">
        <f>HYPERLINK("https://cao.dolgi.msk.ru/account/1083283898/", 1083283898)</f>
        <v>1083283898</v>
      </c>
      <c r="D9906" t="s">
        <v>15</v>
      </c>
      <c r="E9906">
        <v>6807.84</v>
      </c>
      <c r="F9906">
        <v>1.27</v>
      </c>
      <c r="G9906" t="s">
        <v>12</v>
      </c>
      <c r="H9906" t="s">
        <v>7</v>
      </c>
      <c r="I9906" t="s">
        <v>230</v>
      </c>
    </row>
    <row r="9907" spans="1:9" hidden="1" x14ac:dyDescent="0.25">
      <c r="A9907" t="s">
        <v>8299</v>
      </c>
      <c r="B9907" t="s">
        <v>16</v>
      </c>
      <c r="C9907" s="2">
        <f>HYPERLINK("https://cao.dolgi.msk.ru/account/1083284137/", 1083284137)</f>
        <v>1083284137</v>
      </c>
      <c r="D9907" t="s">
        <v>15</v>
      </c>
      <c r="E9907">
        <v>-3721.7</v>
      </c>
      <c r="F9907">
        <v>-1.06</v>
      </c>
      <c r="G9907" t="s">
        <v>12</v>
      </c>
      <c r="H9907" t="s">
        <v>7</v>
      </c>
      <c r="I9907" t="s">
        <v>230</v>
      </c>
    </row>
    <row r="9908" spans="1:9" hidden="1" x14ac:dyDescent="0.25">
      <c r="A9908" t="s">
        <v>8299</v>
      </c>
      <c r="B9908" t="s">
        <v>16</v>
      </c>
      <c r="C9908" s="2">
        <f>HYPERLINK("https://cao.dolgi.msk.ru/account/1083371636/", 1083371636)</f>
        <v>1083371636</v>
      </c>
      <c r="D9908" t="s">
        <v>15</v>
      </c>
      <c r="E9908">
        <v>0</v>
      </c>
      <c r="G9908" t="s">
        <v>12</v>
      </c>
      <c r="H9908" t="s">
        <v>7</v>
      </c>
      <c r="I9908" t="s">
        <v>230</v>
      </c>
    </row>
    <row r="9909" spans="1:9" hidden="1" x14ac:dyDescent="0.25">
      <c r="A9909" t="s">
        <v>8299</v>
      </c>
      <c r="B9909" t="s">
        <v>16</v>
      </c>
      <c r="C9909" s="2">
        <f>HYPERLINK("https://cao.dolgi.msk.ru/account/1083383266/", 1083383266)</f>
        <v>1083383266</v>
      </c>
      <c r="D9909" t="s">
        <v>15</v>
      </c>
      <c r="E9909">
        <v>0</v>
      </c>
      <c r="G9909" t="s">
        <v>14</v>
      </c>
      <c r="H9909" t="s">
        <v>7</v>
      </c>
      <c r="I9909" t="s">
        <v>230</v>
      </c>
    </row>
    <row r="9910" spans="1:9" hidden="1" x14ac:dyDescent="0.25">
      <c r="A9910" t="s">
        <v>8299</v>
      </c>
      <c r="B9910" t="s">
        <v>16</v>
      </c>
      <c r="C9910" s="2">
        <f>HYPERLINK("https://cao.dolgi.msk.ru/account/1083383418/", 1083383418)</f>
        <v>1083383418</v>
      </c>
      <c r="D9910" t="s">
        <v>15</v>
      </c>
      <c r="E9910">
        <v>-2117.06</v>
      </c>
      <c r="F9910">
        <v>-1.1200000000000001</v>
      </c>
      <c r="G9910" t="s">
        <v>12</v>
      </c>
      <c r="H9910" t="s">
        <v>7</v>
      </c>
      <c r="I9910" t="s">
        <v>230</v>
      </c>
    </row>
    <row r="9911" spans="1:9" hidden="1" x14ac:dyDescent="0.25">
      <c r="A9911" t="s">
        <v>8299</v>
      </c>
      <c r="B9911" t="s">
        <v>16</v>
      </c>
      <c r="C9911" s="2">
        <f>HYPERLINK("https://cao.dolgi.msk.ru/account/1083389115/", 1083389115)</f>
        <v>1083389115</v>
      </c>
      <c r="D9911" t="s">
        <v>15</v>
      </c>
      <c r="E9911">
        <v>-1925.13</v>
      </c>
      <c r="F9911">
        <v>-1.01</v>
      </c>
      <c r="G9911" t="s">
        <v>12</v>
      </c>
      <c r="H9911" t="s">
        <v>7</v>
      </c>
      <c r="I9911" t="s">
        <v>230</v>
      </c>
    </row>
    <row r="9912" spans="1:9" hidden="1" x14ac:dyDescent="0.25">
      <c r="A9912" t="s">
        <v>8299</v>
      </c>
      <c r="B9912" t="s">
        <v>16</v>
      </c>
      <c r="C9912" s="2">
        <f>HYPERLINK("https://cao.dolgi.msk.ru/account/1083389123/", 1083389123)</f>
        <v>1083389123</v>
      </c>
      <c r="D9912" t="s">
        <v>15</v>
      </c>
      <c r="E9912">
        <v>-1621.43</v>
      </c>
      <c r="F9912">
        <v>-0.66</v>
      </c>
      <c r="G9912" t="s">
        <v>12</v>
      </c>
      <c r="H9912" t="s">
        <v>7</v>
      </c>
      <c r="I9912" t="s">
        <v>230</v>
      </c>
    </row>
    <row r="9913" spans="1:9" hidden="1" x14ac:dyDescent="0.25">
      <c r="A9913" t="s">
        <v>8299</v>
      </c>
      <c r="B9913" t="s">
        <v>16</v>
      </c>
      <c r="C9913" s="2">
        <f>HYPERLINK("https://cao.dolgi.msk.ru/account/1083389131/", 1083389131)</f>
        <v>1083389131</v>
      </c>
      <c r="D9913" t="s">
        <v>15</v>
      </c>
      <c r="E9913">
        <v>-4414.1000000000004</v>
      </c>
      <c r="F9913">
        <v>-0.92</v>
      </c>
      <c r="G9913" t="s">
        <v>12</v>
      </c>
      <c r="H9913" t="s">
        <v>7</v>
      </c>
      <c r="I9913" t="s">
        <v>230</v>
      </c>
    </row>
    <row r="9914" spans="1:9" x14ac:dyDescent="0.25">
      <c r="A9914" t="s">
        <v>8299</v>
      </c>
      <c r="B9914" t="s">
        <v>16</v>
      </c>
      <c r="C9914" s="2">
        <f>HYPERLINK("https://cao.dolgi.msk.ru/account/1083389174/", 1083389174)</f>
        <v>1083389174</v>
      </c>
      <c r="D9914" t="s">
        <v>8306</v>
      </c>
      <c r="E9914">
        <v>23126.14</v>
      </c>
      <c r="F9914">
        <v>11.74</v>
      </c>
      <c r="G9914" t="s">
        <v>12</v>
      </c>
      <c r="H9914" t="s">
        <v>7</v>
      </c>
      <c r="I9914" t="s">
        <v>230</v>
      </c>
    </row>
    <row r="9915" spans="1:9" x14ac:dyDescent="0.25">
      <c r="A9915" t="s">
        <v>8299</v>
      </c>
      <c r="B9915" t="s">
        <v>16</v>
      </c>
      <c r="C9915" s="2">
        <f>HYPERLINK("https://cao.dolgi.msk.ru/account/1083392103/", 1083392103)</f>
        <v>1083392103</v>
      </c>
      <c r="D9915" t="s">
        <v>189</v>
      </c>
      <c r="E9915">
        <v>3793.89</v>
      </c>
      <c r="F9915">
        <v>3</v>
      </c>
      <c r="G9915" t="s">
        <v>12</v>
      </c>
      <c r="H9915" t="s">
        <v>7</v>
      </c>
      <c r="I9915" t="s">
        <v>230</v>
      </c>
    </row>
    <row r="9916" spans="1:9" hidden="1" x14ac:dyDescent="0.25">
      <c r="A9916" t="s">
        <v>8299</v>
      </c>
      <c r="B9916" t="s">
        <v>18</v>
      </c>
      <c r="C9916" s="2">
        <f>HYPERLINK("https://cao.dolgi.msk.ru/account/1083278706/", 1083278706)</f>
        <v>1083278706</v>
      </c>
      <c r="D9916" t="s">
        <v>15</v>
      </c>
      <c r="E9916">
        <v>-26.36</v>
      </c>
      <c r="F9916">
        <v>-0.01</v>
      </c>
      <c r="G9916" t="s">
        <v>12</v>
      </c>
      <c r="H9916" t="s">
        <v>7</v>
      </c>
      <c r="I9916" t="s">
        <v>230</v>
      </c>
    </row>
    <row r="9917" spans="1:9" hidden="1" x14ac:dyDescent="0.25">
      <c r="A9917" t="s">
        <v>8299</v>
      </c>
      <c r="B9917" t="s">
        <v>18</v>
      </c>
      <c r="C9917" s="2">
        <f>HYPERLINK("https://cao.dolgi.msk.ru/account/1083278714/", 1083278714)</f>
        <v>1083278714</v>
      </c>
      <c r="D9917" t="s">
        <v>15</v>
      </c>
      <c r="E9917">
        <v>-5540.42</v>
      </c>
      <c r="F9917">
        <v>-1.04</v>
      </c>
      <c r="G9917" t="s">
        <v>12</v>
      </c>
      <c r="H9917" t="s">
        <v>7</v>
      </c>
      <c r="I9917" t="s">
        <v>230</v>
      </c>
    </row>
    <row r="9918" spans="1:9" hidden="1" x14ac:dyDescent="0.25">
      <c r="A9918" t="s">
        <v>8299</v>
      </c>
      <c r="B9918" t="s">
        <v>18</v>
      </c>
      <c r="C9918" s="2">
        <f>HYPERLINK("https://cao.dolgi.msk.ru/account/1083282051/", 1083282051)</f>
        <v>1083282051</v>
      </c>
      <c r="D9918" t="s">
        <v>15</v>
      </c>
      <c r="E9918">
        <v>-7938.47</v>
      </c>
      <c r="F9918">
        <v>-1.03</v>
      </c>
      <c r="G9918" t="s">
        <v>12</v>
      </c>
      <c r="H9918" t="s">
        <v>7</v>
      </c>
      <c r="I9918" t="s">
        <v>230</v>
      </c>
    </row>
    <row r="9919" spans="1:9" hidden="1" x14ac:dyDescent="0.25">
      <c r="A9919" t="s">
        <v>8299</v>
      </c>
      <c r="B9919" t="s">
        <v>18</v>
      </c>
      <c r="C9919" s="2">
        <f>HYPERLINK("https://cao.dolgi.msk.ru/account/1083282297/", 1083282297)</f>
        <v>1083282297</v>
      </c>
      <c r="D9919" t="s">
        <v>15</v>
      </c>
      <c r="E9919">
        <v>-2046.48</v>
      </c>
      <c r="F9919">
        <v>-1.04</v>
      </c>
      <c r="G9919" t="s">
        <v>12</v>
      </c>
      <c r="H9919" t="s">
        <v>7</v>
      </c>
      <c r="I9919" t="s">
        <v>230</v>
      </c>
    </row>
    <row r="9920" spans="1:9" x14ac:dyDescent="0.25">
      <c r="A9920" t="s">
        <v>8299</v>
      </c>
      <c r="B9920" t="s">
        <v>18</v>
      </c>
      <c r="C9920" s="2">
        <f>HYPERLINK("https://cao.dolgi.msk.ru/account/1083282326/", 1083282326)</f>
        <v>1083282326</v>
      </c>
      <c r="D9920" t="s">
        <v>15</v>
      </c>
      <c r="E9920">
        <v>4278.24</v>
      </c>
      <c r="F9920">
        <v>1.1000000000000001</v>
      </c>
      <c r="G9920" t="s">
        <v>12</v>
      </c>
      <c r="H9920" t="s">
        <v>7</v>
      </c>
      <c r="I9920" t="s">
        <v>230</v>
      </c>
    </row>
    <row r="9921" spans="1:9" hidden="1" x14ac:dyDescent="0.25">
      <c r="A9921" t="s">
        <v>8299</v>
      </c>
      <c r="B9921" t="s">
        <v>18</v>
      </c>
      <c r="C9921" s="2">
        <f>HYPERLINK("https://cao.dolgi.msk.ru/account/1083283548/", 1083283548)</f>
        <v>1083283548</v>
      </c>
      <c r="D9921" t="s">
        <v>15</v>
      </c>
      <c r="E9921">
        <v>-4024.78</v>
      </c>
      <c r="F9921">
        <v>-1.03</v>
      </c>
      <c r="G9921" t="s">
        <v>12</v>
      </c>
      <c r="H9921" t="s">
        <v>7</v>
      </c>
      <c r="I9921" t="s">
        <v>230</v>
      </c>
    </row>
    <row r="9922" spans="1:9" hidden="1" x14ac:dyDescent="0.25">
      <c r="A9922" t="s">
        <v>8299</v>
      </c>
      <c r="B9922" t="s">
        <v>18</v>
      </c>
      <c r="C9922" s="2">
        <f>HYPERLINK("https://cao.dolgi.msk.ru/account/1083283572/", 1083283572)</f>
        <v>1083283572</v>
      </c>
      <c r="D9922" t="s">
        <v>15</v>
      </c>
      <c r="E9922">
        <v>0</v>
      </c>
      <c r="G9922" t="s">
        <v>14</v>
      </c>
      <c r="I9922" t="s">
        <v>230</v>
      </c>
    </row>
    <row r="9923" spans="1:9" hidden="1" x14ac:dyDescent="0.25">
      <c r="A9923" t="s">
        <v>8299</v>
      </c>
      <c r="B9923" t="s">
        <v>18</v>
      </c>
      <c r="C9923" s="2">
        <f>HYPERLINK("https://cao.dolgi.msk.ru/account/1083283599/", 1083283599)</f>
        <v>1083283599</v>
      </c>
      <c r="D9923" t="s">
        <v>15</v>
      </c>
      <c r="E9923">
        <v>0</v>
      </c>
      <c r="G9923" t="s">
        <v>12</v>
      </c>
      <c r="I9923" t="s">
        <v>230</v>
      </c>
    </row>
    <row r="9924" spans="1:9" hidden="1" x14ac:dyDescent="0.25">
      <c r="A9924" t="s">
        <v>8299</v>
      </c>
      <c r="B9924" t="s">
        <v>18</v>
      </c>
      <c r="C9924" s="2">
        <f>HYPERLINK("https://cao.dolgi.msk.ru/account/1083283601/", 1083283601)</f>
        <v>1083283601</v>
      </c>
      <c r="D9924" t="s">
        <v>15</v>
      </c>
      <c r="E9924">
        <v>0</v>
      </c>
      <c r="G9924" t="s">
        <v>12</v>
      </c>
      <c r="I9924" t="s">
        <v>230</v>
      </c>
    </row>
    <row r="9925" spans="1:9" hidden="1" x14ac:dyDescent="0.25">
      <c r="A9925" t="s">
        <v>8299</v>
      </c>
      <c r="B9925" t="s">
        <v>18</v>
      </c>
      <c r="C9925" s="2">
        <f>HYPERLINK("https://cao.dolgi.msk.ru/account/1083283759/", 1083283759)</f>
        <v>1083283759</v>
      </c>
      <c r="D9925" t="s">
        <v>15</v>
      </c>
      <c r="E9925">
        <v>-1148.01</v>
      </c>
      <c r="G9925" t="s">
        <v>12</v>
      </c>
      <c r="H9925" t="s">
        <v>7</v>
      </c>
      <c r="I9925" t="s">
        <v>230</v>
      </c>
    </row>
    <row r="9926" spans="1:9" hidden="1" x14ac:dyDescent="0.25">
      <c r="A9926" t="s">
        <v>8299</v>
      </c>
      <c r="B9926" t="s">
        <v>18</v>
      </c>
      <c r="C9926" s="2">
        <f>HYPERLINK("https://cao.dolgi.msk.ru/account/1083283767/", 1083283767)</f>
        <v>1083283767</v>
      </c>
      <c r="D9926" t="s">
        <v>15</v>
      </c>
      <c r="E9926">
        <v>0</v>
      </c>
      <c r="G9926" t="s">
        <v>14</v>
      </c>
      <c r="I9926" t="s">
        <v>230</v>
      </c>
    </row>
    <row r="9927" spans="1:9" hidden="1" x14ac:dyDescent="0.25">
      <c r="A9927" t="s">
        <v>8299</v>
      </c>
      <c r="B9927" t="s">
        <v>18</v>
      </c>
      <c r="C9927" s="2">
        <f>HYPERLINK("https://cao.dolgi.msk.ru/account/1083284073/", 1083284073)</f>
        <v>1083284073</v>
      </c>
      <c r="D9927" t="s">
        <v>15</v>
      </c>
      <c r="E9927">
        <v>-2604.7800000000002</v>
      </c>
      <c r="F9927">
        <v>-1.03</v>
      </c>
      <c r="G9927" t="s">
        <v>12</v>
      </c>
      <c r="H9927" t="s">
        <v>7</v>
      </c>
      <c r="I9927" t="s">
        <v>230</v>
      </c>
    </row>
    <row r="9928" spans="1:9" x14ac:dyDescent="0.25">
      <c r="A9928" t="s">
        <v>8299</v>
      </c>
      <c r="B9928" t="s">
        <v>18</v>
      </c>
      <c r="C9928" s="2">
        <f>HYPERLINK("https://cao.dolgi.msk.ru/account/1083383119/", 1083383119)</f>
        <v>1083383119</v>
      </c>
      <c r="D9928" t="s">
        <v>15</v>
      </c>
      <c r="E9928">
        <v>42528.7</v>
      </c>
      <c r="F9928">
        <v>14.98</v>
      </c>
      <c r="G9928" t="s">
        <v>12</v>
      </c>
      <c r="H9928" t="s">
        <v>7</v>
      </c>
      <c r="I9928" t="s">
        <v>230</v>
      </c>
    </row>
    <row r="9929" spans="1:9" hidden="1" x14ac:dyDescent="0.25">
      <c r="A9929" t="s">
        <v>8299</v>
      </c>
      <c r="B9929" t="s">
        <v>18</v>
      </c>
      <c r="C9929" s="2">
        <f>HYPERLINK("https://cao.dolgi.msk.ru/account/1083389166/", 1083389166)</f>
        <v>1083389166</v>
      </c>
      <c r="D9929" t="s">
        <v>15</v>
      </c>
      <c r="E9929">
        <v>0</v>
      </c>
      <c r="F9929">
        <v>0</v>
      </c>
      <c r="G9929" t="s">
        <v>12</v>
      </c>
      <c r="H9929" t="s">
        <v>7</v>
      </c>
      <c r="I9929" t="s">
        <v>230</v>
      </c>
    </row>
    <row r="9930" spans="1:9" hidden="1" x14ac:dyDescent="0.25">
      <c r="A9930" t="s">
        <v>8299</v>
      </c>
      <c r="B9930" t="s">
        <v>20</v>
      </c>
      <c r="C9930" s="2">
        <f>HYPERLINK("https://cao.dolgi.msk.ru/account/1083282131/", 1083282131)</f>
        <v>1083282131</v>
      </c>
      <c r="D9930" t="s">
        <v>15</v>
      </c>
      <c r="E9930">
        <v>-653.69000000000005</v>
      </c>
      <c r="F9930">
        <v>-0.32</v>
      </c>
      <c r="G9930" t="s">
        <v>12</v>
      </c>
      <c r="H9930" t="s">
        <v>7</v>
      </c>
      <c r="I9930" t="s">
        <v>230</v>
      </c>
    </row>
    <row r="9931" spans="1:9" hidden="1" x14ac:dyDescent="0.25">
      <c r="A9931" t="s">
        <v>8299</v>
      </c>
      <c r="B9931" t="s">
        <v>20</v>
      </c>
      <c r="C9931" s="2">
        <f>HYPERLINK("https://cao.dolgi.msk.ru/account/1083283345/", 1083283345)</f>
        <v>1083283345</v>
      </c>
      <c r="D9931" t="s">
        <v>15</v>
      </c>
      <c r="E9931">
        <v>0</v>
      </c>
      <c r="G9931" t="s">
        <v>12</v>
      </c>
      <c r="I9931" t="s">
        <v>230</v>
      </c>
    </row>
    <row r="9932" spans="1:9" hidden="1" x14ac:dyDescent="0.25">
      <c r="A9932" t="s">
        <v>8299</v>
      </c>
      <c r="B9932" t="s">
        <v>20</v>
      </c>
      <c r="C9932" s="2">
        <f>HYPERLINK("https://cao.dolgi.msk.ru/account/1083283521/", 1083283521)</f>
        <v>1083283521</v>
      </c>
      <c r="D9932" t="s">
        <v>15</v>
      </c>
      <c r="E9932">
        <v>-5102.99</v>
      </c>
      <c r="F9932">
        <v>-1.1299999999999999</v>
      </c>
      <c r="G9932" t="s">
        <v>12</v>
      </c>
      <c r="H9932" t="s">
        <v>7</v>
      </c>
      <c r="I9932" t="s">
        <v>230</v>
      </c>
    </row>
    <row r="9933" spans="1:9" hidden="1" x14ac:dyDescent="0.25">
      <c r="A9933" t="s">
        <v>8299</v>
      </c>
      <c r="B9933" t="s">
        <v>20</v>
      </c>
      <c r="C9933" s="2">
        <f>HYPERLINK("https://cao.dolgi.msk.ru/account/1083283556/", 1083283556)</f>
        <v>1083283556</v>
      </c>
      <c r="D9933" t="s">
        <v>15</v>
      </c>
      <c r="E9933">
        <v>-2859.52</v>
      </c>
      <c r="F9933">
        <v>-1.1399999999999999</v>
      </c>
      <c r="G9933" t="s">
        <v>12</v>
      </c>
      <c r="H9933" t="s">
        <v>7</v>
      </c>
      <c r="I9933" t="s">
        <v>230</v>
      </c>
    </row>
    <row r="9934" spans="1:9" hidden="1" x14ac:dyDescent="0.25">
      <c r="A9934" t="s">
        <v>8299</v>
      </c>
      <c r="B9934" t="s">
        <v>20</v>
      </c>
      <c r="C9934" s="2">
        <f>HYPERLINK("https://cao.dolgi.msk.ru/account/1083284081/", 1083284081)</f>
        <v>1083284081</v>
      </c>
      <c r="D9934" t="s">
        <v>15</v>
      </c>
      <c r="E9934">
        <v>-6649.92</v>
      </c>
      <c r="F9934">
        <v>-1.51</v>
      </c>
      <c r="G9934" t="s">
        <v>12</v>
      </c>
      <c r="H9934" t="s">
        <v>7</v>
      </c>
      <c r="I9934" t="s">
        <v>230</v>
      </c>
    </row>
    <row r="9935" spans="1:9" hidden="1" x14ac:dyDescent="0.25">
      <c r="A9935" t="s">
        <v>8299</v>
      </c>
      <c r="B9935" t="s">
        <v>20</v>
      </c>
      <c r="C9935" s="2">
        <f>HYPERLINK("https://cao.dolgi.msk.ru/account/1083389246/", 1083389246)</f>
        <v>1083389246</v>
      </c>
      <c r="D9935" t="s">
        <v>189</v>
      </c>
      <c r="E9935">
        <v>-966.14</v>
      </c>
      <c r="F9935">
        <v>-0.51</v>
      </c>
      <c r="G9935" t="s">
        <v>12</v>
      </c>
      <c r="H9935" t="s">
        <v>7</v>
      </c>
      <c r="I9935" t="s">
        <v>230</v>
      </c>
    </row>
    <row r="9936" spans="1:9" hidden="1" x14ac:dyDescent="0.25">
      <c r="A9936" t="s">
        <v>8299</v>
      </c>
      <c r="B9936" t="s">
        <v>20</v>
      </c>
      <c r="C9936" s="2">
        <f>HYPERLINK("https://cao.dolgi.msk.ru/account/1083389262/", 1083389262)</f>
        <v>1083389262</v>
      </c>
      <c r="D9936" t="s">
        <v>189</v>
      </c>
      <c r="E9936">
        <v>0</v>
      </c>
      <c r="G9936" t="s">
        <v>14</v>
      </c>
      <c r="H9936" t="s">
        <v>7</v>
      </c>
      <c r="I9936" t="s">
        <v>230</v>
      </c>
    </row>
    <row r="9937" spans="1:9" hidden="1" x14ac:dyDescent="0.25">
      <c r="A9937" t="s">
        <v>8299</v>
      </c>
      <c r="B9937" t="s">
        <v>20</v>
      </c>
      <c r="C9937" s="2">
        <f>HYPERLINK("https://cao.dolgi.msk.ru/account/1083389289/", 1083389289)</f>
        <v>1083389289</v>
      </c>
      <c r="D9937" t="s">
        <v>189</v>
      </c>
      <c r="E9937">
        <v>-2934.61</v>
      </c>
      <c r="F9937">
        <v>-0.54</v>
      </c>
      <c r="G9937" t="s">
        <v>12</v>
      </c>
      <c r="H9937" t="s">
        <v>7</v>
      </c>
      <c r="I9937" t="s">
        <v>230</v>
      </c>
    </row>
    <row r="9938" spans="1:9" hidden="1" x14ac:dyDescent="0.25">
      <c r="A9938" t="s">
        <v>8299</v>
      </c>
      <c r="B9938" t="s">
        <v>20</v>
      </c>
      <c r="C9938" s="2">
        <f>HYPERLINK("https://cao.dolgi.msk.ru/account/1083392066/", 1083392066)</f>
        <v>1083392066</v>
      </c>
      <c r="D9938" t="s">
        <v>189</v>
      </c>
      <c r="E9938">
        <v>-3466.83</v>
      </c>
      <c r="F9938">
        <v>-1.18</v>
      </c>
      <c r="G9938" t="s">
        <v>12</v>
      </c>
      <c r="H9938" t="s">
        <v>7</v>
      </c>
      <c r="I9938" t="s">
        <v>230</v>
      </c>
    </row>
    <row r="9939" spans="1:9" x14ac:dyDescent="0.25">
      <c r="A9939" t="s">
        <v>8299</v>
      </c>
      <c r="B9939" t="s">
        <v>20</v>
      </c>
      <c r="C9939" s="2">
        <f>HYPERLINK("https://cao.dolgi.msk.ru/account/1083395419/", 1083395419)</f>
        <v>1083395419</v>
      </c>
      <c r="D9939" t="s">
        <v>189</v>
      </c>
      <c r="E9939">
        <v>19631.88</v>
      </c>
      <c r="F9939">
        <v>4</v>
      </c>
      <c r="G9939" t="s">
        <v>12</v>
      </c>
      <c r="H9939" t="s">
        <v>7</v>
      </c>
      <c r="I9939" t="s">
        <v>230</v>
      </c>
    </row>
    <row r="9940" spans="1:9" hidden="1" x14ac:dyDescent="0.25">
      <c r="A9940" t="s">
        <v>8299</v>
      </c>
      <c r="B9940" t="s">
        <v>21</v>
      </c>
      <c r="C9940" s="2">
        <f>HYPERLINK("https://cao.dolgi.msk.ru/account/1083278503/", 1083278503)</f>
        <v>1083278503</v>
      </c>
      <c r="D9940" t="s">
        <v>15</v>
      </c>
      <c r="E9940">
        <v>-5359.53</v>
      </c>
      <c r="F9940">
        <v>-1.08</v>
      </c>
      <c r="G9940" t="s">
        <v>12</v>
      </c>
      <c r="H9940" t="s">
        <v>7</v>
      </c>
      <c r="I9940" t="s">
        <v>230</v>
      </c>
    </row>
    <row r="9941" spans="1:9" hidden="1" x14ac:dyDescent="0.25">
      <c r="A9941" t="s">
        <v>8299</v>
      </c>
      <c r="B9941" t="s">
        <v>21</v>
      </c>
      <c r="C9941" s="2">
        <f>HYPERLINK("https://cao.dolgi.msk.ru/account/1083278546/", 1083278546)</f>
        <v>1083278546</v>
      </c>
      <c r="D9941" t="s">
        <v>15</v>
      </c>
      <c r="E9941">
        <v>-5653.83</v>
      </c>
      <c r="F9941">
        <v>-1.03</v>
      </c>
      <c r="G9941" t="s">
        <v>12</v>
      </c>
      <c r="H9941" t="s">
        <v>7</v>
      </c>
      <c r="I9941" t="s">
        <v>230</v>
      </c>
    </row>
    <row r="9942" spans="1:9" hidden="1" x14ac:dyDescent="0.25">
      <c r="A9942" t="s">
        <v>8299</v>
      </c>
      <c r="B9942" t="s">
        <v>21</v>
      </c>
      <c r="C9942" s="2">
        <f>HYPERLINK("https://cao.dolgi.msk.ru/account/1083278554/", 1083278554)</f>
        <v>1083278554</v>
      </c>
      <c r="D9942" t="s">
        <v>15</v>
      </c>
      <c r="E9942">
        <v>-3523.5</v>
      </c>
      <c r="F9942">
        <v>-1.03</v>
      </c>
      <c r="G9942" t="s">
        <v>12</v>
      </c>
      <c r="H9942" t="s">
        <v>7</v>
      </c>
      <c r="I9942" t="s">
        <v>230</v>
      </c>
    </row>
    <row r="9943" spans="1:9" hidden="1" x14ac:dyDescent="0.25">
      <c r="A9943" t="s">
        <v>8299</v>
      </c>
      <c r="B9943" t="s">
        <v>21</v>
      </c>
      <c r="C9943" s="2">
        <f>HYPERLINK("https://cao.dolgi.msk.ru/account/1083278597/", 1083278597)</f>
        <v>1083278597</v>
      </c>
      <c r="D9943" t="s">
        <v>15</v>
      </c>
      <c r="E9943">
        <v>-5553.38</v>
      </c>
      <c r="F9943">
        <v>-1.03</v>
      </c>
      <c r="G9943" t="s">
        <v>12</v>
      </c>
      <c r="H9943" t="s">
        <v>7</v>
      </c>
      <c r="I9943" t="s">
        <v>230</v>
      </c>
    </row>
    <row r="9944" spans="1:9" hidden="1" x14ac:dyDescent="0.25">
      <c r="A9944" t="s">
        <v>8299</v>
      </c>
      <c r="B9944" t="s">
        <v>21</v>
      </c>
      <c r="C9944" s="2">
        <f>HYPERLINK("https://cao.dolgi.msk.ru/account/1083278634/", 1083278634)</f>
        <v>1083278634</v>
      </c>
      <c r="D9944" t="s">
        <v>15</v>
      </c>
      <c r="E9944">
        <v>-3078.24</v>
      </c>
      <c r="F9944">
        <v>-1.03</v>
      </c>
      <c r="G9944" t="s">
        <v>12</v>
      </c>
      <c r="H9944" t="s">
        <v>7</v>
      </c>
      <c r="I9944" t="s">
        <v>230</v>
      </c>
    </row>
    <row r="9945" spans="1:9" hidden="1" x14ac:dyDescent="0.25">
      <c r="A9945" t="s">
        <v>8299</v>
      </c>
      <c r="B9945" t="s">
        <v>21</v>
      </c>
      <c r="C9945" s="2">
        <f>HYPERLINK("https://cao.dolgi.msk.ru/account/1083278642/", 1083278642)</f>
        <v>1083278642</v>
      </c>
      <c r="D9945" t="s">
        <v>15</v>
      </c>
      <c r="E9945">
        <v>-2852.44</v>
      </c>
      <c r="F9945">
        <v>-0.91</v>
      </c>
      <c r="G9945" t="s">
        <v>12</v>
      </c>
      <c r="H9945" t="s">
        <v>7</v>
      </c>
      <c r="I9945" t="s">
        <v>230</v>
      </c>
    </row>
    <row r="9946" spans="1:9" hidden="1" x14ac:dyDescent="0.25">
      <c r="A9946" t="s">
        <v>8299</v>
      </c>
      <c r="B9946" t="s">
        <v>21</v>
      </c>
      <c r="C9946" s="2">
        <f>HYPERLINK("https://cao.dolgi.msk.ru/account/1083278685/", 1083278685)</f>
        <v>1083278685</v>
      </c>
      <c r="D9946" t="s">
        <v>15</v>
      </c>
      <c r="E9946">
        <v>-2955.47</v>
      </c>
      <c r="F9946">
        <v>-1.03</v>
      </c>
      <c r="G9946" t="s">
        <v>12</v>
      </c>
      <c r="H9946" t="s">
        <v>7</v>
      </c>
      <c r="I9946" t="s">
        <v>230</v>
      </c>
    </row>
    <row r="9947" spans="1:9" hidden="1" x14ac:dyDescent="0.25">
      <c r="A9947" t="s">
        <v>8299</v>
      </c>
      <c r="B9947" t="s">
        <v>21</v>
      </c>
      <c r="C9947" s="2">
        <f>HYPERLINK("https://cao.dolgi.msk.ru/account/1083282262/", 1083282262)</f>
        <v>1083282262</v>
      </c>
      <c r="D9947" t="s">
        <v>15</v>
      </c>
      <c r="E9947">
        <v>-6378.69</v>
      </c>
      <c r="F9947">
        <v>-1.03</v>
      </c>
      <c r="G9947" t="s">
        <v>12</v>
      </c>
      <c r="H9947" t="s">
        <v>7</v>
      </c>
      <c r="I9947" t="s">
        <v>230</v>
      </c>
    </row>
    <row r="9948" spans="1:9" hidden="1" x14ac:dyDescent="0.25">
      <c r="A9948" t="s">
        <v>8299</v>
      </c>
      <c r="B9948" t="s">
        <v>21</v>
      </c>
      <c r="C9948" s="2">
        <f>HYPERLINK("https://cao.dolgi.msk.ru/account/1083282289/", 1083282289)</f>
        <v>1083282289</v>
      </c>
      <c r="D9948" t="s">
        <v>8307</v>
      </c>
      <c r="E9948">
        <v>176.88</v>
      </c>
      <c r="F9948">
        <v>0.06</v>
      </c>
      <c r="G9948" t="s">
        <v>12</v>
      </c>
      <c r="H9948" t="s">
        <v>7</v>
      </c>
      <c r="I9948" t="s">
        <v>230</v>
      </c>
    </row>
    <row r="9949" spans="1:9" hidden="1" x14ac:dyDescent="0.25">
      <c r="A9949" t="s">
        <v>8299</v>
      </c>
      <c r="B9949" t="s">
        <v>21</v>
      </c>
      <c r="C9949" s="2">
        <f>HYPERLINK("https://cao.dolgi.msk.ru/account/1083283425/", 1083283425)</f>
        <v>1083283425</v>
      </c>
      <c r="D9949" t="s">
        <v>15</v>
      </c>
      <c r="E9949">
        <v>-2657.97</v>
      </c>
      <c r="F9949">
        <v>-1.05</v>
      </c>
      <c r="G9949" t="s">
        <v>12</v>
      </c>
      <c r="H9949" t="s">
        <v>7</v>
      </c>
      <c r="I9949" t="s">
        <v>230</v>
      </c>
    </row>
    <row r="9950" spans="1:9" hidden="1" x14ac:dyDescent="0.25">
      <c r="A9950" t="s">
        <v>8299</v>
      </c>
      <c r="B9950" t="s">
        <v>21</v>
      </c>
      <c r="C9950" s="2">
        <f>HYPERLINK("https://cao.dolgi.msk.ru/account/1083283564/", 1083283564)</f>
        <v>1083283564</v>
      </c>
      <c r="D9950" t="s">
        <v>15</v>
      </c>
      <c r="E9950">
        <v>0</v>
      </c>
      <c r="G9950" t="s">
        <v>12</v>
      </c>
      <c r="I9950" t="s">
        <v>230</v>
      </c>
    </row>
    <row r="9951" spans="1:9" x14ac:dyDescent="0.25">
      <c r="A9951" t="s">
        <v>8299</v>
      </c>
      <c r="B9951" t="s">
        <v>21</v>
      </c>
      <c r="C9951" s="2">
        <f>HYPERLINK("https://cao.dolgi.msk.ru/account/1083391872/", 1083391872)</f>
        <v>1083391872</v>
      </c>
      <c r="D9951" t="s">
        <v>189</v>
      </c>
      <c r="E9951">
        <v>5110.74</v>
      </c>
      <c r="F9951">
        <v>3</v>
      </c>
      <c r="G9951" t="s">
        <v>12</v>
      </c>
      <c r="H9951" t="s">
        <v>7</v>
      </c>
      <c r="I9951" t="s">
        <v>230</v>
      </c>
    </row>
    <row r="9952" spans="1:9" x14ac:dyDescent="0.25">
      <c r="A9952" t="s">
        <v>8299</v>
      </c>
      <c r="B9952" t="s">
        <v>21</v>
      </c>
      <c r="C9952" s="2">
        <f>HYPERLINK("https://cao.dolgi.msk.ru/account/1083391899/", 1083391899)</f>
        <v>1083391899</v>
      </c>
      <c r="D9952" t="s">
        <v>189</v>
      </c>
      <c r="E9952">
        <v>4357.26</v>
      </c>
      <c r="F9952">
        <v>3</v>
      </c>
      <c r="G9952" t="s">
        <v>12</v>
      </c>
      <c r="H9952" t="s">
        <v>7</v>
      </c>
      <c r="I9952" t="s">
        <v>230</v>
      </c>
    </row>
    <row r="9953" spans="1:9" hidden="1" x14ac:dyDescent="0.25">
      <c r="A9953" t="s">
        <v>8308</v>
      </c>
      <c r="B9953" t="s">
        <v>10</v>
      </c>
      <c r="C9953" s="2">
        <f>HYPERLINK("https://cao.dolgi.msk.ru/account/1080101374/", 1080101374)</f>
        <v>1080101374</v>
      </c>
      <c r="D9953" t="s">
        <v>8309</v>
      </c>
      <c r="E9953">
        <v>4504.91</v>
      </c>
      <c r="F9953">
        <v>1</v>
      </c>
      <c r="G9953" t="s">
        <v>12</v>
      </c>
      <c r="H9953" t="s">
        <v>7</v>
      </c>
      <c r="I9953" t="s">
        <v>230</v>
      </c>
    </row>
    <row r="9954" spans="1:9" hidden="1" x14ac:dyDescent="0.25">
      <c r="A9954" t="s">
        <v>8308</v>
      </c>
      <c r="B9954" t="s">
        <v>10</v>
      </c>
      <c r="C9954" s="2">
        <f>HYPERLINK("https://cao.dolgi.msk.ru/account/1080101382/", 1080101382)</f>
        <v>1080101382</v>
      </c>
      <c r="D9954" t="s">
        <v>8310</v>
      </c>
      <c r="E9954">
        <v>-4348.28</v>
      </c>
      <c r="F9954">
        <v>-2.33</v>
      </c>
      <c r="G9954" t="s">
        <v>12</v>
      </c>
      <c r="H9954" t="s">
        <v>7</v>
      </c>
      <c r="I9954" t="s">
        <v>230</v>
      </c>
    </row>
    <row r="9955" spans="1:9" hidden="1" x14ac:dyDescent="0.25">
      <c r="A9955" t="s">
        <v>8308</v>
      </c>
      <c r="B9955" t="s">
        <v>16</v>
      </c>
      <c r="C9955" s="2">
        <f>HYPERLINK("https://cao.dolgi.msk.ru/account/1080101403/", 1080101403)</f>
        <v>1080101403</v>
      </c>
      <c r="D9955" t="s">
        <v>8311</v>
      </c>
      <c r="E9955">
        <v>-6833.78</v>
      </c>
      <c r="F9955">
        <v>-1.02</v>
      </c>
      <c r="G9955" t="s">
        <v>12</v>
      </c>
      <c r="I9955" t="s">
        <v>230</v>
      </c>
    </row>
    <row r="9956" spans="1:9" hidden="1" x14ac:dyDescent="0.25">
      <c r="A9956" t="s">
        <v>8308</v>
      </c>
      <c r="B9956" t="s">
        <v>18</v>
      </c>
      <c r="C9956" s="2">
        <f>HYPERLINK("https://cao.dolgi.msk.ru/account/1080101411/", 1080101411)</f>
        <v>1080101411</v>
      </c>
      <c r="D9956" t="s">
        <v>8312</v>
      </c>
      <c r="E9956">
        <v>-4757.08</v>
      </c>
      <c r="F9956">
        <v>-0.98</v>
      </c>
      <c r="G9956" t="s">
        <v>12</v>
      </c>
      <c r="H9956" t="s">
        <v>7</v>
      </c>
      <c r="I9956" t="s">
        <v>230</v>
      </c>
    </row>
    <row r="9957" spans="1:9" x14ac:dyDescent="0.25">
      <c r="A9957" t="s">
        <v>8308</v>
      </c>
      <c r="B9957" t="s">
        <v>18</v>
      </c>
      <c r="C9957" s="2">
        <f>HYPERLINK("https://cao.dolgi.msk.ru/account/1080101438/", 1080101438)</f>
        <v>1080101438</v>
      </c>
      <c r="D9957" t="s">
        <v>8312</v>
      </c>
      <c r="E9957">
        <v>136055.78</v>
      </c>
      <c r="F9957">
        <v>23.38</v>
      </c>
      <c r="G9957" t="s">
        <v>12</v>
      </c>
      <c r="H9957" t="s">
        <v>7</v>
      </c>
      <c r="I9957" t="s">
        <v>230</v>
      </c>
    </row>
    <row r="9958" spans="1:9" hidden="1" x14ac:dyDescent="0.25">
      <c r="A9958" t="s">
        <v>8308</v>
      </c>
      <c r="B9958" t="s">
        <v>20</v>
      </c>
      <c r="C9958" s="2">
        <f>HYPERLINK("https://cao.dolgi.msk.ru/account/1080101454/", 1080101454)</f>
        <v>1080101454</v>
      </c>
      <c r="D9958" t="s">
        <v>8313</v>
      </c>
      <c r="E9958">
        <v>188.52</v>
      </c>
      <c r="F9958">
        <v>0.02</v>
      </c>
      <c r="G9958" t="s">
        <v>12</v>
      </c>
      <c r="I9958" t="s">
        <v>230</v>
      </c>
    </row>
    <row r="9959" spans="1:9" hidden="1" x14ac:dyDescent="0.25">
      <c r="A9959" t="s">
        <v>8308</v>
      </c>
      <c r="B9959" t="s">
        <v>21</v>
      </c>
      <c r="C9959" s="2">
        <f>HYPERLINK("https://cao.dolgi.msk.ru/account/1080101462/", 1080101462)</f>
        <v>1080101462</v>
      </c>
      <c r="D9959" t="s">
        <v>15</v>
      </c>
      <c r="G9959" t="s">
        <v>14</v>
      </c>
      <c r="I9959" t="s">
        <v>230</v>
      </c>
    </row>
    <row r="9960" spans="1:9" hidden="1" x14ac:dyDescent="0.25">
      <c r="A9960" t="s">
        <v>8308</v>
      </c>
      <c r="B9960" t="s">
        <v>21</v>
      </c>
      <c r="C9960" s="2">
        <f>HYPERLINK("https://cao.dolgi.msk.ru/account/1080101489/", 1080101489)</f>
        <v>1080101489</v>
      </c>
      <c r="D9960" t="s">
        <v>8314</v>
      </c>
      <c r="E9960">
        <v>-3595.29</v>
      </c>
      <c r="F9960">
        <v>-0.45</v>
      </c>
      <c r="G9960" t="s">
        <v>12</v>
      </c>
      <c r="I9960" t="s">
        <v>230</v>
      </c>
    </row>
    <row r="9961" spans="1:9" hidden="1" x14ac:dyDescent="0.25">
      <c r="A9961" t="s">
        <v>8308</v>
      </c>
      <c r="B9961" t="s">
        <v>21</v>
      </c>
      <c r="C9961" s="2">
        <f>HYPERLINK("https://cao.dolgi.msk.ru/account/1089130219/", 1089130219)</f>
        <v>1089130219</v>
      </c>
      <c r="D9961" t="s">
        <v>15</v>
      </c>
      <c r="G9961" t="s">
        <v>14</v>
      </c>
      <c r="I9961" t="s">
        <v>230</v>
      </c>
    </row>
    <row r="9962" spans="1:9" hidden="1" x14ac:dyDescent="0.25">
      <c r="A9962" t="s">
        <v>8308</v>
      </c>
      <c r="B9962" t="s">
        <v>22</v>
      </c>
      <c r="C9962" s="2">
        <f>HYPERLINK("https://cao.dolgi.msk.ru/account/1080101497/", 1080101497)</f>
        <v>1080101497</v>
      </c>
      <c r="D9962" t="s">
        <v>8315</v>
      </c>
      <c r="E9962">
        <v>-9897.14</v>
      </c>
      <c r="F9962">
        <v>-1.47</v>
      </c>
      <c r="G9962" t="s">
        <v>12</v>
      </c>
      <c r="I9962" t="s">
        <v>230</v>
      </c>
    </row>
    <row r="9963" spans="1:9" hidden="1" x14ac:dyDescent="0.25">
      <c r="A9963" t="s">
        <v>8308</v>
      </c>
      <c r="B9963" t="s">
        <v>23</v>
      </c>
      <c r="C9963" s="2">
        <f>HYPERLINK("https://cao.dolgi.msk.ru/account/1080101518/", 1080101518)</f>
        <v>1080101518</v>
      </c>
      <c r="D9963" t="s">
        <v>8316</v>
      </c>
      <c r="E9963">
        <v>-1871.12</v>
      </c>
      <c r="F9963">
        <v>-1.03</v>
      </c>
      <c r="G9963" t="s">
        <v>12</v>
      </c>
      <c r="H9963" t="s">
        <v>7</v>
      </c>
      <c r="I9963" t="s">
        <v>230</v>
      </c>
    </row>
    <row r="9964" spans="1:9" x14ac:dyDescent="0.25">
      <c r="A9964" t="s">
        <v>8308</v>
      </c>
      <c r="B9964" t="s">
        <v>23</v>
      </c>
      <c r="C9964" s="2">
        <f>HYPERLINK("https://cao.dolgi.msk.ru/account/1080101526/", 1080101526)</f>
        <v>1080101526</v>
      </c>
      <c r="D9964" t="s">
        <v>8316</v>
      </c>
      <c r="E9964">
        <v>55449.54</v>
      </c>
      <c r="F9964">
        <v>9.11</v>
      </c>
      <c r="G9964" t="s">
        <v>12</v>
      </c>
      <c r="H9964" t="s">
        <v>7</v>
      </c>
      <c r="I9964" t="s">
        <v>230</v>
      </c>
    </row>
    <row r="9965" spans="1:9" hidden="1" x14ac:dyDescent="0.25">
      <c r="A9965" t="s">
        <v>8308</v>
      </c>
      <c r="B9965" t="s">
        <v>23</v>
      </c>
      <c r="C9965" s="2">
        <f>HYPERLINK("https://cao.dolgi.msk.ru/account/1080101534/", 1080101534)</f>
        <v>1080101534</v>
      </c>
      <c r="D9965" t="s">
        <v>8316</v>
      </c>
      <c r="E9965">
        <v>-5436.27</v>
      </c>
      <c r="F9965">
        <v>-1.62</v>
      </c>
      <c r="G9965" t="s">
        <v>12</v>
      </c>
      <c r="H9965" t="s">
        <v>7</v>
      </c>
      <c r="I9965" t="s">
        <v>230</v>
      </c>
    </row>
    <row r="9966" spans="1:9" hidden="1" x14ac:dyDescent="0.25">
      <c r="A9966" t="s">
        <v>8308</v>
      </c>
      <c r="B9966" t="s">
        <v>24</v>
      </c>
      <c r="C9966" s="2">
        <f>HYPERLINK("https://cao.dolgi.msk.ru/account/1080101542/", 1080101542)</f>
        <v>1080101542</v>
      </c>
      <c r="D9966" t="s">
        <v>8317</v>
      </c>
      <c r="E9966">
        <v>-5859.86</v>
      </c>
      <c r="F9966">
        <v>-1.0900000000000001</v>
      </c>
      <c r="G9966" t="s">
        <v>12</v>
      </c>
      <c r="I9966" t="s">
        <v>230</v>
      </c>
    </row>
    <row r="9967" spans="1:9" hidden="1" x14ac:dyDescent="0.25">
      <c r="A9967" t="s">
        <v>8308</v>
      </c>
      <c r="B9967" t="s">
        <v>27</v>
      </c>
      <c r="C9967" s="2">
        <f>HYPERLINK("https://cao.dolgi.msk.ru/account/1080101569/", 1080101569)</f>
        <v>1080101569</v>
      </c>
      <c r="D9967" t="s">
        <v>8318</v>
      </c>
      <c r="E9967">
        <v>2453.4</v>
      </c>
      <c r="F9967">
        <v>0.26</v>
      </c>
      <c r="G9967" t="s">
        <v>12</v>
      </c>
      <c r="I9967" t="s">
        <v>230</v>
      </c>
    </row>
    <row r="9968" spans="1:9" x14ac:dyDescent="0.25">
      <c r="A9968" t="s">
        <v>8308</v>
      </c>
      <c r="B9968" t="s">
        <v>29</v>
      </c>
      <c r="C9968" s="2">
        <f>HYPERLINK("https://cao.dolgi.msk.ru/account/1080101593/", 1080101593)</f>
        <v>1080101593</v>
      </c>
      <c r="D9968" t="s">
        <v>8319</v>
      </c>
      <c r="E9968">
        <v>5861.71</v>
      </c>
      <c r="F9968">
        <v>1.03</v>
      </c>
      <c r="G9968" t="s">
        <v>12</v>
      </c>
      <c r="I9968" t="s">
        <v>230</v>
      </c>
    </row>
    <row r="9969" spans="1:9" x14ac:dyDescent="0.25">
      <c r="A9969" t="s">
        <v>8308</v>
      </c>
      <c r="B9969" t="s">
        <v>31</v>
      </c>
      <c r="C9969" s="2">
        <f>HYPERLINK("https://cao.dolgi.msk.ru/account/1080101606/", 1080101606)</f>
        <v>1080101606</v>
      </c>
      <c r="D9969" t="s">
        <v>8320</v>
      </c>
      <c r="E9969">
        <v>4789.87</v>
      </c>
      <c r="F9969">
        <v>1.08</v>
      </c>
      <c r="G9969" t="s">
        <v>12</v>
      </c>
      <c r="H9969" t="s">
        <v>7</v>
      </c>
      <c r="I9969" t="s">
        <v>230</v>
      </c>
    </row>
    <row r="9970" spans="1:9" x14ac:dyDescent="0.25">
      <c r="A9970" t="s">
        <v>8308</v>
      </c>
      <c r="B9970" t="s">
        <v>31</v>
      </c>
      <c r="C9970" s="2">
        <f>HYPERLINK("https://cao.dolgi.msk.ru/account/1080101614/", 1080101614)</f>
        <v>1080101614</v>
      </c>
      <c r="D9970" t="s">
        <v>8320</v>
      </c>
      <c r="E9970">
        <v>343956.73</v>
      </c>
      <c r="F9970">
        <v>41.89</v>
      </c>
      <c r="G9970" t="s">
        <v>12</v>
      </c>
      <c r="H9970" t="s">
        <v>7</v>
      </c>
      <c r="I9970" t="s">
        <v>230</v>
      </c>
    </row>
    <row r="9971" spans="1:9" hidden="1" x14ac:dyDescent="0.25">
      <c r="A9971" t="s">
        <v>8308</v>
      </c>
      <c r="B9971" t="s">
        <v>33</v>
      </c>
      <c r="C9971" s="2">
        <f>HYPERLINK("https://cao.dolgi.msk.ru/account/1080101622/", 1080101622)</f>
        <v>1080101622</v>
      </c>
      <c r="D9971" t="s">
        <v>8321</v>
      </c>
      <c r="E9971">
        <v>-5402.65</v>
      </c>
      <c r="F9971">
        <v>-1.07</v>
      </c>
      <c r="G9971" t="s">
        <v>12</v>
      </c>
      <c r="H9971" t="s">
        <v>7</v>
      </c>
      <c r="I9971" t="s">
        <v>230</v>
      </c>
    </row>
    <row r="9972" spans="1:9" hidden="1" x14ac:dyDescent="0.25">
      <c r="A9972" t="s">
        <v>8308</v>
      </c>
      <c r="B9972" t="s">
        <v>33</v>
      </c>
      <c r="C9972" s="2">
        <f>HYPERLINK("https://cao.dolgi.msk.ru/account/1080101649/", 1080101649)</f>
        <v>1080101649</v>
      </c>
      <c r="D9972" t="s">
        <v>8322</v>
      </c>
      <c r="E9972">
        <v>159.33000000000001</v>
      </c>
      <c r="F9972">
        <v>0.12</v>
      </c>
      <c r="G9972" t="s">
        <v>12</v>
      </c>
      <c r="H9972" t="s">
        <v>7</v>
      </c>
      <c r="I9972" t="s">
        <v>230</v>
      </c>
    </row>
    <row r="9973" spans="1:9" hidden="1" x14ac:dyDescent="0.25">
      <c r="A9973" t="s">
        <v>8308</v>
      </c>
      <c r="B9973" t="s">
        <v>34</v>
      </c>
      <c r="C9973" s="2">
        <f>HYPERLINK("https://cao.dolgi.msk.ru/account/1080101665/", 1080101665)</f>
        <v>1080101665</v>
      </c>
      <c r="D9973" t="s">
        <v>15</v>
      </c>
      <c r="E9973">
        <v>26.26</v>
      </c>
      <c r="F9973">
        <v>0.01</v>
      </c>
      <c r="G9973" t="s">
        <v>12</v>
      </c>
      <c r="H9973" t="s">
        <v>7</v>
      </c>
      <c r="I9973" t="s">
        <v>230</v>
      </c>
    </row>
    <row r="9974" spans="1:9" hidden="1" x14ac:dyDescent="0.25">
      <c r="A9974" t="s">
        <v>8308</v>
      </c>
      <c r="B9974" t="s">
        <v>34</v>
      </c>
      <c r="C9974" s="2">
        <f>HYPERLINK("https://cao.dolgi.msk.ru/account/1080101673/", 1080101673)</f>
        <v>1080101673</v>
      </c>
      <c r="D9974" t="s">
        <v>8323</v>
      </c>
      <c r="E9974">
        <v>-3265.21</v>
      </c>
      <c r="F9974">
        <v>-0.95</v>
      </c>
      <c r="G9974" t="s">
        <v>12</v>
      </c>
      <c r="H9974" t="s">
        <v>7</v>
      </c>
      <c r="I9974" t="s">
        <v>230</v>
      </c>
    </row>
    <row r="9975" spans="1:9" x14ac:dyDescent="0.25">
      <c r="A9975" t="s">
        <v>8308</v>
      </c>
      <c r="B9975" t="s">
        <v>34</v>
      </c>
      <c r="C9975" s="2">
        <f>HYPERLINK("https://cao.dolgi.msk.ru/account/1089118105/", 1089118105)</f>
        <v>1089118105</v>
      </c>
      <c r="D9975" t="s">
        <v>15</v>
      </c>
      <c r="E9975">
        <v>2495.25</v>
      </c>
      <c r="F9975">
        <v>1.26</v>
      </c>
      <c r="G9975" t="s">
        <v>12</v>
      </c>
      <c r="H9975" t="s">
        <v>7</v>
      </c>
      <c r="I9975" t="s">
        <v>230</v>
      </c>
    </row>
    <row r="9976" spans="1:9" hidden="1" x14ac:dyDescent="0.25">
      <c r="A9976" t="s">
        <v>8308</v>
      </c>
      <c r="B9976" t="s">
        <v>36</v>
      </c>
      <c r="C9976" s="2">
        <f>HYPERLINK("https://cao.dolgi.msk.ru/account/1080101681/", 1080101681)</f>
        <v>1080101681</v>
      </c>
      <c r="D9976" t="s">
        <v>8324</v>
      </c>
      <c r="E9976">
        <v>-9750.2999999999993</v>
      </c>
      <c r="F9976">
        <v>-0.93</v>
      </c>
      <c r="G9976" t="s">
        <v>12</v>
      </c>
      <c r="I9976" t="s">
        <v>230</v>
      </c>
    </row>
    <row r="9977" spans="1:9" hidden="1" x14ac:dyDescent="0.25">
      <c r="A9977" t="s">
        <v>8308</v>
      </c>
      <c r="B9977" t="s">
        <v>38</v>
      </c>
      <c r="C9977" s="2">
        <f>HYPERLINK("https://cao.dolgi.msk.ru/account/1080101737/", 1080101737)</f>
        <v>1080101737</v>
      </c>
      <c r="D9977" t="s">
        <v>8325</v>
      </c>
      <c r="E9977">
        <v>-5204.07</v>
      </c>
      <c r="F9977">
        <v>-0.79</v>
      </c>
      <c r="G9977" t="s">
        <v>12</v>
      </c>
      <c r="I9977" t="s">
        <v>230</v>
      </c>
    </row>
    <row r="9978" spans="1:9" hidden="1" x14ac:dyDescent="0.25">
      <c r="A9978" t="s">
        <v>8308</v>
      </c>
      <c r="B9978" t="s">
        <v>39</v>
      </c>
      <c r="C9978" s="2">
        <f>HYPERLINK("https://cao.dolgi.msk.ru/account/1080101745/", 1080101745)</f>
        <v>1080101745</v>
      </c>
      <c r="D9978" t="s">
        <v>8326</v>
      </c>
      <c r="E9978">
        <v>-86.43</v>
      </c>
      <c r="F9978">
        <v>-0.01</v>
      </c>
      <c r="G9978" t="s">
        <v>12</v>
      </c>
      <c r="I9978" t="s">
        <v>230</v>
      </c>
    </row>
    <row r="9979" spans="1:9" hidden="1" x14ac:dyDescent="0.25">
      <c r="A9979" t="s">
        <v>8308</v>
      </c>
      <c r="B9979" t="s">
        <v>40</v>
      </c>
      <c r="C9979" s="2">
        <f>HYPERLINK("https://cao.dolgi.msk.ru/account/1080101753/", 1080101753)</f>
        <v>1080101753</v>
      </c>
      <c r="D9979" t="s">
        <v>8327</v>
      </c>
      <c r="E9979">
        <v>120.21</v>
      </c>
      <c r="F9979">
        <v>0.02</v>
      </c>
      <c r="G9979" t="s">
        <v>12</v>
      </c>
      <c r="I9979" t="s">
        <v>230</v>
      </c>
    </row>
    <row r="9980" spans="1:9" hidden="1" x14ac:dyDescent="0.25">
      <c r="A9980" t="s">
        <v>8308</v>
      </c>
      <c r="B9980" t="s">
        <v>41</v>
      </c>
      <c r="C9980" s="2">
        <f>HYPERLINK("https://cao.dolgi.msk.ru/account/1080101761/", 1080101761)</f>
        <v>1080101761</v>
      </c>
      <c r="D9980" t="s">
        <v>8328</v>
      </c>
      <c r="E9980">
        <v>212.69</v>
      </c>
      <c r="F9980">
        <v>0.04</v>
      </c>
      <c r="G9980" t="s">
        <v>12</v>
      </c>
      <c r="H9980" t="s">
        <v>7</v>
      </c>
      <c r="I9980" t="s">
        <v>230</v>
      </c>
    </row>
    <row r="9981" spans="1:9" x14ac:dyDescent="0.25">
      <c r="A9981" t="s">
        <v>8308</v>
      </c>
      <c r="B9981" t="s">
        <v>41</v>
      </c>
      <c r="C9981" s="2">
        <f>HYPERLINK("https://cao.dolgi.msk.ru/account/1080101788/", 1080101788)</f>
        <v>1080101788</v>
      </c>
      <c r="D9981" t="s">
        <v>8328</v>
      </c>
      <c r="E9981">
        <v>13257.49</v>
      </c>
      <c r="F9981">
        <v>6.24</v>
      </c>
      <c r="G9981" t="s">
        <v>12</v>
      </c>
      <c r="H9981" t="s">
        <v>7</v>
      </c>
      <c r="I9981" t="s">
        <v>230</v>
      </c>
    </row>
    <row r="9982" spans="1:9" hidden="1" x14ac:dyDescent="0.25">
      <c r="A9982" t="s">
        <v>8308</v>
      </c>
      <c r="B9982" t="s">
        <v>42</v>
      </c>
      <c r="C9982" s="2">
        <f>HYPERLINK("https://cao.dolgi.msk.ru/account/1080101796/", 1080101796)</f>
        <v>1080101796</v>
      </c>
      <c r="D9982" t="s">
        <v>8329</v>
      </c>
      <c r="E9982">
        <v>-5897.24</v>
      </c>
      <c r="F9982">
        <v>-1.06</v>
      </c>
      <c r="G9982" t="s">
        <v>12</v>
      </c>
      <c r="I9982" t="s">
        <v>230</v>
      </c>
    </row>
    <row r="9983" spans="1:9" hidden="1" x14ac:dyDescent="0.25">
      <c r="A9983" t="s">
        <v>8308</v>
      </c>
      <c r="B9983" t="s">
        <v>44</v>
      </c>
      <c r="C9983" s="2">
        <f>HYPERLINK("https://cao.dolgi.msk.ru/account/1080101809/", 1080101809)</f>
        <v>1080101809</v>
      </c>
      <c r="D9983" t="s">
        <v>8330</v>
      </c>
      <c r="E9983">
        <v>-1295.1600000000001</v>
      </c>
      <c r="F9983">
        <v>-0.23</v>
      </c>
      <c r="G9983" t="s">
        <v>12</v>
      </c>
      <c r="I9983" t="s">
        <v>230</v>
      </c>
    </row>
    <row r="9984" spans="1:9" hidden="1" x14ac:dyDescent="0.25">
      <c r="A9984" t="s">
        <v>8308</v>
      </c>
      <c r="B9984" t="s">
        <v>66</v>
      </c>
      <c r="C9984" s="2">
        <f>HYPERLINK("https://cao.dolgi.msk.ru/account/1080101817/", 1080101817)</f>
        <v>1080101817</v>
      </c>
      <c r="D9984" t="s">
        <v>8331</v>
      </c>
      <c r="E9984">
        <v>-6435.33</v>
      </c>
      <c r="F9984">
        <v>-1.03</v>
      </c>
      <c r="G9984" t="s">
        <v>12</v>
      </c>
      <c r="I9984" t="s">
        <v>230</v>
      </c>
    </row>
    <row r="9985" spans="1:9" hidden="1" x14ac:dyDescent="0.25">
      <c r="A9985" t="s">
        <v>8308</v>
      </c>
      <c r="B9985" t="s">
        <v>68</v>
      </c>
      <c r="C9985" s="2">
        <f>HYPERLINK("https://cao.dolgi.msk.ru/account/1080101841/", 1080101841)</f>
        <v>1080101841</v>
      </c>
      <c r="D9985" t="s">
        <v>8332</v>
      </c>
      <c r="E9985">
        <v>4515.5</v>
      </c>
      <c r="G9985" t="s">
        <v>12</v>
      </c>
      <c r="I9985" t="s">
        <v>230</v>
      </c>
    </row>
    <row r="9986" spans="1:9" hidden="1" x14ac:dyDescent="0.25">
      <c r="A9986" t="s">
        <v>8308</v>
      </c>
      <c r="B9986" t="s">
        <v>68</v>
      </c>
      <c r="C9986" s="2">
        <f>HYPERLINK("https://cao.dolgi.msk.ru/account/1089123166/", 1089123166)</f>
        <v>1089123166</v>
      </c>
      <c r="D9986" t="s">
        <v>15</v>
      </c>
      <c r="E9986">
        <v>7799.8</v>
      </c>
      <c r="G9986" t="s">
        <v>12</v>
      </c>
      <c r="I9986" t="s">
        <v>230</v>
      </c>
    </row>
    <row r="9987" spans="1:9" hidden="1" x14ac:dyDescent="0.25">
      <c r="A9987" t="s">
        <v>8308</v>
      </c>
      <c r="B9987" t="s">
        <v>70</v>
      </c>
      <c r="C9987" s="2">
        <f>HYPERLINK("https://cao.dolgi.msk.ru/account/1080101868/", 1080101868)</f>
        <v>1080101868</v>
      </c>
      <c r="D9987" t="s">
        <v>8333</v>
      </c>
      <c r="E9987">
        <v>-5928.05</v>
      </c>
      <c r="F9987">
        <v>-1.02</v>
      </c>
      <c r="G9987" t="s">
        <v>12</v>
      </c>
      <c r="I9987" t="s">
        <v>230</v>
      </c>
    </row>
    <row r="9988" spans="1:9" hidden="1" x14ac:dyDescent="0.25">
      <c r="A9988" t="s">
        <v>8308</v>
      </c>
      <c r="B9988" t="s">
        <v>70</v>
      </c>
      <c r="C9988" s="2">
        <f>HYPERLINK("https://cao.dolgi.msk.ru/account/1080101876/", 1080101876)</f>
        <v>1080101876</v>
      </c>
      <c r="D9988" t="s">
        <v>15</v>
      </c>
      <c r="G9988" t="s">
        <v>14</v>
      </c>
      <c r="I9988" t="s">
        <v>230</v>
      </c>
    </row>
    <row r="9989" spans="1:9" hidden="1" x14ac:dyDescent="0.25">
      <c r="A9989" t="s">
        <v>8308</v>
      </c>
      <c r="B9989" t="s">
        <v>72</v>
      </c>
      <c r="C9989" s="2">
        <f>HYPERLINK("https://cao.dolgi.msk.ru/account/1080101905/", 1080101905)</f>
        <v>1080101905</v>
      </c>
      <c r="D9989" t="s">
        <v>8334</v>
      </c>
      <c r="E9989">
        <v>0</v>
      </c>
      <c r="F9989">
        <v>0</v>
      </c>
      <c r="G9989" t="s">
        <v>12</v>
      </c>
      <c r="I9989" t="s">
        <v>230</v>
      </c>
    </row>
    <row r="9990" spans="1:9" hidden="1" x14ac:dyDescent="0.25">
      <c r="A9990" t="s">
        <v>8308</v>
      </c>
      <c r="B9990" t="s">
        <v>74</v>
      </c>
      <c r="C9990" s="2">
        <f>HYPERLINK("https://cao.dolgi.msk.ru/account/1080101913/", 1080101913)</f>
        <v>1080101913</v>
      </c>
      <c r="D9990" t="s">
        <v>8335</v>
      </c>
      <c r="E9990">
        <v>-5536.12</v>
      </c>
      <c r="F9990">
        <v>-0.99</v>
      </c>
      <c r="G9990" t="s">
        <v>12</v>
      </c>
      <c r="I9990" t="s">
        <v>230</v>
      </c>
    </row>
    <row r="9991" spans="1:9" x14ac:dyDescent="0.25">
      <c r="A9991" t="s">
        <v>8308</v>
      </c>
      <c r="B9991" t="s">
        <v>76</v>
      </c>
      <c r="C9991" s="2">
        <f>HYPERLINK("https://cao.dolgi.msk.ru/account/1080101921/", 1080101921)</f>
        <v>1080101921</v>
      </c>
      <c r="D9991" t="s">
        <v>8336</v>
      </c>
      <c r="E9991">
        <v>14450.11</v>
      </c>
      <c r="F9991">
        <v>2.33</v>
      </c>
      <c r="G9991" t="s">
        <v>12</v>
      </c>
      <c r="I9991" t="s">
        <v>230</v>
      </c>
    </row>
    <row r="9992" spans="1:9" hidden="1" x14ac:dyDescent="0.25">
      <c r="A9992" t="s">
        <v>8308</v>
      </c>
      <c r="B9992" t="s">
        <v>78</v>
      </c>
      <c r="C9992" s="2">
        <f>HYPERLINK("https://cao.dolgi.msk.ru/account/1080101948/", 1080101948)</f>
        <v>1080101948</v>
      </c>
      <c r="D9992" t="s">
        <v>62</v>
      </c>
      <c r="E9992">
        <v>308.39</v>
      </c>
      <c r="G9992" t="s">
        <v>14</v>
      </c>
      <c r="I9992" t="s">
        <v>230</v>
      </c>
    </row>
    <row r="9993" spans="1:9" hidden="1" x14ac:dyDescent="0.25">
      <c r="A9993" t="s">
        <v>8308</v>
      </c>
      <c r="B9993" t="s">
        <v>78</v>
      </c>
      <c r="C9993" s="2">
        <f>HYPERLINK("https://cao.dolgi.msk.ru/account/1080101956/", 1080101956)</f>
        <v>1080101956</v>
      </c>
      <c r="D9993" t="s">
        <v>62</v>
      </c>
      <c r="E9993">
        <v>1450.71</v>
      </c>
      <c r="G9993" t="s">
        <v>14</v>
      </c>
      <c r="I9993" t="s">
        <v>230</v>
      </c>
    </row>
    <row r="9994" spans="1:9" hidden="1" x14ac:dyDescent="0.25">
      <c r="A9994" t="s">
        <v>8308</v>
      </c>
      <c r="B9994" t="s">
        <v>78</v>
      </c>
      <c r="C9994" s="2">
        <f>HYPERLINK("https://cao.dolgi.msk.ru/account/1083391768/", 1083391768)</f>
        <v>1083391768</v>
      </c>
      <c r="D9994" t="s">
        <v>189</v>
      </c>
      <c r="E9994">
        <v>-374.28</v>
      </c>
      <c r="F9994">
        <v>-0.06</v>
      </c>
      <c r="G9994" t="s">
        <v>12</v>
      </c>
      <c r="I9994" t="s">
        <v>230</v>
      </c>
    </row>
    <row r="9995" spans="1:9" hidden="1" x14ac:dyDescent="0.25">
      <c r="A9995" t="s">
        <v>8308</v>
      </c>
      <c r="B9995" t="s">
        <v>80</v>
      </c>
      <c r="C9995" s="2">
        <f>HYPERLINK("https://cao.dolgi.msk.ru/account/1080101964/", 1080101964)</f>
        <v>1080101964</v>
      </c>
      <c r="D9995" t="s">
        <v>8337</v>
      </c>
      <c r="E9995">
        <v>-3580.86</v>
      </c>
      <c r="F9995">
        <v>-1.03</v>
      </c>
      <c r="G9995" t="s">
        <v>12</v>
      </c>
      <c r="I9995" t="s">
        <v>230</v>
      </c>
    </row>
    <row r="9996" spans="1:9" hidden="1" x14ac:dyDescent="0.25">
      <c r="A9996" t="s">
        <v>8308</v>
      </c>
      <c r="B9996" t="s">
        <v>82</v>
      </c>
      <c r="C9996" s="2">
        <f>HYPERLINK("https://cao.dolgi.msk.ru/account/1080101972/", 1080101972)</f>
        <v>1080101972</v>
      </c>
      <c r="D9996" t="s">
        <v>8338</v>
      </c>
      <c r="E9996">
        <v>-95.74</v>
      </c>
      <c r="F9996">
        <v>-0.02</v>
      </c>
      <c r="G9996" t="s">
        <v>12</v>
      </c>
      <c r="I9996" t="s">
        <v>230</v>
      </c>
    </row>
    <row r="9997" spans="1:9" hidden="1" x14ac:dyDescent="0.25">
      <c r="A9997" t="s">
        <v>8308</v>
      </c>
      <c r="B9997" t="s">
        <v>84</v>
      </c>
      <c r="C9997" s="2">
        <f>HYPERLINK("https://cao.dolgi.msk.ru/account/1080101999/", 1080101999)</f>
        <v>1080101999</v>
      </c>
      <c r="D9997" t="s">
        <v>8339</v>
      </c>
      <c r="E9997">
        <v>-868.03</v>
      </c>
      <c r="F9997">
        <v>-0.55000000000000004</v>
      </c>
      <c r="G9997" t="s">
        <v>12</v>
      </c>
      <c r="H9997" t="s">
        <v>7</v>
      </c>
      <c r="I9997" t="s">
        <v>230</v>
      </c>
    </row>
    <row r="9998" spans="1:9" hidden="1" x14ac:dyDescent="0.25">
      <c r="A9998" t="s">
        <v>8308</v>
      </c>
      <c r="B9998" t="s">
        <v>84</v>
      </c>
      <c r="C9998" s="2">
        <f>HYPERLINK("https://cao.dolgi.msk.ru/account/1080102019/", 1080102019)</f>
        <v>1080102019</v>
      </c>
      <c r="D9998" t="s">
        <v>8339</v>
      </c>
      <c r="E9998">
        <v>-3412.45</v>
      </c>
      <c r="F9998">
        <v>-1.01</v>
      </c>
      <c r="G9998" t="s">
        <v>12</v>
      </c>
      <c r="H9998" t="s">
        <v>7</v>
      </c>
      <c r="I9998" t="s">
        <v>230</v>
      </c>
    </row>
    <row r="9999" spans="1:9" hidden="1" x14ac:dyDescent="0.25">
      <c r="A9999" t="s">
        <v>8308</v>
      </c>
      <c r="B9999" t="s">
        <v>84</v>
      </c>
      <c r="C9999" s="2">
        <f>HYPERLINK("https://cao.dolgi.msk.ru/account/1080102027/", 1080102027)</f>
        <v>1080102027</v>
      </c>
      <c r="D9999" t="s">
        <v>8340</v>
      </c>
      <c r="E9999">
        <v>-2402.1999999999998</v>
      </c>
      <c r="F9999">
        <v>-1.1299999999999999</v>
      </c>
      <c r="G9999" t="s">
        <v>12</v>
      </c>
      <c r="H9999" t="s">
        <v>7</v>
      </c>
      <c r="I9999" t="s">
        <v>230</v>
      </c>
    </row>
    <row r="10000" spans="1:9" hidden="1" x14ac:dyDescent="0.25">
      <c r="A10000" t="s">
        <v>8308</v>
      </c>
      <c r="B10000" t="s">
        <v>86</v>
      </c>
      <c r="C10000" s="2">
        <f>HYPERLINK("https://cao.dolgi.msk.ru/account/1080102035/", 1080102035)</f>
        <v>1080102035</v>
      </c>
      <c r="D10000" t="s">
        <v>8341</v>
      </c>
      <c r="E10000">
        <v>-1465.9</v>
      </c>
      <c r="F10000">
        <v>-0.64</v>
      </c>
      <c r="G10000" t="s">
        <v>12</v>
      </c>
      <c r="H10000" t="s">
        <v>7</v>
      </c>
      <c r="I10000" t="s">
        <v>230</v>
      </c>
    </row>
    <row r="10001" spans="1:9" hidden="1" x14ac:dyDescent="0.25">
      <c r="A10001" t="s">
        <v>8308</v>
      </c>
      <c r="B10001" t="s">
        <v>88</v>
      </c>
      <c r="C10001" s="2">
        <f>HYPERLINK("https://cao.dolgi.msk.ru/account/1080102078/", 1080102078)</f>
        <v>1080102078</v>
      </c>
      <c r="D10001" t="s">
        <v>15</v>
      </c>
      <c r="E10001">
        <v>-5450.96</v>
      </c>
      <c r="F10001">
        <v>-1.05</v>
      </c>
      <c r="G10001" t="s">
        <v>12</v>
      </c>
      <c r="I10001" t="s">
        <v>230</v>
      </c>
    </row>
    <row r="10002" spans="1:9" hidden="1" x14ac:dyDescent="0.25">
      <c r="A10002" t="s">
        <v>8308</v>
      </c>
      <c r="B10002" t="s">
        <v>90</v>
      </c>
      <c r="C10002" s="2">
        <f>HYPERLINK("https://cao.dolgi.msk.ru/account/1080102086/", 1080102086)</f>
        <v>1080102086</v>
      </c>
      <c r="D10002" t="s">
        <v>8342</v>
      </c>
      <c r="E10002">
        <v>572.16</v>
      </c>
      <c r="F10002">
        <v>0.1</v>
      </c>
      <c r="G10002" t="s">
        <v>12</v>
      </c>
      <c r="I10002" t="s">
        <v>230</v>
      </c>
    </row>
    <row r="10003" spans="1:9" hidden="1" x14ac:dyDescent="0.25">
      <c r="A10003" t="s">
        <v>8308</v>
      </c>
      <c r="B10003" t="s">
        <v>92</v>
      </c>
      <c r="C10003" s="2">
        <f>HYPERLINK("https://cao.dolgi.msk.ru/account/1080102094/", 1080102094)</f>
        <v>1080102094</v>
      </c>
      <c r="D10003" t="s">
        <v>8343</v>
      </c>
      <c r="E10003">
        <v>-6273.37</v>
      </c>
      <c r="F10003">
        <v>-0.95</v>
      </c>
      <c r="G10003" t="s">
        <v>12</v>
      </c>
      <c r="I10003" t="s">
        <v>230</v>
      </c>
    </row>
    <row r="10004" spans="1:9" hidden="1" x14ac:dyDescent="0.25">
      <c r="A10004" t="s">
        <v>8308</v>
      </c>
      <c r="B10004" t="s">
        <v>94</v>
      </c>
      <c r="C10004" s="2">
        <f>HYPERLINK("https://cao.dolgi.msk.ru/account/1080102107/", 1080102107)</f>
        <v>1080102107</v>
      </c>
      <c r="D10004" t="s">
        <v>8344</v>
      </c>
      <c r="E10004">
        <v>-5076.55</v>
      </c>
      <c r="F10004">
        <v>-0.96</v>
      </c>
      <c r="G10004" t="s">
        <v>12</v>
      </c>
      <c r="I10004" t="s">
        <v>230</v>
      </c>
    </row>
    <row r="10005" spans="1:9" hidden="1" x14ac:dyDescent="0.25">
      <c r="A10005" t="s">
        <v>8308</v>
      </c>
      <c r="B10005" t="s">
        <v>96</v>
      </c>
      <c r="C10005" s="2">
        <f>HYPERLINK("https://cao.dolgi.msk.ru/account/1080102115/", 1080102115)</f>
        <v>1080102115</v>
      </c>
      <c r="D10005" t="s">
        <v>8345</v>
      </c>
      <c r="E10005">
        <v>-46741.36</v>
      </c>
      <c r="F10005">
        <v>-8.24</v>
      </c>
      <c r="G10005" t="s">
        <v>12</v>
      </c>
      <c r="I10005" t="s">
        <v>230</v>
      </c>
    </row>
    <row r="10006" spans="1:9" hidden="1" x14ac:dyDescent="0.25">
      <c r="A10006" t="s">
        <v>8308</v>
      </c>
      <c r="B10006" t="s">
        <v>98</v>
      </c>
      <c r="C10006" s="2">
        <f>HYPERLINK("https://cao.dolgi.msk.ru/account/1080102131/", 1080102131)</f>
        <v>1080102131</v>
      </c>
      <c r="D10006" t="s">
        <v>8346</v>
      </c>
      <c r="E10006">
        <v>-6643.83</v>
      </c>
      <c r="F10006">
        <v>-0.96</v>
      </c>
      <c r="G10006" t="s">
        <v>12</v>
      </c>
      <c r="I10006" t="s">
        <v>230</v>
      </c>
    </row>
    <row r="10007" spans="1:9" hidden="1" x14ac:dyDescent="0.25">
      <c r="A10007" t="s">
        <v>8308</v>
      </c>
      <c r="B10007" t="s">
        <v>100</v>
      </c>
      <c r="C10007" s="2">
        <f>HYPERLINK("https://cao.dolgi.msk.ru/account/1080102158/", 1080102158)</f>
        <v>1080102158</v>
      </c>
      <c r="D10007" t="s">
        <v>8347</v>
      </c>
      <c r="E10007">
        <v>5889.75</v>
      </c>
      <c r="F10007">
        <v>0.99</v>
      </c>
      <c r="G10007" t="s">
        <v>12</v>
      </c>
      <c r="I10007" t="s">
        <v>230</v>
      </c>
    </row>
    <row r="10008" spans="1:9" hidden="1" x14ac:dyDescent="0.25">
      <c r="A10008" t="s">
        <v>8308</v>
      </c>
      <c r="B10008" t="s">
        <v>102</v>
      </c>
      <c r="C10008" s="2">
        <f>HYPERLINK("https://cao.dolgi.msk.ru/account/1080102166/", 1080102166)</f>
        <v>1080102166</v>
      </c>
      <c r="D10008" t="s">
        <v>8348</v>
      </c>
      <c r="E10008">
        <v>-2339.44</v>
      </c>
      <c r="F10008">
        <v>-0.94</v>
      </c>
      <c r="G10008" t="s">
        <v>12</v>
      </c>
      <c r="H10008" t="s">
        <v>7</v>
      </c>
      <c r="I10008" t="s">
        <v>230</v>
      </c>
    </row>
    <row r="10009" spans="1:9" hidden="1" x14ac:dyDescent="0.25">
      <c r="A10009" t="s">
        <v>8308</v>
      </c>
      <c r="B10009" t="s">
        <v>102</v>
      </c>
      <c r="C10009" s="2">
        <f>HYPERLINK("https://cao.dolgi.msk.ru/account/1080102174/", 1080102174)</f>
        <v>1080102174</v>
      </c>
      <c r="D10009" t="s">
        <v>8348</v>
      </c>
      <c r="E10009">
        <v>-4096.2299999999996</v>
      </c>
      <c r="F10009">
        <v>-1.02</v>
      </c>
      <c r="G10009" t="s">
        <v>12</v>
      </c>
      <c r="H10009" t="s">
        <v>7</v>
      </c>
      <c r="I10009" t="s">
        <v>230</v>
      </c>
    </row>
    <row r="10010" spans="1:9" x14ac:dyDescent="0.25">
      <c r="A10010" t="s">
        <v>8308</v>
      </c>
      <c r="B10010" t="s">
        <v>104</v>
      </c>
      <c r="C10010" s="2">
        <f>HYPERLINK("https://cao.dolgi.msk.ru/account/1080102203/", 1080102203)</f>
        <v>1080102203</v>
      </c>
      <c r="D10010" t="s">
        <v>8349</v>
      </c>
      <c r="E10010">
        <v>88607.2</v>
      </c>
      <c r="F10010">
        <v>14.02</v>
      </c>
      <c r="G10010" t="s">
        <v>12</v>
      </c>
      <c r="I10010" t="s">
        <v>230</v>
      </c>
    </row>
    <row r="10011" spans="1:9" x14ac:dyDescent="0.25">
      <c r="A10011" t="s">
        <v>8308</v>
      </c>
      <c r="B10011" t="s">
        <v>104</v>
      </c>
      <c r="C10011" s="2">
        <f>HYPERLINK("https://cao.dolgi.msk.ru/account/1083391856/", 1083391856)</f>
        <v>1083391856</v>
      </c>
      <c r="D10011" t="s">
        <v>189</v>
      </c>
      <c r="E10011">
        <v>167566.56</v>
      </c>
      <c r="F10011">
        <v>36.56</v>
      </c>
      <c r="G10011" t="s">
        <v>12</v>
      </c>
      <c r="I10011" t="s">
        <v>230</v>
      </c>
    </row>
    <row r="10012" spans="1:9" x14ac:dyDescent="0.25">
      <c r="A10012" t="s">
        <v>8308</v>
      </c>
      <c r="B10012" t="s">
        <v>104</v>
      </c>
      <c r="C10012" s="2">
        <f>HYPERLINK("https://cao.dolgi.msk.ru/account/1083391864/", 1083391864)</f>
        <v>1083391864</v>
      </c>
      <c r="D10012" t="s">
        <v>189</v>
      </c>
      <c r="E10012">
        <v>142292.76</v>
      </c>
      <c r="F10012">
        <v>49.99</v>
      </c>
      <c r="G10012" t="s">
        <v>12</v>
      </c>
      <c r="I10012" t="s">
        <v>230</v>
      </c>
    </row>
    <row r="10013" spans="1:9" hidden="1" x14ac:dyDescent="0.25">
      <c r="A10013" t="s">
        <v>8308</v>
      </c>
      <c r="B10013" t="s">
        <v>106</v>
      </c>
      <c r="C10013" s="2">
        <f>HYPERLINK("https://cao.dolgi.msk.ru/account/1080102211/", 1080102211)</f>
        <v>1080102211</v>
      </c>
      <c r="D10013" t="s">
        <v>8350</v>
      </c>
      <c r="E10013">
        <v>0</v>
      </c>
      <c r="F10013">
        <v>0</v>
      </c>
      <c r="G10013" t="s">
        <v>12</v>
      </c>
      <c r="H10013" t="s">
        <v>7</v>
      </c>
      <c r="I10013" t="s">
        <v>230</v>
      </c>
    </row>
    <row r="10014" spans="1:9" hidden="1" x14ac:dyDescent="0.25">
      <c r="A10014" t="s">
        <v>8308</v>
      </c>
      <c r="B10014" t="s">
        <v>106</v>
      </c>
      <c r="C10014" s="2">
        <f>HYPERLINK("https://cao.dolgi.msk.ru/account/1080102238/", 1080102238)</f>
        <v>1080102238</v>
      </c>
      <c r="D10014" t="s">
        <v>8351</v>
      </c>
      <c r="E10014">
        <v>-3230.7</v>
      </c>
      <c r="F10014">
        <v>-1.33</v>
      </c>
      <c r="G10014" t="s">
        <v>12</v>
      </c>
      <c r="H10014" t="s">
        <v>7</v>
      </c>
      <c r="I10014" t="s">
        <v>230</v>
      </c>
    </row>
    <row r="10015" spans="1:9" hidden="1" x14ac:dyDescent="0.25">
      <c r="A10015" t="s">
        <v>8308</v>
      </c>
      <c r="B10015" t="s">
        <v>108</v>
      </c>
      <c r="C10015" s="2">
        <f>HYPERLINK("https://cao.dolgi.msk.ru/account/1080102246/", 1080102246)</f>
        <v>1080102246</v>
      </c>
      <c r="D10015" t="s">
        <v>15</v>
      </c>
      <c r="G10015" t="s">
        <v>14</v>
      </c>
      <c r="H10015" t="s">
        <v>7</v>
      </c>
      <c r="I10015" t="s">
        <v>230</v>
      </c>
    </row>
    <row r="10016" spans="1:9" hidden="1" x14ac:dyDescent="0.25">
      <c r="A10016" t="s">
        <v>8308</v>
      </c>
      <c r="B10016" t="s">
        <v>108</v>
      </c>
      <c r="C10016" s="2">
        <f>HYPERLINK("https://cao.dolgi.msk.ru/account/1080102254/", 1080102254)</f>
        <v>1080102254</v>
      </c>
      <c r="D10016" t="s">
        <v>8352</v>
      </c>
      <c r="E10016">
        <v>-2988.91</v>
      </c>
      <c r="F10016">
        <v>-0.85</v>
      </c>
      <c r="G10016" t="s">
        <v>12</v>
      </c>
      <c r="H10016" t="s">
        <v>7</v>
      </c>
      <c r="I10016" t="s">
        <v>230</v>
      </c>
    </row>
    <row r="10017" spans="1:9" hidden="1" x14ac:dyDescent="0.25">
      <c r="A10017" t="s">
        <v>8308</v>
      </c>
      <c r="B10017" t="s">
        <v>108</v>
      </c>
      <c r="C10017" s="2">
        <f>HYPERLINK("https://cao.dolgi.msk.ru/account/1080102262/", 1080102262)</f>
        <v>1080102262</v>
      </c>
      <c r="D10017" t="s">
        <v>8352</v>
      </c>
      <c r="E10017">
        <v>-2717.74</v>
      </c>
      <c r="F10017">
        <v>-1.02</v>
      </c>
      <c r="G10017" t="s">
        <v>12</v>
      </c>
      <c r="H10017" t="s">
        <v>7</v>
      </c>
      <c r="I10017" t="s">
        <v>230</v>
      </c>
    </row>
    <row r="10018" spans="1:9" hidden="1" x14ac:dyDescent="0.25">
      <c r="A10018" t="s">
        <v>8308</v>
      </c>
      <c r="B10018" t="s">
        <v>110</v>
      </c>
      <c r="C10018" s="2">
        <f>HYPERLINK("https://cao.dolgi.msk.ru/account/1080102289/", 1080102289)</f>
        <v>1080102289</v>
      </c>
      <c r="D10018" t="s">
        <v>8353</v>
      </c>
      <c r="E10018">
        <v>-5415.03</v>
      </c>
      <c r="F10018">
        <v>-1.03</v>
      </c>
      <c r="G10018" t="s">
        <v>12</v>
      </c>
      <c r="I10018" t="s">
        <v>230</v>
      </c>
    </row>
    <row r="10019" spans="1:9" hidden="1" x14ac:dyDescent="0.25">
      <c r="A10019" t="s">
        <v>8308</v>
      </c>
      <c r="B10019" t="s">
        <v>110</v>
      </c>
      <c r="C10019" s="2">
        <f>HYPERLINK("https://cao.dolgi.msk.ru/account/1080102297/", 1080102297)</f>
        <v>1080102297</v>
      </c>
      <c r="D10019" t="s">
        <v>8353</v>
      </c>
      <c r="E10019">
        <v>0</v>
      </c>
      <c r="G10019" t="s">
        <v>14</v>
      </c>
      <c r="I10019" t="s">
        <v>230</v>
      </c>
    </row>
    <row r="10020" spans="1:9" hidden="1" x14ac:dyDescent="0.25">
      <c r="A10020" t="s">
        <v>8308</v>
      </c>
      <c r="B10020" t="s">
        <v>110</v>
      </c>
      <c r="C10020" s="2">
        <f>HYPERLINK("https://cao.dolgi.msk.ru/account/1080102318/", 1080102318)</f>
        <v>1080102318</v>
      </c>
      <c r="D10020" t="s">
        <v>8353</v>
      </c>
      <c r="E10020">
        <v>-822.56</v>
      </c>
      <c r="G10020" t="s">
        <v>14</v>
      </c>
      <c r="I10020" t="s">
        <v>230</v>
      </c>
    </row>
    <row r="10021" spans="1:9" hidden="1" x14ac:dyDescent="0.25">
      <c r="A10021" t="s">
        <v>8308</v>
      </c>
      <c r="B10021" t="s">
        <v>112</v>
      </c>
      <c r="C10021" s="2">
        <f>HYPERLINK("https://cao.dolgi.msk.ru/account/1080102326/", 1080102326)</f>
        <v>1080102326</v>
      </c>
      <c r="D10021" t="s">
        <v>15</v>
      </c>
      <c r="E10021">
        <v>-2269.16</v>
      </c>
      <c r="F10021">
        <v>-1.02</v>
      </c>
      <c r="G10021" t="s">
        <v>12</v>
      </c>
      <c r="H10021" t="s">
        <v>7</v>
      </c>
      <c r="I10021" t="s">
        <v>230</v>
      </c>
    </row>
    <row r="10022" spans="1:9" hidden="1" x14ac:dyDescent="0.25">
      <c r="A10022" t="s">
        <v>8308</v>
      </c>
      <c r="B10022" t="s">
        <v>112</v>
      </c>
      <c r="C10022" s="2">
        <f>HYPERLINK("https://cao.dolgi.msk.ru/account/1080102334/", 1080102334)</f>
        <v>1080102334</v>
      </c>
      <c r="D10022" t="s">
        <v>8354</v>
      </c>
      <c r="E10022">
        <v>-2543.09</v>
      </c>
      <c r="F10022">
        <v>-1.08</v>
      </c>
      <c r="G10022" t="s">
        <v>12</v>
      </c>
      <c r="H10022" t="s">
        <v>7</v>
      </c>
      <c r="I10022" t="s">
        <v>230</v>
      </c>
    </row>
    <row r="10023" spans="1:9" hidden="1" x14ac:dyDescent="0.25">
      <c r="A10023" t="s">
        <v>8308</v>
      </c>
      <c r="B10023" t="s">
        <v>112</v>
      </c>
      <c r="C10023" s="2">
        <f>HYPERLINK("https://cao.dolgi.msk.ru/account/1080102342/", 1080102342)</f>
        <v>1080102342</v>
      </c>
      <c r="D10023" t="s">
        <v>8355</v>
      </c>
      <c r="E10023">
        <v>-968.84</v>
      </c>
      <c r="F10023">
        <v>-0.94</v>
      </c>
      <c r="G10023" t="s">
        <v>12</v>
      </c>
      <c r="H10023" t="s">
        <v>7</v>
      </c>
      <c r="I10023" t="s">
        <v>230</v>
      </c>
    </row>
    <row r="10024" spans="1:9" hidden="1" x14ac:dyDescent="0.25">
      <c r="A10024" t="s">
        <v>8308</v>
      </c>
      <c r="B10024" t="s">
        <v>114</v>
      </c>
      <c r="C10024" s="2">
        <f>HYPERLINK("https://cao.dolgi.msk.ru/account/1080102369/", 1080102369)</f>
        <v>1080102369</v>
      </c>
      <c r="D10024" t="s">
        <v>8356</v>
      </c>
      <c r="E10024">
        <v>4749.32</v>
      </c>
      <c r="F10024">
        <v>0.97</v>
      </c>
      <c r="G10024" t="s">
        <v>12</v>
      </c>
      <c r="I10024" t="s">
        <v>230</v>
      </c>
    </row>
    <row r="10025" spans="1:9" hidden="1" x14ac:dyDescent="0.25">
      <c r="A10025" t="s">
        <v>8308</v>
      </c>
      <c r="B10025" t="s">
        <v>116</v>
      </c>
      <c r="C10025" s="2">
        <f>HYPERLINK("https://cao.dolgi.msk.ru/account/1080102377/", 1080102377)</f>
        <v>1080102377</v>
      </c>
      <c r="D10025" t="s">
        <v>8357</v>
      </c>
      <c r="E10025">
        <v>-5568.99</v>
      </c>
      <c r="F10025">
        <v>-0.98</v>
      </c>
      <c r="G10025" t="s">
        <v>12</v>
      </c>
      <c r="I10025" t="s">
        <v>230</v>
      </c>
    </row>
    <row r="10026" spans="1:9" x14ac:dyDescent="0.25">
      <c r="A10026" t="s">
        <v>8308</v>
      </c>
      <c r="B10026" t="s">
        <v>118</v>
      </c>
      <c r="C10026" s="2">
        <f>HYPERLINK("https://cao.dolgi.msk.ru/account/1080102385/", 1080102385)</f>
        <v>1080102385</v>
      </c>
      <c r="D10026" t="s">
        <v>8358</v>
      </c>
      <c r="E10026">
        <v>124797.28</v>
      </c>
      <c r="F10026">
        <v>13.28</v>
      </c>
      <c r="G10026" t="s">
        <v>12</v>
      </c>
      <c r="I10026" t="s">
        <v>230</v>
      </c>
    </row>
    <row r="10027" spans="1:9" x14ac:dyDescent="0.25">
      <c r="A10027" t="s">
        <v>8308</v>
      </c>
      <c r="B10027" t="s">
        <v>120</v>
      </c>
      <c r="C10027" s="2">
        <f>HYPERLINK("https://cao.dolgi.msk.ru/account/1080102406/", 1080102406)</f>
        <v>1080102406</v>
      </c>
      <c r="D10027" t="s">
        <v>8359</v>
      </c>
      <c r="E10027">
        <v>71096.25</v>
      </c>
      <c r="F10027">
        <v>8.8800000000000008</v>
      </c>
      <c r="G10027" t="s">
        <v>12</v>
      </c>
      <c r="I10027" t="s">
        <v>230</v>
      </c>
    </row>
    <row r="10028" spans="1:9" hidden="1" x14ac:dyDescent="0.25">
      <c r="A10028" t="s">
        <v>8308</v>
      </c>
      <c r="B10028" t="s">
        <v>122</v>
      </c>
      <c r="C10028" s="2">
        <f>HYPERLINK("https://cao.dolgi.msk.ru/account/1080102414/", 1080102414)</f>
        <v>1080102414</v>
      </c>
      <c r="D10028" t="s">
        <v>8360</v>
      </c>
      <c r="E10028">
        <v>-5207.84</v>
      </c>
      <c r="F10028">
        <v>-1.08</v>
      </c>
      <c r="G10028" t="s">
        <v>12</v>
      </c>
      <c r="I10028" t="s">
        <v>230</v>
      </c>
    </row>
    <row r="10029" spans="1:9" hidden="1" x14ac:dyDescent="0.25">
      <c r="A10029" t="s">
        <v>8308</v>
      </c>
      <c r="B10029" t="s">
        <v>124</v>
      </c>
      <c r="C10029" s="2">
        <f>HYPERLINK("https://cao.dolgi.msk.ru/account/1080102422/", 1080102422)</f>
        <v>1080102422</v>
      </c>
      <c r="D10029" t="s">
        <v>8361</v>
      </c>
      <c r="E10029">
        <v>-6510.94</v>
      </c>
      <c r="F10029">
        <v>-1</v>
      </c>
      <c r="G10029" t="s">
        <v>12</v>
      </c>
      <c r="I10029" t="s">
        <v>230</v>
      </c>
    </row>
    <row r="10030" spans="1:9" x14ac:dyDescent="0.25">
      <c r="A10030" t="s">
        <v>8362</v>
      </c>
      <c r="B10030" t="s">
        <v>10</v>
      </c>
      <c r="C10030" s="2">
        <f>HYPERLINK("https://cao.dolgi.msk.ru/account/1080315321/", 1080315321)</f>
        <v>1080315321</v>
      </c>
      <c r="D10030" t="s">
        <v>8363</v>
      </c>
      <c r="E10030">
        <v>23096.99</v>
      </c>
      <c r="F10030">
        <v>9.51</v>
      </c>
      <c r="G10030" t="s">
        <v>12</v>
      </c>
      <c r="I10030" t="s">
        <v>1050</v>
      </c>
    </row>
    <row r="10031" spans="1:9" hidden="1" x14ac:dyDescent="0.25">
      <c r="A10031" t="s">
        <v>8362</v>
      </c>
      <c r="B10031" t="s">
        <v>16</v>
      </c>
      <c r="C10031" s="2">
        <f>HYPERLINK("https://cao.dolgi.msk.ru/account/1080315348/", 1080315348)</f>
        <v>1080315348</v>
      </c>
      <c r="D10031" t="s">
        <v>8364</v>
      </c>
      <c r="E10031">
        <v>0</v>
      </c>
      <c r="F10031">
        <v>0</v>
      </c>
      <c r="G10031" t="s">
        <v>12</v>
      </c>
      <c r="I10031" t="s">
        <v>1050</v>
      </c>
    </row>
    <row r="10032" spans="1:9" hidden="1" x14ac:dyDescent="0.25">
      <c r="A10032" t="s">
        <v>8362</v>
      </c>
      <c r="B10032" t="s">
        <v>18</v>
      </c>
      <c r="C10032" s="2">
        <f>HYPERLINK("https://cao.dolgi.msk.ru/account/1080315356/", 1080315356)</f>
        <v>1080315356</v>
      </c>
      <c r="D10032" t="s">
        <v>15</v>
      </c>
      <c r="G10032" t="s">
        <v>14</v>
      </c>
      <c r="I10032" t="s">
        <v>1050</v>
      </c>
    </row>
    <row r="10033" spans="1:9" hidden="1" x14ac:dyDescent="0.25">
      <c r="A10033" t="s">
        <v>8362</v>
      </c>
      <c r="B10033" t="s">
        <v>20</v>
      </c>
      <c r="C10033" s="2">
        <f>HYPERLINK("https://cao.dolgi.msk.ru/account/1080315364/", 1080315364)</f>
        <v>1080315364</v>
      </c>
      <c r="D10033" t="s">
        <v>8365</v>
      </c>
      <c r="E10033">
        <v>-6159.63</v>
      </c>
      <c r="F10033">
        <v>-1.1399999999999999</v>
      </c>
      <c r="G10033" t="s">
        <v>12</v>
      </c>
      <c r="I10033" t="s">
        <v>1050</v>
      </c>
    </row>
    <row r="10034" spans="1:9" hidden="1" x14ac:dyDescent="0.25">
      <c r="A10034" t="s">
        <v>8362</v>
      </c>
      <c r="B10034" t="s">
        <v>21</v>
      </c>
      <c r="C10034" s="2">
        <f>HYPERLINK("https://cao.dolgi.msk.ru/account/1080315372/", 1080315372)</f>
        <v>1080315372</v>
      </c>
      <c r="D10034" t="s">
        <v>1151</v>
      </c>
      <c r="E10034">
        <v>-3998.72</v>
      </c>
      <c r="F10034">
        <v>-1.07</v>
      </c>
      <c r="G10034" t="s">
        <v>12</v>
      </c>
      <c r="I10034" t="s">
        <v>1050</v>
      </c>
    </row>
    <row r="10035" spans="1:9" hidden="1" x14ac:dyDescent="0.25">
      <c r="A10035" t="s">
        <v>8362</v>
      </c>
      <c r="B10035" t="s">
        <v>22</v>
      </c>
      <c r="C10035" s="2">
        <f>HYPERLINK("https://cao.dolgi.msk.ru/account/1080326389/", 1080326389)</f>
        <v>1080326389</v>
      </c>
      <c r="D10035" t="s">
        <v>8366</v>
      </c>
      <c r="E10035">
        <v>-6273.87</v>
      </c>
      <c r="F10035">
        <v>-1.28</v>
      </c>
      <c r="G10035" t="s">
        <v>12</v>
      </c>
      <c r="I10035" t="s">
        <v>1050</v>
      </c>
    </row>
    <row r="10036" spans="1:9" hidden="1" x14ac:dyDescent="0.25">
      <c r="A10036" t="s">
        <v>8362</v>
      </c>
      <c r="B10036" t="s">
        <v>23</v>
      </c>
      <c r="C10036" s="2">
        <f>HYPERLINK("https://cao.dolgi.msk.ru/account/1080315428/", 1080315428)</f>
        <v>1080315428</v>
      </c>
      <c r="D10036" t="s">
        <v>8367</v>
      </c>
      <c r="E10036">
        <v>0</v>
      </c>
      <c r="F10036">
        <v>0</v>
      </c>
      <c r="G10036" t="s">
        <v>12</v>
      </c>
      <c r="I10036" t="s">
        <v>1050</v>
      </c>
    </row>
    <row r="10037" spans="1:9" hidden="1" x14ac:dyDescent="0.25">
      <c r="A10037" t="s">
        <v>8362</v>
      </c>
      <c r="B10037" t="s">
        <v>24</v>
      </c>
      <c r="C10037" s="2">
        <f>HYPERLINK("https://cao.dolgi.msk.ru/account/1080315436/", 1080315436)</f>
        <v>1080315436</v>
      </c>
      <c r="D10037" t="s">
        <v>8368</v>
      </c>
      <c r="E10037">
        <v>0</v>
      </c>
      <c r="F10037">
        <v>0</v>
      </c>
      <c r="G10037" t="s">
        <v>12</v>
      </c>
      <c r="I10037" t="s">
        <v>1050</v>
      </c>
    </row>
    <row r="10038" spans="1:9" hidden="1" x14ac:dyDescent="0.25">
      <c r="A10038" t="s">
        <v>8362</v>
      </c>
      <c r="B10038" t="s">
        <v>27</v>
      </c>
      <c r="C10038" s="2">
        <f>HYPERLINK("https://cao.dolgi.msk.ru/account/1080315444/", 1080315444)</f>
        <v>1080315444</v>
      </c>
      <c r="D10038" t="s">
        <v>8369</v>
      </c>
      <c r="E10038">
        <v>-3272.07</v>
      </c>
      <c r="F10038">
        <v>-1.21</v>
      </c>
      <c r="G10038" t="s">
        <v>12</v>
      </c>
      <c r="I10038" t="s">
        <v>1050</v>
      </c>
    </row>
    <row r="10039" spans="1:9" hidden="1" x14ac:dyDescent="0.25">
      <c r="A10039" t="s">
        <v>8362</v>
      </c>
      <c r="B10039" t="s">
        <v>29</v>
      </c>
      <c r="C10039" s="2">
        <f>HYPERLINK("https://cao.dolgi.msk.ru/account/1080315452/", 1080315452)</f>
        <v>1080315452</v>
      </c>
      <c r="D10039" t="s">
        <v>8370</v>
      </c>
      <c r="E10039">
        <v>-226.75</v>
      </c>
      <c r="F10039">
        <v>-0.08</v>
      </c>
      <c r="G10039" t="s">
        <v>12</v>
      </c>
      <c r="I10039" t="s">
        <v>1050</v>
      </c>
    </row>
    <row r="10040" spans="1:9" hidden="1" x14ac:dyDescent="0.25">
      <c r="A10040" t="s">
        <v>8362</v>
      </c>
      <c r="B10040" t="s">
        <v>31</v>
      </c>
      <c r="C10040" s="2">
        <f>HYPERLINK("https://cao.dolgi.msk.ru/account/1080315479/", 1080315479)</f>
        <v>1080315479</v>
      </c>
      <c r="D10040" t="s">
        <v>8371</v>
      </c>
      <c r="E10040">
        <v>-2133.23</v>
      </c>
      <c r="F10040">
        <v>-1.24</v>
      </c>
      <c r="G10040" t="s">
        <v>12</v>
      </c>
      <c r="I10040" t="s">
        <v>1050</v>
      </c>
    </row>
    <row r="10041" spans="1:9" hidden="1" x14ac:dyDescent="0.25">
      <c r="A10041" t="s">
        <v>8362</v>
      </c>
      <c r="B10041" t="s">
        <v>33</v>
      </c>
      <c r="C10041" s="2">
        <f>HYPERLINK("https://cao.dolgi.msk.ru/account/1080315487/", 1080315487)</f>
        <v>1080315487</v>
      </c>
      <c r="D10041" t="s">
        <v>8372</v>
      </c>
      <c r="E10041">
        <v>-3570.32</v>
      </c>
      <c r="F10041">
        <v>-0.83</v>
      </c>
      <c r="G10041" t="s">
        <v>12</v>
      </c>
      <c r="I10041" t="s">
        <v>1050</v>
      </c>
    </row>
    <row r="10042" spans="1:9" hidden="1" x14ac:dyDescent="0.25">
      <c r="A10042" t="s">
        <v>8362</v>
      </c>
      <c r="B10042" t="s">
        <v>34</v>
      </c>
      <c r="C10042" s="2">
        <f>HYPERLINK("https://cao.dolgi.msk.ru/account/1080315495/", 1080315495)</f>
        <v>1080315495</v>
      </c>
      <c r="D10042" t="s">
        <v>8373</v>
      </c>
      <c r="E10042">
        <v>0</v>
      </c>
      <c r="F10042">
        <v>0</v>
      </c>
      <c r="G10042" t="s">
        <v>12</v>
      </c>
      <c r="I10042" t="s">
        <v>1050</v>
      </c>
    </row>
    <row r="10043" spans="1:9" hidden="1" x14ac:dyDescent="0.25">
      <c r="A10043" t="s">
        <v>8362</v>
      </c>
      <c r="B10043" t="s">
        <v>36</v>
      </c>
      <c r="C10043" s="2">
        <f>HYPERLINK("https://cao.dolgi.msk.ru/account/1080315508/", 1080315508)</f>
        <v>1080315508</v>
      </c>
      <c r="D10043" t="s">
        <v>8374</v>
      </c>
      <c r="E10043">
        <v>-2662.88</v>
      </c>
      <c r="F10043">
        <v>-0.8</v>
      </c>
      <c r="G10043" t="s">
        <v>12</v>
      </c>
      <c r="I10043" t="s">
        <v>1050</v>
      </c>
    </row>
    <row r="10044" spans="1:9" hidden="1" x14ac:dyDescent="0.25">
      <c r="A10044" t="s">
        <v>8362</v>
      </c>
      <c r="B10044" t="s">
        <v>38</v>
      </c>
      <c r="C10044" s="2">
        <f>HYPERLINK("https://cao.dolgi.msk.ru/account/1080315401/", 1080315401)</f>
        <v>1080315401</v>
      </c>
      <c r="D10044" t="s">
        <v>8375</v>
      </c>
      <c r="E10044">
        <v>2196.79</v>
      </c>
      <c r="G10044" t="s">
        <v>14</v>
      </c>
      <c r="I10044" t="s">
        <v>1050</v>
      </c>
    </row>
    <row r="10045" spans="1:9" hidden="1" x14ac:dyDescent="0.25">
      <c r="A10045" t="s">
        <v>8362</v>
      </c>
      <c r="B10045" t="s">
        <v>38</v>
      </c>
      <c r="C10045" s="2">
        <f>HYPERLINK("https://cao.dolgi.msk.ru/account/1083391397/", 1083391397)</f>
        <v>1083391397</v>
      </c>
      <c r="D10045" t="s">
        <v>189</v>
      </c>
      <c r="E10045">
        <v>0</v>
      </c>
      <c r="F10045">
        <v>0</v>
      </c>
      <c r="G10045" t="s">
        <v>12</v>
      </c>
      <c r="I10045" t="s">
        <v>1050</v>
      </c>
    </row>
    <row r="10046" spans="1:9" hidden="1" x14ac:dyDescent="0.25">
      <c r="A10046" t="s">
        <v>8362</v>
      </c>
      <c r="B10046" t="s">
        <v>39</v>
      </c>
      <c r="C10046" s="2">
        <f>HYPERLINK("https://cao.dolgi.msk.ru/account/1080315516/", 1080315516)</f>
        <v>1080315516</v>
      </c>
      <c r="D10046" t="s">
        <v>8376</v>
      </c>
      <c r="E10046">
        <v>0</v>
      </c>
      <c r="F10046">
        <v>0</v>
      </c>
      <c r="G10046" t="s">
        <v>12</v>
      </c>
      <c r="I10046" t="s">
        <v>1050</v>
      </c>
    </row>
    <row r="10047" spans="1:9" hidden="1" x14ac:dyDescent="0.25">
      <c r="A10047" t="s">
        <v>8362</v>
      </c>
      <c r="B10047" t="s">
        <v>40</v>
      </c>
      <c r="C10047" s="2">
        <f>HYPERLINK("https://cao.dolgi.msk.ru/account/1080315524/", 1080315524)</f>
        <v>1080315524</v>
      </c>
      <c r="D10047" t="s">
        <v>8377</v>
      </c>
      <c r="E10047">
        <v>-4751.24</v>
      </c>
      <c r="F10047">
        <v>-1.02</v>
      </c>
      <c r="G10047" t="s">
        <v>12</v>
      </c>
      <c r="I10047" t="s">
        <v>1050</v>
      </c>
    </row>
    <row r="10048" spans="1:9" hidden="1" x14ac:dyDescent="0.25">
      <c r="A10048" t="s">
        <v>8362</v>
      </c>
      <c r="B10048" t="s">
        <v>41</v>
      </c>
      <c r="C10048" s="2">
        <f>HYPERLINK("https://cao.dolgi.msk.ru/account/1080315532/", 1080315532)</f>
        <v>1080315532</v>
      </c>
      <c r="D10048" t="s">
        <v>8378</v>
      </c>
      <c r="E10048">
        <v>-4621.1099999999997</v>
      </c>
      <c r="F10048">
        <v>-0.94</v>
      </c>
      <c r="G10048" t="s">
        <v>12</v>
      </c>
      <c r="I10048" t="s">
        <v>1050</v>
      </c>
    </row>
    <row r="10049" spans="1:9" hidden="1" x14ac:dyDescent="0.25">
      <c r="A10049" t="s">
        <v>8362</v>
      </c>
      <c r="B10049" t="s">
        <v>42</v>
      </c>
      <c r="C10049" s="2">
        <f>HYPERLINK("https://cao.dolgi.msk.ru/account/1080315559/", 1080315559)</f>
        <v>1080315559</v>
      </c>
      <c r="D10049" t="s">
        <v>8379</v>
      </c>
      <c r="E10049">
        <v>-1722.54</v>
      </c>
      <c r="F10049">
        <v>-1.1000000000000001</v>
      </c>
      <c r="G10049" t="s">
        <v>12</v>
      </c>
      <c r="I10049" t="s">
        <v>1050</v>
      </c>
    </row>
    <row r="10050" spans="1:9" hidden="1" x14ac:dyDescent="0.25">
      <c r="A10050" t="s">
        <v>8362</v>
      </c>
      <c r="B10050" t="s">
        <v>44</v>
      </c>
      <c r="C10050" s="2">
        <f>HYPERLINK("https://cao.dolgi.msk.ru/account/1080315567/", 1080315567)</f>
        <v>1080315567</v>
      </c>
      <c r="D10050" t="s">
        <v>8380</v>
      </c>
      <c r="E10050">
        <v>-5340.82</v>
      </c>
      <c r="F10050">
        <v>-1.03</v>
      </c>
      <c r="G10050" t="s">
        <v>12</v>
      </c>
      <c r="I10050" t="s">
        <v>1050</v>
      </c>
    </row>
    <row r="10051" spans="1:9" hidden="1" x14ac:dyDescent="0.25">
      <c r="A10051" t="s">
        <v>8362</v>
      </c>
      <c r="B10051" t="s">
        <v>66</v>
      </c>
      <c r="C10051" s="2">
        <f>HYPERLINK("https://cao.dolgi.msk.ru/account/1080315575/", 1080315575)</f>
        <v>1080315575</v>
      </c>
      <c r="D10051" t="s">
        <v>8381</v>
      </c>
      <c r="E10051">
        <v>974.15</v>
      </c>
      <c r="F10051">
        <v>0.28000000000000003</v>
      </c>
      <c r="G10051" t="s">
        <v>12</v>
      </c>
      <c r="I10051" t="s">
        <v>1050</v>
      </c>
    </row>
    <row r="10052" spans="1:9" hidden="1" x14ac:dyDescent="0.25">
      <c r="A10052" t="s">
        <v>8362</v>
      </c>
      <c r="B10052" t="s">
        <v>68</v>
      </c>
      <c r="C10052" s="2">
        <f>HYPERLINK("https://cao.dolgi.msk.ru/account/1080315583/", 1080315583)</f>
        <v>1080315583</v>
      </c>
      <c r="D10052" t="s">
        <v>8382</v>
      </c>
      <c r="E10052">
        <v>-7609.92</v>
      </c>
      <c r="F10052">
        <v>-1.24</v>
      </c>
      <c r="G10052" t="s">
        <v>12</v>
      </c>
      <c r="I10052" t="s">
        <v>1050</v>
      </c>
    </row>
    <row r="10053" spans="1:9" hidden="1" x14ac:dyDescent="0.25">
      <c r="A10053" t="s">
        <v>8362</v>
      </c>
      <c r="B10053" t="s">
        <v>70</v>
      </c>
      <c r="C10053" s="2">
        <f>HYPERLINK("https://cao.dolgi.msk.ru/account/1080315591/", 1080315591)</f>
        <v>1080315591</v>
      </c>
      <c r="D10053" t="s">
        <v>8383</v>
      </c>
      <c r="E10053">
        <v>-3771.27</v>
      </c>
      <c r="F10053">
        <v>-1.06</v>
      </c>
      <c r="G10053" t="s">
        <v>12</v>
      </c>
      <c r="I10053" t="s">
        <v>1050</v>
      </c>
    </row>
    <row r="10054" spans="1:9" hidden="1" x14ac:dyDescent="0.25">
      <c r="A10054" t="s">
        <v>8362</v>
      </c>
      <c r="B10054" t="s">
        <v>72</v>
      </c>
      <c r="C10054" s="2">
        <f>HYPERLINK("https://cao.dolgi.msk.ru/account/1080315604/", 1080315604)</f>
        <v>1080315604</v>
      </c>
      <c r="D10054" t="s">
        <v>8384</v>
      </c>
      <c r="E10054">
        <v>-4201.03</v>
      </c>
      <c r="F10054">
        <v>-1.04</v>
      </c>
      <c r="G10054" t="s">
        <v>12</v>
      </c>
      <c r="I10054" t="s">
        <v>1050</v>
      </c>
    </row>
    <row r="10055" spans="1:9" hidden="1" x14ac:dyDescent="0.25">
      <c r="A10055" t="s">
        <v>8362</v>
      </c>
      <c r="B10055" t="s">
        <v>74</v>
      </c>
      <c r="C10055" s="2">
        <f>HYPERLINK("https://cao.dolgi.msk.ru/account/1080315612/", 1080315612)</f>
        <v>1080315612</v>
      </c>
      <c r="D10055" t="s">
        <v>8385</v>
      </c>
      <c r="E10055">
        <v>-9691.85</v>
      </c>
      <c r="F10055">
        <v>-3.12</v>
      </c>
      <c r="G10055" t="s">
        <v>12</v>
      </c>
      <c r="I10055" t="s">
        <v>1050</v>
      </c>
    </row>
    <row r="10056" spans="1:9" hidden="1" x14ac:dyDescent="0.25">
      <c r="A10056" t="s">
        <v>8362</v>
      </c>
      <c r="B10056" t="s">
        <v>76</v>
      </c>
      <c r="C10056" s="2">
        <f>HYPERLINK("https://cao.dolgi.msk.ru/account/1080315639/", 1080315639)</f>
        <v>1080315639</v>
      </c>
      <c r="D10056" t="s">
        <v>8386</v>
      </c>
      <c r="E10056">
        <v>-1762.98</v>
      </c>
      <c r="F10056">
        <v>-1.04</v>
      </c>
      <c r="G10056" t="s">
        <v>12</v>
      </c>
      <c r="I10056" t="s">
        <v>1050</v>
      </c>
    </row>
    <row r="10057" spans="1:9" hidden="1" x14ac:dyDescent="0.25">
      <c r="A10057" t="s">
        <v>8362</v>
      </c>
      <c r="B10057" t="s">
        <v>78</v>
      </c>
      <c r="C10057" s="2">
        <f>HYPERLINK("https://cao.dolgi.msk.ru/account/1080315647/", 1080315647)</f>
        <v>1080315647</v>
      </c>
      <c r="D10057" t="s">
        <v>8387</v>
      </c>
      <c r="E10057">
        <v>-3290.76</v>
      </c>
      <c r="F10057">
        <v>-1.07</v>
      </c>
      <c r="G10057" t="s">
        <v>12</v>
      </c>
      <c r="I10057" t="s">
        <v>1050</v>
      </c>
    </row>
    <row r="10058" spans="1:9" hidden="1" x14ac:dyDescent="0.25">
      <c r="A10058" t="s">
        <v>8362</v>
      </c>
      <c r="B10058" t="s">
        <v>80</v>
      </c>
      <c r="C10058" s="2">
        <f>HYPERLINK("https://cao.dolgi.msk.ru/account/1080315655/", 1080315655)</f>
        <v>1080315655</v>
      </c>
      <c r="D10058" t="s">
        <v>8388</v>
      </c>
      <c r="E10058">
        <v>-4197.8900000000003</v>
      </c>
      <c r="F10058">
        <v>-1.05</v>
      </c>
      <c r="G10058" t="s">
        <v>12</v>
      </c>
      <c r="I10058" t="s">
        <v>1050</v>
      </c>
    </row>
    <row r="10059" spans="1:9" hidden="1" x14ac:dyDescent="0.25">
      <c r="A10059" t="s">
        <v>8362</v>
      </c>
      <c r="B10059" t="s">
        <v>82</v>
      </c>
      <c r="C10059" s="2">
        <f>HYPERLINK("https://cao.dolgi.msk.ru/account/1080315663/", 1080315663)</f>
        <v>1080315663</v>
      </c>
      <c r="D10059" t="s">
        <v>8389</v>
      </c>
      <c r="E10059">
        <v>-4026.67</v>
      </c>
      <c r="F10059">
        <v>-1.06</v>
      </c>
      <c r="G10059" t="s">
        <v>12</v>
      </c>
      <c r="I10059" t="s">
        <v>1050</v>
      </c>
    </row>
    <row r="10060" spans="1:9" hidden="1" x14ac:dyDescent="0.25">
      <c r="A10060" t="s">
        <v>8362</v>
      </c>
      <c r="B10060" t="s">
        <v>84</v>
      </c>
      <c r="C10060" s="2">
        <f>HYPERLINK("https://cao.dolgi.msk.ru/account/1080315671/", 1080315671)</f>
        <v>1080315671</v>
      </c>
      <c r="D10060" t="s">
        <v>8390</v>
      </c>
      <c r="E10060">
        <v>-3245.38</v>
      </c>
      <c r="F10060">
        <v>-1.05</v>
      </c>
      <c r="G10060" t="s">
        <v>12</v>
      </c>
      <c r="I10060" t="s">
        <v>1050</v>
      </c>
    </row>
    <row r="10061" spans="1:9" hidden="1" x14ac:dyDescent="0.25">
      <c r="A10061" t="s">
        <v>8362</v>
      </c>
      <c r="B10061" t="s">
        <v>86</v>
      </c>
      <c r="C10061" s="2">
        <f>HYPERLINK("https://cao.dolgi.msk.ru/account/1080315698/", 1080315698)</f>
        <v>1080315698</v>
      </c>
      <c r="D10061" t="s">
        <v>8391</v>
      </c>
      <c r="E10061">
        <v>-3458.39</v>
      </c>
      <c r="F10061">
        <v>-1.22</v>
      </c>
      <c r="G10061" t="s">
        <v>12</v>
      </c>
      <c r="I10061" t="s">
        <v>1050</v>
      </c>
    </row>
    <row r="10062" spans="1:9" hidden="1" x14ac:dyDescent="0.25">
      <c r="A10062" t="s">
        <v>8362</v>
      </c>
      <c r="B10062" t="s">
        <v>88</v>
      </c>
      <c r="C10062" s="2">
        <f>HYPERLINK("https://cao.dolgi.msk.ru/account/1080315719/", 1080315719)</f>
        <v>1080315719</v>
      </c>
      <c r="D10062" t="s">
        <v>8392</v>
      </c>
      <c r="E10062">
        <v>-3260.25</v>
      </c>
      <c r="F10062">
        <v>-1.08</v>
      </c>
      <c r="G10062" t="s">
        <v>12</v>
      </c>
      <c r="I10062" t="s">
        <v>1050</v>
      </c>
    </row>
    <row r="10063" spans="1:9" hidden="1" x14ac:dyDescent="0.25">
      <c r="A10063" t="s">
        <v>8362</v>
      </c>
      <c r="B10063" t="s">
        <v>90</v>
      </c>
      <c r="C10063" s="2">
        <f>HYPERLINK("https://cao.dolgi.msk.ru/account/1080315727/", 1080315727)</f>
        <v>1080315727</v>
      </c>
      <c r="D10063" t="s">
        <v>8393</v>
      </c>
      <c r="E10063">
        <v>-3488.04</v>
      </c>
      <c r="F10063">
        <v>-1.1499999999999999</v>
      </c>
      <c r="G10063" t="s">
        <v>12</v>
      </c>
      <c r="I10063" t="s">
        <v>1050</v>
      </c>
    </row>
    <row r="10064" spans="1:9" hidden="1" x14ac:dyDescent="0.25">
      <c r="A10064" t="s">
        <v>8362</v>
      </c>
      <c r="B10064" t="s">
        <v>92</v>
      </c>
      <c r="C10064" s="2">
        <f>HYPERLINK("https://cao.dolgi.msk.ru/account/1080315735/", 1080315735)</f>
        <v>1080315735</v>
      </c>
      <c r="D10064" t="s">
        <v>8394</v>
      </c>
      <c r="E10064">
        <v>-4837.37</v>
      </c>
      <c r="F10064">
        <v>-1.03</v>
      </c>
      <c r="G10064" t="s">
        <v>12</v>
      </c>
      <c r="I10064" t="s">
        <v>1050</v>
      </c>
    </row>
    <row r="10065" spans="1:9" hidden="1" x14ac:dyDescent="0.25">
      <c r="A10065" t="s">
        <v>8362</v>
      </c>
      <c r="B10065" t="s">
        <v>94</v>
      </c>
      <c r="C10065" s="2">
        <f>HYPERLINK("https://cao.dolgi.msk.ru/account/1080315743/", 1080315743)</f>
        <v>1080315743</v>
      </c>
      <c r="D10065" t="s">
        <v>8395</v>
      </c>
      <c r="E10065">
        <v>-2266.7399999999998</v>
      </c>
      <c r="F10065">
        <v>-1.08</v>
      </c>
      <c r="G10065" t="s">
        <v>12</v>
      </c>
      <c r="I10065" t="s">
        <v>1050</v>
      </c>
    </row>
    <row r="10066" spans="1:9" hidden="1" x14ac:dyDescent="0.25">
      <c r="A10066" t="s">
        <v>8362</v>
      </c>
      <c r="B10066" t="s">
        <v>96</v>
      </c>
      <c r="C10066" s="2">
        <f>HYPERLINK("https://cao.dolgi.msk.ru/account/1080315751/", 1080315751)</f>
        <v>1080315751</v>
      </c>
      <c r="D10066" t="s">
        <v>8396</v>
      </c>
      <c r="E10066">
        <v>-2816.94</v>
      </c>
      <c r="F10066">
        <v>-1.06</v>
      </c>
      <c r="G10066" t="s">
        <v>12</v>
      </c>
      <c r="I10066" t="s">
        <v>1050</v>
      </c>
    </row>
    <row r="10067" spans="1:9" hidden="1" x14ac:dyDescent="0.25">
      <c r="A10067" t="s">
        <v>8362</v>
      </c>
      <c r="B10067" t="s">
        <v>98</v>
      </c>
      <c r="C10067" s="2">
        <f>HYPERLINK("https://cao.dolgi.msk.ru/account/1080315778/", 1080315778)</f>
        <v>1080315778</v>
      </c>
      <c r="D10067" t="s">
        <v>8397</v>
      </c>
      <c r="E10067">
        <v>-5402.67</v>
      </c>
      <c r="F10067">
        <v>-1.04</v>
      </c>
      <c r="G10067" t="s">
        <v>12</v>
      </c>
      <c r="I10067" t="s">
        <v>1050</v>
      </c>
    </row>
    <row r="10068" spans="1:9" hidden="1" x14ac:dyDescent="0.25">
      <c r="A10068" t="s">
        <v>8362</v>
      </c>
      <c r="B10068" t="s">
        <v>100</v>
      </c>
      <c r="C10068" s="2">
        <f>HYPERLINK("https://cao.dolgi.msk.ru/account/1080315786/", 1080315786)</f>
        <v>1080315786</v>
      </c>
      <c r="D10068" t="s">
        <v>8398</v>
      </c>
      <c r="E10068">
        <v>-2639.91</v>
      </c>
      <c r="F10068">
        <v>-0.64</v>
      </c>
      <c r="G10068" t="s">
        <v>12</v>
      </c>
      <c r="I10068" t="s">
        <v>1050</v>
      </c>
    </row>
    <row r="10069" spans="1:9" hidden="1" x14ac:dyDescent="0.25">
      <c r="A10069" t="s">
        <v>8362</v>
      </c>
      <c r="B10069" t="s">
        <v>102</v>
      </c>
      <c r="C10069" s="2">
        <f>HYPERLINK("https://cao.dolgi.msk.ru/account/1080315794/", 1080315794)</f>
        <v>1080315794</v>
      </c>
      <c r="D10069" t="s">
        <v>8399</v>
      </c>
      <c r="E10069">
        <v>-3682.21</v>
      </c>
      <c r="F10069">
        <v>-1.02</v>
      </c>
      <c r="G10069" t="s">
        <v>12</v>
      </c>
      <c r="I10069" t="s">
        <v>1050</v>
      </c>
    </row>
    <row r="10070" spans="1:9" hidden="1" x14ac:dyDescent="0.25">
      <c r="A10070" t="s">
        <v>8362</v>
      </c>
      <c r="B10070" t="s">
        <v>104</v>
      </c>
      <c r="C10070" s="2">
        <f>HYPERLINK("https://cao.dolgi.msk.ru/account/1080315807/", 1080315807)</f>
        <v>1080315807</v>
      </c>
      <c r="D10070" t="s">
        <v>8400</v>
      </c>
      <c r="E10070">
        <v>-2311.91</v>
      </c>
      <c r="F10070">
        <v>-0.41</v>
      </c>
      <c r="G10070" t="s">
        <v>12</v>
      </c>
      <c r="I10070" t="s">
        <v>1050</v>
      </c>
    </row>
    <row r="10071" spans="1:9" hidden="1" x14ac:dyDescent="0.25">
      <c r="A10071" t="s">
        <v>8362</v>
      </c>
      <c r="B10071" t="s">
        <v>106</v>
      </c>
      <c r="C10071" s="2">
        <f>HYPERLINK("https://cao.dolgi.msk.ru/account/1080315815/", 1080315815)</f>
        <v>1080315815</v>
      </c>
      <c r="D10071" t="s">
        <v>8401</v>
      </c>
      <c r="E10071">
        <v>-4936.2299999999996</v>
      </c>
      <c r="F10071">
        <v>-1.04</v>
      </c>
      <c r="G10071" t="s">
        <v>12</v>
      </c>
      <c r="I10071" t="s">
        <v>1050</v>
      </c>
    </row>
    <row r="10072" spans="1:9" x14ac:dyDescent="0.25">
      <c r="A10072" t="s">
        <v>8362</v>
      </c>
      <c r="B10072" t="s">
        <v>108</v>
      </c>
      <c r="C10072" s="2">
        <f>HYPERLINK("https://cao.dolgi.msk.ru/account/1080315823/", 1080315823)</f>
        <v>1080315823</v>
      </c>
      <c r="D10072" t="s">
        <v>8402</v>
      </c>
      <c r="E10072">
        <v>10881.6</v>
      </c>
      <c r="F10072">
        <v>2.21</v>
      </c>
      <c r="G10072" t="s">
        <v>12</v>
      </c>
      <c r="I10072" t="s">
        <v>1050</v>
      </c>
    </row>
    <row r="10073" spans="1:9" hidden="1" x14ac:dyDescent="0.25">
      <c r="A10073" t="s">
        <v>8362</v>
      </c>
      <c r="B10073" t="s">
        <v>110</v>
      </c>
      <c r="C10073" s="2">
        <f>HYPERLINK("https://cao.dolgi.msk.ru/account/1080315831/", 1080315831)</f>
        <v>1080315831</v>
      </c>
      <c r="D10073" t="s">
        <v>8403</v>
      </c>
      <c r="E10073">
        <v>-2779.52</v>
      </c>
      <c r="F10073">
        <v>-0.96</v>
      </c>
      <c r="G10073" t="s">
        <v>12</v>
      </c>
      <c r="I10073" t="s">
        <v>1050</v>
      </c>
    </row>
    <row r="10074" spans="1:9" hidden="1" x14ac:dyDescent="0.25">
      <c r="A10074" t="s">
        <v>8362</v>
      </c>
      <c r="B10074" t="s">
        <v>112</v>
      </c>
      <c r="C10074" s="2">
        <f>HYPERLINK("https://cao.dolgi.msk.ru/account/1080315858/", 1080315858)</f>
        <v>1080315858</v>
      </c>
      <c r="D10074" t="s">
        <v>8404</v>
      </c>
      <c r="E10074">
        <v>-2307.44</v>
      </c>
      <c r="F10074">
        <v>-0.99</v>
      </c>
      <c r="G10074" t="s">
        <v>12</v>
      </c>
      <c r="I10074" t="s">
        <v>1050</v>
      </c>
    </row>
    <row r="10075" spans="1:9" hidden="1" x14ac:dyDescent="0.25">
      <c r="A10075" t="s">
        <v>8362</v>
      </c>
      <c r="B10075" t="s">
        <v>114</v>
      </c>
      <c r="C10075" s="2">
        <f>HYPERLINK("https://cao.dolgi.msk.ru/account/1080315866/", 1080315866)</f>
        <v>1080315866</v>
      </c>
      <c r="D10075" t="s">
        <v>8405</v>
      </c>
      <c r="E10075">
        <v>-3526.81</v>
      </c>
      <c r="F10075">
        <v>-0.94</v>
      </c>
      <c r="G10075" t="s">
        <v>12</v>
      </c>
      <c r="I10075" t="s">
        <v>1050</v>
      </c>
    </row>
    <row r="10076" spans="1:9" x14ac:dyDescent="0.25">
      <c r="A10076" t="s">
        <v>8362</v>
      </c>
      <c r="B10076" t="s">
        <v>116</v>
      </c>
      <c r="C10076" s="2">
        <f>HYPERLINK("https://cao.dolgi.msk.ru/account/1080315874/", 1080315874)</f>
        <v>1080315874</v>
      </c>
      <c r="D10076" t="s">
        <v>8406</v>
      </c>
      <c r="E10076">
        <v>6497.46</v>
      </c>
      <c r="F10076">
        <v>1.83</v>
      </c>
      <c r="G10076" t="s">
        <v>12</v>
      </c>
      <c r="I10076" t="s">
        <v>1050</v>
      </c>
    </row>
    <row r="10077" spans="1:9" hidden="1" x14ac:dyDescent="0.25">
      <c r="A10077" t="s">
        <v>8362</v>
      </c>
      <c r="B10077" t="s">
        <v>118</v>
      </c>
      <c r="C10077" s="2">
        <f>HYPERLINK("https://cao.dolgi.msk.ru/account/1080315882/", 1080315882)</f>
        <v>1080315882</v>
      </c>
      <c r="D10077" t="s">
        <v>8407</v>
      </c>
      <c r="E10077">
        <v>-4017.58</v>
      </c>
      <c r="F10077">
        <v>-1.06</v>
      </c>
      <c r="G10077" t="s">
        <v>12</v>
      </c>
      <c r="I10077" t="s">
        <v>1050</v>
      </c>
    </row>
    <row r="10078" spans="1:9" hidden="1" x14ac:dyDescent="0.25">
      <c r="A10078" t="s">
        <v>8362</v>
      </c>
      <c r="B10078" t="s">
        <v>120</v>
      </c>
      <c r="C10078" s="2">
        <f>HYPERLINK("https://cao.dolgi.msk.ru/account/1080315903/", 1080315903)</f>
        <v>1080315903</v>
      </c>
      <c r="D10078" t="s">
        <v>8408</v>
      </c>
      <c r="E10078">
        <v>-2708.07</v>
      </c>
      <c r="F10078">
        <v>-1.06</v>
      </c>
      <c r="G10078" t="s">
        <v>12</v>
      </c>
      <c r="I10078" t="s">
        <v>1050</v>
      </c>
    </row>
    <row r="10079" spans="1:9" hidden="1" x14ac:dyDescent="0.25">
      <c r="A10079" t="s">
        <v>8362</v>
      </c>
      <c r="B10079" t="s">
        <v>122</v>
      </c>
      <c r="C10079" s="2">
        <f>HYPERLINK("https://cao.dolgi.msk.ru/account/1080315911/", 1080315911)</f>
        <v>1080315911</v>
      </c>
      <c r="D10079" t="s">
        <v>8409</v>
      </c>
      <c r="E10079">
        <v>-3646.64</v>
      </c>
      <c r="F10079">
        <v>-1.04</v>
      </c>
      <c r="G10079" t="s">
        <v>12</v>
      </c>
      <c r="I10079" t="s">
        <v>1050</v>
      </c>
    </row>
    <row r="10080" spans="1:9" hidden="1" x14ac:dyDescent="0.25">
      <c r="A10080" t="s">
        <v>8362</v>
      </c>
      <c r="B10080" t="s">
        <v>124</v>
      </c>
      <c r="C10080" s="2">
        <f>HYPERLINK("https://cao.dolgi.msk.ru/account/1080315938/", 1080315938)</f>
        <v>1080315938</v>
      </c>
      <c r="D10080" t="s">
        <v>8410</v>
      </c>
      <c r="E10080">
        <v>0</v>
      </c>
      <c r="F10080">
        <v>0</v>
      </c>
      <c r="G10080" t="s">
        <v>12</v>
      </c>
      <c r="I10080" t="s">
        <v>1050</v>
      </c>
    </row>
    <row r="10081" spans="1:9" hidden="1" x14ac:dyDescent="0.25">
      <c r="A10081" t="s">
        <v>8362</v>
      </c>
      <c r="B10081" t="s">
        <v>126</v>
      </c>
      <c r="C10081" s="2">
        <f>HYPERLINK("https://cao.dolgi.msk.ru/account/1080315946/", 1080315946)</f>
        <v>1080315946</v>
      </c>
      <c r="D10081" t="s">
        <v>8411</v>
      </c>
      <c r="E10081">
        <v>-2901.36</v>
      </c>
      <c r="F10081">
        <v>-1.04</v>
      </c>
      <c r="G10081" t="s">
        <v>12</v>
      </c>
      <c r="I10081" t="s">
        <v>1050</v>
      </c>
    </row>
    <row r="10082" spans="1:9" hidden="1" x14ac:dyDescent="0.25">
      <c r="A10082" t="s">
        <v>8362</v>
      </c>
      <c r="B10082" t="s">
        <v>128</v>
      </c>
      <c r="C10082" s="2">
        <f>HYPERLINK("https://cao.dolgi.msk.ru/account/1080315954/", 1080315954)</f>
        <v>1080315954</v>
      </c>
      <c r="D10082" t="s">
        <v>8412</v>
      </c>
      <c r="E10082">
        <v>2879.58</v>
      </c>
      <c r="F10082">
        <v>0.66</v>
      </c>
      <c r="G10082" t="s">
        <v>12</v>
      </c>
      <c r="I10082" t="s">
        <v>1050</v>
      </c>
    </row>
    <row r="10083" spans="1:9" hidden="1" x14ac:dyDescent="0.25">
      <c r="A10083" t="s">
        <v>8362</v>
      </c>
      <c r="B10083" t="s">
        <v>130</v>
      </c>
      <c r="C10083" s="2">
        <f>HYPERLINK("https://cao.dolgi.msk.ru/account/1080315962/", 1080315962)</f>
        <v>1080315962</v>
      </c>
      <c r="D10083" t="s">
        <v>8413</v>
      </c>
      <c r="E10083">
        <v>2801.34</v>
      </c>
      <c r="F10083">
        <v>1</v>
      </c>
      <c r="G10083" t="s">
        <v>12</v>
      </c>
      <c r="I10083" t="s">
        <v>1050</v>
      </c>
    </row>
    <row r="10084" spans="1:9" hidden="1" x14ac:dyDescent="0.25">
      <c r="A10084" t="s">
        <v>8362</v>
      </c>
      <c r="B10084" t="s">
        <v>132</v>
      </c>
      <c r="C10084" s="2">
        <f>HYPERLINK("https://cao.dolgi.msk.ru/account/1080315989/", 1080315989)</f>
        <v>1080315989</v>
      </c>
      <c r="D10084" t="s">
        <v>8414</v>
      </c>
      <c r="E10084">
        <v>-5595.36</v>
      </c>
      <c r="F10084">
        <v>-1.64</v>
      </c>
      <c r="G10084" t="s">
        <v>12</v>
      </c>
      <c r="I10084" t="s">
        <v>1050</v>
      </c>
    </row>
    <row r="10085" spans="1:9" hidden="1" x14ac:dyDescent="0.25">
      <c r="A10085" t="s">
        <v>8362</v>
      </c>
      <c r="B10085" t="s">
        <v>133</v>
      </c>
      <c r="C10085" s="2">
        <f>HYPERLINK("https://cao.dolgi.msk.ru/account/1080315997/", 1080315997)</f>
        <v>1080315997</v>
      </c>
      <c r="D10085" t="s">
        <v>8415</v>
      </c>
      <c r="E10085">
        <v>-3581.51</v>
      </c>
      <c r="F10085">
        <v>-1.05</v>
      </c>
      <c r="G10085" t="s">
        <v>12</v>
      </c>
      <c r="I10085" t="s">
        <v>1050</v>
      </c>
    </row>
    <row r="10086" spans="1:9" hidden="1" x14ac:dyDescent="0.25">
      <c r="A10086" t="s">
        <v>8362</v>
      </c>
      <c r="B10086" t="s">
        <v>135</v>
      </c>
      <c r="C10086" s="2">
        <f>HYPERLINK("https://cao.dolgi.msk.ru/account/1080316009/", 1080316009)</f>
        <v>1080316009</v>
      </c>
      <c r="D10086" t="s">
        <v>8416</v>
      </c>
      <c r="E10086">
        <v>0</v>
      </c>
      <c r="F10086">
        <v>0</v>
      </c>
      <c r="G10086" t="s">
        <v>12</v>
      </c>
      <c r="I10086" t="s">
        <v>1050</v>
      </c>
    </row>
    <row r="10087" spans="1:9" hidden="1" x14ac:dyDescent="0.25">
      <c r="A10087" t="s">
        <v>8362</v>
      </c>
      <c r="B10087" t="s">
        <v>137</v>
      </c>
      <c r="C10087" s="2">
        <f>HYPERLINK("https://cao.dolgi.msk.ru/account/1080316017/", 1080316017)</f>
        <v>1080316017</v>
      </c>
      <c r="D10087" t="s">
        <v>8417</v>
      </c>
      <c r="E10087">
        <v>-2772.32</v>
      </c>
      <c r="F10087">
        <v>-0.88</v>
      </c>
      <c r="G10087" t="s">
        <v>12</v>
      </c>
      <c r="I10087" t="s">
        <v>1050</v>
      </c>
    </row>
    <row r="10088" spans="1:9" hidden="1" x14ac:dyDescent="0.25">
      <c r="A10088" t="s">
        <v>8362</v>
      </c>
      <c r="B10088" t="s">
        <v>139</v>
      </c>
      <c r="C10088" s="2">
        <f>HYPERLINK("https://cao.dolgi.msk.ru/account/1080316025/", 1080316025)</f>
        <v>1080316025</v>
      </c>
      <c r="D10088" t="s">
        <v>8418</v>
      </c>
      <c r="E10088">
        <v>-3028.99</v>
      </c>
      <c r="F10088">
        <v>-0.98</v>
      </c>
      <c r="G10088" t="s">
        <v>12</v>
      </c>
      <c r="I10088" t="s">
        <v>1050</v>
      </c>
    </row>
    <row r="10089" spans="1:9" hidden="1" x14ac:dyDescent="0.25">
      <c r="A10089" t="s">
        <v>8362</v>
      </c>
      <c r="B10089" t="s">
        <v>141</v>
      </c>
      <c r="C10089" s="2">
        <f>HYPERLINK("https://cao.dolgi.msk.ru/account/1080316033/", 1080316033)</f>
        <v>1080316033</v>
      </c>
      <c r="D10089" t="s">
        <v>8419</v>
      </c>
      <c r="E10089">
        <v>-3197.73</v>
      </c>
      <c r="F10089">
        <v>-0.7</v>
      </c>
      <c r="G10089" t="s">
        <v>12</v>
      </c>
      <c r="I10089" t="s">
        <v>1050</v>
      </c>
    </row>
    <row r="10090" spans="1:9" hidden="1" x14ac:dyDescent="0.25">
      <c r="A10090" t="s">
        <v>8362</v>
      </c>
      <c r="B10090" t="s">
        <v>143</v>
      </c>
      <c r="C10090" s="2">
        <f>HYPERLINK("https://cao.dolgi.msk.ru/account/1080316041/", 1080316041)</f>
        <v>1080316041</v>
      </c>
      <c r="D10090" t="s">
        <v>8420</v>
      </c>
      <c r="E10090">
        <v>-2860.22</v>
      </c>
      <c r="F10090">
        <v>-0.72</v>
      </c>
      <c r="G10090" t="s">
        <v>12</v>
      </c>
      <c r="I10090" t="s">
        <v>1050</v>
      </c>
    </row>
    <row r="10091" spans="1:9" hidden="1" x14ac:dyDescent="0.25">
      <c r="A10091" t="s">
        <v>8362</v>
      </c>
      <c r="B10091" t="s">
        <v>145</v>
      </c>
      <c r="C10091" s="2">
        <f>HYPERLINK("https://cao.dolgi.msk.ru/account/1080316068/", 1080316068)</f>
        <v>1080316068</v>
      </c>
      <c r="D10091" t="s">
        <v>8421</v>
      </c>
      <c r="E10091">
        <v>-400.71</v>
      </c>
      <c r="F10091">
        <v>-0.17</v>
      </c>
      <c r="G10091" t="s">
        <v>12</v>
      </c>
      <c r="I10091" t="s">
        <v>1050</v>
      </c>
    </row>
    <row r="10092" spans="1:9" hidden="1" x14ac:dyDescent="0.25">
      <c r="A10092" t="s">
        <v>8362</v>
      </c>
      <c r="B10092" t="s">
        <v>147</v>
      </c>
      <c r="C10092" s="2">
        <f>HYPERLINK("https://cao.dolgi.msk.ru/account/1080316076/", 1080316076)</f>
        <v>1080316076</v>
      </c>
      <c r="D10092" t="s">
        <v>8422</v>
      </c>
      <c r="E10092">
        <v>-3062.57</v>
      </c>
      <c r="F10092">
        <v>-1.05</v>
      </c>
      <c r="G10092" t="s">
        <v>12</v>
      </c>
      <c r="I10092" t="s">
        <v>1050</v>
      </c>
    </row>
    <row r="10093" spans="1:9" hidden="1" x14ac:dyDescent="0.25">
      <c r="A10093" t="s">
        <v>8362</v>
      </c>
      <c r="B10093" t="s">
        <v>149</v>
      </c>
      <c r="C10093" s="2">
        <f>HYPERLINK("https://cao.dolgi.msk.ru/account/1080316084/", 1080316084)</f>
        <v>1080316084</v>
      </c>
      <c r="D10093" t="s">
        <v>8423</v>
      </c>
      <c r="E10093">
        <v>-3545</v>
      </c>
      <c r="F10093">
        <v>-0.96</v>
      </c>
      <c r="G10093" t="s">
        <v>12</v>
      </c>
      <c r="I10093" t="s">
        <v>1050</v>
      </c>
    </row>
    <row r="10094" spans="1:9" hidden="1" x14ac:dyDescent="0.25">
      <c r="A10094" t="s">
        <v>8362</v>
      </c>
      <c r="B10094" t="s">
        <v>151</v>
      </c>
      <c r="C10094" s="2">
        <f>HYPERLINK("https://cao.dolgi.msk.ru/account/1080316092/", 1080316092)</f>
        <v>1080316092</v>
      </c>
      <c r="D10094" t="s">
        <v>8424</v>
      </c>
      <c r="E10094">
        <v>-3876.87</v>
      </c>
      <c r="F10094">
        <v>-1.08</v>
      </c>
      <c r="G10094" t="s">
        <v>12</v>
      </c>
      <c r="I10094" t="s">
        <v>1050</v>
      </c>
    </row>
    <row r="10095" spans="1:9" hidden="1" x14ac:dyDescent="0.25">
      <c r="A10095" t="s">
        <v>8362</v>
      </c>
      <c r="B10095" t="s">
        <v>153</v>
      </c>
      <c r="C10095" s="2">
        <f>HYPERLINK("https://cao.dolgi.msk.ru/account/1080316105/", 1080316105)</f>
        <v>1080316105</v>
      </c>
      <c r="D10095" t="s">
        <v>8425</v>
      </c>
      <c r="E10095">
        <v>-2424.5</v>
      </c>
      <c r="F10095">
        <v>-1.06</v>
      </c>
      <c r="G10095" t="s">
        <v>12</v>
      </c>
      <c r="I10095" t="s">
        <v>1050</v>
      </c>
    </row>
    <row r="10096" spans="1:9" hidden="1" x14ac:dyDescent="0.25">
      <c r="A10096" t="s">
        <v>8362</v>
      </c>
      <c r="B10096" t="s">
        <v>155</v>
      </c>
      <c r="C10096" s="2">
        <f>HYPERLINK("https://cao.dolgi.msk.ru/account/1080316113/", 1080316113)</f>
        <v>1080316113</v>
      </c>
      <c r="D10096" t="s">
        <v>8426</v>
      </c>
      <c r="E10096">
        <v>-3381.89</v>
      </c>
      <c r="F10096">
        <v>-1.18</v>
      </c>
      <c r="G10096" t="s">
        <v>12</v>
      </c>
      <c r="I10096" t="s">
        <v>1050</v>
      </c>
    </row>
    <row r="10097" spans="1:9" hidden="1" x14ac:dyDescent="0.25">
      <c r="A10097" t="s">
        <v>8362</v>
      </c>
      <c r="B10097" t="s">
        <v>157</v>
      </c>
      <c r="C10097" s="2">
        <f>HYPERLINK("https://cao.dolgi.msk.ru/account/1080316121/", 1080316121)</f>
        <v>1080316121</v>
      </c>
      <c r="D10097" t="s">
        <v>8427</v>
      </c>
      <c r="E10097">
        <v>-2673.66</v>
      </c>
      <c r="F10097">
        <v>-1.1299999999999999</v>
      </c>
      <c r="G10097" t="s">
        <v>12</v>
      </c>
      <c r="I10097" t="s">
        <v>1050</v>
      </c>
    </row>
    <row r="10098" spans="1:9" hidden="1" x14ac:dyDescent="0.25">
      <c r="A10098" t="s">
        <v>8362</v>
      </c>
      <c r="B10098" t="s">
        <v>159</v>
      </c>
      <c r="C10098" s="2">
        <f>HYPERLINK("https://cao.dolgi.msk.ru/account/1080316148/", 1080316148)</f>
        <v>1080316148</v>
      </c>
      <c r="D10098" t="s">
        <v>8428</v>
      </c>
      <c r="E10098">
        <v>-3399.08</v>
      </c>
      <c r="F10098">
        <v>-0.87</v>
      </c>
      <c r="G10098" t="s">
        <v>12</v>
      </c>
      <c r="I10098" t="s">
        <v>1050</v>
      </c>
    </row>
    <row r="10099" spans="1:9" hidden="1" x14ac:dyDescent="0.25">
      <c r="A10099" t="s">
        <v>8362</v>
      </c>
      <c r="B10099" t="s">
        <v>161</v>
      </c>
      <c r="C10099" s="2">
        <f>HYPERLINK("https://cao.dolgi.msk.ru/account/1080316156/", 1080316156)</f>
        <v>1080316156</v>
      </c>
      <c r="D10099" t="s">
        <v>8429</v>
      </c>
      <c r="E10099">
        <v>-11222.32</v>
      </c>
      <c r="F10099">
        <v>-2.29</v>
      </c>
      <c r="G10099" t="s">
        <v>12</v>
      </c>
      <c r="I10099" t="s">
        <v>1050</v>
      </c>
    </row>
    <row r="10100" spans="1:9" hidden="1" x14ac:dyDescent="0.25">
      <c r="A10100" t="s">
        <v>8362</v>
      </c>
      <c r="B10100" t="s">
        <v>163</v>
      </c>
      <c r="C10100" s="2">
        <f>HYPERLINK("https://cao.dolgi.msk.ru/account/1080316164/", 1080316164)</f>
        <v>1080316164</v>
      </c>
      <c r="D10100" t="s">
        <v>8430</v>
      </c>
      <c r="E10100">
        <v>0</v>
      </c>
      <c r="F10100">
        <v>0</v>
      </c>
      <c r="G10100" t="s">
        <v>12</v>
      </c>
      <c r="I10100" t="s">
        <v>1050</v>
      </c>
    </row>
    <row r="10101" spans="1:9" hidden="1" x14ac:dyDescent="0.25">
      <c r="A10101" t="s">
        <v>8362</v>
      </c>
      <c r="B10101" t="s">
        <v>571</v>
      </c>
      <c r="C10101" s="2">
        <f>HYPERLINK("https://cao.dolgi.msk.ru/account/1080316172/", 1080316172)</f>
        <v>1080316172</v>
      </c>
      <c r="D10101" t="s">
        <v>8431</v>
      </c>
      <c r="E10101">
        <v>-4448.24</v>
      </c>
      <c r="F10101">
        <v>-1.06</v>
      </c>
      <c r="G10101" t="s">
        <v>12</v>
      </c>
      <c r="I10101" t="s">
        <v>1050</v>
      </c>
    </row>
    <row r="10102" spans="1:9" hidden="1" x14ac:dyDescent="0.25">
      <c r="A10102" t="s">
        <v>8432</v>
      </c>
      <c r="B10102" t="s">
        <v>10</v>
      </c>
      <c r="C10102" s="2">
        <f>HYPERLINK("https://cao.dolgi.msk.ru/account/1080318282/", 1080318282)</f>
        <v>1080318282</v>
      </c>
      <c r="D10102" t="s">
        <v>8433</v>
      </c>
      <c r="E10102">
        <v>-6919.05</v>
      </c>
      <c r="F10102">
        <v>-0.94</v>
      </c>
      <c r="G10102" t="s">
        <v>12</v>
      </c>
      <c r="I10102" t="s">
        <v>1050</v>
      </c>
    </row>
    <row r="10103" spans="1:9" hidden="1" x14ac:dyDescent="0.25">
      <c r="A10103" t="s">
        <v>8432</v>
      </c>
      <c r="B10103" t="s">
        <v>10</v>
      </c>
      <c r="C10103" s="2">
        <f>HYPERLINK("https://cao.dolgi.msk.ru/account/1080318303/", 1080318303)</f>
        <v>1080318303</v>
      </c>
      <c r="D10103" t="s">
        <v>8434</v>
      </c>
      <c r="E10103">
        <v>-479.78</v>
      </c>
      <c r="F10103">
        <v>-7.0000000000000007E-2</v>
      </c>
      <c r="G10103" t="s">
        <v>14</v>
      </c>
      <c r="I10103" t="s">
        <v>1050</v>
      </c>
    </row>
    <row r="10104" spans="1:9" hidden="1" x14ac:dyDescent="0.25">
      <c r="A10104" t="s">
        <v>8432</v>
      </c>
      <c r="B10104" t="s">
        <v>16</v>
      </c>
      <c r="C10104" s="2">
        <f>HYPERLINK("https://cao.dolgi.msk.ru/account/1080318338/", 1080318338)</f>
        <v>1080318338</v>
      </c>
      <c r="D10104" t="s">
        <v>8435</v>
      </c>
      <c r="E10104">
        <v>-4036.66</v>
      </c>
      <c r="F10104">
        <v>-1.1000000000000001</v>
      </c>
      <c r="G10104" t="s">
        <v>12</v>
      </c>
      <c r="I10104" t="s">
        <v>1050</v>
      </c>
    </row>
    <row r="10105" spans="1:9" hidden="1" x14ac:dyDescent="0.25">
      <c r="A10105" t="s">
        <v>8432</v>
      </c>
      <c r="B10105" t="s">
        <v>18</v>
      </c>
      <c r="C10105" s="2">
        <f>HYPERLINK("https://cao.dolgi.msk.ru/account/1080318346/", 1080318346)</f>
        <v>1080318346</v>
      </c>
      <c r="D10105" t="s">
        <v>8436</v>
      </c>
      <c r="E10105">
        <v>-5902.27</v>
      </c>
      <c r="F10105">
        <v>-1.24</v>
      </c>
      <c r="G10105" t="s">
        <v>12</v>
      </c>
      <c r="I10105" t="s">
        <v>1050</v>
      </c>
    </row>
    <row r="10106" spans="1:9" hidden="1" x14ac:dyDescent="0.25">
      <c r="A10106" t="s">
        <v>8432</v>
      </c>
      <c r="B10106" t="s">
        <v>20</v>
      </c>
      <c r="C10106" s="2">
        <f>HYPERLINK("https://cao.dolgi.msk.ru/account/1080318354/", 1080318354)</f>
        <v>1080318354</v>
      </c>
      <c r="D10106" t="s">
        <v>8437</v>
      </c>
      <c r="E10106">
        <v>-7746.91</v>
      </c>
      <c r="F10106">
        <v>-2.02</v>
      </c>
      <c r="G10106" t="s">
        <v>12</v>
      </c>
      <c r="I10106" t="s">
        <v>1050</v>
      </c>
    </row>
    <row r="10107" spans="1:9" hidden="1" x14ac:dyDescent="0.25">
      <c r="A10107" t="s">
        <v>8432</v>
      </c>
      <c r="B10107" t="s">
        <v>21</v>
      </c>
      <c r="C10107" s="2">
        <f>HYPERLINK("https://cao.dolgi.msk.ru/account/1080318362/", 1080318362)</f>
        <v>1080318362</v>
      </c>
      <c r="D10107" t="s">
        <v>8438</v>
      </c>
      <c r="E10107">
        <v>-13360.93</v>
      </c>
      <c r="F10107">
        <v>-2.1</v>
      </c>
      <c r="G10107" t="s">
        <v>12</v>
      </c>
      <c r="I10107" t="s">
        <v>1050</v>
      </c>
    </row>
    <row r="10108" spans="1:9" hidden="1" x14ac:dyDescent="0.25">
      <c r="A10108" t="s">
        <v>8432</v>
      </c>
      <c r="B10108" t="s">
        <v>22</v>
      </c>
      <c r="C10108" s="2">
        <f>HYPERLINK("https://cao.dolgi.msk.ru/account/1080318389/", 1080318389)</f>
        <v>1080318389</v>
      </c>
      <c r="D10108" t="s">
        <v>8439</v>
      </c>
      <c r="E10108">
        <v>-6482.43</v>
      </c>
      <c r="F10108">
        <v>-1.1599999999999999</v>
      </c>
      <c r="G10108" t="s">
        <v>12</v>
      </c>
      <c r="I10108" t="s">
        <v>1050</v>
      </c>
    </row>
    <row r="10109" spans="1:9" hidden="1" x14ac:dyDescent="0.25">
      <c r="A10109" t="s">
        <v>8432</v>
      </c>
      <c r="B10109" t="s">
        <v>23</v>
      </c>
      <c r="C10109" s="2">
        <f>HYPERLINK("https://cao.dolgi.msk.ru/account/1080318397/", 1080318397)</f>
        <v>1080318397</v>
      </c>
      <c r="D10109" t="s">
        <v>8440</v>
      </c>
      <c r="E10109">
        <v>-230</v>
      </c>
      <c r="F10109">
        <v>-0.04</v>
      </c>
      <c r="G10109" t="s">
        <v>12</v>
      </c>
      <c r="I10109" t="s">
        <v>1050</v>
      </c>
    </row>
    <row r="10110" spans="1:9" hidden="1" x14ac:dyDescent="0.25">
      <c r="A10110" t="s">
        <v>8432</v>
      </c>
      <c r="B10110" t="s">
        <v>24</v>
      </c>
      <c r="C10110" s="2">
        <f>HYPERLINK("https://cao.dolgi.msk.ru/account/1080318418/", 1080318418)</f>
        <v>1080318418</v>
      </c>
      <c r="D10110" t="s">
        <v>8441</v>
      </c>
      <c r="E10110">
        <v>-1381.88</v>
      </c>
      <c r="F10110">
        <v>-0.24</v>
      </c>
      <c r="G10110" t="s">
        <v>12</v>
      </c>
      <c r="I10110" t="s">
        <v>1050</v>
      </c>
    </row>
    <row r="10111" spans="1:9" hidden="1" x14ac:dyDescent="0.25">
      <c r="A10111" t="s">
        <v>8432</v>
      </c>
      <c r="B10111" t="s">
        <v>27</v>
      </c>
      <c r="C10111" s="2">
        <f>HYPERLINK("https://cao.dolgi.msk.ru/account/1080318426/", 1080318426)</f>
        <v>1080318426</v>
      </c>
      <c r="D10111" t="s">
        <v>8442</v>
      </c>
      <c r="E10111">
        <v>8349.2099999999991</v>
      </c>
      <c r="F10111">
        <v>0.92</v>
      </c>
      <c r="G10111" t="s">
        <v>12</v>
      </c>
      <c r="I10111" t="s">
        <v>1050</v>
      </c>
    </row>
    <row r="10112" spans="1:9" hidden="1" x14ac:dyDescent="0.25">
      <c r="A10112" t="s">
        <v>8432</v>
      </c>
      <c r="B10112" t="s">
        <v>29</v>
      </c>
      <c r="C10112" s="2">
        <f>HYPERLINK("https://cao.dolgi.msk.ru/account/1080318434/", 1080318434)</f>
        <v>1080318434</v>
      </c>
      <c r="D10112" t="s">
        <v>8443</v>
      </c>
      <c r="E10112">
        <v>4092.14</v>
      </c>
      <c r="F10112">
        <v>0.56999999999999995</v>
      </c>
      <c r="G10112" t="s">
        <v>12</v>
      </c>
      <c r="I10112" t="s">
        <v>1050</v>
      </c>
    </row>
    <row r="10113" spans="1:9" hidden="1" x14ac:dyDescent="0.25">
      <c r="A10113" t="s">
        <v>8432</v>
      </c>
      <c r="B10113" t="s">
        <v>31</v>
      </c>
      <c r="C10113" s="2">
        <f>HYPERLINK("https://cao.dolgi.msk.ru/account/1080318442/", 1080318442)</f>
        <v>1080318442</v>
      </c>
      <c r="D10113" t="s">
        <v>15</v>
      </c>
      <c r="G10113" t="s">
        <v>14</v>
      </c>
      <c r="I10113" t="s">
        <v>1050</v>
      </c>
    </row>
    <row r="10114" spans="1:9" hidden="1" x14ac:dyDescent="0.25">
      <c r="A10114" t="s">
        <v>8432</v>
      </c>
      <c r="B10114" t="s">
        <v>31</v>
      </c>
      <c r="C10114" s="2">
        <f>HYPERLINK("https://cao.dolgi.msk.ru/account/1089118017/", 1089118017)</f>
        <v>1089118017</v>
      </c>
      <c r="D10114" t="s">
        <v>8444</v>
      </c>
      <c r="E10114">
        <v>-12595.82</v>
      </c>
      <c r="F10114">
        <v>-2.27</v>
      </c>
      <c r="G10114" t="s">
        <v>12</v>
      </c>
      <c r="I10114" t="s">
        <v>1050</v>
      </c>
    </row>
    <row r="10115" spans="1:9" hidden="1" x14ac:dyDescent="0.25">
      <c r="A10115" t="s">
        <v>8432</v>
      </c>
      <c r="B10115" t="s">
        <v>33</v>
      </c>
      <c r="C10115" s="2">
        <f>HYPERLINK("https://cao.dolgi.msk.ru/account/1080318469/", 1080318469)</f>
        <v>1080318469</v>
      </c>
      <c r="D10115" t="s">
        <v>8445</v>
      </c>
      <c r="E10115">
        <v>-4359.0600000000004</v>
      </c>
      <c r="F10115">
        <v>-1.1100000000000001</v>
      </c>
      <c r="G10115" t="s">
        <v>12</v>
      </c>
      <c r="I10115" t="s">
        <v>1050</v>
      </c>
    </row>
    <row r="10116" spans="1:9" hidden="1" x14ac:dyDescent="0.25">
      <c r="A10116" t="s">
        <v>8432</v>
      </c>
      <c r="B10116" t="s">
        <v>34</v>
      </c>
      <c r="C10116" s="2">
        <f>HYPERLINK("https://cao.dolgi.msk.ru/account/1080318477/", 1080318477)</f>
        <v>1080318477</v>
      </c>
      <c r="D10116" t="s">
        <v>8446</v>
      </c>
      <c r="E10116">
        <v>0</v>
      </c>
      <c r="G10116" t="s">
        <v>14</v>
      </c>
      <c r="I10116" t="s">
        <v>1050</v>
      </c>
    </row>
    <row r="10117" spans="1:9" hidden="1" x14ac:dyDescent="0.25">
      <c r="A10117" t="s">
        <v>8432</v>
      </c>
      <c r="B10117" t="s">
        <v>34</v>
      </c>
      <c r="C10117" s="2">
        <f>HYPERLINK("https://cao.dolgi.msk.ru/account/1080318485/", 1080318485)</f>
        <v>1080318485</v>
      </c>
      <c r="D10117" t="s">
        <v>8447</v>
      </c>
      <c r="E10117">
        <v>-6983.77</v>
      </c>
      <c r="F10117">
        <v>-1.05</v>
      </c>
      <c r="G10117" t="s">
        <v>12</v>
      </c>
      <c r="I10117" t="s">
        <v>1050</v>
      </c>
    </row>
    <row r="10118" spans="1:9" hidden="1" x14ac:dyDescent="0.25">
      <c r="A10118" t="s">
        <v>8432</v>
      </c>
      <c r="B10118" t="s">
        <v>34</v>
      </c>
      <c r="C10118" s="2">
        <f>HYPERLINK("https://cao.dolgi.msk.ru/account/1080318493/", 1080318493)</f>
        <v>1080318493</v>
      </c>
      <c r="D10118" t="s">
        <v>8447</v>
      </c>
      <c r="E10118">
        <v>-92.56</v>
      </c>
      <c r="G10118" t="s">
        <v>14</v>
      </c>
      <c r="I10118" t="s">
        <v>1050</v>
      </c>
    </row>
    <row r="10119" spans="1:9" hidden="1" x14ac:dyDescent="0.25">
      <c r="A10119" t="s">
        <v>8432</v>
      </c>
      <c r="B10119" t="s">
        <v>36</v>
      </c>
      <c r="C10119" s="2">
        <f>HYPERLINK("https://cao.dolgi.msk.ru/account/1080318506/", 1080318506)</f>
        <v>1080318506</v>
      </c>
      <c r="D10119" t="s">
        <v>8448</v>
      </c>
      <c r="E10119">
        <v>-7354.47</v>
      </c>
      <c r="F10119">
        <v>-1.34</v>
      </c>
      <c r="G10119" t="s">
        <v>12</v>
      </c>
      <c r="I10119" t="s">
        <v>1050</v>
      </c>
    </row>
    <row r="10120" spans="1:9" hidden="1" x14ac:dyDescent="0.25">
      <c r="A10120" t="s">
        <v>8432</v>
      </c>
      <c r="B10120" t="s">
        <v>38</v>
      </c>
      <c r="C10120" s="2">
        <f>HYPERLINK("https://cao.dolgi.msk.ru/account/1080318514/", 1080318514)</f>
        <v>1080318514</v>
      </c>
      <c r="D10120" t="s">
        <v>8449</v>
      </c>
      <c r="E10120">
        <v>-17312.93</v>
      </c>
      <c r="F10120">
        <v>-2.74</v>
      </c>
      <c r="G10120" t="s">
        <v>12</v>
      </c>
      <c r="I10120" t="s">
        <v>1050</v>
      </c>
    </row>
    <row r="10121" spans="1:9" hidden="1" x14ac:dyDescent="0.25">
      <c r="A10121" t="s">
        <v>8432</v>
      </c>
      <c r="B10121" t="s">
        <v>39</v>
      </c>
      <c r="C10121" s="2">
        <f>HYPERLINK("https://cao.dolgi.msk.ru/account/1080318549/", 1080318549)</f>
        <v>1080318549</v>
      </c>
      <c r="D10121" t="s">
        <v>8450</v>
      </c>
      <c r="E10121">
        <v>-6000.23</v>
      </c>
      <c r="F10121">
        <v>-1.21</v>
      </c>
      <c r="G10121" t="s">
        <v>12</v>
      </c>
      <c r="I10121" t="s">
        <v>1050</v>
      </c>
    </row>
    <row r="10122" spans="1:9" hidden="1" x14ac:dyDescent="0.25">
      <c r="A10122" t="s">
        <v>8432</v>
      </c>
      <c r="B10122" t="s">
        <v>40</v>
      </c>
      <c r="C10122" s="2">
        <f>HYPERLINK("https://cao.dolgi.msk.ru/account/1080318557/", 1080318557)</f>
        <v>1080318557</v>
      </c>
      <c r="D10122" t="s">
        <v>8451</v>
      </c>
      <c r="E10122">
        <v>-39.75</v>
      </c>
      <c r="F10122">
        <v>-0.01</v>
      </c>
      <c r="G10122" t="s">
        <v>12</v>
      </c>
      <c r="I10122" t="s">
        <v>1050</v>
      </c>
    </row>
    <row r="10123" spans="1:9" hidden="1" x14ac:dyDescent="0.25">
      <c r="A10123" t="s">
        <v>8432</v>
      </c>
      <c r="B10123" t="s">
        <v>41</v>
      </c>
      <c r="C10123" s="2">
        <f>HYPERLINK("https://cao.dolgi.msk.ru/account/1080318565/", 1080318565)</f>
        <v>1080318565</v>
      </c>
      <c r="D10123" t="s">
        <v>8452</v>
      </c>
      <c r="E10123">
        <v>-4566.3500000000004</v>
      </c>
      <c r="F10123">
        <v>-1.07</v>
      </c>
      <c r="G10123" t="s">
        <v>12</v>
      </c>
      <c r="I10123" t="s">
        <v>1050</v>
      </c>
    </row>
    <row r="10124" spans="1:9" hidden="1" x14ac:dyDescent="0.25">
      <c r="A10124" t="s">
        <v>8432</v>
      </c>
      <c r="B10124" t="s">
        <v>42</v>
      </c>
      <c r="C10124" s="2">
        <f>HYPERLINK("https://cao.dolgi.msk.ru/account/1080318573/", 1080318573)</f>
        <v>1080318573</v>
      </c>
      <c r="D10124" t="s">
        <v>8453</v>
      </c>
      <c r="E10124">
        <v>-5601.97</v>
      </c>
      <c r="F10124">
        <v>-1.1100000000000001</v>
      </c>
      <c r="G10124" t="s">
        <v>12</v>
      </c>
      <c r="I10124" t="s">
        <v>1050</v>
      </c>
    </row>
    <row r="10125" spans="1:9" hidden="1" x14ac:dyDescent="0.25">
      <c r="A10125" t="s">
        <v>8432</v>
      </c>
      <c r="B10125" t="s">
        <v>44</v>
      </c>
      <c r="C10125" s="2">
        <f>HYPERLINK("https://cao.dolgi.msk.ru/account/1080318602/", 1080318602)</f>
        <v>1080318602</v>
      </c>
      <c r="D10125" t="s">
        <v>8454</v>
      </c>
      <c r="E10125">
        <v>-6883.53</v>
      </c>
      <c r="F10125">
        <v>-1.06</v>
      </c>
      <c r="G10125" t="s">
        <v>12</v>
      </c>
      <c r="I10125" t="s">
        <v>1050</v>
      </c>
    </row>
    <row r="10126" spans="1:9" hidden="1" x14ac:dyDescent="0.25">
      <c r="A10126" t="s">
        <v>8432</v>
      </c>
      <c r="B10126" t="s">
        <v>66</v>
      </c>
      <c r="C10126" s="2">
        <f>HYPERLINK("https://cao.dolgi.msk.ru/account/1080318629/", 1080318629)</f>
        <v>1080318629</v>
      </c>
      <c r="D10126" t="s">
        <v>8455</v>
      </c>
      <c r="E10126">
        <v>-10859.2</v>
      </c>
      <c r="F10126">
        <v>-1.1399999999999999</v>
      </c>
      <c r="G10126" t="s">
        <v>12</v>
      </c>
      <c r="I10126" t="s">
        <v>1050</v>
      </c>
    </row>
    <row r="10127" spans="1:9" hidden="1" x14ac:dyDescent="0.25">
      <c r="A10127" t="s">
        <v>8432</v>
      </c>
      <c r="B10127" t="s">
        <v>68</v>
      </c>
      <c r="C10127" s="2">
        <f>HYPERLINK("https://cao.dolgi.msk.ru/account/1080318637/", 1080318637)</f>
        <v>1080318637</v>
      </c>
      <c r="D10127" t="s">
        <v>15</v>
      </c>
      <c r="G10127" t="s">
        <v>14</v>
      </c>
      <c r="I10127" t="s">
        <v>1050</v>
      </c>
    </row>
    <row r="10128" spans="1:9" hidden="1" x14ac:dyDescent="0.25">
      <c r="A10128" t="s">
        <v>8432</v>
      </c>
      <c r="B10128" t="s">
        <v>68</v>
      </c>
      <c r="C10128" s="2">
        <f>HYPERLINK("https://cao.dolgi.msk.ru/account/1080318645/", 1080318645)</f>
        <v>1080318645</v>
      </c>
      <c r="D10128" t="s">
        <v>8456</v>
      </c>
      <c r="E10128">
        <v>-6694.99</v>
      </c>
      <c r="F10128">
        <v>-1.0900000000000001</v>
      </c>
      <c r="G10128" t="s">
        <v>12</v>
      </c>
      <c r="I10128" t="s">
        <v>1050</v>
      </c>
    </row>
    <row r="10129" spans="1:9" hidden="1" x14ac:dyDescent="0.25">
      <c r="A10129" t="s">
        <v>8432</v>
      </c>
      <c r="B10129" t="s">
        <v>68</v>
      </c>
      <c r="C10129" s="2">
        <f>HYPERLINK("https://cao.dolgi.msk.ru/account/1080318653/", 1080318653)</f>
        <v>1080318653</v>
      </c>
      <c r="D10129" t="s">
        <v>15</v>
      </c>
      <c r="G10129" t="s">
        <v>14</v>
      </c>
      <c r="I10129" t="s">
        <v>1050</v>
      </c>
    </row>
    <row r="10130" spans="1:9" hidden="1" x14ac:dyDescent="0.25">
      <c r="A10130" t="s">
        <v>8432</v>
      </c>
      <c r="B10130" t="s">
        <v>70</v>
      </c>
      <c r="C10130" s="2">
        <f>HYPERLINK("https://cao.dolgi.msk.ru/account/1080318661/", 1080318661)</f>
        <v>1080318661</v>
      </c>
      <c r="D10130" t="s">
        <v>8457</v>
      </c>
      <c r="E10130">
        <v>-7769.3</v>
      </c>
      <c r="F10130">
        <v>-1.2</v>
      </c>
      <c r="G10130" t="s">
        <v>12</v>
      </c>
      <c r="I10130" t="s">
        <v>1050</v>
      </c>
    </row>
    <row r="10131" spans="1:9" hidden="1" x14ac:dyDescent="0.25">
      <c r="A10131" t="s">
        <v>8432</v>
      </c>
      <c r="B10131" t="s">
        <v>72</v>
      </c>
      <c r="C10131" s="2">
        <f>HYPERLINK("https://cao.dolgi.msk.ru/account/1080318688/", 1080318688)</f>
        <v>1080318688</v>
      </c>
      <c r="D10131" t="s">
        <v>8458</v>
      </c>
      <c r="E10131">
        <v>232.23</v>
      </c>
      <c r="F10131">
        <v>0.03</v>
      </c>
      <c r="G10131" t="s">
        <v>12</v>
      </c>
      <c r="I10131" t="s">
        <v>1050</v>
      </c>
    </row>
    <row r="10132" spans="1:9" x14ac:dyDescent="0.25">
      <c r="A10132" t="s">
        <v>8432</v>
      </c>
      <c r="B10132" t="s">
        <v>74</v>
      </c>
      <c r="C10132" s="2">
        <f>HYPERLINK("https://cao.dolgi.msk.ru/account/1080318696/", 1080318696)</f>
        <v>1080318696</v>
      </c>
      <c r="D10132" t="s">
        <v>8459</v>
      </c>
      <c r="E10132">
        <v>2056.15</v>
      </c>
      <c r="F10132">
        <v>2.0299999999999998</v>
      </c>
      <c r="G10132" t="s">
        <v>12</v>
      </c>
      <c r="H10132" t="s">
        <v>7</v>
      </c>
      <c r="I10132" t="s">
        <v>1050</v>
      </c>
    </row>
    <row r="10133" spans="1:9" hidden="1" x14ac:dyDescent="0.25">
      <c r="A10133" t="s">
        <v>8432</v>
      </c>
      <c r="B10133" t="s">
        <v>74</v>
      </c>
      <c r="C10133" s="2">
        <f>HYPERLINK("https://cao.dolgi.msk.ru/account/1080318709/", 1080318709)</f>
        <v>1080318709</v>
      </c>
      <c r="D10133" t="s">
        <v>8460</v>
      </c>
      <c r="E10133">
        <v>-526.91</v>
      </c>
      <c r="G10133" t="s">
        <v>12</v>
      </c>
      <c r="H10133" t="s">
        <v>7</v>
      </c>
      <c r="I10133" t="s">
        <v>1050</v>
      </c>
    </row>
    <row r="10134" spans="1:9" hidden="1" x14ac:dyDescent="0.25">
      <c r="A10134" t="s">
        <v>8432</v>
      </c>
      <c r="B10134" t="s">
        <v>74</v>
      </c>
      <c r="C10134" s="2">
        <f>HYPERLINK("https://cao.dolgi.msk.ru/account/1080318717/", 1080318717)</f>
        <v>1080318717</v>
      </c>
      <c r="D10134" t="s">
        <v>8460</v>
      </c>
      <c r="E10134">
        <v>0</v>
      </c>
      <c r="F10134">
        <v>0</v>
      </c>
      <c r="G10134" t="s">
        <v>12</v>
      </c>
      <c r="H10134" t="s">
        <v>7</v>
      </c>
      <c r="I10134" t="s">
        <v>1050</v>
      </c>
    </row>
    <row r="10135" spans="1:9" hidden="1" x14ac:dyDescent="0.25">
      <c r="A10135" t="s">
        <v>8432</v>
      </c>
      <c r="B10135" t="s">
        <v>74</v>
      </c>
      <c r="C10135" s="2">
        <f>HYPERLINK("https://cao.dolgi.msk.ru/account/1080318725/", 1080318725)</f>
        <v>1080318725</v>
      </c>
      <c r="D10135" t="s">
        <v>8460</v>
      </c>
      <c r="E10135">
        <v>166</v>
      </c>
      <c r="F10135">
        <v>0.04</v>
      </c>
      <c r="G10135" t="s">
        <v>12</v>
      </c>
      <c r="H10135" t="s">
        <v>7</v>
      </c>
      <c r="I10135" t="s">
        <v>1050</v>
      </c>
    </row>
    <row r="10136" spans="1:9" hidden="1" x14ac:dyDescent="0.25">
      <c r="A10136" t="s">
        <v>8432</v>
      </c>
      <c r="B10136" t="s">
        <v>76</v>
      </c>
      <c r="C10136" s="2">
        <f>HYPERLINK("https://cao.dolgi.msk.ru/account/1080318741/", 1080318741)</f>
        <v>1080318741</v>
      </c>
      <c r="D10136" t="s">
        <v>8461</v>
      </c>
      <c r="E10136">
        <v>-6798.16</v>
      </c>
      <c r="F10136">
        <v>-0.94</v>
      </c>
      <c r="G10136" t="s">
        <v>12</v>
      </c>
      <c r="I10136" t="s">
        <v>1050</v>
      </c>
    </row>
    <row r="10137" spans="1:9" hidden="1" x14ac:dyDescent="0.25">
      <c r="A10137" t="s">
        <v>8432</v>
      </c>
      <c r="B10137" t="s">
        <v>78</v>
      </c>
      <c r="C10137" s="2">
        <f>HYPERLINK("https://cao.dolgi.msk.ru/account/1080318776/", 1080318776)</f>
        <v>1080318776</v>
      </c>
      <c r="D10137" t="s">
        <v>8462</v>
      </c>
      <c r="E10137">
        <v>-7024.94</v>
      </c>
      <c r="F10137">
        <v>-1.1299999999999999</v>
      </c>
      <c r="G10137" t="s">
        <v>12</v>
      </c>
      <c r="I10137" t="s">
        <v>1050</v>
      </c>
    </row>
    <row r="10138" spans="1:9" hidden="1" x14ac:dyDescent="0.25">
      <c r="A10138" t="s">
        <v>8432</v>
      </c>
      <c r="B10138" t="s">
        <v>80</v>
      </c>
      <c r="C10138" s="2">
        <f>HYPERLINK("https://cao.dolgi.msk.ru/account/1080318784/", 1080318784)</f>
        <v>1080318784</v>
      </c>
      <c r="D10138" t="s">
        <v>8463</v>
      </c>
      <c r="E10138">
        <v>-7495.83</v>
      </c>
      <c r="F10138">
        <v>-1.18</v>
      </c>
      <c r="G10138" t="s">
        <v>12</v>
      </c>
      <c r="I10138" t="s">
        <v>1050</v>
      </c>
    </row>
    <row r="10139" spans="1:9" hidden="1" x14ac:dyDescent="0.25">
      <c r="A10139" t="s">
        <v>8432</v>
      </c>
      <c r="B10139" t="s">
        <v>82</v>
      </c>
      <c r="C10139" s="2">
        <f>HYPERLINK("https://cao.dolgi.msk.ru/account/1080318805/", 1080318805)</f>
        <v>1080318805</v>
      </c>
      <c r="D10139" t="s">
        <v>8464</v>
      </c>
      <c r="E10139">
        <v>-905.15</v>
      </c>
      <c r="F10139">
        <v>-0.12</v>
      </c>
      <c r="G10139" t="s">
        <v>12</v>
      </c>
      <c r="I10139" t="s">
        <v>1050</v>
      </c>
    </row>
    <row r="10140" spans="1:9" x14ac:dyDescent="0.25">
      <c r="A10140" t="s">
        <v>8432</v>
      </c>
      <c r="B10140" t="s">
        <v>84</v>
      </c>
      <c r="C10140" s="2">
        <f>HYPERLINK("https://cao.dolgi.msk.ru/account/1080318813/", 1080318813)</f>
        <v>1080318813</v>
      </c>
      <c r="D10140" t="s">
        <v>8465</v>
      </c>
      <c r="E10140">
        <v>8107.73</v>
      </c>
      <c r="F10140">
        <v>1.01</v>
      </c>
      <c r="G10140" t="s">
        <v>12</v>
      </c>
      <c r="I10140" t="s">
        <v>1050</v>
      </c>
    </row>
    <row r="10141" spans="1:9" hidden="1" x14ac:dyDescent="0.25">
      <c r="A10141" t="s">
        <v>8432</v>
      </c>
      <c r="B10141" t="s">
        <v>86</v>
      </c>
      <c r="C10141" s="2">
        <f>HYPERLINK("https://cao.dolgi.msk.ru/account/1080318821/", 1080318821)</f>
        <v>1080318821</v>
      </c>
      <c r="D10141" t="s">
        <v>8466</v>
      </c>
      <c r="E10141">
        <v>-15542.15</v>
      </c>
      <c r="F10141">
        <v>-1.38</v>
      </c>
      <c r="G10141" t="s">
        <v>12</v>
      </c>
      <c r="I10141" t="s">
        <v>1050</v>
      </c>
    </row>
    <row r="10142" spans="1:9" hidden="1" x14ac:dyDescent="0.25">
      <c r="A10142" t="s">
        <v>8432</v>
      </c>
      <c r="B10142" t="s">
        <v>88</v>
      </c>
      <c r="C10142" s="2">
        <f>HYPERLINK("https://cao.dolgi.msk.ru/account/1080318848/", 1080318848)</f>
        <v>1080318848</v>
      </c>
      <c r="D10142" t="s">
        <v>8467</v>
      </c>
      <c r="E10142">
        <v>-8565.4500000000007</v>
      </c>
      <c r="F10142">
        <v>-1.1299999999999999</v>
      </c>
      <c r="G10142" t="s">
        <v>12</v>
      </c>
      <c r="I10142" t="s">
        <v>1050</v>
      </c>
    </row>
    <row r="10143" spans="1:9" hidden="1" x14ac:dyDescent="0.25">
      <c r="A10143" t="s">
        <v>8432</v>
      </c>
      <c r="B10143" t="s">
        <v>90</v>
      </c>
      <c r="C10143" s="2">
        <f>HYPERLINK("https://cao.dolgi.msk.ru/account/1080318856/", 1080318856)</f>
        <v>1080318856</v>
      </c>
      <c r="D10143" t="s">
        <v>8468</v>
      </c>
      <c r="E10143">
        <v>-6134.48</v>
      </c>
      <c r="F10143">
        <v>-1.21</v>
      </c>
      <c r="G10143" t="s">
        <v>12</v>
      </c>
      <c r="I10143" t="s">
        <v>1050</v>
      </c>
    </row>
    <row r="10144" spans="1:9" hidden="1" x14ac:dyDescent="0.25">
      <c r="A10144" t="s">
        <v>8432</v>
      </c>
      <c r="B10144" t="s">
        <v>92</v>
      </c>
      <c r="C10144" s="2">
        <f>HYPERLINK("https://cao.dolgi.msk.ru/account/1080318864/", 1080318864)</f>
        <v>1080318864</v>
      </c>
      <c r="D10144" t="s">
        <v>8469</v>
      </c>
      <c r="E10144">
        <v>-5626.03</v>
      </c>
      <c r="F10144">
        <v>-1.1399999999999999</v>
      </c>
      <c r="G10144" t="s">
        <v>12</v>
      </c>
      <c r="I10144" t="s">
        <v>1050</v>
      </c>
    </row>
    <row r="10145" spans="1:9" hidden="1" x14ac:dyDescent="0.25">
      <c r="A10145" t="s">
        <v>8432</v>
      </c>
      <c r="B10145" t="s">
        <v>94</v>
      </c>
      <c r="C10145" s="2">
        <f>HYPERLINK("https://cao.dolgi.msk.ru/account/1080318901/", 1080318901)</f>
        <v>1080318901</v>
      </c>
      <c r="D10145" t="s">
        <v>8470</v>
      </c>
      <c r="E10145">
        <v>-10792.93</v>
      </c>
      <c r="F10145">
        <v>-1.1200000000000001</v>
      </c>
      <c r="G10145" t="s">
        <v>12</v>
      </c>
      <c r="I10145" t="s">
        <v>1050</v>
      </c>
    </row>
    <row r="10146" spans="1:9" hidden="1" x14ac:dyDescent="0.25">
      <c r="A10146" t="s">
        <v>8432</v>
      </c>
      <c r="B10146" t="s">
        <v>96</v>
      </c>
      <c r="C10146" s="2">
        <f>HYPERLINK("https://cao.dolgi.msk.ru/account/1080318928/", 1080318928)</f>
        <v>1080318928</v>
      </c>
      <c r="D10146" t="s">
        <v>15</v>
      </c>
      <c r="G10146" t="s">
        <v>14</v>
      </c>
      <c r="I10146" t="s">
        <v>1050</v>
      </c>
    </row>
    <row r="10147" spans="1:9" hidden="1" x14ac:dyDescent="0.25">
      <c r="A10147" t="s">
        <v>8432</v>
      </c>
      <c r="B10147" t="s">
        <v>96</v>
      </c>
      <c r="C10147" s="2">
        <f>HYPERLINK("https://cao.dolgi.msk.ru/account/1080318936/", 1080318936)</f>
        <v>1080318936</v>
      </c>
      <c r="D10147" t="s">
        <v>8471</v>
      </c>
      <c r="E10147">
        <v>-5244.39</v>
      </c>
      <c r="F10147">
        <v>-1.02</v>
      </c>
      <c r="G10147" t="s">
        <v>12</v>
      </c>
      <c r="I10147" t="s">
        <v>1050</v>
      </c>
    </row>
    <row r="10148" spans="1:9" hidden="1" x14ac:dyDescent="0.25">
      <c r="A10148" t="s">
        <v>8432</v>
      </c>
      <c r="B10148" t="s">
        <v>98</v>
      </c>
      <c r="C10148" s="2">
        <f>HYPERLINK("https://cao.dolgi.msk.ru/account/1080318944/", 1080318944)</f>
        <v>1080318944</v>
      </c>
      <c r="D10148" t="s">
        <v>8472</v>
      </c>
      <c r="E10148">
        <v>3195.2</v>
      </c>
      <c r="F10148">
        <v>1</v>
      </c>
      <c r="G10148" t="s">
        <v>12</v>
      </c>
      <c r="I10148" t="s">
        <v>1050</v>
      </c>
    </row>
    <row r="10149" spans="1:9" hidden="1" x14ac:dyDescent="0.25">
      <c r="A10149" t="s">
        <v>8432</v>
      </c>
      <c r="B10149" t="s">
        <v>100</v>
      </c>
      <c r="C10149" s="2">
        <f>HYPERLINK("https://cao.dolgi.msk.ru/account/1080318979/", 1080318979)</f>
        <v>1080318979</v>
      </c>
      <c r="D10149" t="s">
        <v>8473</v>
      </c>
      <c r="E10149">
        <v>-938.01</v>
      </c>
      <c r="F10149">
        <v>-0.14000000000000001</v>
      </c>
      <c r="G10149" t="s">
        <v>12</v>
      </c>
      <c r="I10149" t="s">
        <v>1050</v>
      </c>
    </row>
    <row r="10150" spans="1:9" hidden="1" x14ac:dyDescent="0.25">
      <c r="A10150" t="s">
        <v>8432</v>
      </c>
      <c r="B10150" t="s">
        <v>102</v>
      </c>
      <c r="C10150" s="2">
        <f>HYPERLINK("https://cao.dolgi.msk.ru/account/1080318995/", 1080318995)</f>
        <v>1080318995</v>
      </c>
      <c r="D10150" t="s">
        <v>8474</v>
      </c>
      <c r="E10150">
        <v>-11227.57</v>
      </c>
      <c r="F10150">
        <v>-1.1599999999999999</v>
      </c>
      <c r="G10150" t="s">
        <v>12</v>
      </c>
      <c r="I10150" t="s">
        <v>1050</v>
      </c>
    </row>
    <row r="10151" spans="1:9" hidden="1" x14ac:dyDescent="0.25">
      <c r="A10151" t="s">
        <v>8432</v>
      </c>
      <c r="B10151" t="s">
        <v>102</v>
      </c>
      <c r="C10151" s="2">
        <f>HYPERLINK("https://cao.dolgi.msk.ru/account/1080319007/", 1080319007)</f>
        <v>1080319007</v>
      </c>
      <c r="D10151" t="s">
        <v>15</v>
      </c>
      <c r="G10151" t="s">
        <v>14</v>
      </c>
      <c r="I10151" t="s">
        <v>1050</v>
      </c>
    </row>
    <row r="10152" spans="1:9" hidden="1" x14ac:dyDescent="0.25">
      <c r="A10152" t="s">
        <v>8432</v>
      </c>
      <c r="B10152" t="s">
        <v>104</v>
      </c>
      <c r="C10152" s="2">
        <f>HYPERLINK("https://cao.dolgi.msk.ru/account/1080319015/", 1080319015)</f>
        <v>1080319015</v>
      </c>
      <c r="D10152" t="s">
        <v>8475</v>
      </c>
      <c r="E10152">
        <v>-6213.87</v>
      </c>
      <c r="F10152">
        <v>-1.3</v>
      </c>
      <c r="G10152" t="s">
        <v>12</v>
      </c>
      <c r="I10152" t="s">
        <v>1050</v>
      </c>
    </row>
    <row r="10153" spans="1:9" hidden="1" x14ac:dyDescent="0.25">
      <c r="A10153" t="s">
        <v>8432</v>
      </c>
      <c r="B10153" t="s">
        <v>106</v>
      </c>
      <c r="C10153" s="2">
        <f>HYPERLINK("https://cao.dolgi.msk.ru/account/1080319031/", 1080319031)</f>
        <v>1080319031</v>
      </c>
      <c r="D10153" t="s">
        <v>8476</v>
      </c>
      <c r="E10153">
        <v>-3.7</v>
      </c>
      <c r="F10153">
        <v>0</v>
      </c>
      <c r="G10153" t="s">
        <v>12</v>
      </c>
      <c r="I10153" t="s">
        <v>1050</v>
      </c>
    </row>
    <row r="10154" spans="1:9" hidden="1" x14ac:dyDescent="0.25">
      <c r="A10154" t="s">
        <v>8432</v>
      </c>
      <c r="B10154" t="s">
        <v>108</v>
      </c>
      <c r="C10154" s="2">
        <f>HYPERLINK("https://cao.dolgi.msk.ru/account/1080319058/", 1080319058)</f>
        <v>1080319058</v>
      </c>
      <c r="D10154" t="s">
        <v>8477</v>
      </c>
      <c r="E10154">
        <v>10.01</v>
      </c>
      <c r="F10154">
        <v>0</v>
      </c>
      <c r="G10154" t="s">
        <v>12</v>
      </c>
      <c r="I10154" t="s">
        <v>1050</v>
      </c>
    </row>
    <row r="10155" spans="1:9" hidden="1" x14ac:dyDescent="0.25">
      <c r="A10155" t="s">
        <v>8432</v>
      </c>
      <c r="B10155" t="s">
        <v>110</v>
      </c>
      <c r="C10155" s="2">
        <f>HYPERLINK("https://cao.dolgi.msk.ru/account/1080319066/", 1080319066)</f>
        <v>1080319066</v>
      </c>
      <c r="D10155" t="s">
        <v>8478</v>
      </c>
      <c r="E10155">
        <v>191.69</v>
      </c>
      <c r="F10155">
        <v>0.02</v>
      </c>
      <c r="G10155" t="s">
        <v>12</v>
      </c>
      <c r="I10155" t="s">
        <v>1050</v>
      </c>
    </row>
    <row r="10156" spans="1:9" hidden="1" x14ac:dyDescent="0.25">
      <c r="A10156" t="s">
        <v>8432</v>
      </c>
      <c r="B10156" t="s">
        <v>112</v>
      </c>
      <c r="C10156" s="2">
        <f>HYPERLINK("https://cao.dolgi.msk.ru/account/1080319074/", 1080319074)</f>
        <v>1080319074</v>
      </c>
      <c r="D10156" t="s">
        <v>8479</v>
      </c>
      <c r="E10156">
        <v>0</v>
      </c>
      <c r="G10156" t="s">
        <v>14</v>
      </c>
      <c r="H10156" t="s">
        <v>7</v>
      </c>
      <c r="I10156" t="s">
        <v>1050</v>
      </c>
    </row>
    <row r="10157" spans="1:9" hidden="1" x14ac:dyDescent="0.25">
      <c r="A10157" t="s">
        <v>8432</v>
      </c>
      <c r="B10157" t="s">
        <v>112</v>
      </c>
      <c r="C10157" s="2">
        <f>HYPERLINK("https://cao.dolgi.msk.ru/account/1080319082/", 1080319082)</f>
        <v>1080319082</v>
      </c>
      <c r="D10157" t="s">
        <v>8479</v>
      </c>
      <c r="E10157">
        <v>-24043.68</v>
      </c>
      <c r="F10157">
        <v>-3.51</v>
      </c>
      <c r="G10157" t="s">
        <v>12</v>
      </c>
      <c r="H10157" t="s">
        <v>7</v>
      </c>
      <c r="I10157" t="s">
        <v>1050</v>
      </c>
    </row>
    <row r="10158" spans="1:9" hidden="1" x14ac:dyDescent="0.25">
      <c r="A10158" t="s">
        <v>8432</v>
      </c>
      <c r="B10158" t="s">
        <v>114</v>
      </c>
      <c r="C10158" s="2">
        <f>HYPERLINK("https://cao.dolgi.msk.ru/account/1080319103/", 1080319103)</f>
        <v>1080319103</v>
      </c>
      <c r="D10158" t="s">
        <v>8480</v>
      </c>
      <c r="E10158">
        <v>-7012.57</v>
      </c>
      <c r="F10158">
        <v>-1.1499999999999999</v>
      </c>
      <c r="G10158" t="s">
        <v>12</v>
      </c>
      <c r="I10158" t="s">
        <v>1050</v>
      </c>
    </row>
    <row r="10159" spans="1:9" hidden="1" x14ac:dyDescent="0.25">
      <c r="A10159" t="s">
        <v>8432</v>
      </c>
      <c r="B10159" t="s">
        <v>116</v>
      </c>
      <c r="C10159" s="2">
        <f>HYPERLINK("https://cao.dolgi.msk.ru/account/1080319111/", 1080319111)</f>
        <v>1080319111</v>
      </c>
      <c r="D10159" t="s">
        <v>8481</v>
      </c>
      <c r="E10159">
        <v>-823.84</v>
      </c>
      <c r="F10159">
        <v>-0.13</v>
      </c>
      <c r="G10159" t="s">
        <v>12</v>
      </c>
      <c r="I10159" t="s">
        <v>1050</v>
      </c>
    </row>
    <row r="10160" spans="1:9" hidden="1" x14ac:dyDescent="0.25">
      <c r="A10160" t="s">
        <v>8432</v>
      </c>
      <c r="B10160" t="s">
        <v>118</v>
      </c>
      <c r="C10160" s="2">
        <f>HYPERLINK("https://cao.dolgi.msk.ru/account/1080319138/", 1080319138)</f>
        <v>1080319138</v>
      </c>
      <c r="D10160" t="s">
        <v>8482</v>
      </c>
      <c r="E10160">
        <v>-6027.02</v>
      </c>
      <c r="F10160">
        <v>-0.84</v>
      </c>
      <c r="G10160" t="s">
        <v>12</v>
      </c>
      <c r="I10160" t="s">
        <v>1050</v>
      </c>
    </row>
    <row r="10161" spans="1:9" hidden="1" x14ac:dyDescent="0.25">
      <c r="A10161" t="s">
        <v>8432</v>
      </c>
      <c r="B10161" t="s">
        <v>120</v>
      </c>
      <c r="C10161" s="2">
        <f>HYPERLINK("https://cao.dolgi.msk.ru/account/1080319146/", 1080319146)</f>
        <v>1080319146</v>
      </c>
      <c r="D10161" t="s">
        <v>5565</v>
      </c>
      <c r="E10161">
        <v>-9927.36</v>
      </c>
      <c r="F10161">
        <v>-0.79</v>
      </c>
      <c r="G10161" t="s">
        <v>12</v>
      </c>
      <c r="I10161" t="s">
        <v>1050</v>
      </c>
    </row>
    <row r="10162" spans="1:9" hidden="1" x14ac:dyDescent="0.25">
      <c r="A10162" t="s">
        <v>8432</v>
      </c>
      <c r="B10162" t="s">
        <v>122</v>
      </c>
      <c r="C10162" s="2">
        <f>HYPERLINK("https://cao.dolgi.msk.ru/account/1080319154/", 1080319154)</f>
        <v>1080319154</v>
      </c>
      <c r="D10162" t="s">
        <v>8483</v>
      </c>
      <c r="E10162">
        <v>-4351.59</v>
      </c>
      <c r="F10162">
        <v>-0.68</v>
      </c>
      <c r="G10162" t="s">
        <v>12</v>
      </c>
      <c r="I10162" t="s">
        <v>1050</v>
      </c>
    </row>
    <row r="10163" spans="1:9" hidden="1" x14ac:dyDescent="0.25">
      <c r="A10163" t="s">
        <v>8432</v>
      </c>
      <c r="B10163" t="s">
        <v>124</v>
      </c>
      <c r="C10163" s="2">
        <f>HYPERLINK("https://cao.dolgi.msk.ru/account/1080319162/", 1080319162)</f>
        <v>1080319162</v>
      </c>
      <c r="D10163" t="s">
        <v>8484</v>
      </c>
      <c r="E10163">
        <v>-5078.68</v>
      </c>
      <c r="F10163">
        <v>-2.87</v>
      </c>
      <c r="G10163" t="s">
        <v>12</v>
      </c>
      <c r="H10163" t="s">
        <v>7</v>
      </c>
      <c r="I10163" t="s">
        <v>1050</v>
      </c>
    </row>
    <row r="10164" spans="1:9" hidden="1" x14ac:dyDescent="0.25">
      <c r="A10164" t="s">
        <v>8432</v>
      </c>
      <c r="B10164" t="s">
        <v>124</v>
      </c>
      <c r="C10164" s="2">
        <f>HYPERLINK("https://cao.dolgi.msk.ru/account/1080319189/", 1080319189)</f>
        <v>1080319189</v>
      </c>
      <c r="D10164" t="s">
        <v>8484</v>
      </c>
      <c r="E10164">
        <v>-4307.51</v>
      </c>
      <c r="F10164">
        <v>-1.27</v>
      </c>
      <c r="G10164" t="s">
        <v>12</v>
      </c>
      <c r="H10164" t="s">
        <v>7</v>
      </c>
      <c r="I10164" t="s">
        <v>1050</v>
      </c>
    </row>
    <row r="10165" spans="1:9" hidden="1" x14ac:dyDescent="0.25">
      <c r="A10165" t="s">
        <v>8432</v>
      </c>
      <c r="B10165" t="s">
        <v>124</v>
      </c>
      <c r="C10165" s="2">
        <f>HYPERLINK("https://cao.dolgi.msk.ru/account/1080319197/", 1080319197)</f>
        <v>1080319197</v>
      </c>
      <c r="D10165" t="s">
        <v>8484</v>
      </c>
      <c r="E10165">
        <v>-2826.64</v>
      </c>
      <c r="F10165">
        <v>-1.75</v>
      </c>
      <c r="G10165" t="s">
        <v>12</v>
      </c>
      <c r="H10165" t="s">
        <v>7</v>
      </c>
      <c r="I10165" t="s">
        <v>1050</v>
      </c>
    </row>
    <row r="10166" spans="1:9" hidden="1" x14ac:dyDescent="0.25">
      <c r="A10166" t="s">
        <v>8432</v>
      </c>
      <c r="B10166" t="s">
        <v>126</v>
      </c>
      <c r="C10166" s="2">
        <f>HYPERLINK("https://cao.dolgi.msk.ru/account/1080319218/", 1080319218)</f>
        <v>1080319218</v>
      </c>
      <c r="D10166" t="s">
        <v>8485</v>
      </c>
      <c r="E10166">
        <v>-5409.18</v>
      </c>
      <c r="F10166">
        <v>-0.75</v>
      </c>
      <c r="G10166" t="s">
        <v>12</v>
      </c>
      <c r="I10166" t="s">
        <v>1050</v>
      </c>
    </row>
    <row r="10167" spans="1:9" hidden="1" x14ac:dyDescent="0.25">
      <c r="A10167" t="s">
        <v>8432</v>
      </c>
      <c r="B10167" t="s">
        <v>128</v>
      </c>
      <c r="C10167" s="2">
        <f>HYPERLINK("https://cao.dolgi.msk.ru/account/1080319226/", 1080319226)</f>
        <v>1080319226</v>
      </c>
      <c r="D10167" t="s">
        <v>8486</v>
      </c>
      <c r="E10167">
        <v>-4184.07</v>
      </c>
      <c r="F10167">
        <v>-1.18</v>
      </c>
      <c r="G10167" t="s">
        <v>12</v>
      </c>
      <c r="I10167" t="s">
        <v>1050</v>
      </c>
    </row>
    <row r="10168" spans="1:9" hidden="1" x14ac:dyDescent="0.25">
      <c r="A10168" t="s">
        <v>8432</v>
      </c>
      <c r="B10168" t="s">
        <v>132</v>
      </c>
      <c r="C10168" s="2">
        <f>HYPERLINK("https://cao.dolgi.msk.ru/account/1080319242/", 1080319242)</f>
        <v>1080319242</v>
      </c>
      <c r="D10168" t="s">
        <v>15</v>
      </c>
      <c r="G10168" t="s">
        <v>14</v>
      </c>
      <c r="I10168" t="s">
        <v>1050</v>
      </c>
    </row>
    <row r="10169" spans="1:9" hidden="1" x14ac:dyDescent="0.25">
      <c r="A10169" t="s">
        <v>8432</v>
      </c>
      <c r="B10169" t="s">
        <v>133</v>
      </c>
      <c r="C10169" s="2">
        <f>HYPERLINK("https://cao.dolgi.msk.ru/account/1080319269/", 1080319269)</f>
        <v>1080319269</v>
      </c>
      <c r="D10169" t="s">
        <v>8487</v>
      </c>
      <c r="E10169">
        <v>-6762.76</v>
      </c>
      <c r="F10169">
        <v>-1.1599999999999999</v>
      </c>
      <c r="G10169" t="s">
        <v>12</v>
      </c>
      <c r="I10169" t="s">
        <v>1050</v>
      </c>
    </row>
    <row r="10170" spans="1:9" hidden="1" x14ac:dyDescent="0.25">
      <c r="A10170" t="s">
        <v>8432</v>
      </c>
      <c r="B10170" t="s">
        <v>135</v>
      </c>
      <c r="C10170" s="2">
        <f>HYPERLINK("https://cao.dolgi.msk.ru/account/1080319277/", 1080319277)</f>
        <v>1080319277</v>
      </c>
      <c r="D10170" t="s">
        <v>8488</v>
      </c>
      <c r="E10170">
        <v>-6561.86</v>
      </c>
      <c r="F10170">
        <v>-1.2</v>
      </c>
      <c r="G10170" t="s">
        <v>12</v>
      </c>
      <c r="I10170" t="s">
        <v>1050</v>
      </c>
    </row>
    <row r="10171" spans="1:9" hidden="1" x14ac:dyDescent="0.25">
      <c r="A10171" t="s">
        <v>8432</v>
      </c>
      <c r="B10171" t="s">
        <v>135</v>
      </c>
      <c r="C10171" s="2">
        <f>HYPERLINK("https://cao.dolgi.msk.ru/account/1080319285/", 1080319285)</f>
        <v>1080319285</v>
      </c>
      <c r="D10171" t="s">
        <v>15</v>
      </c>
      <c r="G10171" t="s">
        <v>14</v>
      </c>
      <c r="I10171" t="s">
        <v>1050</v>
      </c>
    </row>
    <row r="10172" spans="1:9" hidden="1" x14ac:dyDescent="0.25">
      <c r="A10172" t="s">
        <v>8432</v>
      </c>
      <c r="B10172" t="s">
        <v>137</v>
      </c>
      <c r="C10172" s="2">
        <f>HYPERLINK("https://cao.dolgi.msk.ru/account/1080319293/", 1080319293)</f>
        <v>1080319293</v>
      </c>
      <c r="D10172" t="s">
        <v>1082</v>
      </c>
      <c r="E10172">
        <v>-3031.55</v>
      </c>
      <c r="F10172">
        <v>-1.1000000000000001</v>
      </c>
      <c r="G10172" t="s">
        <v>12</v>
      </c>
      <c r="H10172" t="s">
        <v>7</v>
      </c>
      <c r="I10172" t="s">
        <v>1050</v>
      </c>
    </row>
    <row r="10173" spans="1:9" hidden="1" x14ac:dyDescent="0.25">
      <c r="A10173" t="s">
        <v>8432</v>
      </c>
      <c r="B10173" t="s">
        <v>137</v>
      </c>
      <c r="C10173" s="2">
        <f>HYPERLINK("https://cao.dolgi.msk.ru/account/1080319306/", 1080319306)</f>
        <v>1080319306</v>
      </c>
      <c r="D10173" t="s">
        <v>8489</v>
      </c>
      <c r="E10173">
        <v>-5945.69</v>
      </c>
      <c r="F10173">
        <v>-1.1399999999999999</v>
      </c>
      <c r="G10173" t="s">
        <v>12</v>
      </c>
      <c r="H10173" t="s">
        <v>7</v>
      </c>
      <c r="I10173" t="s">
        <v>1050</v>
      </c>
    </row>
    <row r="10174" spans="1:9" hidden="1" x14ac:dyDescent="0.25">
      <c r="A10174" t="s">
        <v>8432</v>
      </c>
      <c r="B10174" t="s">
        <v>139</v>
      </c>
      <c r="C10174" s="2">
        <f>HYPERLINK("https://cao.dolgi.msk.ru/account/1080319314/", 1080319314)</f>
        <v>1080319314</v>
      </c>
      <c r="D10174" t="s">
        <v>8490</v>
      </c>
      <c r="E10174">
        <v>-4403.16</v>
      </c>
      <c r="F10174">
        <v>-1.06</v>
      </c>
      <c r="G10174" t="s">
        <v>12</v>
      </c>
      <c r="I10174" t="s">
        <v>1050</v>
      </c>
    </row>
    <row r="10175" spans="1:9" hidden="1" x14ac:dyDescent="0.25">
      <c r="A10175" t="s">
        <v>8432</v>
      </c>
      <c r="B10175" t="s">
        <v>141</v>
      </c>
      <c r="C10175" s="2">
        <f>HYPERLINK("https://cao.dolgi.msk.ru/account/1080319322/", 1080319322)</f>
        <v>1080319322</v>
      </c>
      <c r="D10175" t="s">
        <v>8491</v>
      </c>
      <c r="E10175">
        <v>-8721.2999999999993</v>
      </c>
      <c r="F10175">
        <v>-1.1299999999999999</v>
      </c>
      <c r="G10175" t="s">
        <v>12</v>
      </c>
      <c r="I10175" t="s">
        <v>1050</v>
      </c>
    </row>
    <row r="10176" spans="1:9" hidden="1" x14ac:dyDescent="0.25">
      <c r="A10176" t="s">
        <v>8432</v>
      </c>
      <c r="B10176" t="s">
        <v>143</v>
      </c>
      <c r="C10176" s="2">
        <f>HYPERLINK("https://cao.dolgi.msk.ru/account/1080319349/", 1080319349)</f>
        <v>1080319349</v>
      </c>
      <c r="D10176" t="s">
        <v>8492</v>
      </c>
      <c r="E10176">
        <v>-6135.9</v>
      </c>
      <c r="F10176">
        <v>-1.07</v>
      </c>
      <c r="G10176" t="s">
        <v>12</v>
      </c>
      <c r="I10176" t="s">
        <v>1050</v>
      </c>
    </row>
    <row r="10177" spans="1:9" hidden="1" x14ac:dyDescent="0.25">
      <c r="A10177" t="s">
        <v>8432</v>
      </c>
      <c r="B10177" t="s">
        <v>145</v>
      </c>
      <c r="C10177" s="2">
        <f>HYPERLINK("https://cao.dolgi.msk.ru/account/1080319357/", 1080319357)</f>
        <v>1080319357</v>
      </c>
      <c r="D10177" t="s">
        <v>8493</v>
      </c>
      <c r="E10177">
        <v>52.58</v>
      </c>
      <c r="F10177">
        <v>0.01</v>
      </c>
      <c r="G10177" t="s">
        <v>12</v>
      </c>
      <c r="I10177" t="s">
        <v>1050</v>
      </c>
    </row>
    <row r="10178" spans="1:9" hidden="1" x14ac:dyDescent="0.25">
      <c r="A10178" t="s">
        <v>8432</v>
      </c>
      <c r="B10178" t="s">
        <v>147</v>
      </c>
      <c r="C10178" s="2">
        <f>HYPERLINK("https://cao.dolgi.msk.ru/account/1080319365/", 1080319365)</f>
        <v>1080319365</v>
      </c>
      <c r="D10178" t="s">
        <v>8494</v>
      </c>
      <c r="E10178">
        <v>-9683.4699999999993</v>
      </c>
      <c r="F10178">
        <v>-1.33</v>
      </c>
      <c r="G10178" t="s">
        <v>12</v>
      </c>
      <c r="I10178" t="s">
        <v>1050</v>
      </c>
    </row>
    <row r="10179" spans="1:9" hidden="1" x14ac:dyDescent="0.25">
      <c r="A10179" t="s">
        <v>8432</v>
      </c>
      <c r="B10179" t="s">
        <v>149</v>
      </c>
      <c r="C10179" s="2">
        <f>HYPERLINK("https://cao.dolgi.msk.ru/account/1080319373/", 1080319373)</f>
        <v>1080319373</v>
      </c>
      <c r="D10179" t="s">
        <v>8495</v>
      </c>
      <c r="E10179">
        <v>-6460.28</v>
      </c>
      <c r="F10179">
        <v>-2.13</v>
      </c>
      <c r="G10179" t="s">
        <v>12</v>
      </c>
      <c r="H10179" t="s">
        <v>7</v>
      </c>
      <c r="I10179" t="s">
        <v>1050</v>
      </c>
    </row>
    <row r="10180" spans="1:9" hidden="1" x14ac:dyDescent="0.25">
      <c r="A10180" t="s">
        <v>8432</v>
      </c>
      <c r="B10180" t="s">
        <v>149</v>
      </c>
      <c r="C10180" s="2">
        <f>HYPERLINK("https://cao.dolgi.msk.ru/account/1080319381/", 1080319381)</f>
        <v>1080319381</v>
      </c>
      <c r="D10180" t="s">
        <v>8495</v>
      </c>
      <c r="E10180">
        <v>-3975.18</v>
      </c>
      <c r="F10180">
        <v>-1.55</v>
      </c>
      <c r="G10180" t="s">
        <v>12</v>
      </c>
      <c r="H10180" t="s">
        <v>7</v>
      </c>
      <c r="I10180" t="s">
        <v>1050</v>
      </c>
    </row>
    <row r="10181" spans="1:9" hidden="1" x14ac:dyDescent="0.25">
      <c r="A10181" t="s">
        <v>8432</v>
      </c>
      <c r="B10181" t="s">
        <v>151</v>
      </c>
      <c r="C10181" s="2">
        <f>HYPERLINK("https://cao.dolgi.msk.ru/account/1080319402/", 1080319402)</f>
        <v>1080319402</v>
      </c>
      <c r="D10181" t="s">
        <v>8496</v>
      </c>
      <c r="E10181">
        <v>-9927.43</v>
      </c>
      <c r="F10181">
        <v>-1.17</v>
      </c>
      <c r="G10181" t="s">
        <v>12</v>
      </c>
      <c r="I10181" t="s">
        <v>1050</v>
      </c>
    </row>
    <row r="10182" spans="1:9" hidden="1" x14ac:dyDescent="0.25">
      <c r="A10182" t="s">
        <v>8432</v>
      </c>
      <c r="B10182" t="s">
        <v>153</v>
      </c>
      <c r="C10182" s="2">
        <f>HYPERLINK("https://cao.dolgi.msk.ru/account/1080319429/", 1080319429)</f>
        <v>1080319429</v>
      </c>
      <c r="D10182" t="s">
        <v>8497</v>
      </c>
      <c r="E10182">
        <v>-15562.57</v>
      </c>
      <c r="F10182">
        <v>-1.82</v>
      </c>
      <c r="G10182" t="s">
        <v>12</v>
      </c>
      <c r="I10182" t="s">
        <v>1050</v>
      </c>
    </row>
    <row r="10183" spans="1:9" hidden="1" x14ac:dyDescent="0.25">
      <c r="A10183" t="s">
        <v>8432</v>
      </c>
      <c r="B10183" t="s">
        <v>153</v>
      </c>
      <c r="C10183" s="2">
        <f>HYPERLINK("https://cao.dolgi.msk.ru/account/1080319437/", 1080319437)</f>
        <v>1080319437</v>
      </c>
      <c r="D10183" t="s">
        <v>8497</v>
      </c>
      <c r="E10183">
        <v>0</v>
      </c>
      <c r="G10183" t="s">
        <v>14</v>
      </c>
      <c r="I10183" t="s">
        <v>1050</v>
      </c>
    </row>
    <row r="10184" spans="1:9" hidden="1" x14ac:dyDescent="0.25">
      <c r="A10184" t="s">
        <v>8432</v>
      </c>
      <c r="B10184" t="s">
        <v>153</v>
      </c>
      <c r="C10184" s="2">
        <f>HYPERLINK("https://cao.dolgi.msk.ru/account/1080319445/", 1080319445)</f>
        <v>1080319445</v>
      </c>
      <c r="D10184" t="s">
        <v>8497</v>
      </c>
      <c r="E10184">
        <v>-5390.48</v>
      </c>
      <c r="G10184" t="s">
        <v>14</v>
      </c>
      <c r="I10184" t="s">
        <v>1050</v>
      </c>
    </row>
    <row r="10185" spans="1:9" hidden="1" x14ac:dyDescent="0.25">
      <c r="A10185" t="s">
        <v>8432</v>
      </c>
      <c r="B10185" t="s">
        <v>155</v>
      </c>
      <c r="C10185" s="2">
        <f>HYPERLINK("https://cao.dolgi.msk.ru/account/1080319453/", 1080319453)</f>
        <v>1080319453</v>
      </c>
      <c r="D10185" t="s">
        <v>8498</v>
      </c>
      <c r="E10185">
        <v>4649.92</v>
      </c>
      <c r="F10185">
        <v>0.32</v>
      </c>
      <c r="G10185" t="s">
        <v>12</v>
      </c>
      <c r="I10185" t="s">
        <v>1050</v>
      </c>
    </row>
    <row r="10186" spans="1:9" hidden="1" x14ac:dyDescent="0.25">
      <c r="A10186" t="s">
        <v>8432</v>
      </c>
      <c r="B10186" t="s">
        <v>157</v>
      </c>
      <c r="C10186" s="2">
        <f>HYPERLINK("https://cao.dolgi.msk.ru/account/1080319461/", 1080319461)</f>
        <v>1080319461</v>
      </c>
      <c r="D10186" t="s">
        <v>8499</v>
      </c>
      <c r="E10186">
        <v>-7051.21</v>
      </c>
      <c r="F10186">
        <v>-1.1000000000000001</v>
      </c>
      <c r="G10186" t="s">
        <v>12</v>
      </c>
      <c r="I10186" t="s">
        <v>1050</v>
      </c>
    </row>
    <row r="10187" spans="1:9" hidden="1" x14ac:dyDescent="0.25">
      <c r="A10187" t="s">
        <v>8432</v>
      </c>
      <c r="B10187" t="s">
        <v>159</v>
      </c>
      <c r="C10187" s="2">
        <f>HYPERLINK("https://cao.dolgi.msk.ru/account/1080319488/", 1080319488)</f>
        <v>1080319488</v>
      </c>
      <c r="D10187" t="s">
        <v>8500</v>
      </c>
      <c r="E10187">
        <v>-5213.2299999999996</v>
      </c>
      <c r="F10187">
        <v>-1.07</v>
      </c>
      <c r="G10187" t="s">
        <v>12</v>
      </c>
      <c r="I10187" t="s">
        <v>1050</v>
      </c>
    </row>
    <row r="10188" spans="1:9" hidden="1" x14ac:dyDescent="0.25">
      <c r="A10188" t="s">
        <v>8432</v>
      </c>
      <c r="B10188" t="s">
        <v>161</v>
      </c>
      <c r="C10188" s="2">
        <f>HYPERLINK("https://cao.dolgi.msk.ru/account/1080319496/", 1080319496)</f>
        <v>1080319496</v>
      </c>
      <c r="D10188" t="s">
        <v>8501</v>
      </c>
      <c r="E10188">
        <v>-6838.97</v>
      </c>
      <c r="F10188">
        <v>-1.1599999999999999</v>
      </c>
      <c r="G10188" t="s">
        <v>12</v>
      </c>
      <c r="I10188" t="s">
        <v>1050</v>
      </c>
    </row>
    <row r="10189" spans="1:9" hidden="1" x14ac:dyDescent="0.25">
      <c r="A10189" t="s">
        <v>8432</v>
      </c>
      <c r="B10189" t="s">
        <v>163</v>
      </c>
      <c r="C10189" s="2">
        <f>HYPERLINK("https://cao.dolgi.msk.ru/account/1080319509/", 1080319509)</f>
        <v>1080319509</v>
      </c>
      <c r="D10189" t="s">
        <v>8502</v>
      </c>
      <c r="E10189">
        <v>-3137.71</v>
      </c>
      <c r="F10189">
        <v>-0.66</v>
      </c>
      <c r="G10189" t="s">
        <v>12</v>
      </c>
      <c r="I10189" t="s">
        <v>1050</v>
      </c>
    </row>
    <row r="10190" spans="1:9" hidden="1" x14ac:dyDescent="0.25">
      <c r="A10190" t="s">
        <v>8503</v>
      </c>
      <c r="B10190" t="s">
        <v>10</v>
      </c>
      <c r="C10190" s="2">
        <f>HYPERLINK("https://cao.dolgi.msk.ru/account/1080317191/", 1080317191)</f>
        <v>1080317191</v>
      </c>
      <c r="D10190" t="s">
        <v>8504</v>
      </c>
      <c r="E10190">
        <v>-7533.38</v>
      </c>
      <c r="F10190">
        <v>-1.06</v>
      </c>
      <c r="G10190" t="s">
        <v>12</v>
      </c>
      <c r="I10190" t="s">
        <v>1050</v>
      </c>
    </row>
    <row r="10191" spans="1:9" hidden="1" x14ac:dyDescent="0.25">
      <c r="A10191" t="s">
        <v>8503</v>
      </c>
      <c r="B10191" t="s">
        <v>16</v>
      </c>
      <c r="C10191" s="2">
        <f>HYPERLINK("https://cao.dolgi.msk.ru/account/1080317212/", 1080317212)</f>
        <v>1080317212</v>
      </c>
      <c r="D10191" t="s">
        <v>8505</v>
      </c>
      <c r="E10191">
        <v>-3435.92</v>
      </c>
      <c r="F10191">
        <v>-0.98</v>
      </c>
      <c r="G10191" t="s">
        <v>12</v>
      </c>
      <c r="H10191" t="s">
        <v>7</v>
      </c>
      <c r="I10191" t="s">
        <v>1050</v>
      </c>
    </row>
    <row r="10192" spans="1:9" hidden="1" x14ac:dyDescent="0.25">
      <c r="A10192" t="s">
        <v>8503</v>
      </c>
      <c r="B10192" t="s">
        <v>16</v>
      </c>
      <c r="C10192" s="2">
        <f>HYPERLINK("https://cao.dolgi.msk.ru/account/1080317239/", 1080317239)</f>
        <v>1080317239</v>
      </c>
      <c r="D10192" t="s">
        <v>8506</v>
      </c>
      <c r="E10192">
        <v>-4775.87</v>
      </c>
      <c r="F10192">
        <v>-0.91</v>
      </c>
      <c r="G10192" t="s">
        <v>12</v>
      </c>
      <c r="H10192" t="s">
        <v>7</v>
      </c>
      <c r="I10192" t="s">
        <v>1050</v>
      </c>
    </row>
    <row r="10193" spans="1:9" hidden="1" x14ac:dyDescent="0.25">
      <c r="A10193" t="s">
        <v>8503</v>
      </c>
      <c r="B10193" t="s">
        <v>16</v>
      </c>
      <c r="C10193" s="2">
        <f>HYPERLINK("https://cao.dolgi.msk.ru/account/1083274158/", 1083274158)</f>
        <v>1083274158</v>
      </c>
      <c r="D10193" t="s">
        <v>8505</v>
      </c>
      <c r="E10193">
        <v>-6898.42</v>
      </c>
      <c r="F10193">
        <v>-1.98</v>
      </c>
      <c r="G10193" t="s">
        <v>12</v>
      </c>
      <c r="H10193" t="s">
        <v>7</v>
      </c>
      <c r="I10193" t="s">
        <v>1050</v>
      </c>
    </row>
    <row r="10194" spans="1:9" hidden="1" x14ac:dyDescent="0.25">
      <c r="A10194" t="s">
        <v>8503</v>
      </c>
      <c r="B10194" t="s">
        <v>16</v>
      </c>
      <c r="C10194" s="2">
        <f>HYPERLINK("https://cao.dolgi.msk.ru/account/1089126703/", 1089126703)</f>
        <v>1089126703</v>
      </c>
      <c r="D10194" t="s">
        <v>15</v>
      </c>
      <c r="G10194" t="s">
        <v>14</v>
      </c>
      <c r="H10194" t="s">
        <v>7</v>
      </c>
      <c r="I10194" t="s">
        <v>1050</v>
      </c>
    </row>
    <row r="10195" spans="1:9" hidden="1" x14ac:dyDescent="0.25">
      <c r="A10195" t="s">
        <v>8503</v>
      </c>
      <c r="B10195" t="s">
        <v>18</v>
      </c>
      <c r="C10195" s="2">
        <f>HYPERLINK("https://cao.dolgi.msk.ru/account/1080317247/", 1080317247)</f>
        <v>1080317247</v>
      </c>
      <c r="D10195" t="s">
        <v>8507</v>
      </c>
      <c r="E10195">
        <v>-6170.09</v>
      </c>
      <c r="F10195">
        <v>-1.1399999999999999</v>
      </c>
      <c r="G10195" t="s">
        <v>12</v>
      </c>
      <c r="I10195" t="s">
        <v>1050</v>
      </c>
    </row>
    <row r="10196" spans="1:9" hidden="1" x14ac:dyDescent="0.25">
      <c r="A10196" t="s">
        <v>8503</v>
      </c>
      <c r="B10196" t="s">
        <v>20</v>
      </c>
      <c r="C10196" s="2">
        <f>HYPERLINK("https://cao.dolgi.msk.ru/account/1080317255/", 1080317255)</f>
        <v>1080317255</v>
      </c>
      <c r="D10196" t="s">
        <v>8508</v>
      </c>
      <c r="G10196" t="s">
        <v>14</v>
      </c>
      <c r="I10196" t="s">
        <v>1050</v>
      </c>
    </row>
    <row r="10197" spans="1:9" hidden="1" x14ac:dyDescent="0.25">
      <c r="A10197" t="s">
        <v>8503</v>
      </c>
      <c r="B10197" t="s">
        <v>20</v>
      </c>
      <c r="C10197" s="2">
        <f>HYPERLINK("https://cao.dolgi.msk.ru/account/1080317263/", 1080317263)</f>
        <v>1080317263</v>
      </c>
      <c r="D10197" t="s">
        <v>8508</v>
      </c>
      <c r="G10197" t="s">
        <v>14</v>
      </c>
      <c r="I10197" t="s">
        <v>1050</v>
      </c>
    </row>
    <row r="10198" spans="1:9" hidden="1" x14ac:dyDescent="0.25">
      <c r="A10198" t="s">
        <v>8503</v>
      </c>
      <c r="B10198" t="s">
        <v>20</v>
      </c>
      <c r="C10198" s="2">
        <f>HYPERLINK("https://cao.dolgi.msk.ru/account/1080317271/", 1080317271)</f>
        <v>1080317271</v>
      </c>
      <c r="D10198" t="s">
        <v>8508</v>
      </c>
      <c r="E10198">
        <v>-13871.21</v>
      </c>
      <c r="F10198">
        <v>-1.65</v>
      </c>
      <c r="G10198" t="s">
        <v>12</v>
      </c>
      <c r="I10198" t="s">
        <v>1050</v>
      </c>
    </row>
    <row r="10199" spans="1:9" hidden="1" x14ac:dyDescent="0.25">
      <c r="A10199" t="s">
        <v>8503</v>
      </c>
      <c r="B10199" t="s">
        <v>21</v>
      </c>
      <c r="C10199" s="2">
        <f>HYPERLINK("https://cao.dolgi.msk.ru/account/1080317298/", 1080317298)</f>
        <v>1080317298</v>
      </c>
      <c r="D10199" t="s">
        <v>8509</v>
      </c>
      <c r="E10199">
        <v>0</v>
      </c>
      <c r="F10199">
        <v>0</v>
      </c>
      <c r="G10199" t="s">
        <v>12</v>
      </c>
      <c r="I10199" t="s">
        <v>1050</v>
      </c>
    </row>
    <row r="10200" spans="1:9" hidden="1" x14ac:dyDescent="0.25">
      <c r="A10200" t="s">
        <v>8503</v>
      </c>
      <c r="B10200" t="s">
        <v>22</v>
      </c>
      <c r="C10200" s="2">
        <f>HYPERLINK("https://cao.dolgi.msk.ru/account/1080317319/", 1080317319)</f>
        <v>1080317319</v>
      </c>
      <c r="D10200" t="s">
        <v>8510</v>
      </c>
      <c r="E10200">
        <v>-190.36</v>
      </c>
      <c r="F10200">
        <v>-0.02</v>
      </c>
      <c r="G10200" t="s">
        <v>12</v>
      </c>
      <c r="I10200" t="s">
        <v>1050</v>
      </c>
    </row>
    <row r="10201" spans="1:9" hidden="1" x14ac:dyDescent="0.25">
      <c r="A10201" t="s">
        <v>8503</v>
      </c>
      <c r="B10201" t="s">
        <v>23</v>
      </c>
      <c r="C10201" s="2">
        <f>HYPERLINK("https://cao.dolgi.msk.ru/account/1080317335/", 1080317335)</f>
        <v>1080317335</v>
      </c>
      <c r="D10201" t="s">
        <v>8511</v>
      </c>
      <c r="E10201">
        <v>-7549.29</v>
      </c>
      <c r="F10201">
        <v>-0.92</v>
      </c>
      <c r="G10201" t="s">
        <v>12</v>
      </c>
      <c r="I10201" t="s">
        <v>1050</v>
      </c>
    </row>
    <row r="10202" spans="1:9" hidden="1" x14ac:dyDescent="0.25">
      <c r="A10202" t="s">
        <v>8503</v>
      </c>
      <c r="B10202" t="s">
        <v>248</v>
      </c>
      <c r="C10202" s="2">
        <f>HYPERLINK("https://cao.dolgi.msk.ru/account/1080317693/", 1080317693)</f>
        <v>1080317693</v>
      </c>
      <c r="D10202" t="s">
        <v>8512</v>
      </c>
      <c r="E10202">
        <v>-5722.86</v>
      </c>
      <c r="F10202">
        <v>-0.96</v>
      </c>
      <c r="G10202" t="s">
        <v>12</v>
      </c>
      <c r="I10202" t="s">
        <v>1050</v>
      </c>
    </row>
    <row r="10203" spans="1:9" hidden="1" x14ac:dyDescent="0.25">
      <c r="A10203" t="s">
        <v>8503</v>
      </c>
      <c r="B10203" t="s">
        <v>24</v>
      </c>
      <c r="C10203" s="2">
        <f>HYPERLINK("https://cao.dolgi.msk.ru/account/1080317343/", 1080317343)</f>
        <v>1080317343</v>
      </c>
      <c r="D10203" t="s">
        <v>8513</v>
      </c>
      <c r="E10203">
        <v>-11427.08</v>
      </c>
      <c r="F10203">
        <v>-0.9</v>
      </c>
      <c r="G10203" t="s">
        <v>12</v>
      </c>
      <c r="H10203" t="s">
        <v>7</v>
      </c>
      <c r="I10203" t="s">
        <v>1050</v>
      </c>
    </row>
    <row r="10204" spans="1:9" hidden="1" x14ac:dyDescent="0.25">
      <c r="A10204" t="s">
        <v>8503</v>
      </c>
      <c r="B10204" t="s">
        <v>24</v>
      </c>
      <c r="C10204" s="2">
        <f>HYPERLINK("https://cao.dolgi.msk.ru/account/1080317351/", 1080317351)</f>
        <v>1080317351</v>
      </c>
      <c r="D10204" t="s">
        <v>15</v>
      </c>
      <c r="E10204">
        <v>-2537.67</v>
      </c>
      <c r="F10204">
        <v>-1.02</v>
      </c>
      <c r="G10204" t="s">
        <v>12</v>
      </c>
      <c r="H10204" t="s">
        <v>7</v>
      </c>
      <c r="I10204" t="s">
        <v>1050</v>
      </c>
    </row>
    <row r="10205" spans="1:9" hidden="1" x14ac:dyDescent="0.25">
      <c r="A10205" t="s">
        <v>8503</v>
      </c>
      <c r="B10205" t="s">
        <v>24</v>
      </c>
      <c r="C10205" s="2">
        <f>HYPERLINK("https://cao.dolgi.msk.ru/account/1080317378/", 1080317378)</f>
        <v>1080317378</v>
      </c>
      <c r="D10205" t="s">
        <v>8513</v>
      </c>
      <c r="E10205">
        <v>-1913.75</v>
      </c>
      <c r="F10205">
        <v>-0.91</v>
      </c>
      <c r="G10205" t="s">
        <v>12</v>
      </c>
      <c r="H10205" t="s">
        <v>7</v>
      </c>
      <c r="I10205" t="s">
        <v>1050</v>
      </c>
    </row>
    <row r="10206" spans="1:9" hidden="1" x14ac:dyDescent="0.25">
      <c r="A10206" t="s">
        <v>8503</v>
      </c>
      <c r="B10206" t="s">
        <v>27</v>
      </c>
      <c r="C10206" s="2">
        <f>HYPERLINK("https://cao.dolgi.msk.ru/account/1080317386/", 1080317386)</f>
        <v>1080317386</v>
      </c>
      <c r="D10206" t="s">
        <v>8514</v>
      </c>
      <c r="E10206">
        <v>-1159.49</v>
      </c>
      <c r="F10206">
        <v>-0.21</v>
      </c>
      <c r="G10206" t="s">
        <v>12</v>
      </c>
      <c r="H10206" t="s">
        <v>7</v>
      </c>
      <c r="I10206" t="s">
        <v>1050</v>
      </c>
    </row>
    <row r="10207" spans="1:9" x14ac:dyDescent="0.25">
      <c r="A10207" t="s">
        <v>8503</v>
      </c>
      <c r="B10207" t="s">
        <v>27</v>
      </c>
      <c r="C10207" s="2">
        <f>HYPERLINK("https://cao.dolgi.msk.ru/account/1080317394/", 1080317394)</f>
        <v>1080317394</v>
      </c>
      <c r="D10207" t="s">
        <v>8515</v>
      </c>
      <c r="E10207">
        <v>469737.41</v>
      </c>
      <c r="F10207">
        <v>50.26</v>
      </c>
      <c r="G10207" t="s">
        <v>12</v>
      </c>
      <c r="H10207" t="s">
        <v>7</v>
      </c>
      <c r="I10207" t="s">
        <v>1050</v>
      </c>
    </row>
    <row r="10208" spans="1:9" hidden="1" x14ac:dyDescent="0.25">
      <c r="A10208" t="s">
        <v>8503</v>
      </c>
      <c r="B10208" t="s">
        <v>27</v>
      </c>
      <c r="C10208" s="2">
        <f>HYPERLINK("https://cao.dolgi.msk.ru/account/1080317407/", 1080317407)</f>
        <v>1080317407</v>
      </c>
      <c r="D10208" t="s">
        <v>8516</v>
      </c>
      <c r="E10208">
        <v>-3409.53</v>
      </c>
      <c r="F10208">
        <v>-0.95</v>
      </c>
      <c r="G10208" t="s">
        <v>12</v>
      </c>
      <c r="H10208" t="s">
        <v>7</v>
      </c>
      <c r="I10208" t="s">
        <v>1050</v>
      </c>
    </row>
    <row r="10209" spans="1:9" hidden="1" x14ac:dyDescent="0.25">
      <c r="A10209" t="s">
        <v>8503</v>
      </c>
      <c r="B10209" t="s">
        <v>29</v>
      </c>
      <c r="C10209" s="2">
        <f>HYPERLINK("https://cao.dolgi.msk.ru/account/1080317415/", 1080317415)</f>
        <v>1080317415</v>
      </c>
      <c r="D10209" t="s">
        <v>15</v>
      </c>
      <c r="E10209">
        <v>0</v>
      </c>
      <c r="F10209">
        <v>0</v>
      </c>
      <c r="G10209" t="s">
        <v>12</v>
      </c>
      <c r="I10209" t="s">
        <v>1050</v>
      </c>
    </row>
    <row r="10210" spans="1:9" hidden="1" x14ac:dyDescent="0.25">
      <c r="A10210" t="s">
        <v>8503</v>
      </c>
      <c r="B10210" t="s">
        <v>31</v>
      </c>
      <c r="C10210" s="2">
        <f>HYPERLINK("https://cao.dolgi.msk.ru/account/1080317423/", 1080317423)</f>
        <v>1080317423</v>
      </c>
      <c r="D10210" t="s">
        <v>8517</v>
      </c>
      <c r="E10210">
        <v>-8106.97</v>
      </c>
      <c r="F10210">
        <v>-1.1299999999999999</v>
      </c>
      <c r="G10210" t="s">
        <v>12</v>
      </c>
      <c r="I10210" t="s">
        <v>1050</v>
      </c>
    </row>
    <row r="10211" spans="1:9" hidden="1" x14ac:dyDescent="0.25">
      <c r="A10211" t="s">
        <v>8503</v>
      </c>
      <c r="B10211" t="s">
        <v>33</v>
      </c>
      <c r="C10211" s="2">
        <f>HYPERLINK("https://cao.dolgi.msk.ru/account/1080317431/", 1080317431)</f>
        <v>1080317431</v>
      </c>
      <c r="D10211" t="s">
        <v>8518</v>
      </c>
      <c r="E10211">
        <v>-4764.8599999999997</v>
      </c>
      <c r="F10211">
        <v>-0.92</v>
      </c>
      <c r="G10211" t="s">
        <v>12</v>
      </c>
      <c r="H10211" t="s">
        <v>7</v>
      </c>
      <c r="I10211" t="s">
        <v>1050</v>
      </c>
    </row>
    <row r="10212" spans="1:9" hidden="1" x14ac:dyDescent="0.25">
      <c r="A10212" t="s">
        <v>8503</v>
      </c>
      <c r="B10212" t="s">
        <v>33</v>
      </c>
      <c r="C10212" s="2">
        <f>HYPERLINK("https://cao.dolgi.msk.ru/account/1080317458/", 1080317458)</f>
        <v>1080317458</v>
      </c>
      <c r="D10212" t="s">
        <v>8518</v>
      </c>
      <c r="E10212">
        <v>-133.29</v>
      </c>
      <c r="F10212">
        <v>-0.04</v>
      </c>
      <c r="G10212" t="s">
        <v>12</v>
      </c>
      <c r="H10212" t="s">
        <v>7</v>
      </c>
      <c r="I10212" t="s">
        <v>1050</v>
      </c>
    </row>
    <row r="10213" spans="1:9" x14ac:dyDescent="0.25">
      <c r="A10213" t="s">
        <v>8503</v>
      </c>
      <c r="B10213" t="s">
        <v>34</v>
      </c>
      <c r="C10213" s="2">
        <f>HYPERLINK("https://cao.dolgi.msk.ru/account/1080317466/", 1080317466)</f>
        <v>1080317466</v>
      </c>
      <c r="D10213" t="s">
        <v>8519</v>
      </c>
      <c r="E10213">
        <v>24681.97</v>
      </c>
      <c r="F10213">
        <v>4.8499999999999996</v>
      </c>
      <c r="G10213" t="s">
        <v>12</v>
      </c>
      <c r="I10213" t="s">
        <v>1050</v>
      </c>
    </row>
    <row r="10214" spans="1:9" hidden="1" x14ac:dyDescent="0.25">
      <c r="A10214" t="s">
        <v>8503</v>
      </c>
      <c r="B10214" t="s">
        <v>36</v>
      </c>
      <c r="C10214" s="2">
        <f>HYPERLINK("https://cao.dolgi.msk.ru/account/1080317482/", 1080317482)</f>
        <v>1080317482</v>
      </c>
      <c r="D10214" t="s">
        <v>8520</v>
      </c>
      <c r="E10214">
        <v>-8056.24</v>
      </c>
      <c r="F10214">
        <v>-0.99</v>
      </c>
      <c r="G10214" t="s">
        <v>12</v>
      </c>
      <c r="I10214" t="s">
        <v>1050</v>
      </c>
    </row>
    <row r="10215" spans="1:9" hidden="1" x14ac:dyDescent="0.25">
      <c r="A10215" t="s">
        <v>8503</v>
      </c>
      <c r="B10215" t="s">
        <v>38</v>
      </c>
      <c r="C10215" s="2">
        <f>HYPERLINK("https://cao.dolgi.msk.ru/account/1080317503/", 1080317503)</f>
        <v>1080317503</v>
      </c>
      <c r="D10215" t="s">
        <v>1151</v>
      </c>
      <c r="E10215">
        <v>-59.7</v>
      </c>
      <c r="F10215">
        <v>-0.01</v>
      </c>
      <c r="G10215" t="s">
        <v>12</v>
      </c>
      <c r="H10215" t="s">
        <v>7</v>
      </c>
      <c r="I10215" t="s">
        <v>1050</v>
      </c>
    </row>
    <row r="10216" spans="1:9" hidden="1" x14ac:dyDescent="0.25">
      <c r="A10216" t="s">
        <v>8503</v>
      </c>
      <c r="B10216" t="s">
        <v>38</v>
      </c>
      <c r="C10216" s="2">
        <f>HYPERLINK("https://cao.dolgi.msk.ru/account/1080317511/", 1080317511)</f>
        <v>1080317511</v>
      </c>
      <c r="D10216" t="s">
        <v>5183</v>
      </c>
      <c r="E10216">
        <v>-143.13999999999999</v>
      </c>
      <c r="F10216">
        <v>-0.04</v>
      </c>
      <c r="G10216" t="s">
        <v>12</v>
      </c>
      <c r="H10216" t="s">
        <v>7</v>
      </c>
      <c r="I10216" t="s">
        <v>1050</v>
      </c>
    </row>
    <row r="10217" spans="1:9" hidden="1" x14ac:dyDescent="0.25">
      <c r="A10217" t="s">
        <v>8503</v>
      </c>
      <c r="B10217" t="s">
        <v>38</v>
      </c>
      <c r="C10217" s="2">
        <f>HYPERLINK("https://cao.dolgi.msk.ru/account/1080317538/", 1080317538)</f>
        <v>1080317538</v>
      </c>
      <c r="D10217" t="s">
        <v>1151</v>
      </c>
      <c r="E10217">
        <v>-3217.25</v>
      </c>
      <c r="F10217">
        <v>-0.95</v>
      </c>
      <c r="G10217" t="s">
        <v>12</v>
      </c>
      <c r="H10217" t="s">
        <v>7</v>
      </c>
      <c r="I10217" t="s">
        <v>1050</v>
      </c>
    </row>
    <row r="10218" spans="1:9" hidden="1" x14ac:dyDescent="0.25">
      <c r="A10218" t="s">
        <v>8503</v>
      </c>
      <c r="B10218" t="s">
        <v>39</v>
      </c>
      <c r="C10218" s="2">
        <f>HYPERLINK("https://cao.dolgi.msk.ru/account/1080317546/", 1080317546)</f>
        <v>1080317546</v>
      </c>
      <c r="D10218" t="s">
        <v>8521</v>
      </c>
      <c r="E10218">
        <v>-97.1</v>
      </c>
      <c r="F10218">
        <v>-0.01</v>
      </c>
      <c r="G10218" t="s">
        <v>12</v>
      </c>
      <c r="I10218" t="s">
        <v>1050</v>
      </c>
    </row>
    <row r="10219" spans="1:9" hidden="1" x14ac:dyDescent="0.25">
      <c r="A10219" t="s">
        <v>8503</v>
      </c>
      <c r="B10219" t="s">
        <v>39</v>
      </c>
      <c r="C10219" s="2">
        <f>HYPERLINK("https://cao.dolgi.msk.ru/account/1089130673/", 1089130673)</f>
        <v>1089130673</v>
      </c>
      <c r="D10219" t="s">
        <v>1082</v>
      </c>
      <c r="E10219">
        <v>0</v>
      </c>
      <c r="G10219" t="s">
        <v>14</v>
      </c>
      <c r="I10219" t="s">
        <v>1050</v>
      </c>
    </row>
    <row r="10220" spans="1:9" hidden="1" x14ac:dyDescent="0.25">
      <c r="A10220" t="s">
        <v>8503</v>
      </c>
      <c r="B10220" t="s">
        <v>7668</v>
      </c>
      <c r="C10220" s="2">
        <f>HYPERLINK("https://cao.dolgi.msk.ru/account/1080317722/", 1080317722)</f>
        <v>1080317722</v>
      </c>
      <c r="D10220" t="s">
        <v>8522</v>
      </c>
      <c r="E10220">
        <v>-7971.27</v>
      </c>
      <c r="F10220">
        <v>-0.99</v>
      </c>
      <c r="G10220" t="s">
        <v>12</v>
      </c>
      <c r="I10220" t="s">
        <v>1050</v>
      </c>
    </row>
    <row r="10221" spans="1:9" hidden="1" x14ac:dyDescent="0.25">
      <c r="A10221" t="s">
        <v>8503</v>
      </c>
      <c r="B10221" t="s">
        <v>40</v>
      </c>
      <c r="C10221" s="2">
        <f>HYPERLINK("https://cao.dolgi.msk.ru/account/1080317554/", 1080317554)</f>
        <v>1080317554</v>
      </c>
      <c r="D10221" t="s">
        <v>1082</v>
      </c>
      <c r="E10221">
        <v>-6502.62</v>
      </c>
      <c r="F10221">
        <v>-0.98</v>
      </c>
      <c r="G10221" t="s">
        <v>12</v>
      </c>
      <c r="I10221" t="s">
        <v>1050</v>
      </c>
    </row>
    <row r="10222" spans="1:9" hidden="1" x14ac:dyDescent="0.25">
      <c r="A10222" t="s">
        <v>8503</v>
      </c>
      <c r="B10222" t="s">
        <v>40</v>
      </c>
      <c r="C10222" s="2">
        <f>HYPERLINK("https://cao.dolgi.msk.ru/account/1080317562/", 1080317562)</f>
        <v>1080317562</v>
      </c>
      <c r="D10222" t="s">
        <v>1082</v>
      </c>
      <c r="E10222">
        <v>0</v>
      </c>
      <c r="G10222" t="s">
        <v>14</v>
      </c>
      <c r="I10222" t="s">
        <v>1050</v>
      </c>
    </row>
    <row r="10223" spans="1:9" hidden="1" x14ac:dyDescent="0.25">
      <c r="A10223" t="s">
        <v>8503</v>
      </c>
      <c r="B10223" t="s">
        <v>40</v>
      </c>
      <c r="C10223" s="2">
        <f>HYPERLINK("https://cao.dolgi.msk.ru/account/1080317589/", 1080317589)</f>
        <v>1080317589</v>
      </c>
      <c r="D10223" t="s">
        <v>15</v>
      </c>
      <c r="G10223" t="s">
        <v>14</v>
      </c>
      <c r="I10223" t="s">
        <v>1050</v>
      </c>
    </row>
    <row r="10224" spans="1:9" hidden="1" x14ac:dyDescent="0.25">
      <c r="A10224" t="s">
        <v>8503</v>
      </c>
      <c r="B10224" t="s">
        <v>41</v>
      </c>
      <c r="C10224" s="2">
        <f>HYPERLINK("https://cao.dolgi.msk.ru/account/1080317597/", 1080317597)</f>
        <v>1080317597</v>
      </c>
      <c r="D10224" t="s">
        <v>8523</v>
      </c>
      <c r="E10224">
        <v>-8518.6200000000008</v>
      </c>
      <c r="F10224">
        <v>-1.02</v>
      </c>
      <c r="G10224" t="s">
        <v>12</v>
      </c>
      <c r="I10224" t="s">
        <v>1050</v>
      </c>
    </row>
    <row r="10225" spans="1:9" hidden="1" x14ac:dyDescent="0.25">
      <c r="A10225" t="s">
        <v>8503</v>
      </c>
      <c r="B10225" t="s">
        <v>42</v>
      </c>
      <c r="C10225" s="2">
        <f>HYPERLINK("https://cao.dolgi.msk.ru/account/1080317618/", 1080317618)</f>
        <v>1080317618</v>
      </c>
      <c r="D10225" t="s">
        <v>8524</v>
      </c>
      <c r="E10225">
        <v>-7494.91</v>
      </c>
      <c r="F10225">
        <v>-1.04</v>
      </c>
      <c r="G10225" t="s">
        <v>12</v>
      </c>
      <c r="I10225" t="s">
        <v>1050</v>
      </c>
    </row>
    <row r="10226" spans="1:9" hidden="1" x14ac:dyDescent="0.25">
      <c r="A10226" t="s">
        <v>8503</v>
      </c>
      <c r="B10226" t="s">
        <v>44</v>
      </c>
      <c r="C10226" s="2">
        <f>HYPERLINK("https://cao.dolgi.msk.ru/account/1080317634/", 1080317634)</f>
        <v>1080317634</v>
      </c>
      <c r="D10226" t="s">
        <v>8525</v>
      </c>
      <c r="E10226">
        <v>-8644.31</v>
      </c>
      <c r="F10226">
        <v>-1.04</v>
      </c>
      <c r="G10226" t="s">
        <v>12</v>
      </c>
      <c r="I10226" t="s">
        <v>1050</v>
      </c>
    </row>
    <row r="10227" spans="1:9" hidden="1" x14ac:dyDescent="0.25">
      <c r="A10227" t="s">
        <v>8503</v>
      </c>
      <c r="B10227" t="s">
        <v>66</v>
      </c>
      <c r="C10227" s="2">
        <f>HYPERLINK("https://cao.dolgi.msk.ru/account/1080317642/", 1080317642)</f>
        <v>1080317642</v>
      </c>
      <c r="D10227" t="s">
        <v>8526</v>
      </c>
      <c r="E10227">
        <v>-6730.27</v>
      </c>
      <c r="F10227">
        <v>-1</v>
      </c>
      <c r="G10227" t="s">
        <v>12</v>
      </c>
      <c r="I10227" t="s">
        <v>1050</v>
      </c>
    </row>
    <row r="10228" spans="1:9" hidden="1" x14ac:dyDescent="0.25">
      <c r="A10228" t="s">
        <v>8503</v>
      </c>
      <c r="B10228" t="s">
        <v>68</v>
      </c>
      <c r="C10228" s="2">
        <f>HYPERLINK("https://cao.dolgi.msk.ru/account/1080317669/", 1080317669)</f>
        <v>1080317669</v>
      </c>
      <c r="D10228" t="s">
        <v>8527</v>
      </c>
      <c r="E10228">
        <v>-7903.11</v>
      </c>
      <c r="F10228">
        <v>-0.96</v>
      </c>
      <c r="G10228" t="s">
        <v>12</v>
      </c>
      <c r="I10228" t="s">
        <v>1050</v>
      </c>
    </row>
    <row r="10229" spans="1:9" hidden="1" x14ac:dyDescent="0.25">
      <c r="A10229" t="s">
        <v>8503</v>
      </c>
      <c r="B10229" t="s">
        <v>70</v>
      </c>
      <c r="C10229" s="2">
        <f>HYPERLINK("https://cao.dolgi.msk.ru/account/1080317677/", 1080317677)</f>
        <v>1080317677</v>
      </c>
      <c r="D10229" t="s">
        <v>8528</v>
      </c>
      <c r="E10229">
        <v>0</v>
      </c>
      <c r="F10229">
        <v>0</v>
      </c>
      <c r="G10229" t="s">
        <v>12</v>
      </c>
      <c r="I10229" t="s">
        <v>1050</v>
      </c>
    </row>
    <row r="10230" spans="1:9" hidden="1" x14ac:dyDescent="0.25">
      <c r="A10230" t="s">
        <v>8503</v>
      </c>
      <c r="B10230" t="s">
        <v>8529</v>
      </c>
      <c r="C10230" s="2">
        <f>HYPERLINK("https://cao.dolgi.msk.ru/account/1080317749/", 1080317749)</f>
        <v>1080317749</v>
      </c>
      <c r="D10230" t="s">
        <v>8530</v>
      </c>
      <c r="E10230">
        <v>-7690.33</v>
      </c>
      <c r="F10230">
        <v>-0.96</v>
      </c>
      <c r="G10230" t="s">
        <v>12</v>
      </c>
      <c r="I10230" t="s">
        <v>1050</v>
      </c>
    </row>
    <row r="10231" spans="1:9" hidden="1" x14ac:dyDescent="0.25">
      <c r="A10231" t="s">
        <v>8503</v>
      </c>
      <c r="B10231" t="s">
        <v>72</v>
      </c>
      <c r="C10231" s="2">
        <f>HYPERLINK("https://cao.dolgi.msk.ru/account/1080317685/", 1080317685)</f>
        <v>1080317685</v>
      </c>
      <c r="D10231" t="s">
        <v>8531</v>
      </c>
      <c r="E10231">
        <v>-7747.03</v>
      </c>
      <c r="F10231">
        <v>-0.98</v>
      </c>
      <c r="G10231" t="s">
        <v>12</v>
      </c>
      <c r="I10231" t="s">
        <v>1050</v>
      </c>
    </row>
    <row r="10232" spans="1:9" hidden="1" x14ac:dyDescent="0.25">
      <c r="A10232" t="s">
        <v>8503</v>
      </c>
      <c r="B10232" t="s">
        <v>8532</v>
      </c>
      <c r="C10232" s="2">
        <f>HYPERLINK("https://cao.dolgi.msk.ru/account/1080317757/", 1080317757)</f>
        <v>1080317757</v>
      </c>
      <c r="D10232" t="s">
        <v>1082</v>
      </c>
      <c r="E10232">
        <v>3014.29</v>
      </c>
      <c r="F10232">
        <v>0.9</v>
      </c>
      <c r="G10232" t="s">
        <v>12</v>
      </c>
      <c r="H10232" t="s">
        <v>7</v>
      </c>
      <c r="I10232" t="s">
        <v>1050</v>
      </c>
    </row>
    <row r="10233" spans="1:9" hidden="1" x14ac:dyDescent="0.25">
      <c r="A10233" t="s">
        <v>8503</v>
      </c>
      <c r="B10233" t="s">
        <v>8532</v>
      </c>
      <c r="C10233" s="2">
        <f>HYPERLINK("https://cao.dolgi.msk.ru/account/1080317765/", 1080317765)</f>
        <v>1080317765</v>
      </c>
      <c r="D10233" t="s">
        <v>8533</v>
      </c>
      <c r="E10233">
        <v>0</v>
      </c>
      <c r="F10233">
        <v>0</v>
      </c>
      <c r="G10233" t="s">
        <v>12</v>
      </c>
      <c r="H10233" t="s">
        <v>7</v>
      </c>
      <c r="I10233" t="s">
        <v>1050</v>
      </c>
    </row>
    <row r="10234" spans="1:9" hidden="1" x14ac:dyDescent="0.25">
      <c r="A10234" t="s">
        <v>8503</v>
      </c>
      <c r="B10234" t="s">
        <v>76</v>
      </c>
      <c r="C10234" s="2">
        <f>HYPERLINK("https://cao.dolgi.msk.ru/account/1080317706/", 1080317706)</f>
        <v>1080317706</v>
      </c>
      <c r="D10234" t="s">
        <v>8534</v>
      </c>
      <c r="E10234">
        <v>5554.76</v>
      </c>
      <c r="F10234">
        <v>0.67</v>
      </c>
      <c r="G10234" t="s">
        <v>12</v>
      </c>
      <c r="I10234" t="s">
        <v>1050</v>
      </c>
    </row>
    <row r="10235" spans="1:9" hidden="1" x14ac:dyDescent="0.25">
      <c r="A10235" t="s">
        <v>8503</v>
      </c>
      <c r="B10235" t="s">
        <v>78</v>
      </c>
      <c r="C10235" s="2">
        <f>HYPERLINK("https://cao.dolgi.msk.ru/account/1080317714/", 1080317714)</f>
        <v>1080317714</v>
      </c>
      <c r="D10235" t="s">
        <v>8535</v>
      </c>
      <c r="E10235">
        <v>146.1</v>
      </c>
      <c r="F10235">
        <v>0.02</v>
      </c>
      <c r="G10235" t="s">
        <v>12</v>
      </c>
      <c r="I10235" t="s">
        <v>1050</v>
      </c>
    </row>
    <row r="10236" spans="1:9" hidden="1" x14ac:dyDescent="0.25">
      <c r="A10236" t="s">
        <v>8503</v>
      </c>
      <c r="B10236" t="s">
        <v>84</v>
      </c>
      <c r="C10236" s="2">
        <f>HYPERLINK("https://cao.dolgi.msk.ru/account/1080317773/", 1080317773)</f>
        <v>1080317773</v>
      </c>
      <c r="D10236" t="s">
        <v>1082</v>
      </c>
      <c r="G10236" t="s">
        <v>14</v>
      </c>
      <c r="H10236" t="s">
        <v>7</v>
      </c>
      <c r="I10236" t="s">
        <v>1050</v>
      </c>
    </row>
    <row r="10237" spans="1:9" hidden="1" x14ac:dyDescent="0.25">
      <c r="A10237" t="s">
        <v>8536</v>
      </c>
      <c r="B10237" t="s">
        <v>16</v>
      </c>
      <c r="C10237" s="2">
        <f>HYPERLINK("https://cao.dolgi.msk.ru/account/1080307786/", 1080307786)</f>
        <v>1080307786</v>
      </c>
      <c r="D10237" t="s">
        <v>8537</v>
      </c>
      <c r="E10237">
        <v>-1041.3599999999999</v>
      </c>
      <c r="F10237">
        <v>-0.82</v>
      </c>
      <c r="G10237" t="s">
        <v>12</v>
      </c>
      <c r="H10237" t="s">
        <v>7</v>
      </c>
      <c r="I10237" t="s">
        <v>1050</v>
      </c>
    </row>
    <row r="10238" spans="1:9" hidden="1" x14ac:dyDescent="0.25">
      <c r="A10238" t="s">
        <v>8536</v>
      </c>
      <c r="B10238" t="s">
        <v>16</v>
      </c>
      <c r="C10238" s="2">
        <f>HYPERLINK("https://cao.dolgi.msk.ru/account/1080307794/", 1080307794)</f>
        <v>1080307794</v>
      </c>
      <c r="D10238" t="s">
        <v>8537</v>
      </c>
      <c r="E10238">
        <v>21.08</v>
      </c>
      <c r="F10238">
        <v>0.01</v>
      </c>
      <c r="G10238" t="s">
        <v>12</v>
      </c>
      <c r="H10238" t="s">
        <v>7</v>
      </c>
      <c r="I10238" t="s">
        <v>1050</v>
      </c>
    </row>
    <row r="10239" spans="1:9" hidden="1" x14ac:dyDescent="0.25">
      <c r="A10239" t="s">
        <v>8536</v>
      </c>
      <c r="B10239" t="s">
        <v>16</v>
      </c>
      <c r="C10239" s="2">
        <f>HYPERLINK("https://cao.dolgi.msk.ru/account/1080307807/", 1080307807)</f>
        <v>1080307807</v>
      </c>
      <c r="D10239" t="s">
        <v>8537</v>
      </c>
      <c r="E10239">
        <v>-55.44</v>
      </c>
      <c r="F10239">
        <v>-0.04</v>
      </c>
      <c r="G10239" t="s">
        <v>12</v>
      </c>
      <c r="H10239" t="s">
        <v>7</v>
      </c>
      <c r="I10239" t="s">
        <v>1050</v>
      </c>
    </row>
    <row r="10240" spans="1:9" hidden="1" x14ac:dyDescent="0.25">
      <c r="A10240" t="s">
        <v>8536</v>
      </c>
      <c r="B10240" t="s">
        <v>18</v>
      </c>
      <c r="C10240" s="2">
        <f>HYPERLINK("https://cao.dolgi.msk.ru/account/1080307815/", 1080307815)</f>
        <v>1080307815</v>
      </c>
      <c r="D10240" t="s">
        <v>15</v>
      </c>
      <c r="E10240">
        <v>-2513.0300000000002</v>
      </c>
      <c r="F10240">
        <v>-1.05</v>
      </c>
      <c r="G10240" t="s">
        <v>12</v>
      </c>
      <c r="H10240" t="s">
        <v>7</v>
      </c>
      <c r="I10240" t="s">
        <v>1050</v>
      </c>
    </row>
    <row r="10241" spans="1:9" hidden="1" x14ac:dyDescent="0.25">
      <c r="A10241" t="s">
        <v>8536</v>
      </c>
      <c r="B10241" t="s">
        <v>18</v>
      </c>
      <c r="C10241" s="2">
        <f>HYPERLINK("https://cao.dolgi.msk.ru/account/1080307823/", 1080307823)</f>
        <v>1080307823</v>
      </c>
      <c r="D10241" t="s">
        <v>8538</v>
      </c>
      <c r="E10241">
        <v>-7248.89</v>
      </c>
      <c r="F10241">
        <v>-2.41</v>
      </c>
      <c r="G10241" t="s">
        <v>12</v>
      </c>
      <c r="H10241" t="s">
        <v>7</v>
      </c>
      <c r="I10241" t="s">
        <v>1050</v>
      </c>
    </row>
    <row r="10242" spans="1:9" hidden="1" x14ac:dyDescent="0.25">
      <c r="A10242" t="s">
        <v>8536</v>
      </c>
      <c r="B10242" t="s">
        <v>18</v>
      </c>
      <c r="C10242" s="2">
        <f>HYPERLINK("https://cao.dolgi.msk.ru/account/1080307831/", 1080307831)</f>
        <v>1080307831</v>
      </c>
      <c r="D10242" t="s">
        <v>8538</v>
      </c>
      <c r="E10242">
        <v>-2790.72</v>
      </c>
      <c r="F10242">
        <v>-1.1499999999999999</v>
      </c>
      <c r="G10242" t="s">
        <v>12</v>
      </c>
      <c r="H10242" t="s">
        <v>7</v>
      </c>
      <c r="I10242" t="s">
        <v>1050</v>
      </c>
    </row>
    <row r="10243" spans="1:9" hidden="1" x14ac:dyDescent="0.25">
      <c r="A10243" t="s">
        <v>8536</v>
      </c>
      <c r="B10243" t="s">
        <v>20</v>
      </c>
      <c r="C10243" s="2">
        <f>HYPERLINK("https://cao.dolgi.msk.ru/account/1080307858/", 1080307858)</f>
        <v>1080307858</v>
      </c>
      <c r="D10243" t="s">
        <v>8539</v>
      </c>
      <c r="E10243">
        <v>7628.52</v>
      </c>
      <c r="F10243">
        <v>0.65</v>
      </c>
      <c r="G10243" t="s">
        <v>12</v>
      </c>
      <c r="I10243" t="s">
        <v>1050</v>
      </c>
    </row>
    <row r="10244" spans="1:9" hidden="1" x14ac:dyDescent="0.25">
      <c r="A10244" t="s">
        <v>8536</v>
      </c>
      <c r="B10244" t="s">
        <v>20</v>
      </c>
      <c r="C10244" s="2">
        <f>HYPERLINK("https://cao.dolgi.msk.ru/account/1080307874/", 1080307874)</f>
        <v>1080307874</v>
      </c>
      <c r="D10244" t="s">
        <v>8539</v>
      </c>
      <c r="E10244">
        <v>587.08000000000004</v>
      </c>
      <c r="G10244" t="s">
        <v>14</v>
      </c>
      <c r="I10244" t="s">
        <v>1050</v>
      </c>
    </row>
    <row r="10245" spans="1:9" hidden="1" x14ac:dyDescent="0.25">
      <c r="A10245" t="s">
        <v>8536</v>
      </c>
      <c r="B10245" t="s">
        <v>20</v>
      </c>
      <c r="C10245" s="2">
        <f>HYPERLINK("https://cao.dolgi.msk.ru/account/1080307882/", 1080307882)</f>
        <v>1080307882</v>
      </c>
      <c r="D10245" t="s">
        <v>8539</v>
      </c>
      <c r="E10245">
        <v>567.62</v>
      </c>
      <c r="G10245" t="s">
        <v>14</v>
      </c>
      <c r="I10245" t="s">
        <v>1050</v>
      </c>
    </row>
    <row r="10246" spans="1:9" hidden="1" x14ac:dyDescent="0.25">
      <c r="A10246" t="s">
        <v>8536</v>
      </c>
      <c r="B10246" t="s">
        <v>21</v>
      </c>
      <c r="C10246" s="2">
        <f>HYPERLINK("https://cao.dolgi.msk.ru/account/1080307903/", 1080307903)</f>
        <v>1080307903</v>
      </c>
      <c r="D10246" t="s">
        <v>8540</v>
      </c>
      <c r="E10246">
        <v>-6427.96</v>
      </c>
      <c r="F10246">
        <v>-1.01</v>
      </c>
      <c r="G10246" t="s">
        <v>12</v>
      </c>
      <c r="I10246" t="s">
        <v>1050</v>
      </c>
    </row>
    <row r="10247" spans="1:9" hidden="1" x14ac:dyDescent="0.25">
      <c r="A10247" t="s">
        <v>8536</v>
      </c>
      <c r="B10247" t="s">
        <v>22</v>
      </c>
      <c r="C10247" s="2">
        <f>HYPERLINK("https://cao.dolgi.msk.ru/account/1080307938/", 1080307938)</f>
        <v>1080307938</v>
      </c>
      <c r="D10247" t="s">
        <v>8541</v>
      </c>
      <c r="E10247">
        <v>-447.49</v>
      </c>
      <c r="F10247">
        <v>-0.05</v>
      </c>
      <c r="G10247" t="s">
        <v>12</v>
      </c>
      <c r="I10247" t="s">
        <v>1050</v>
      </c>
    </row>
    <row r="10248" spans="1:9" x14ac:dyDescent="0.25">
      <c r="A10248" t="s">
        <v>8536</v>
      </c>
      <c r="B10248" t="s">
        <v>23</v>
      </c>
      <c r="C10248" s="2">
        <f>HYPERLINK("https://cao.dolgi.msk.ru/account/1080307962/", 1080307962)</f>
        <v>1080307962</v>
      </c>
      <c r="D10248" t="s">
        <v>8542</v>
      </c>
      <c r="E10248">
        <v>17495.38</v>
      </c>
      <c r="F10248">
        <v>2.13</v>
      </c>
      <c r="G10248" t="s">
        <v>12</v>
      </c>
      <c r="I10248" t="s">
        <v>1050</v>
      </c>
    </row>
    <row r="10249" spans="1:9" hidden="1" x14ac:dyDescent="0.25">
      <c r="A10249" t="s">
        <v>8536</v>
      </c>
      <c r="B10249" t="s">
        <v>24</v>
      </c>
      <c r="C10249" s="2">
        <f>HYPERLINK("https://cao.dolgi.msk.ru/account/1080307954/", 1080307954)</f>
        <v>1080307954</v>
      </c>
      <c r="D10249" t="s">
        <v>8543</v>
      </c>
      <c r="E10249">
        <v>2.54</v>
      </c>
      <c r="F10249">
        <v>0</v>
      </c>
      <c r="G10249" t="s">
        <v>12</v>
      </c>
      <c r="I10249" t="s">
        <v>1050</v>
      </c>
    </row>
    <row r="10250" spans="1:9" hidden="1" x14ac:dyDescent="0.25">
      <c r="A10250" t="s">
        <v>8536</v>
      </c>
      <c r="B10250" t="s">
        <v>27</v>
      </c>
      <c r="C10250" s="2">
        <f>HYPERLINK("https://cao.dolgi.msk.ru/account/1080307989/", 1080307989)</f>
        <v>1080307989</v>
      </c>
      <c r="D10250" t="s">
        <v>8544</v>
      </c>
      <c r="E10250">
        <v>-8725.19</v>
      </c>
      <c r="F10250">
        <v>-1.1000000000000001</v>
      </c>
      <c r="G10250" t="s">
        <v>12</v>
      </c>
      <c r="I10250" t="s">
        <v>1050</v>
      </c>
    </row>
    <row r="10251" spans="1:9" hidden="1" x14ac:dyDescent="0.25">
      <c r="A10251" t="s">
        <v>8536</v>
      </c>
      <c r="B10251" t="s">
        <v>29</v>
      </c>
      <c r="C10251" s="2">
        <f>HYPERLINK("https://cao.dolgi.msk.ru/account/1080307997/", 1080307997)</f>
        <v>1080307997</v>
      </c>
      <c r="D10251" t="s">
        <v>8545</v>
      </c>
      <c r="E10251">
        <v>-9078.4</v>
      </c>
      <c r="F10251">
        <v>-1.1000000000000001</v>
      </c>
      <c r="G10251" t="s">
        <v>12</v>
      </c>
      <c r="I10251" t="s">
        <v>1050</v>
      </c>
    </row>
    <row r="10252" spans="1:9" hidden="1" x14ac:dyDescent="0.25">
      <c r="A10252" t="s">
        <v>8536</v>
      </c>
      <c r="B10252" t="s">
        <v>31</v>
      </c>
      <c r="C10252" s="2">
        <f>HYPERLINK("https://cao.dolgi.msk.ru/account/1080308009/", 1080308009)</f>
        <v>1080308009</v>
      </c>
      <c r="D10252" t="s">
        <v>8546</v>
      </c>
      <c r="E10252">
        <v>-8254.25</v>
      </c>
      <c r="F10252">
        <v>-1.02</v>
      </c>
      <c r="G10252" t="s">
        <v>12</v>
      </c>
      <c r="H10252" t="s">
        <v>7</v>
      </c>
      <c r="I10252" t="s">
        <v>1050</v>
      </c>
    </row>
    <row r="10253" spans="1:9" x14ac:dyDescent="0.25">
      <c r="A10253" t="s">
        <v>8536</v>
      </c>
      <c r="B10253" t="s">
        <v>31</v>
      </c>
      <c r="C10253" s="2">
        <f>HYPERLINK("https://cao.dolgi.msk.ru/account/1080308017/", 1080308017)</f>
        <v>1080308017</v>
      </c>
      <c r="D10253" t="s">
        <v>8547</v>
      </c>
      <c r="E10253">
        <v>140266.38</v>
      </c>
      <c r="F10253">
        <v>16.71</v>
      </c>
      <c r="G10253" t="s">
        <v>12</v>
      </c>
      <c r="H10253" t="s">
        <v>7</v>
      </c>
      <c r="I10253" t="s">
        <v>1050</v>
      </c>
    </row>
    <row r="10254" spans="1:9" hidden="1" x14ac:dyDescent="0.25">
      <c r="A10254" t="s">
        <v>8536</v>
      </c>
      <c r="B10254" t="s">
        <v>33</v>
      </c>
      <c r="C10254" s="2">
        <f>HYPERLINK("https://cao.dolgi.msk.ru/account/1080308025/", 1080308025)</f>
        <v>1080308025</v>
      </c>
      <c r="D10254" t="s">
        <v>8548</v>
      </c>
      <c r="E10254">
        <v>-6619.68</v>
      </c>
      <c r="F10254">
        <v>-0.78</v>
      </c>
      <c r="G10254" t="s">
        <v>12</v>
      </c>
      <c r="I10254" t="s">
        <v>1050</v>
      </c>
    </row>
    <row r="10255" spans="1:9" hidden="1" x14ac:dyDescent="0.25">
      <c r="A10255" t="s">
        <v>8536</v>
      </c>
      <c r="B10255" t="s">
        <v>34</v>
      </c>
      <c r="C10255" s="2">
        <f>HYPERLINK("https://cao.dolgi.msk.ru/account/1080308033/", 1080308033)</f>
        <v>1080308033</v>
      </c>
      <c r="D10255" t="s">
        <v>8549</v>
      </c>
      <c r="E10255">
        <v>-40452.730000000003</v>
      </c>
      <c r="F10255">
        <v>-5.05</v>
      </c>
      <c r="G10255" t="s">
        <v>12</v>
      </c>
      <c r="I10255" t="s">
        <v>1050</v>
      </c>
    </row>
    <row r="10256" spans="1:9" hidden="1" x14ac:dyDescent="0.25">
      <c r="A10256" t="s">
        <v>8536</v>
      </c>
      <c r="B10256" t="s">
        <v>36</v>
      </c>
      <c r="C10256" s="2">
        <f>HYPERLINK("https://cao.dolgi.msk.ru/account/1080308041/", 1080308041)</f>
        <v>1080308041</v>
      </c>
      <c r="D10256" t="s">
        <v>8550</v>
      </c>
      <c r="E10256">
        <v>-5666.73</v>
      </c>
      <c r="F10256">
        <v>-1.24</v>
      </c>
      <c r="G10256" t="s">
        <v>12</v>
      </c>
      <c r="I10256" t="s">
        <v>1050</v>
      </c>
    </row>
    <row r="10257" spans="1:9" hidden="1" x14ac:dyDescent="0.25">
      <c r="A10257" t="s">
        <v>8536</v>
      </c>
      <c r="B10257" t="s">
        <v>38</v>
      </c>
      <c r="C10257" s="2">
        <f>HYPERLINK("https://cao.dolgi.msk.ru/account/1080308068/", 1080308068)</f>
        <v>1080308068</v>
      </c>
      <c r="D10257" t="s">
        <v>8551</v>
      </c>
      <c r="E10257">
        <v>-341.13</v>
      </c>
      <c r="F10257">
        <v>-0.12</v>
      </c>
      <c r="G10257" t="s">
        <v>12</v>
      </c>
      <c r="I10257" t="s">
        <v>1050</v>
      </c>
    </row>
    <row r="10258" spans="1:9" hidden="1" x14ac:dyDescent="0.25">
      <c r="A10258" t="s">
        <v>8536</v>
      </c>
      <c r="B10258" t="s">
        <v>38</v>
      </c>
      <c r="C10258" s="2">
        <f>HYPERLINK("https://cao.dolgi.msk.ru/account/1089124855/", 1089124855)</f>
        <v>1089124855</v>
      </c>
      <c r="D10258" t="s">
        <v>15</v>
      </c>
      <c r="E10258">
        <v>-31.08</v>
      </c>
      <c r="F10258">
        <v>-0.01</v>
      </c>
      <c r="G10258" t="s">
        <v>12</v>
      </c>
      <c r="I10258" t="s">
        <v>1050</v>
      </c>
    </row>
    <row r="10259" spans="1:9" hidden="1" x14ac:dyDescent="0.25">
      <c r="A10259" t="s">
        <v>8536</v>
      </c>
      <c r="B10259" t="s">
        <v>39</v>
      </c>
      <c r="C10259" s="2">
        <f>HYPERLINK("https://cao.dolgi.msk.ru/account/1080308076/", 1080308076)</f>
        <v>1080308076</v>
      </c>
      <c r="D10259" t="s">
        <v>8552</v>
      </c>
      <c r="E10259">
        <v>-5967.62</v>
      </c>
      <c r="F10259">
        <v>-1.1100000000000001</v>
      </c>
      <c r="G10259" t="s">
        <v>12</v>
      </c>
      <c r="I10259" t="s">
        <v>1050</v>
      </c>
    </row>
    <row r="10260" spans="1:9" hidden="1" x14ac:dyDescent="0.25">
      <c r="A10260" t="s">
        <v>8536</v>
      </c>
      <c r="B10260" t="s">
        <v>40</v>
      </c>
      <c r="C10260" s="2">
        <f>HYPERLINK("https://cao.dolgi.msk.ru/account/1080308084/", 1080308084)</f>
        <v>1080308084</v>
      </c>
      <c r="D10260" t="s">
        <v>8553</v>
      </c>
      <c r="E10260">
        <v>-6060.48</v>
      </c>
      <c r="F10260">
        <v>-1.0900000000000001</v>
      </c>
      <c r="G10260" t="s">
        <v>12</v>
      </c>
      <c r="I10260" t="s">
        <v>1050</v>
      </c>
    </row>
    <row r="10261" spans="1:9" hidden="1" x14ac:dyDescent="0.25">
      <c r="A10261" t="s">
        <v>8536</v>
      </c>
      <c r="B10261" t="s">
        <v>41</v>
      </c>
      <c r="C10261" s="2">
        <f>HYPERLINK("https://cao.dolgi.msk.ru/account/1080308092/", 1080308092)</f>
        <v>1080308092</v>
      </c>
      <c r="D10261" t="s">
        <v>8554</v>
      </c>
      <c r="E10261">
        <v>-14174.33</v>
      </c>
      <c r="F10261">
        <v>-2.15</v>
      </c>
      <c r="G10261" t="s">
        <v>12</v>
      </c>
      <c r="I10261" t="s">
        <v>1050</v>
      </c>
    </row>
    <row r="10262" spans="1:9" hidden="1" x14ac:dyDescent="0.25">
      <c r="A10262" t="s">
        <v>8536</v>
      </c>
      <c r="B10262" t="s">
        <v>41</v>
      </c>
      <c r="C10262" s="2">
        <f>HYPERLINK("https://cao.dolgi.msk.ru/account/1080325909/", 1080325909)</f>
        <v>1080325909</v>
      </c>
      <c r="D10262" t="s">
        <v>8555</v>
      </c>
      <c r="E10262">
        <v>0</v>
      </c>
      <c r="G10262" t="s">
        <v>14</v>
      </c>
      <c r="I10262" t="s">
        <v>1050</v>
      </c>
    </row>
    <row r="10263" spans="1:9" hidden="1" x14ac:dyDescent="0.25">
      <c r="A10263" t="s">
        <v>8536</v>
      </c>
      <c r="B10263" t="s">
        <v>42</v>
      </c>
      <c r="C10263" s="2">
        <f>HYPERLINK("https://cao.dolgi.msk.ru/account/1080308105/", 1080308105)</f>
        <v>1080308105</v>
      </c>
      <c r="D10263" t="s">
        <v>8556</v>
      </c>
      <c r="E10263">
        <v>-9226.48</v>
      </c>
      <c r="F10263">
        <v>-0.96</v>
      </c>
      <c r="G10263" t="s">
        <v>12</v>
      </c>
      <c r="I10263" t="s">
        <v>1050</v>
      </c>
    </row>
    <row r="10264" spans="1:9" hidden="1" x14ac:dyDescent="0.25">
      <c r="A10264" t="s">
        <v>8536</v>
      </c>
      <c r="B10264" t="s">
        <v>44</v>
      </c>
      <c r="C10264" s="2">
        <f>HYPERLINK("https://cao.dolgi.msk.ru/account/1080308113/", 1080308113)</f>
        <v>1080308113</v>
      </c>
      <c r="D10264" t="s">
        <v>8557</v>
      </c>
      <c r="E10264">
        <v>-6911.56</v>
      </c>
      <c r="F10264">
        <v>-1.06</v>
      </c>
      <c r="G10264" t="s">
        <v>12</v>
      </c>
      <c r="I10264" t="s">
        <v>1050</v>
      </c>
    </row>
    <row r="10265" spans="1:9" x14ac:dyDescent="0.25">
      <c r="A10265" t="s">
        <v>8536</v>
      </c>
      <c r="B10265" t="s">
        <v>66</v>
      </c>
      <c r="C10265" s="2">
        <f>HYPERLINK("https://cao.dolgi.msk.ru/account/1080308121/", 1080308121)</f>
        <v>1080308121</v>
      </c>
      <c r="D10265" t="s">
        <v>8558</v>
      </c>
      <c r="E10265">
        <v>129784.81</v>
      </c>
      <c r="F10265">
        <v>15.58</v>
      </c>
      <c r="G10265" t="s">
        <v>12</v>
      </c>
      <c r="I10265" t="s">
        <v>1050</v>
      </c>
    </row>
    <row r="10266" spans="1:9" hidden="1" x14ac:dyDescent="0.25">
      <c r="A10266" t="s">
        <v>8536</v>
      </c>
      <c r="B10266" t="s">
        <v>70</v>
      </c>
      <c r="C10266" s="2">
        <f>HYPERLINK("https://cao.dolgi.msk.ru/account/1080308148/", 1080308148)</f>
        <v>1080308148</v>
      </c>
      <c r="D10266" t="s">
        <v>8559</v>
      </c>
      <c r="E10266">
        <v>-2680.39</v>
      </c>
      <c r="F10266">
        <v>-0.98</v>
      </c>
      <c r="G10266" t="s">
        <v>12</v>
      </c>
      <c r="H10266" t="s">
        <v>7</v>
      </c>
      <c r="I10266" t="s">
        <v>1050</v>
      </c>
    </row>
    <row r="10267" spans="1:9" hidden="1" x14ac:dyDescent="0.25">
      <c r="A10267" t="s">
        <v>8536</v>
      </c>
      <c r="B10267" t="s">
        <v>70</v>
      </c>
      <c r="C10267" s="2">
        <f>HYPERLINK("https://cao.dolgi.msk.ru/account/1080308164/", 1080308164)</f>
        <v>1080308164</v>
      </c>
      <c r="D10267" t="s">
        <v>8559</v>
      </c>
      <c r="E10267">
        <v>-4309.72</v>
      </c>
      <c r="F10267">
        <v>-1.3</v>
      </c>
      <c r="G10267" t="s">
        <v>12</v>
      </c>
      <c r="H10267" t="s">
        <v>7</v>
      </c>
      <c r="I10267" t="s">
        <v>1050</v>
      </c>
    </row>
    <row r="10268" spans="1:9" hidden="1" x14ac:dyDescent="0.25">
      <c r="A10268" t="s">
        <v>8536</v>
      </c>
      <c r="B10268" t="s">
        <v>72</v>
      </c>
      <c r="C10268" s="2">
        <f>HYPERLINK("https://cao.dolgi.msk.ru/account/1080308156/", 1080308156)</f>
        <v>1080308156</v>
      </c>
      <c r="D10268" t="s">
        <v>8560</v>
      </c>
      <c r="E10268">
        <v>-8432.0300000000007</v>
      </c>
      <c r="F10268">
        <v>-1.05</v>
      </c>
      <c r="G10268" t="s">
        <v>12</v>
      </c>
      <c r="I10268" t="s">
        <v>1050</v>
      </c>
    </row>
    <row r="10269" spans="1:9" hidden="1" x14ac:dyDescent="0.25">
      <c r="A10269" t="s">
        <v>8536</v>
      </c>
      <c r="B10269" t="s">
        <v>74</v>
      </c>
      <c r="C10269" s="2">
        <f>HYPERLINK("https://cao.dolgi.msk.ru/account/1080308172/", 1080308172)</f>
        <v>1080308172</v>
      </c>
      <c r="D10269" t="s">
        <v>8561</v>
      </c>
      <c r="E10269">
        <v>-1060.3599999999999</v>
      </c>
      <c r="F10269">
        <v>-0.22</v>
      </c>
      <c r="G10269" t="s">
        <v>12</v>
      </c>
      <c r="I10269" t="s">
        <v>1050</v>
      </c>
    </row>
    <row r="10270" spans="1:9" hidden="1" x14ac:dyDescent="0.25">
      <c r="A10270" t="s">
        <v>8536</v>
      </c>
      <c r="B10270" t="s">
        <v>76</v>
      </c>
      <c r="C10270" s="2">
        <f>HYPERLINK("https://cao.dolgi.msk.ru/account/1080308199/", 1080308199)</f>
        <v>1080308199</v>
      </c>
      <c r="D10270" t="s">
        <v>8562</v>
      </c>
      <c r="E10270">
        <v>-5640.25</v>
      </c>
      <c r="F10270">
        <v>-1.07</v>
      </c>
      <c r="G10270" t="s">
        <v>12</v>
      </c>
      <c r="I10270" t="s">
        <v>1050</v>
      </c>
    </row>
    <row r="10271" spans="1:9" hidden="1" x14ac:dyDescent="0.25">
      <c r="A10271" t="s">
        <v>8536</v>
      </c>
      <c r="B10271" t="s">
        <v>78</v>
      </c>
      <c r="C10271" s="2">
        <f>HYPERLINK("https://cao.dolgi.msk.ru/account/1080308201/", 1080308201)</f>
        <v>1080308201</v>
      </c>
      <c r="D10271" t="s">
        <v>8563</v>
      </c>
      <c r="E10271">
        <v>-8928.98</v>
      </c>
      <c r="F10271">
        <v>-1.31</v>
      </c>
      <c r="G10271" t="s">
        <v>12</v>
      </c>
      <c r="I10271" t="s">
        <v>1050</v>
      </c>
    </row>
    <row r="10272" spans="1:9" hidden="1" x14ac:dyDescent="0.25">
      <c r="A10272" t="s">
        <v>8536</v>
      </c>
      <c r="B10272" t="s">
        <v>80</v>
      </c>
      <c r="C10272" s="2">
        <f>HYPERLINK("https://cao.dolgi.msk.ru/account/1080308228/", 1080308228)</f>
        <v>1080308228</v>
      </c>
      <c r="D10272" t="s">
        <v>8564</v>
      </c>
      <c r="E10272">
        <v>-1635.52</v>
      </c>
      <c r="F10272">
        <v>-1.02</v>
      </c>
      <c r="G10272" t="s">
        <v>12</v>
      </c>
      <c r="I10272" t="s">
        <v>1050</v>
      </c>
    </row>
    <row r="10273" spans="1:9" hidden="1" x14ac:dyDescent="0.25">
      <c r="A10273" t="s">
        <v>8536</v>
      </c>
      <c r="B10273" t="s">
        <v>82</v>
      </c>
      <c r="C10273" s="2">
        <f>HYPERLINK("https://cao.dolgi.msk.ru/account/1080308236/", 1080308236)</f>
        <v>1080308236</v>
      </c>
      <c r="D10273" t="s">
        <v>8565</v>
      </c>
      <c r="E10273">
        <v>0</v>
      </c>
      <c r="F10273">
        <v>0</v>
      </c>
      <c r="G10273" t="s">
        <v>12</v>
      </c>
      <c r="I10273" t="s">
        <v>1050</v>
      </c>
    </row>
    <row r="10274" spans="1:9" x14ac:dyDescent="0.25">
      <c r="A10274" t="s">
        <v>8536</v>
      </c>
      <c r="B10274" t="s">
        <v>84</v>
      </c>
      <c r="C10274" s="2">
        <f>HYPERLINK("https://cao.dolgi.msk.ru/account/1080308244/", 1080308244)</f>
        <v>1080308244</v>
      </c>
      <c r="D10274" t="s">
        <v>8566</v>
      </c>
      <c r="E10274">
        <v>9691.56</v>
      </c>
      <c r="F10274">
        <v>1.53</v>
      </c>
      <c r="G10274" t="s">
        <v>12</v>
      </c>
      <c r="I10274" t="s">
        <v>1050</v>
      </c>
    </row>
    <row r="10275" spans="1:9" hidden="1" x14ac:dyDescent="0.25">
      <c r="A10275" t="s">
        <v>8536</v>
      </c>
      <c r="B10275" t="s">
        <v>86</v>
      </c>
      <c r="C10275" s="2">
        <f>HYPERLINK("https://cao.dolgi.msk.ru/account/1080308252/", 1080308252)</f>
        <v>1080308252</v>
      </c>
      <c r="D10275" t="s">
        <v>8567</v>
      </c>
      <c r="E10275">
        <v>-129.80000000000001</v>
      </c>
      <c r="F10275">
        <v>-0.02</v>
      </c>
      <c r="G10275" t="s">
        <v>12</v>
      </c>
      <c r="I10275" t="s">
        <v>1050</v>
      </c>
    </row>
    <row r="10276" spans="1:9" hidden="1" x14ac:dyDescent="0.25">
      <c r="A10276" t="s">
        <v>8536</v>
      </c>
      <c r="B10276" t="s">
        <v>88</v>
      </c>
      <c r="C10276" s="2">
        <f>HYPERLINK("https://cao.dolgi.msk.ru/account/1080308279/", 1080308279)</f>
        <v>1080308279</v>
      </c>
      <c r="D10276" t="s">
        <v>15</v>
      </c>
      <c r="G10276" t="s">
        <v>14</v>
      </c>
      <c r="I10276" t="s">
        <v>1050</v>
      </c>
    </row>
    <row r="10277" spans="1:9" hidden="1" x14ac:dyDescent="0.25">
      <c r="A10277" t="s">
        <v>8536</v>
      </c>
      <c r="B10277" t="s">
        <v>88</v>
      </c>
      <c r="C10277" s="2">
        <f>HYPERLINK("https://cao.dolgi.msk.ru/account/1080308287/", 1080308287)</f>
        <v>1080308287</v>
      </c>
      <c r="D10277" t="s">
        <v>8568</v>
      </c>
      <c r="E10277">
        <v>0</v>
      </c>
      <c r="G10277" t="s">
        <v>14</v>
      </c>
      <c r="I10277" t="s">
        <v>1050</v>
      </c>
    </row>
    <row r="10278" spans="1:9" hidden="1" x14ac:dyDescent="0.25">
      <c r="A10278" t="s">
        <v>8536</v>
      </c>
      <c r="B10278" t="s">
        <v>88</v>
      </c>
      <c r="C10278" s="2">
        <f>HYPERLINK("https://cao.dolgi.msk.ru/account/1080308295/", 1080308295)</f>
        <v>1080308295</v>
      </c>
      <c r="D10278" t="s">
        <v>15</v>
      </c>
      <c r="G10278" t="s">
        <v>14</v>
      </c>
      <c r="I10278" t="s">
        <v>1050</v>
      </c>
    </row>
    <row r="10279" spans="1:9" hidden="1" x14ac:dyDescent="0.25">
      <c r="A10279" t="s">
        <v>8536</v>
      </c>
      <c r="B10279" t="s">
        <v>88</v>
      </c>
      <c r="C10279" s="2">
        <f>HYPERLINK("https://cao.dolgi.msk.ru/account/1080326506/", 1080326506)</f>
        <v>1080326506</v>
      </c>
      <c r="D10279" t="s">
        <v>8569</v>
      </c>
      <c r="E10279">
        <v>-6898.7</v>
      </c>
      <c r="F10279">
        <v>-1.08</v>
      </c>
      <c r="G10279" t="s">
        <v>12</v>
      </c>
      <c r="I10279" t="s">
        <v>1050</v>
      </c>
    </row>
    <row r="10280" spans="1:9" hidden="1" x14ac:dyDescent="0.25">
      <c r="A10280" t="s">
        <v>8536</v>
      </c>
      <c r="B10280" t="s">
        <v>88</v>
      </c>
      <c r="C10280" s="2">
        <f>HYPERLINK("https://cao.dolgi.msk.ru/account/1080326522/", 1080326522)</f>
        <v>1080326522</v>
      </c>
      <c r="D10280" t="s">
        <v>15</v>
      </c>
      <c r="E10280">
        <v>-3997.38</v>
      </c>
      <c r="G10280" t="s">
        <v>14</v>
      </c>
      <c r="I10280" t="s">
        <v>1050</v>
      </c>
    </row>
    <row r="10281" spans="1:9" hidden="1" x14ac:dyDescent="0.25">
      <c r="A10281" t="s">
        <v>8536</v>
      </c>
      <c r="B10281" t="s">
        <v>90</v>
      </c>
      <c r="C10281" s="2">
        <f>HYPERLINK("https://cao.dolgi.msk.ru/account/1080308308/", 1080308308)</f>
        <v>1080308308</v>
      </c>
      <c r="D10281" t="s">
        <v>8570</v>
      </c>
      <c r="E10281">
        <v>13832.1</v>
      </c>
      <c r="F10281">
        <v>1</v>
      </c>
      <c r="G10281" t="s">
        <v>12</v>
      </c>
      <c r="I10281" t="s">
        <v>1050</v>
      </c>
    </row>
    <row r="10282" spans="1:9" hidden="1" x14ac:dyDescent="0.25">
      <c r="A10282" t="s">
        <v>8536</v>
      </c>
      <c r="B10282" t="s">
        <v>90</v>
      </c>
      <c r="C10282" s="2">
        <f>HYPERLINK("https://cao.dolgi.msk.ru/account/1080308316/", 1080308316)</f>
        <v>1080308316</v>
      </c>
      <c r="D10282" t="s">
        <v>8570</v>
      </c>
      <c r="E10282">
        <v>-257.08</v>
      </c>
      <c r="G10282" t="s">
        <v>14</v>
      </c>
      <c r="I10282" t="s">
        <v>1050</v>
      </c>
    </row>
    <row r="10283" spans="1:9" hidden="1" x14ac:dyDescent="0.25">
      <c r="A10283" t="s">
        <v>8536</v>
      </c>
      <c r="B10283" t="s">
        <v>90</v>
      </c>
      <c r="C10283" s="2">
        <f>HYPERLINK("https://cao.dolgi.msk.ru/account/1080308324/", 1080308324)</f>
        <v>1080308324</v>
      </c>
      <c r="D10283" t="s">
        <v>8570</v>
      </c>
      <c r="E10283">
        <v>45.71</v>
      </c>
      <c r="G10283" t="s">
        <v>14</v>
      </c>
      <c r="I10283" t="s">
        <v>1050</v>
      </c>
    </row>
    <row r="10284" spans="1:9" hidden="1" x14ac:dyDescent="0.25">
      <c r="A10284" t="s">
        <v>8536</v>
      </c>
      <c r="B10284" t="s">
        <v>90</v>
      </c>
      <c r="C10284" s="2">
        <f>HYPERLINK("https://cao.dolgi.msk.ru/account/1080308332/", 1080308332)</f>
        <v>1080308332</v>
      </c>
      <c r="D10284" t="s">
        <v>8570</v>
      </c>
      <c r="E10284">
        <v>0</v>
      </c>
      <c r="G10284" t="s">
        <v>14</v>
      </c>
      <c r="I10284" t="s">
        <v>1050</v>
      </c>
    </row>
    <row r="10285" spans="1:9" hidden="1" x14ac:dyDescent="0.25">
      <c r="A10285" t="s">
        <v>8536</v>
      </c>
      <c r="B10285" t="s">
        <v>92</v>
      </c>
      <c r="C10285" s="2">
        <f>HYPERLINK("https://cao.dolgi.msk.ru/account/1080308359/", 1080308359)</f>
        <v>1080308359</v>
      </c>
      <c r="D10285" t="s">
        <v>8571</v>
      </c>
      <c r="E10285">
        <v>-9991.5499999999993</v>
      </c>
      <c r="F10285">
        <v>-1.02</v>
      </c>
      <c r="G10285" t="s">
        <v>12</v>
      </c>
      <c r="I10285" t="s">
        <v>1050</v>
      </c>
    </row>
    <row r="10286" spans="1:9" hidden="1" x14ac:dyDescent="0.25">
      <c r="A10286" t="s">
        <v>8536</v>
      </c>
      <c r="B10286" t="s">
        <v>94</v>
      </c>
      <c r="C10286" s="2">
        <f>HYPERLINK("https://cao.dolgi.msk.ru/account/1080308367/", 1080308367)</f>
        <v>1080308367</v>
      </c>
      <c r="D10286" t="s">
        <v>8572</v>
      </c>
      <c r="E10286">
        <v>-900.43</v>
      </c>
      <c r="F10286">
        <v>-0.2</v>
      </c>
      <c r="G10286" t="s">
        <v>12</v>
      </c>
      <c r="H10286" t="s">
        <v>7</v>
      </c>
      <c r="I10286" t="s">
        <v>1050</v>
      </c>
    </row>
    <row r="10287" spans="1:9" hidden="1" x14ac:dyDescent="0.25">
      <c r="A10287" t="s">
        <v>8536</v>
      </c>
      <c r="B10287" t="s">
        <v>94</v>
      </c>
      <c r="C10287" s="2">
        <f>HYPERLINK("https://cao.dolgi.msk.ru/account/1080308375/", 1080308375)</f>
        <v>1080308375</v>
      </c>
      <c r="D10287" t="s">
        <v>8573</v>
      </c>
      <c r="E10287">
        <v>0</v>
      </c>
      <c r="F10287">
        <v>0</v>
      </c>
      <c r="G10287" t="s">
        <v>12</v>
      </c>
      <c r="H10287" t="s">
        <v>7</v>
      </c>
      <c r="I10287" t="s">
        <v>1050</v>
      </c>
    </row>
    <row r="10288" spans="1:9" hidden="1" x14ac:dyDescent="0.25">
      <c r="A10288" t="s">
        <v>8536</v>
      </c>
      <c r="B10288" t="s">
        <v>94</v>
      </c>
      <c r="C10288" s="2">
        <f>HYPERLINK("https://cao.dolgi.msk.ru/account/1080308383/", 1080308383)</f>
        <v>1080308383</v>
      </c>
      <c r="D10288" t="s">
        <v>8572</v>
      </c>
      <c r="E10288">
        <v>2870.87</v>
      </c>
      <c r="F10288">
        <v>0.93</v>
      </c>
      <c r="G10288" t="s">
        <v>12</v>
      </c>
      <c r="H10288" t="s">
        <v>7</v>
      </c>
      <c r="I10288" t="s">
        <v>1050</v>
      </c>
    </row>
    <row r="10289" spans="1:9" hidden="1" x14ac:dyDescent="0.25">
      <c r="A10289" t="s">
        <v>8536</v>
      </c>
      <c r="B10289" t="s">
        <v>94</v>
      </c>
      <c r="C10289" s="2">
        <f>HYPERLINK("https://cao.dolgi.msk.ru/account/1080308391/", 1080308391)</f>
        <v>1080308391</v>
      </c>
      <c r="D10289" t="s">
        <v>8574</v>
      </c>
      <c r="E10289">
        <v>-1634.85</v>
      </c>
      <c r="F10289">
        <v>-0.73</v>
      </c>
      <c r="G10289" t="s">
        <v>12</v>
      </c>
      <c r="H10289" t="s">
        <v>7</v>
      </c>
      <c r="I10289" t="s">
        <v>1050</v>
      </c>
    </row>
    <row r="10290" spans="1:9" hidden="1" x14ac:dyDescent="0.25">
      <c r="A10290" t="s">
        <v>8536</v>
      </c>
      <c r="B10290" t="s">
        <v>96</v>
      </c>
      <c r="C10290" s="2">
        <f>HYPERLINK("https://cao.dolgi.msk.ru/account/1080308404/", 1080308404)</f>
        <v>1080308404</v>
      </c>
      <c r="D10290" t="s">
        <v>8575</v>
      </c>
      <c r="E10290">
        <v>-2109.7600000000002</v>
      </c>
      <c r="F10290">
        <v>-1.24</v>
      </c>
      <c r="G10290" t="s">
        <v>12</v>
      </c>
      <c r="I10290" t="s">
        <v>1050</v>
      </c>
    </row>
    <row r="10291" spans="1:9" hidden="1" x14ac:dyDescent="0.25">
      <c r="A10291" t="s">
        <v>8536</v>
      </c>
      <c r="B10291" t="s">
        <v>96</v>
      </c>
      <c r="C10291" s="2">
        <f>HYPERLINK("https://cao.dolgi.msk.ru/account/1080308412/", 1080308412)</f>
        <v>1080308412</v>
      </c>
      <c r="D10291" t="s">
        <v>8576</v>
      </c>
      <c r="E10291">
        <v>-4680.93</v>
      </c>
      <c r="F10291">
        <v>-1.83</v>
      </c>
      <c r="G10291" t="s">
        <v>12</v>
      </c>
      <c r="I10291" t="s">
        <v>1050</v>
      </c>
    </row>
    <row r="10292" spans="1:9" hidden="1" x14ac:dyDescent="0.25">
      <c r="A10292" t="s">
        <v>8536</v>
      </c>
      <c r="B10292" t="s">
        <v>96</v>
      </c>
      <c r="C10292" s="2">
        <f>HYPERLINK("https://cao.dolgi.msk.ru/account/1080308439/", 1080308439)</f>
        <v>1080308439</v>
      </c>
      <c r="D10292" t="s">
        <v>8577</v>
      </c>
      <c r="E10292">
        <v>-1739.97</v>
      </c>
      <c r="F10292">
        <v>-1.23</v>
      </c>
      <c r="G10292" t="s">
        <v>12</v>
      </c>
      <c r="I10292" t="s">
        <v>1050</v>
      </c>
    </row>
    <row r="10293" spans="1:9" hidden="1" x14ac:dyDescent="0.25">
      <c r="A10293" t="s">
        <v>8536</v>
      </c>
      <c r="B10293" t="s">
        <v>98</v>
      </c>
      <c r="C10293" s="2">
        <f>HYPERLINK("https://cao.dolgi.msk.ru/account/1080308455/", 1080308455)</f>
        <v>1080308455</v>
      </c>
      <c r="D10293" t="s">
        <v>8578</v>
      </c>
      <c r="E10293">
        <v>-9647.27</v>
      </c>
      <c r="F10293">
        <v>-0.97</v>
      </c>
      <c r="G10293" t="s">
        <v>12</v>
      </c>
      <c r="I10293" t="s">
        <v>1050</v>
      </c>
    </row>
    <row r="10294" spans="1:9" hidden="1" x14ac:dyDescent="0.25">
      <c r="A10294" t="s">
        <v>8536</v>
      </c>
      <c r="B10294" t="s">
        <v>100</v>
      </c>
      <c r="C10294" s="2">
        <f>HYPERLINK("https://cao.dolgi.msk.ru/account/1080308463/", 1080308463)</f>
        <v>1080308463</v>
      </c>
      <c r="D10294" t="s">
        <v>8579</v>
      </c>
      <c r="E10294">
        <v>0</v>
      </c>
      <c r="G10294" t="s">
        <v>14</v>
      </c>
      <c r="I10294" t="s">
        <v>1050</v>
      </c>
    </row>
    <row r="10295" spans="1:9" hidden="1" x14ac:dyDescent="0.25">
      <c r="A10295" t="s">
        <v>8536</v>
      </c>
      <c r="B10295" t="s">
        <v>100</v>
      </c>
      <c r="C10295" s="2">
        <f>HYPERLINK("https://cao.dolgi.msk.ru/account/1080308471/", 1080308471)</f>
        <v>1080308471</v>
      </c>
      <c r="D10295" t="s">
        <v>8579</v>
      </c>
      <c r="E10295">
        <v>-6260.53</v>
      </c>
      <c r="F10295">
        <v>-1.07</v>
      </c>
      <c r="G10295" t="s">
        <v>12</v>
      </c>
      <c r="I10295" t="s">
        <v>1050</v>
      </c>
    </row>
    <row r="10296" spans="1:9" hidden="1" x14ac:dyDescent="0.25">
      <c r="A10296" t="s">
        <v>8536</v>
      </c>
      <c r="B10296" t="s">
        <v>102</v>
      </c>
      <c r="C10296" s="2">
        <f>HYPERLINK("https://cao.dolgi.msk.ru/account/1080308447/", 1080308447)</f>
        <v>1080308447</v>
      </c>
      <c r="D10296" t="s">
        <v>8580</v>
      </c>
      <c r="E10296">
        <v>0</v>
      </c>
      <c r="G10296" t="s">
        <v>14</v>
      </c>
      <c r="I10296" t="s">
        <v>1050</v>
      </c>
    </row>
    <row r="10297" spans="1:9" hidden="1" x14ac:dyDescent="0.25">
      <c r="A10297" t="s">
        <v>8536</v>
      </c>
      <c r="B10297" t="s">
        <v>102</v>
      </c>
      <c r="C10297" s="2">
        <f>HYPERLINK("https://cao.dolgi.msk.ru/account/1080308498/", 1080308498)</f>
        <v>1080308498</v>
      </c>
      <c r="D10297" t="s">
        <v>15</v>
      </c>
      <c r="G10297" t="s">
        <v>14</v>
      </c>
      <c r="I10297" t="s">
        <v>1050</v>
      </c>
    </row>
    <row r="10298" spans="1:9" x14ac:dyDescent="0.25">
      <c r="A10298" t="s">
        <v>8536</v>
      </c>
      <c r="B10298" t="s">
        <v>102</v>
      </c>
      <c r="C10298" s="2">
        <f>HYPERLINK("https://cao.dolgi.msk.ru/account/1080308519/", 1080308519)</f>
        <v>1080308519</v>
      </c>
      <c r="D10298" t="s">
        <v>8580</v>
      </c>
      <c r="E10298">
        <v>12873.78</v>
      </c>
      <c r="F10298">
        <v>1.77</v>
      </c>
      <c r="G10298" t="s">
        <v>12</v>
      </c>
      <c r="I10298" t="s">
        <v>1050</v>
      </c>
    </row>
    <row r="10299" spans="1:9" hidden="1" x14ac:dyDescent="0.25">
      <c r="A10299" t="s">
        <v>8536</v>
      </c>
      <c r="B10299" t="s">
        <v>102</v>
      </c>
      <c r="C10299" s="2">
        <f>HYPERLINK("https://cao.dolgi.msk.ru/account/1080308527/", 1080308527)</f>
        <v>1080308527</v>
      </c>
      <c r="D10299" t="s">
        <v>8580</v>
      </c>
      <c r="E10299">
        <v>0</v>
      </c>
      <c r="G10299" t="s">
        <v>14</v>
      </c>
      <c r="I10299" t="s">
        <v>1050</v>
      </c>
    </row>
    <row r="10300" spans="1:9" hidden="1" x14ac:dyDescent="0.25">
      <c r="A10300" t="s">
        <v>8536</v>
      </c>
      <c r="B10300" t="s">
        <v>104</v>
      </c>
      <c r="C10300" s="2">
        <f>HYPERLINK("https://cao.dolgi.msk.ru/account/1080308535/", 1080308535)</f>
        <v>1080308535</v>
      </c>
      <c r="D10300" t="s">
        <v>8581</v>
      </c>
      <c r="E10300">
        <v>25.98</v>
      </c>
      <c r="F10300">
        <v>0</v>
      </c>
      <c r="G10300" t="s">
        <v>12</v>
      </c>
      <c r="I10300" t="s">
        <v>1050</v>
      </c>
    </row>
    <row r="10301" spans="1:9" hidden="1" x14ac:dyDescent="0.25">
      <c r="A10301" t="s">
        <v>8536</v>
      </c>
      <c r="B10301" t="s">
        <v>104</v>
      </c>
      <c r="C10301" s="2">
        <f>HYPERLINK("https://cao.dolgi.msk.ru/account/1089124652/", 1089124652)</f>
        <v>1089124652</v>
      </c>
      <c r="D10301" t="s">
        <v>8581</v>
      </c>
      <c r="E10301">
        <v>0</v>
      </c>
      <c r="F10301">
        <v>0</v>
      </c>
      <c r="G10301" t="s">
        <v>14</v>
      </c>
      <c r="I10301" t="s">
        <v>1050</v>
      </c>
    </row>
    <row r="10302" spans="1:9" hidden="1" x14ac:dyDescent="0.25">
      <c r="A10302" t="s">
        <v>8536</v>
      </c>
      <c r="B10302" t="s">
        <v>110</v>
      </c>
      <c r="C10302" s="2">
        <f>HYPERLINK("https://cao.dolgi.msk.ru/account/1080308543/", 1080308543)</f>
        <v>1080308543</v>
      </c>
      <c r="D10302" t="s">
        <v>8582</v>
      </c>
      <c r="E10302">
        <v>-8294.4</v>
      </c>
      <c r="F10302">
        <v>-1.02</v>
      </c>
      <c r="G10302" t="s">
        <v>12</v>
      </c>
      <c r="I10302" t="s">
        <v>1050</v>
      </c>
    </row>
    <row r="10303" spans="1:9" hidden="1" x14ac:dyDescent="0.25">
      <c r="A10303" t="s">
        <v>8536</v>
      </c>
      <c r="B10303" t="s">
        <v>112</v>
      </c>
      <c r="C10303" s="2">
        <f>HYPERLINK("https://cao.dolgi.msk.ru/account/1080308551/", 1080308551)</f>
        <v>1080308551</v>
      </c>
      <c r="D10303" t="s">
        <v>8583</v>
      </c>
      <c r="E10303">
        <v>-5348.63</v>
      </c>
      <c r="F10303">
        <v>-1.1399999999999999</v>
      </c>
      <c r="G10303" t="s">
        <v>12</v>
      </c>
      <c r="I10303" t="s">
        <v>1050</v>
      </c>
    </row>
    <row r="10304" spans="1:9" hidden="1" x14ac:dyDescent="0.25">
      <c r="A10304" t="s">
        <v>8536</v>
      </c>
      <c r="B10304" t="s">
        <v>114</v>
      </c>
      <c r="C10304" s="2">
        <f>HYPERLINK("https://cao.dolgi.msk.ru/account/1080308586/", 1080308586)</f>
        <v>1080308586</v>
      </c>
      <c r="D10304" t="s">
        <v>8584</v>
      </c>
      <c r="E10304">
        <v>-4687.3100000000004</v>
      </c>
      <c r="F10304">
        <v>-1.07</v>
      </c>
      <c r="G10304" t="s">
        <v>12</v>
      </c>
      <c r="H10304" t="s">
        <v>7</v>
      </c>
      <c r="I10304" t="s">
        <v>1050</v>
      </c>
    </row>
    <row r="10305" spans="1:9" hidden="1" x14ac:dyDescent="0.25">
      <c r="A10305" t="s">
        <v>8536</v>
      </c>
      <c r="B10305" t="s">
        <v>114</v>
      </c>
      <c r="C10305" s="2">
        <f>HYPERLINK("https://cao.dolgi.msk.ru/account/1080308594/", 1080308594)</f>
        <v>1080308594</v>
      </c>
      <c r="D10305" t="s">
        <v>8584</v>
      </c>
      <c r="E10305">
        <v>-1955.44</v>
      </c>
      <c r="F10305">
        <v>-0.99</v>
      </c>
      <c r="G10305" t="s">
        <v>12</v>
      </c>
      <c r="H10305" t="s">
        <v>7</v>
      </c>
      <c r="I10305" t="s">
        <v>1050</v>
      </c>
    </row>
    <row r="10306" spans="1:9" hidden="1" x14ac:dyDescent="0.25">
      <c r="A10306" t="s">
        <v>8536</v>
      </c>
      <c r="B10306" t="s">
        <v>116</v>
      </c>
      <c r="C10306" s="2">
        <f>HYPERLINK("https://cao.dolgi.msk.ru/account/1080308607/", 1080308607)</f>
        <v>1080308607</v>
      </c>
      <c r="D10306" t="s">
        <v>8585</v>
      </c>
      <c r="E10306">
        <v>0</v>
      </c>
      <c r="F10306">
        <v>0</v>
      </c>
      <c r="G10306" t="s">
        <v>12</v>
      </c>
      <c r="H10306" t="s">
        <v>7</v>
      </c>
      <c r="I10306" t="s">
        <v>1050</v>
      </c>
    </row>
    <row r="10307" spans="1:9" x14ac:dyDescent="0.25">
      <c r="A10307" t="s">
        <v>8536</v>
      </c>
      <c r="B10307" t="s">
        <v>116</v>
      </c>
      <c r="C10307" s="2">
        <f>HYPERLINK("https://cao.dolgi.msk.ru/account/1080308615/", 1080308615)</f>
        <v>1080308615</v>
      </c>
      <c r="D10307" t="s">
        <v>8586</v>
      </c>
      <c r="E10307">
        <v>85899.18</v>
      </c>
      <c r="F10307">
        <v>27.14</v>
      </c>
      <c r="G10307" t="s">
        <v>12</v>
      </c>
      <c r="H10307" t="s">
        <v>7</v>
      </c>
      <c r="I10307" t="s">
        <v>1050</v>
      </c>
    </row>
    <row r="10308" spans="1:9" hidden="1" x14ac:dyDescent="0.25">
      <c r="A10308" t="s">
        <v>8536</v>
      </c>
      <c r="B10308" t="s">
        <v>118</v>
      </c>
      <c r="C10308" s="2">
        <f>HYPERLINK("https://cao.dolgi.msk.ru/account/1080308623/", 1080308623)</f>
        <v>1080308623</v>
      </c>
      <c r="D10308" t="s">
        <v>8587</v>
      </c>
      <c r="E10308">
        <v>-7493.26</v>
      </c>
      <c r="F10308">
        <v>-0.87</v>
      </c>
      <c r="G10308" t="s">
        <v>12</v>
      </c>
      <c r="I10308" t="s">
        <v>1050</v>
      </c>
    </row>
    <row r="10309" spans="1:9" hidden="1" x14ac:dyDescent="0.25">
      <c r="A10309" t="s">
        <v>8536</v>
      </c>
      <c r="B10309" t="s">
        <v>120</v>
      </c>
      <c r="C10309" s="2">
        <f>HYPERLINK("https://cao.dolgi.msk.ru/account/1080308631/", 1080308631)</f>
        <v>1080308631</v>
      </c>
      <c r="D10309" t="s">
        <v>8588</v>
      </c>
      <c r="E10309">
        <v>-7426.02</v>
      </c>
      <c r="F10309">
        <v>-1.1399999999999999</v>
      </c>
      <c r="G10309" t="s">
        <v>12</v>
      </c>
      <c r="I10309" t="s">
        <v>1050</v>
      </c>
    </row>
    <row r="10310" spans="1:9" hidden="1" x14ac:dyDescent="0.25">
      <c r="A10310" t="s">
        <v>8536</v>
      </c>
      <c r="B10310" t="s">
        <v>122</v>
      </c>
      <c r="C10310" s="2">
        <f>HYPERLINK("https://cao.dolgi.msk.ru/account/1080308658/", 1080308658)</f>
        <v>1080308658</v>
      </c>
      <c r="D10310" t="s">
        <v>8589</v>
      </c>
      <c r="E10310">
        <v>72.47</v>
      </c>
      <c r="F10310">
        <v>0.02</v>
      </c>
      <c r="G10310" t="s">
        <v>12</v>
      </c>
      <c r="H10310" t="s">
        <v>7</v>
      </c>
      <c r="I10310" t="s">
        <v>1050</v>
      </c>
    </row>
    <row r="10311" spans="1:9" hidden="1" x14ac:dyDescent="0.25">
      <c r="A10311" t="s">
        <v>8536</v>
      </c>
      <c r="B10311" t="s">
        <v>122</v>
      </c>
      <c r="C10311" s="2">
        <f>HYPERLINK("https://cao.dolgi.msk.ru/account/1080308666/", 1080308666)</f>
        <v>1080308666</v>
      </c>
      <c r="D10311" t="s">
        <v>8589</v>
      </c>
      <c r="E10311">
        <v>-2305.9299999999998</v>
      </c>
      <c r="F10311">
        <v>-1.1100000000000001</v>
      </c>
      <c r="G10311" t="s">
        <v>12</v>
      </c>
      <c r="H10311" t="s">
        <v>7</v>
      </c>
      <c r="I10311" t="s">
        <v>1050</v>
      </c>
    </row>
    <row r="10312" spans="1:9" hidden="1" x14ac:dyDescent="0.25">
      <c r="A10312" t="s">
        <v>8536</v>
      </c>
      <c r="B10312" t="s">
        <v>122</v>
      </c>
      <c r="C10312" s="2">
        <f>HYPERLINK("https://cao.dolgi.msk.ru/account/1080308674/", 1080308674)</f>
        <v>1080308674</v>
      </c>
      <c r="D10312" t="s">
        <v>8589</v>
      </c>
      <c r="E10312">
        <v>-2948.58</v>
      </c>
      <c r="F10312">
        <v>-1.08</v>
      </c>
      <c r="G10312" t="s">
        <v>12</v>
      </c>
      <c r="H10312" t="s">
        <v>7</v>
      </c>
      <c r="I10312" t="s">
        <v>1050</v>
      </c>
    </row>
    <row r="10313" spans="1:9" hidden="1" x14ac:dyDescent="0.25">
      <c r="A10313" t="s">
        <v>8536</v>
      </c>
      <c r="B10313" t="s">
        <v>124</v>
      </c>
      <c r="C10313" s="2">
        <f>HYPERLINK("https://cao.dolgi.msk.ru/account/1080308965/", 1080308965)</f>
        <v>1080308965</v>
      </c>
      <c r="D10313" t="s">
        <v>8590</v>
      </c>
      <c r="E10313">
        <v>-4654.63</v>
      </c>
      <c r="F10313">
        <v>-1.01</v>
      </c>
      <c r="G10313" t="s">
        <v>12</v>
      </c>
      <c r="I10313" t="s">
        <v>1050</v>
      </c>
    </row>
    <row r="10314" spans="1:9" hidden="1" x14ac:dyDescent="0.25">
      <c r="A10314" t="s">
        <v>8536</v>
      </c>
      <c r="B10314" t="s">
        <v>126</v>
      </c>
      <c r="C10314" s="2">
        <f>HYPERLINK("https://cao.dolgi.msk.ru/account/1080308682/", 1080308682)</f>
        <v>1080308682</v>
      </c>
      <c r="D10314" t="s">
        <v>8591</v>
      </c>
      <c r="E10314">
        <v>-9131.51</v>
      </c>
      <c r="F10314">
        <v>-1.04</v>
      </c>
      <c r="G10314" t="s">
        <v>12</v>
      </c>
      <c r="I10314" t="s">
        <v>1050</v>
      </c>
    </row>
    <row r="10315" spans="1:9" hidden="1" x14ac:dyDescent="0.25">
      <c r="A10315" t="s">
        <v>8536</v>
      </c>
      <c r="B10315" t="s">
        <v>128</v>
      </c>
      <c r="C10315" s="2">
        <f>HYPERLINK("https://cao.dolgi.msk.ru/account/1080308703/", 1080308703)</f>
        <v>1080308703</v>
      </c>
      <c r="D10315" t="s">
        <v>8592</v>
      </c>
      <c r="E10315">
        <v>68.41</v>
      </c>
      <c r="F10315">
        <v>0.02</v>
      </c>
      <c r="G10315" t="s">
        <v>12</v>
      </c>
      <c r="H10315" t="s">
        <v>7</v>
      </c>
      <c r="I10315" t="s">
        <v>1050</v>
      </c>
    </row>
    <row r="10316" spans="1:9" hidden="1" x14ac:dyDescent="0.25">
      <c r="A10316" t="s">
        <v>8536</v>
      </c>
      <c r="B10316" t="s">
        <v>128</v>
      </c>
      <c r="C10316" s="2">
        <f>HYPERLINK("https://cao.dolgi.msk.ru/account/1080308711/", 1080308711)</f>
        <v>1080308711</v>
      </c>
      <c r="D10316" t="s">
        <v>8593</v>
      </c>
      <c r="E10316">
        <v>-2524.25</v>
      </c>
      <c r="F10316">
        <v>-0.94</v>
      </c>
      <c r="G10316" t="s">
        <v>12</v>
      </c>
      <c r="H10316" t="s">
        <v>7</v>
      </c>
      <c r="I10316" t="s">
        <v>1050</v>
      </c>
    </row>
    <row r="10317" spans="1:9" hidden="1" x14ac:dyDescent="0.25">
      <c r="A10317" t="s">
        <v>8536</v>
      </c>
      <c r="B10317" t="s">
        <v>130</v>
      </c>
      <c r="C10317" s="2">
        <f>HYPERLINK("https://cao.dolgi.msk.ru/account/1080308738/", 1080308738)</f>
        <v>1080308738</v>
      </c>
      <c r="D10317" t="s">
        <v>8594</v>
      </c>
      <c r="E10317">
        <v>-5444.61</v>
      </c>
      <c r="F10317">
        <v>-0.99</v>
      </c>
      <c r="G10317" t="s">
        <v>12</v>
      </c>
      <c r="H10317" t="s">
        <v>7</v>
      </c>
      <c r="I10317" t="s">
        <v>1050</v>
      </c>
    </row>
    <row r="10318" spans="1:9" hidden="1" x14ac:dyDescent="0.25">
      <c r="A10318" t="s">
        <v>8536</v>
      </c>
      <c r="B10318" t="s">
        <v>130</v>
      </c>
      <c r="C10318" s="2">
        <f>HYPERLINK("https://cao.dolgi.msk.ru/account/1080308754/", 1080308754)</f>
        <v>1080308754</v>
      </c>
      <c r="D10318" t="s">
        <v>8594</v>
      </c>
      <c r="E10318">
        <v>-3256.47</v>
      </c>
      <c r="F10318">
        <v>-1.06</v>
      </c>
      <c r="G10318" t="s">
        <v>12</v>
      </c>
      <c r="H10318" t="s">
        <v>7</v>
      </c>
      <c r="I10318" t="s">
        <v>1050</v>
      </c>
    </row>
    <row r="10319" spans="1:9" x14ac:dyDescent="0.25">
      <c r="A10319" t="s">
        <v>8536</v>
      </c>
      <c r="B10319" t="s">
        <v>132</v>
      </c>
      <c r="C10319" s="2">
        <f>HYPERLINK("https://cao.dolgi.msk.ru/account/1080308746/", 1080308746)</f>
        <v>1080308746</v>
      </c>
      <c r="D10319" t="s">
        <v>8595</v>
      </c>
      <c r="E10319">
        <v>934.53</v>
      </c>
      <c r="F10319">
        <v>3.44</v>
      </c>
      <c r="G10319" t="s">
        <v>12</v>
      </c>
      <c r="H10319" t="s">
        <v>7</v>
      </c>
      <c r="I10319" t="s">
        <v>1050</v>
      </c>
    </row>
    <row r="10320" spans="1:9" hidden="1" x14ac:dyDescent="0.25">
      <c r="A10320" t="s">
        <v>8536</v>
      </c>
      <c r="B10320" t="s">
        <v>133</v>
      </c>
      <c r="C10320" s="2">
        <f>HYPERLINK("https://cao.dolgi.msk.ru/account/1080308949/", 1080308949)</f>
        <v>1080308949</v>
      </c>
      <c r="D10320" t="s">
        <v>8596</v>
      </c>
      <c r="G10320" t="s">
        <v>14</v>
      </c>
      <c r="I10320" t="s">
        <v>1050</v>
      </c>
    </row>
    <row r="10321" spans="1:9" hidden="1" x14ac:dyDescent="0.25">
      <c r="A10321" t="s">
        <v>8536</v>
      </c>
      <c r="B10321" t="s">
        <v>133</v>
      </c>
      <c r="C10321" s="2">
        <f>HYPERLINK("https://cao.dolgi.msk.ru/account/1080308957/", 1080308957)</f>
        <v>1080308957</v>
      </c>
      <c r="D10321" t="s">
        <v>8597</v>
      </c>
      <c r="E10321">
        <v>-7618.99</v>
      </c>
      <c r="F10321">
        <v>-1.07</v>
      </c>
      <c r="G10321" t="s">
        <v>12</v>
      </c>
      <c r="I10321" t="s">
        <v>1050</v>
      </c>
    </row>
    <row r="10322" spans="1:9" hidden="1" x14ac:dyDescent="0.25">
      <c r="A10322" t="s">
        <v>8536</v>
      </c>
      <c r="B10322" t="s">
        <v>135</v>
      </c>
      <c r="C10322" s="2">
        <f>HYPERLINK("https://cao.dolgi.msk.ru/account/1080320921/", 1080320921)</f>
        <v>1080320921</v>
      </c>
      <c r="D10322" t="s">
        <v>8598</v>
      </c>
      <c r="E10322">
        <v>-9226.32</v>
      </c>
      <c r="F10322">
        <v>-1.28</v>
      </c>
      <c r="G10322" t="s">
        <v>12</v>
      </c>
      <c r="I10322" t="s">
        <v>1050</v>
      </c>
    </row>
    <row r="10323" spans="1:9" hidden="1" x14ac:dyDescent="0.25">
      <c r="A10323" t="s">
        <v>8536</v>
      </c>
      <c r="B10323" t="s">
        <v>137</v>
      </c>
      <c r="C10323" s="2">
        <f>HYPERLINK("https://cao.dolgi.msk.ru/account/1080308762/", 1080308762)</f>
        <v>1080308762</v>
      </c>
      <c r="D10323" t="s">
        <v>8599</v>
      </c>
      <c r="E10323">
        <v>0</v>
      </c>
      <c r="F10323">
        <v>0</v>
      </c>
      <c r="G10323" t="s">
        <v>12</v>
      </c>
      <c r="I10323" t="s">
        <v>1050</v>
      </c>
    </row>
    <row r="10324" spans="1:9" hidden="1" x14ac:dyDescent="0.25">
      <c r="A10324" t="s">
        <v>8536</v>
      </c>
      <c r="B10324" t="s">
        <v>139</v>
      </c>
      <c r="C10324" s="2">
        <f>HYPERLINK("https://cao.dolgi.msk.ru/account/1080308789/", 1080308789)</f>
        <v>1080308789</v>
      </c>
      <c r="D10324" t="s">
        <v>8600</v>
      </c>
      <c r="E10324">
        <v>-12932.59</v>
      </c>
      <c r="F10324">
        <v>-1.01</v>
      </c>
      <c r="G10324" t="s">
        <v>12</v>
      </c>
      <c r="I10324" t="s">
        <v>1050</v>
      </c>
    </row>
    <row r="10325" spans="1:9" hidden="1" x14ac:dyDescent="0.25">
      <c r="A10325" t="s">
        <v>8536</v>
      </c>
      <c r="B10325" t="s">
        <v>139</v>
      </c>
      <c r="C10325" s="2">
        <f>HYPERLINK("https://cao.dolgi.msk.ru/account/1089131668/", 1089131668)</f>
        <v>1089131668</v>
      </c>
      <c r="D10325" t="s">
        <v>15</v>
      </c>
      <c r="E10325">
        <v>-2956.26</v>
      </c>
      <c r="F10325">
        <v>-2.59</v>
      </c>
      <c r="G10325" t="s">
        <v>12</v>
      </c>
      <c r="I10325" t="s">
        <v>1050</v>
      </c>
    </row>
    <row r="10326" spans="1:9" hidden="1" x14ac:dyDescent="0.25">
      <c r="A10326" t="s">
        <v>8536</v>
      </c>
      <c r="B10326" t="s">
        <v>141</v>
      </c>
      <c r="C10326" s="2">
        <f>HYPERLINK("https://cao.dolgi.msk.ru/account/1080308922/", 1080308922)</f>
        <v>1080308922</v>
      </c>
      <c r="D10326" t="s">
        <v>8601</v>
      </c>
      <c r="E10326">
        <v>-6466.21</v>
      </c>
      <c r="F10326">
        <v>-1.03</v>
      </c>
      <c r="G10326" t="s">
        <v>12</v>
      </c>
      <c r="I10326" t="s">
        <v>1050</v>
      </c>
    </row>
    <row r="10327" spans="1:9" hidden="1" x14ac:dyDescent="0.25">
      <c r="A10327" t="s">
        <v>8536</v>
      </c>
      <c r="B10327" t="s">
        <v>143</v>
      </c>
      <c r="C10327" s="2">
        <f>HYPERLINK("https://cao.dolgi.msk.ru/account/1080308797/", 1080308797)</f>
        <v>1080308797</v>
      </c>
      <c r="D10327" t="s">
        <v>8602</v>
      </c>
      <c r="E10327">
        <v>-7967.41</v>
      </c>
      <c r="F10327">
        <v>-1.0900000000000001</v>
      </c>
      <c r="G10327" t="s">
        <v>12</v>
      </c>
      <c r="I10327" t="s">
        <v>1050</v>
      </c>
    </row>
    <row r="10328" spans="1:9" hidden="1" x14ac:dyDescent="0.25">
      <c r="A10328" t="s">
        <v>8536</v>
      </c>
      <c r="B10328" t="s">
        <v>143</v>
      </c>
      <c r="C10328" s="2">
        <f>HYPERLINK("https://cao.dolgi.msk.ru/account/1080308818/", 1080308818)</f>
        <v>1080308818</v>
      </c>
      <c r="D10328" t="s">
        <v>15</v>
      </c>
      <c r="E10328">
        <v>0</v>
      </c>
      <c r="F10328">
        <v>0</v>
      </c>
      <c r="G10328" t="s">
        <v>14</v>
      </c>
      <c r="I10328" t="s">
        <v>1050</v>
      </c>
    </row>
    <row r="10329" spans="1:9" hidden="1" x14ac:dyDescent="0.25">
      <c r="A10329" t="s">
        <v>8536</v>
      </c>
      <c r="B10329" t="s">
        <v>145</v>
      </c>
      <c r="C10329" s="2">
        <f>HYPERLINK("https://cao.dolgi.msk.ru/account/1080308826/", 1080308826)</f>
        <v>1080308826</v>
      </c>
      <c r="D10329" t="s">
        <v>8603</v>
      </c>
      <c r="E10329">
        <v>-4613.1499999999996</v>
      </c>
      <c r="F10329">
        <v>-1.1100000000000001</v>
      </c>
      <c r="G10329" t="s">
        <v>12</v>
      </c>
      <c r="H10329" t="s">
        <v>7</v>
      </c>
      <c r="I10329" t="s">
        <v>1050</v>
      </c>
    </row>
    <row r="10330" spans="1:9" hidden="1" x14ac:dyDescent="0.25">
      <c r="A10330" t="s">
        <v>8536</v>
      </c>
      <c r="B10330" t="s">
        <v>145</v>
      </c>
      <c r="C10330" s="2">
        <f>HYPERLINK("https://cao.dolgi.msk.ru/account/1080308834/", 1080308834)</f>
        <v>1080308834</v>
      </c>
      <c r="D10330" t="s">
        <v>8603</v>
      </c>
      <c r="E10330">
        <v>-876.42</v>
      </c>
      <c r="F10330">
        <v>-0.3</v>
      </c>
      <c r="G10330" t="s">
        <v>12</v>
      </c>
      <c r="H10330" t="s">
        <v>7</v>
      </c>
      <c r="I10330" t="s">
        <v>1050</v>
      </c>
    </row>
    <row r="10331" spans="1:9" hidden="1" x14ac:dyDescent="0.25">
      <c r="A10331" t="s">
        <v>8536</v>
      </c>
      <c r="B10331" t="s">
        <v>147</v>
      </c>
      <c r="C10331" s="2">
        <f>HYPERLINK("https://cao.dolgi.msk.ru/account/1080308869/", 1080308869)</f>
        <v>1080308869</v>
      </c>
      <c r="D10331" t="s">
        <v>8604</v>
      </c>
      <c r="E10331">
        <v>-4137.93</v>
      </c>
      <c r="F10331">
        <v>-1.02</v>
      </c>
      <c r="G10331" t="s">
        <v>12</v>
      </c>
      <c r="H10331" t="s">
        <v>7</v>
      </c>
      <c r="I10331" t="s">
        <v>1050</v>
      </c>
    </row>
    <row r="10332" spans="1:9" x14ac:dyDescent="0.25">
      <c r="A10332" t="s">
        <v>8536</v>
      </c>
      <c r="B10332" t="s">
        <v>147</v>
      </c>
      <c r="C10332" s="2">
        <f>HYPERLINK("https://cao.dolgi.msk.ru/account/1080308877/", 1080308877)</f>
        <v>1080308877</v>
      </c>
      <c r="D10332" t="s">
        <v>8604</v>
      </c>
      <c r="E10332">
        <v>4832.6499999999996</v>
      </c>
      <c r="F10332">
        <v>3.09</v>
      </c>
      <c r="G10332" t="s">
        <v>12</v>
      </c>
      <c r="H10332" t="s">
        <v>7</v>
      </c>
      <c r="I10332" t="s">
        <v>1050</v>
      </c>
    </row>
    <row r="10333" spans="1:9" hidden="1" x14ac:dyDescent="0.25">
      <c r="A10333" t="s">
        <v>8536</v>
      </c>
      <c r="B10333" t="s">
        <v>147</v>
      </c>
      <c r="C10333" s="2">
        <f>HYPERLINK("https://cao.dolgi.msk.ru/account/1080308914/", 1080308914)</f>
        <v>1080308914</v>
      </c>
      <c r="D10333" t="s">
        <v>8604</v>
      </c>
      <c r="E10333">
        <v>-180.98</v>
      </c>
      <c r="F10333">
        <v>-0.08</v>
      </c>
      <c r="G10333" t="s">
        <v>12</v>
      </c>
      <c r="H10333" t="s">
        <v>7</v>
      </c>
      <c r="I10333" t="s">
        <v>1050</v>
      </c>
    </row>
    <row r="10334" spans="1:9" hidden="1" x14ac:dyDescent="0.25">
      <c r="A10334" t="s">
        <v>8536</v>
      </c>
      <c r="B10334" t="s">
        <v>149</v>
      </c>
      <c r="C10334" s="2">
        <f>HYPERLINK("https://cao.dolgi.msk.ru/account/1080308893/", 1080308893)</f>
        <v>1080308893</v>
      </c>
      <c r="D10334" t="s">
        <v>15</v>
      </c>
      <c r="E10334">
        <v>771.8</v>
      </c>
      <c r="F10334">
        <v>0.12</v>
      </c>
      <c r="G10334" t="s">
        <v>12</v>
      </c>
      <c r="I10334" t="s">
        <v>1050</v>
      </c>
    </row>
    <row r="10335" spans="1:9" x14ac:dyDescent="0.25">
      <c r="A10335" t="s">
        <v>8536</v>
      </c>
      <c r="B10335" t="s">
        <v>151</v>
      </c>
      <c r="C10335" s="2">
        <f>HYPERLINK("https://cao.dolgi.msk.ru/account/1080308906/", 1080308906)</f>
        <v>1080308906</v>
      </c>
      <c r="D10335" t="s">
        <v>8605</v>
      </c>
      <c r="E10335">
        <v>8941.8700000000008</v>
      </c>
      <c r="F10335">
        <v>1.06</v>
      </c>
      <c r="G10335" t="s">
        <v>12</v>
      </c>
      <c r="I10335" t="s">
        <v>1050</v>
      </c>
    </row>
    <row r="10336" spans="1:9" hidden="1" x14ac:dyDescent="0.25">
      <c r="A10336" t="s">
        <v>8606</v>
      </c>
      <c r="B10336" t="s">
        <v>20</v>
      </c>
      <c r="C10336" s="2">
        <f>HYPERLINK("https://cao.dolgi.msk.ru/account/1080011758/", 1080011758)</f>
        <v>1080011758</v>
      </c>
      <c r="D10336" t="s">
        <v>8607</v>
      </c>
      <c r="E10336">
        <v>-10311.02</v>
      </c>
      <c r="F10336">
        <v>-0.79</v>
      </c>
      <c r="G10336" t="s">
        <v>12</v>
      </c>
      <c r="I10336" t="s">
        <v>13</v>
      </c>
    </row>
    <row r="10337" spans="1:9" hidden="1" x14ac:dyDescent="0.25">
      <c r="A10337" t="s">
        <v>8606</v>
      </c>
      <c r="B10337" t="s">
        <v>240</v>
      </c>
      <c r="C10337" s="2">
        <f>HYPERLINK("https://cao.dolgi.msk.ru/account/1080000274/", 1080000274)</f>
        <v>1080000274</v>
      </c>
      <c r="D10337" t="s">
        <v>8608</v>
      </c>
      <c r="E10337">
        <v>-12195.13</v>
      </c>
      <c r="F10337">
        <v>-1.31</v>
      </c>
      <c r="G10337" t="s">
        <v>12</v>
      </c>
      <c r="I10337" t="s">
        <v>13</v>
      </c>
    </row>
    <row r="10338" spans="1:9" hidden="1" x14ac:dyDescent="0.25">
      <c r="A10338" t="s">
        <v>8606</v>
      </c>
      <c r="B10338" t="s">
        <v>242</v>
      </c>
      <c r="C10338" s="2">
        <f>HYPERLINK("https://cao.dolgi.msk.ru/account/1080011774/", 1080011774)</f>
        <v>1080011774</v>
      </c>
      <c r="D10338" t="s">
        <v>15</v>
      </c>
      <c r="E10338">
        <v>-2663.74</v>
      </c>
      <c r="F10338">
        <v>-0.97</v>
      </c>
      <c r="G10338" t="s">
        <v>12</v>
      </c>
      <c r="H10338" t="s">
        <v>7</v>
      </c>
      <c r="I10338" t="s">
        <v>13</v>
      </c>
    </row>
    <row r="10339" spans="1:9" hidden="1" x14ac:dyDescent="0.25">
      <c r="A10339" t="s">
        <v>8606</v>
      </c>
      <c r="B10339" t="s">
        <v>242</v>
      </c>
      <c r="C10339" s="2">
        <f>HYPERLINK("https://cao.dolgi.msk.ru/account/1080011782/", 1080011782)</f>
        <v>1080011782</v>
      </c>
      <c r="D10339" t="s">
        <v>62</v>
      </c>
      <c r="E10339">
        <v>0</v>
      </c>
      <c r="F10339">
        <v>0</v>
      </c>
      <c r="G10339" t="s">
        <v>12</v>
      </c>
      <c r="H10339" t="s">
        <v>7</v>
      </c>
      <c r="I10339" t="s">
        <v>13</v>
      </c>
    </row>
    <row r="10340" spans="1:9" hidden="1" x14ac:dyDescent="0.25">
      <c r="A10340" t="s">
        <v>8606</v>
      </c>
      <c r="B10340" t="s">
        <v>242</v>
      </c>
      <c r="C10340" s="2">
        <f>HYPERLINK("https://cao.dolgi.msk.ru/account/1080011803/", 1080011803)</f>
        <v>1080011803</v>
      </c>
      <c r="D10340" t="s">
        <v>62</v>
      </c>
      <c r="E10340">
        <v>-2976.73</v>
      </c>
      <c r="F10340">
        <v>-1.08</v>
      </c>
      <c r="G10340" t="s">
        <v>12</v>
      </c>
      <c r="H10340" t="s">
        <v>7</v>
      </c>
      <c r="I10340" t="s">
        <v>13</v>
      </c>
    </row>
    <row r="10341" spans="1:9" hidden="1" x14ac:dyDescent="0.25">
      <c r="A10341" t="s">
        <v>8606</v>
      </c>
      <c r="B10341" t="s">
        <v>242</v>
      </c>
      <c r="C10341" s="2">
        <f>HYPERLINK("https://cao.dolgi.msk.ru/account/1089129787/", 1089129787)</f>
        <v>1089129787</v>
      </c>
      <c r="D10341" t="s">
        <v>15</v>
      </c>
      <c r="G10341" t="s">
        <v>14</v>
      </c>
      <c r="I10341" t="s">
        <v>13</v>
      </c>
    </row>
    <row r="10342" spans="1:9" hidden="1" x14ac:dyDescent="0.25">
      <c r="A10342" t="s">
        <v>8606</v>
      </c>
      <c r="B10342" t="s">
        <v>22</v>
      </c>
      <c r="C10342" s="2">
        <f>HYPERLINK("https://cao.dolgi.msk.ru/account/1080011811/", 1080011811)</f>
        <v>1080011811</v>
      </c>
      <c r="D10342" t="s">
        <v>8609</v>
      </c>
      <c r="E10342">
        <v>-13023.32</v>
      </c>
      <c r="F10342">
        <v>-1.0900000000000001</v>
      </c>
      <c r="G10342" t="s">
        <v>12</v>
      </c>
      <c r="I10342" t="s">
        <v>13</v>
      </c>
    </row>
    <row r="10343" spans="1:9" hidden="1" x14ac:dyDescent="0.25">
      <c r="A10343" t="s">
        <v>8606</v>
      </c>
      <c r="B10343" t="s">
        <v>23</v>
      </c>
      <c r="C10343" s="2">
        <f>HYPERLINK("https://cao.dolgi.msk.ru/account/1080011846/", 1080011846)</f>
        <v>1080011846</v>
      </c>
      <c r="D10343" t="s">
        <v>62</v>
      </c>
      <c r="E10343">
        <v>-8273.9</v>
      </c>
      <c r="F10343">
        <v>-0.99</v>
      </c>
      <c r="G10343" t="s">
        <v>12</v>
      </c>
      <c r="I10343" t="s">
        <v>13</v>
      </c>
    </row>
    <row r="10344" spans="1:9" hidden="1" x14ac:dyDescent="0.25">
      <c r="A10344" t="s">
        <v>8606</v>
      </c>
      <c r="B10344" t="s">
        <v>24</v>
      </c>
      <c r="C10344" s="2">
        <f>HYPERLINK("https://cao.dolgi.msk.ru/account/1080011838/", 1080011838)</f>
        <v>1080011838</v>
      </c>
      <c r="D10344" t="s">
        <v>8610</v>
      </c>
      <c r="E10344">
        <v>60.99</v>
      </c>
      <c r="F10344">
        <v>0.01</v>
      </c>
      <c r="G10344" t="s">
        <v>12</v>
      </c>
      <c r="I10344" t="s">
        <v>13</v>
      </c>
    </row>
    <row r="10345" spans="1:9" hidden="1" x14ac:dyDescent="0.25">
      <c r="A10345" t="s">
        <v>8606</v>
      </c>
      <c r="B10345" t="s">
        <v>27</v>
      </c>
      <c r="C10345" s="2">
        <f>HYPERLINK("https://cao.dolgi.msk.ru/account/1080011854/", 1080011854)</f>
        <v>1080011854</v>
      </c>
      <c r="D10345" t="s">
        <v>8611</v>
      </c>
      <c r="E10345">
        <v>-212.48</v>
      </c>
      <c r="F10345">
        <v>-0.02</v>
      </c>
      <c r="G10345" t="s">
        <v>12</v>
      </c>
      <c r="I10345" t="s">
        <v>13</v>
      </c>
    </row>
    <row r="10346" spans="1:9" hidden="1" x14ac:dyDescent="0.25">
      <c r="A10346" t="s">
        <v>8606</v>
      </c>
      <c r="B10346" t="s">
        <v>27</v>
      </c>
      <c r="C10346" s="2">
        <f>HYPERLINK("https://cao.dolgi.msk.ru/account/1080011862/", 1080011862)</f>
        <v>1080011862</v>
      </c>
      <c r="D10346" t="s">
        <v>8611</v>
      </c>
      <c r="E10346">
        <v>-1.24</v>
      </c>
      <c r="G10346" t="s">
        <v>14</v>
      </c>
      <c r="I10346" t="s">
        <v>13</v>
      </c>
    </row>
    <row r="10347" spans="1:9" hidden="1" x14ac:dyDescent="0.25">
      <c r="A10347" t="s">
        <v>8606</v>
      </c>
      <c r="B10347" t="s">
        <v>29</v>
      </c>
      <c r="C10347" s="2">
        <f>HYPERLINK("https://cao.dolgi.msk.ru/account/1080011889/", 1080011889)</f>
        <v>1080011889</v>
      </c>
      <c r="D10347" t="s">
        <v>8612</v>
      </c>
      <c r="E10347">
        <v>11620.03</v>
      </c>
      <c r="F10347">
        <v>1</v>
      </c>
      <c r="G10347" t="s">
        <v>12</v>
      </c>
      <c r="I10347" t="s">
        <v>13</v>
      </c>
    </row>
    <row r="10348" spans="1:9" x14ac:dyDescent="0.25">
      <c r="A10348" t="s">
        <v>8606</v>
      </c>
      <c r="B10348" t="s">
        <v>31</v>
      </c>
      <c r="C10348" s="2">
        <f>HYPERLINK("https://cao.dolgi.msk.ru/account/1080011897/", 1080011897)</f>
        <v>1080011897</v>
      </c>
      <c r="D10348" t="s">
        <v>736</v>
      </c>
      <c r="E10348">
        <v>17789.7</v>
      </c>
      <c r="F10348">
        <v>1.67</v>
      </c>
      <c r="G10348" t="s">
        <v>12</v>
      </c>
      <c r="I10348" t="s">
        <v>13</v>
      </c>
    </row>
    <row r="10349" spans="1:9" hidden="1" x14ac:dyDescent="0.25">
      <c r="A10349" t="s">
        <v>8606</v>
      </c>
      <c r="B10349" t="s">
        <v>33</v>
      </c>
      <c r="C10349" s="2">
        <f>HYPERLINK("https://cao.dolgi.msk.ru/account/1080009922/", 1080009922)</f>
        <v>1080009922</v>
      </c>
      <c r="D10349" t="s">
        <v>8613</v>
      </c>
      <c r="E10349">
        <v>0</v>
      </c>
      <c r="F10349">
        <v>0</v>
      </c>
      <c r="G10349" t="s">
        <v>12</v>
      </c>
      <c r="I10349" t="s">
        <v>13</v>
      </c>
    </row>
    <row r="10350" spans="1:9" hidden="1" x14ac:dyDescent="0.25">
      <c r="A10350" t="s">
        <v>8606</v>
      </c>
      <c r="B10350" t="s">
        <v>34</v>
      </c>
      <c r="C10350" s="2">
        <f>HYPERLINK("https://cao.dolgi.msk.ru/account/1080011934/", 1080011934)</f>
        <v>1080011934</v>
      </c>
      <c r="D10350" t="s">
        <v>8614</v>
      </c>
      <c r="E10350">
        <v>-9907.19</v>
      </c>
      <c r="F10350">
        <v>-1.07</v>
      </c>
      <c r="G10350" t="s">
        <v>12</v>
      </c>
      <c r="I10350" t="s">
        <v>13</v>
      </c>
    </row>
    <row r="10351" spans="1:9" hidden="1" x14ac:dyDescent="0.25">
      <c r="A10351" t="s">
        <v>8606</v>
      </c>
      <c r="B10351" t="s">
        <v>36</v>
      </c>
      <c r="C10351" s="2">
        <f>HYPERLINK("https://cao.dolgi.msk.ru/account/1080011926/", 1080011926)</f>
        <v>1080011926</v>
      </c>
      <c r="D10351" t="s">
        <v>1384</v>
      </c>
      <c r="E10351">
        <v>-9956.3799999999992</v>
      </c>
      <c r="F10351">
        <v>-0.9</v>
      </c>
      <c r="G10351" t="s">
        <v>12</v>
      </c>
      <c r="I10351" t="s">
        <v>13</v>
      </c>
    </row>
    <row r="10352" spans="1:9" hidden="1" x14ac:dyDescent="0.25">
      <c r="A10352" t="s">
        <v>8606</v>
      </c>
      <c r="B10352" t="s">
        <v>38</v>
      </c>
      <c r="C10352" s="2">
        <f>HYPERLINK("https://cao.dolgi.msk.ru/account/1080011942/", 1080011942)</f>
        <v>1080011942</v>
      </c>
      <c r="D10352" t="s">
        <v>62</v>
      </c>
      <c r="E10352">
        <v>-21250.39</v>
      </c>
      <c r="F10352">
        <v>-1.04</v>
      </c>
      <c r="G10352" t="s">
        <v>12</v>
      </c>
      <c r="I10352" t="s">
        <v>13</v>
      </c>
    </row>
    <row r="10353" spans="1:9" hidden="1" x14ac:dyDescent="0.25">
      <c r="A10353" t="s">
        <v>8606</v>
      </c>
      <c r="B10353" t="s">
        <v>39</v>
      </c>
      <c r="C10353" s="2">
        <f>HYPERLINK("https://cao.dolgi.msk.ru/account/1080011969/", 1080011969)</f>
        <v>1080011969</v>
      </c>
      <c r="D10353" t="s">
        <v>8615</v>
      </c>
      <c r="E10353">
        <v>-6524.51</v>
      </c>
      <c r="F10353">
        <v>-1.03</v>
      </c>
      <c r="G10353" t="s">
        <v>12</v>
      </c>
      <c r="I10353" t="s">
        <v>13</v>
      </c>
    </row>
    <row r="10354" spans="1:9" hidden="1" x14ac:dyDescent="0.25">
      <c r="A10354" t="s">
        <v>8606</v>
      </c>
      <c r="B10354" t="s">
        <v>40</v>
      </c>
      <c r="C10354" s="2">
        <f>HYPERLINK("https://cao.dolgi.msk.ru/account/1080011977/", 1080011977)</f>
        <v>1080011977</v>
      </c>
      <c r="D10354" t="s">
        <v>62</v>
      </c>
      <c r="E10354">
        <v>-756.96</v>
      </c>
      <c r="F10354">
        <v>-0.05</v>
      </c>
      <c r="G10354" t="s">
        <v>12</v>
      </c>
      <c r="I10354" t="s">
        <v>13</v>
      </c>
    </row>
    <row r="10355" spans="1:9" hidden="1" x14ac:dyDescent="0.25">
      <c r="A10355" t="s">
        <v>8606</v>
      </c>
      <c r="B10355" t="s">
        <v>41</v>
      </c>
      <c r="C10355" s="2">
        <f>HYPERLINK("https://cao.dolgi.msk.ru/account/1080011985/", 1080011985)</f>
        <v>1080011985</v>
      </c>
      <c r="D10355" t="s">
        <v>8616</v>
      </c>
      <c r="E10355">
        <v>-27601.81</v>
      </c>
      <c r="F10355">
        <v>-2.1</v>
      </c>
      <c r="G10355" t="s">
        <v>12</v>
      </c>
      <c r="I10355" t="s">
        <v>13</v>
      </c>
    </row>
    <row r="10356" spans="1:9" hidden="1" x14ac:dyDescent="0.25">
      <c r="A10356" t="s">
        <v>8606</v>
      </c>
      <c r="B10356" t="s">
        <v>42</v>
      </c>
      <c r="C10356" s="2">
        <f>HYPERLINK("https://cao.dolgi.msk.ru/account/1080011993/", 1080011993)</f>
        <v>1080011993</v>
      </c>
      <c r="D10356" t="s">
        <v>8617</v>
      </c>
      <c r="E10356">
        <v>97</v>
      </c>
      <c r="F10356">
        <v>0.01</v>
      </c>
      <c r="G10356" t="s">
        <v>12</v>
      </c>
      <c r="I10356" t="s">
        <v>13</v>
      </c>
    </row>
    <row r="10357" spans="1:9" hidden="1" x14ac:dyDescent="0.25">
      <c r="A10357" t="s">
        <v>8606</v>
      </c>
      <c r="B10357" t="s">
        <v>42</v>
      </c>
      <c r="C10357" s="2">
        <f>HYPERLINK("https://cao.dolgi.msk.ru/account/1089126156/", 1089126156)</f>
        <v>1089126156</v>
      </c>
      <c r="D10357" t="s">
        <v>15</v>
      </c>
      <c r="E10357">
        <v>85.16</v>
      </c>
      <c r="G10357" t="s">
        <v>14</v>
      </c>
      <c r="I10357" t="s">
        <v>13</v>
      </c>
    </row>
    <row r="10358" spans="1:9" hidden="1" x14ac:dyDescent="0.25">
      <c r="A10358" t="s">
        <v>8606</v>
      </c>
      <c r="B10358" t="s">
        <v>44</v>
      </c>
      <c r="C10358" s="2">
        <f>HYPERLINK("https://cao.dolgi.msk.ru/account/1080012005/", 1080012005)</f>
        <v>1080012005</v>
      </c>
      <c r="D10358" t="s">
        <v>15</v>
      </c>
      <c r="E10358">
        <v>-10589.84</v>
      </c>
      <c r="F10358">
        <v>-1.0900000000000001</v>
      </c>
      <c r="G10358" t="s">
        <v>12</v>
      </c>
      <c r="I10358" t="s">
        <v>13</v>
      </c>
    </row>
    <row r="10359" spans="1:9" hidden="1" x14ac:dyDescent="0.25">
      <c r="A10359" t="s">
        <v>8606</v>
      </c>
      <c r="B10359" t="s">
        <v>66</v>
      </c>
      <c r="C10359" s="2">
        <f>HYPERLINK("https://cao.dolgi.msk.ru/account/1080012013/", 1080012013)</f>
        <v>1080012013</v>
      </c>
      <c r="D10359" t="s">
        <v>15</v>
      </c>
      <c r="E10359">
        <v>-11719.34</v>
      </c>
      <c r="F10359">
        <v>-1.32</v>
      </c>
      <c r="G10359" t="s">
        <v>12</v>
      </c>
      <c r="I10359" t="s">
        <v>13</v>
      </c>
    </row>
    <row r="10360" spans="1:9" hidden="1" x14ac:dyDescent="0.25">
      <c r="A10360" t="s">
        <v>8606</v>
      </c>
      <c r="B10360" t="s">
        <v>68</v>
      </c>
      <c r="C10360" s="2">
        <f>HYPERLINK("https://cao.dolgi.msk.ru/account/1080012021/", 1080012021)</f>
        <v>1080012021</v>
      </c>
      <c r="D10360" t="s">
        <v>8618</v>
      </c>
      <c r="E10360">
        <v>-7585.25</v>
      </c>
      <c r="F10360">
        <v>-1.07</v>
      </c>
      <c r="G10360" t="s">
        <v>12</v>
      </c>
      <c r="I10360" t="s">
        <v>13</v>
      </c>
    </row>
    <row r="10361" spans="1:9" hidden="1" x14ac:dyDescent="0.25">
      <c r="A10361" t="s">
        <v>8606</v>
      </c>
      <c r="B10361" t="s">
        <v>70</v>
      </c>
      <c r="C10361" s="2">
        <f>HYPERLINK("https://cao.dolgi.msk.ru/account/1080010704/", 1080010704)</f>
        <v>1080010704</v>
      </c>
      <c r="D10361" t="s">
        <v>8619</v>
      </c>
      <c r="E10361">
        <v>-28950.07</v>
      </c>
      <c r="F10361">
        <v>-2.2000000000000002</v>
      </c>
      <c r="G10361" t="s">
        <v>12</v>
      </c>
      <c r="I10361" t="s">
        <v>13</v>
      </c>
    </row>
    <row r="10362" spans="1:9" hidden="1" x14ac:dyDescent="0.25">
      <c r="A10362" t="s">
        <v>8606</v>
      </c>
      <c r="B10362" t="s">
        <v>72</v>
      </c>
      <c r="C10362" s="2">
        <f>HYPERLINK("https://cao.dolgi.msk.ru/account/1080012048/", 1080012048)</f>
        <v>1080012048</v>
      </c>
      <c r="D10362" t="s">
        <v>8620</v>
      </c>
      <c r="E10362">
        <v>-11524.75</v>
      </c>
      <c r="F10362">
        <v>-1.07</v>
      </c>
      <c r="G10362" t="s">
        <v>12</v>
      </c>
      <c r="I10362" t="s">
        <v>13</v>
      </c>
    </row>
    <row r="10363" spans="1:9" hidden="1" x14ac:dyDescent="0.25">
      <c r="A10363" t="s">
        <v>8606</v>
      </c>
      <c r="B10363" t="s">
        <v>74</v>
      </c>
      <c r="C10363" s="2">
        <f>HYPERLINK("https://cao.dolgi.msk.ru/account/1080012056/", 1080012056)</f>
        <v>1080012056</v>
      </c>
      <c r="D10363" t="s">
        <v>15</v>
      </c>
      <c r="G10363" t="s">
        <v>14</v>
      </c>
      <c r="I10363" t="s">
        <v>13</v>
      </c>
    </row>
    <row r="10364" spans="1:9" hidden="1" x14ac:dyDescent="0.25">
      <c r="A10364" t="s">
        <v>8606</v>
      </c>
      <c r="B10364" t="s">
        <v>74</v>
      </c>
      <c r="C10364" s="2">
        <f>HYPERLINK("https://cao.dolgi.msk.ru/account/1080012064/", 1080012064)</f>
        <v>1080012064</v>
      </c>
      <c r="D10364" t="s">
        <v>8621</v>
      </c>
      <c r="E10364">
        <v>-12371.38</v>
      </c>
      <c r="F10364">
        <v>-1.05</v>
      </c>
      <c r="G10364" t="s">
        <v>12</v>
      </c>
      <c r="I10364" t="s">
        <v>13</v>
      </c>
    </row>
    <row r="10365" spans="1:9" hidden="1" x14ac:dyDescent="0.25">
      <c r="A10365" t="s">
        <v>8606</v>
      </c>
      <c r="B10365" t="s">
        <v>74</v>
      </c>
      <c r="C10365" s="2">
        <f>HYPERLINK("https://cao.dolgi.msk.ru/account/1080012072/", 1080012072)</f>
        <v>1080012072</v>
      </c>
      <c r="D10365" t="s">
        <v>8621</v>
      </c>
      <c r="G10365" t="s">
        <v>14</v>
      </c>
      <c r="I10365" t="s">
        <v>13</v>
      </c>
    </row>
    <row r="10366" spans="1:9" x14ac:dyDescent="0.25">
      <c r="A10366" t="s">
        <v>8606</v>
      </c>
      <c r="B10366" t="s">
        <v>76</v>
      </c>
      <c r="C10366" s="2">
        <f>HYPERLINK("https://cao.dolgi.msk.ru/account/1080000442/", 1080000442)</f>
        <v>1080000442</v>
      </c>
      <c r="D10366" t="s">
        <v>8622</v>
      </c>
      <c r="E10366">
        <v>434150.52</v>
      </c>
      <c r="F10366">
        <v>18.420000000000002</v>
      </c>
      <c r="G10366" t="s">
        <v>12</v>
      </c>
      <c r="I10366" t="s">
        <v>13</v>
      </c>
    </row>
    <row r="10367" spans="1:9" hidden="1" x14ac:dyDescent="0.25">
      <c r="A10367" t="s">
        <v>8606</v>
      </c>
      <c r="B10367" t="s">
        <v>8623</v>
      </c>
      <c r="C10367" s="2">
        <f>HYPERLINK("https://cao.dolgi.msk.ru/account/1080011918/", 1080011918)</f>
        <v>1080011918</v>
      </c>
      <c r="D10367" t="s">
        <v>8624</v>
      </c>
      <c r="E10367">
        <v>-7519.27</v>
      </c>
      <c r="F10367">
        <v>-0.95</v>
      </c>
      <c r="G10367" t="s">
        <v>12</v>
      </c>
      <c r="I10367" t="s">
        <v>13</v>
      </c>
    </row>
    <row r="10368" spans="1:9" hidden="1" x14ac:dyDescent="0.25">
      <c r="A10368" t="s">
        <v>8606</v>
      </c>
      <c r="B10368" t="s">
        <v>78</v>
      </c>
      <c r="C10368" s="2">
        <f>HYPERLINK("https://cao.dolgi.msk.ru/account/1080012101/", 1080012101)</f>
        <v>1080012101</v>
      </c>
      <c r="D10368" t="s">
        <v>62</v>
      </c>
      <c r="E10368">
        <v>-192.63</v>
      </c>
      <c r="F10368">
        <v>-0.02</v>
      </c>
      <c r="G10368" t="s">
        <v>12</v>
      </c>
      <c r="I10368" t="s">
        <v>13</v>
      </c>
    </row>
    <row r="10369" spans="1:9" hidden="1" x14ac:dyDescent="0.25">
      <c r="A10369" t="s">
        <v>8606</v>
      </c>
      <c r="B10369" t="s">
        <v>80</v>
      </c>
      <c r="C10369" s="2">
        <f>HYPERLINK("https://cao.dolgi.msk.ru/account/1080012128/", 1080012128)</f>
        <v>1080012128</v>
      </c>
      <c r="D10369" t="s">
        <v>8625</v>
      </c>
      <c r="E10369">
        <v>-17432.5</v>
      </c>
      <c r="F10369">
        <v>-0.99</v>
      </c>
      <c r="G10369" t="s">
        <v>12</v>
      </c>
      <c r="I10369" t="s">
        <v>13</v>
      </c>
    </row>
    <row r="10370" spans="1:9" hidden="1" x14ac:dyDescent="0.25">
      <c r="A10370" t="s">
        <v>8606</v>
      </c>
      <c r="B10370" t="s">
        <v>82</v>
      </c>
      <c r="C10370" s="2">
        <f>HYPERLINK("https://cao.dolgi.msk.ru/account/1080012136/", 1080012136)</f>
        <v>1080012136</v>
      </c>
      <c r="D10370" t="s">
        <v>62</v>
      </c>
      <c r="E10370">
        <v>-65.489999999999995</v>
      </c>
      <c r="F10370">
        <v>-0.01</v>
      </c>
      <c r="G10370" t="s">
        <v>12</v>
      </c>
      <c r="I10370" t="s">
        <v>13</v>
      </c>
    </row>
    <row r="10371" spans="1:9" hidden="1" x14ac:dyDescent="0.25">
      <c r="A10371" t="s">
        <v>8606</v>
      </c>
      <c r="B10371" t="s">
        <v>84</v>
      </c>
      <c r="C10371" s="2">
        <f>HYPERLINK("https://cao.dolgi.msk.ru/account/1080012144/", 1080012144)</f>
        <v>1080012144</v>
      </c>
      <c r="D10371" t="s">
        <v>8626</v>
      </c>
      <c r="E10371">
        <v>-16315.21</v>
      </c>
      <c r="F10371">
        <v>-0.89</v>
      </c>
      <c r="G10371" t="s">
        <v>12</v>
      </c>
      <c r="I10371" t="s">
        <v>13</v>
      </c>
    </row>
    <row r="10372" spans="1:9" hidden="1" x14ac:dyDescent="0.25">
      <c r="A10372" t="s">
        <v>8627</v>
      </c>
      <c r="B10372" t="s">
        <v>18</v>
      </c>
      <c r="C10372" s="2">
        <f>HYPERLINK("https://cao.dolgi.msk.ru/account/1080011504/", 1080011504)</f>
        <v>1080011504</v>
      </c>
      <c r="D10372" t="s">
        <v>8628</v>
      </c>
      <c r="E10372">
        <v>-16430.52</v>
      </c>
      <c r="F10372">
        <v>-1.04</v>
      </c>
      <c r="G10372" t="s">
        <v>12</v>
      </c>
      <c r="I10372" t="s">
        <v>13</v>
      </c>
    </row>
    <row r="10373" spans="1:9" hidden="1" x14ac:dyDescent="0.25">
      <c r="A10373" t="s">
        <v>8627</v>
      </c>
      <c r="B10373" t="s">
        <v>20</v>
      </c>
      <c r="C10373" s="2">
        <f>HYPERLINK("https://cao.dolgi.msk.ru/account/1080011512/", 1080011512)</f>
        <v>1080011512</v>
      </c>
      <c r="D10373" t="s">
        <v>15</v>
      </c>
      <c r="E10373">
        <v>-10769.19</v>
      </c>
      <c r="F10373">
        <v>-0.99</v>
      </c>
      <c r="G10373" t="s">
        <v>12</v>
      </c>
      <c r="I10373" t="s">
        <v>13</v>
      </c>
    </row>
    <row r="10374" spans="1:9" hidden="1" x14ac:dyDescent="0.25">
      <c r="A10374" t="s">
        <v>8627</v>
      </c>
      <c r="B10374" t="s">
        <v>21</v>
      </c>
      <c r="C10374" s="2">
        <f>HYPERLINK("https://cao.dolgi.msk.ru/account/1080011539/", 1080011539)</f>
        <v>1080011539</v>
      </c>
      <c r="D10374" t="s">
        <v>8629</v>
      </c>
      <c r="E10374">
        <v>-14066.36</v>
      </c>
      <c r="F10374">
        <v>-0.97</v>
      </c>
      <c r="G10374" t="s">
        <v>12</v>
      </c>
      <c r="I10374" t="s">
        <v>13</v>
      </c>
    </row>
    <row r="10375" spans="1:9" hidden="1" x14ac:dyDescent="0.25">
      <c r="A10375" t="s">
        <v>8627</v>
      </c>
      <c r="B10375" t="s">
        <v>22</v>
      </c>
      <c r="C10375" s="2">
        <f>HYPERLINK("https://cao.dolgi.msk.ru/account/1080011547/", 1080011547)</f>
        <v>1080011547</v>
      </c>
      <c r="D10375" t="s">
        <v>62</v>
      </c>
      <c r="E10375">
        <v>-14272.65</v>
      </c>
      <c r="F10375">
        <v>-0.98</v>
      </c>
      <c r="G10375" t="s">
        <v>12</v>
      </c>
      <c r="I10375" t="s">
        <v>13</v>
      </c>
    </row>
    <row r="10376" spans="1:9" hidden="1" x14ac:dyDescent="0.25">
      <c r="A10376" t="s">
        <v>8627</v>
      </c>
      <c r="B10376" t="s">
        <v>245</v>
      </c>
      <c r="C10376" s="2">
        <f>HYPERLINK("https://cao.dolgi.msk.ru/account/1080326119/", 1080326119)</f>
        <v>1080326119</v>
      </c>
      <c r="D10376" t="s">
        <v>15</v>
      </c>
      <c r="E10376">
        <v>-12276.33</v>
      </c>
      <c r="F10376">
        <v>-1.01</v>
      </c>
      <c r="G10376" t="s">
        <v>12</v>
      </c>
      <c r="I10376" t="s">
        <v>13</v>
      </c>
    </row>
    <row r="10377" spans="1:9" hidden="1" x14ac:dyDescent="0.25">
      <c r="A10377" t="s">
        <v>8627</v>
      </c>
      <c r="B10377" t="s">
        <v>24</v>
      </c>
      <c r="C10377" s="2">
        <f>HYPERLINK("https://cao.dolgi.msk.ru/account/1080011555/", 1080011555)</f>
        <v>1080011555</v>
      </c>
      <c r="D10377" t="s">
        <v>8630</v>
      </c>
      <c r="E10377">
        <v>87.13</v>
      </c>
      <c r="F10377">
        <v>0.03</v>
      </c>
      <c r="G10377" t="s">
        <v>12</v>
      </c>
      <c r="H10377" t="s">
        <v>7</v>
      </c>
      <c r="I10377" t="s">
        <v>13</v>
      </c>
    </row>
    <row r="10378" spans="1:9" hidden="1" x14ac:dyDescent="0.25">
      <c r="A10378" t="s">
        <v>8627</v>
      </c>
      <c r="B10378" t="s">
        <v>24</v>
      </c>
      <c r="C10378" s="2">
        <f>HYPERLINK("https://cao.dolgi.msk.ru/account/1080011563/", 1080011563)</f>
        <v>1080011563</v>
      </c>
      <c r="D10378" t="s">
        <v>8630</v>
      </c>
      <c r="E10378">
        <v>381.68</v>
      </c>
      <c r="F10378">
        <v>0.08</v>
      </c>
      <c r="G10378" t="s">
        <v>12</v>
      </c>
      <c r="H10378" t="s">
        <v>7</v>
      </c>
      <c r="I10378" t="s">
        <v>13</v>
      </c>
    </row>
    <row r="10379" spans="1:9" hidden="1" x14ac:dyDescent="0.25">
      <c r="A10379" t="s">
        <v>8627</v>
      </c>
      <c r="B10379" t="s">
        <v>251</v>
      </c>
      <c r="C10379" s="2">
        <f>HYPERLINK("https://cao.dolgi.msk.ru/account/1080011571/", 1080011571)</f>
        <v>1080011571</v>
      </c>
      <c r="D10379" t="s">
        <v>8631</v>
      </c>
      <c r="E10379">
        <v>-2592.96</v>
      </c>
      <c r="F10379">
        <v>-0.97</v>
      </c>
      <c r="G10379" t="s">
        <v>12</v>
      </c>
      <c r="I10379" t="s">
        <v>13</v>
      </c>
    </row>
    <row r="10380" spans="1:9" hidden="1" x14ac:dyDescent="0.25">
      <c r="A10380" t="s">
        <v>8627</v>
      </c>
      <c r="B10380" t="s">
        <v>27</v>
      </c>
      <c r="C10380" s="2">
        <f>HYPERLINK("https://cao.dolgi.msk.ru/account/1080011598/", 1080011598)</f>
        <v>1080011598</v>
      </c>
      <c r="D10380" t="s">
        <v>62</v>
      </c>
      <c r="E10380">
        <v>-9039.6299999999992</v>
      </c>
      <c r="F10380">
        <v>-1.07</v>
      </c>
      <c r="G10380" t="s">
        <v>12</v>
      </c>
      <c r="I10380" t="s">
        <v>13</v>
      </c>
    </row>
    <row r="10381" spans="1:9" hidden="1" x14ac:dyDescent="0.25">
      <c r="A10381" t="s">
        <v>8627</v>
      </c>
      <c r="B10381" t="s">
        <v>29</v>
      </c>
      <c r="C10381" s="2">
        <f>HYPERLINK("https://cao.dolgi.msk.ru/account/1080011619/", 1080011619)</f>
        <v>1080011619</v>
      </c>
      <c r="D10381" t="s">
        <v>8632</v>
      </c>
      <c r="E10381">
        <v>-8315.83</v>
      </c>
      <c r="F10381">
        <v>-0.97</v>
      </c>
      <c r="G10381" t="s">
        <v>12</v>
      </c>
      <c r="I10381" t="s">
        <v>13</v>
      </c>
    </row>
    <row r="10382" spans="1:9" hidden="1" x14ac:dyDescent="0.25">
      <c r="A10382" t="s">
        <v>8627</v>
      </c>
      <c r="B10382" t="s">
        <v>256</v>
      </c>
      <c r="C10382" s="2">
        <f>HYPERLINK("https://cao.dolgi.msk.ru/account/1080011627/", 1080011627)</f>
        <v>1080011627</v>
      </c>
      <c r="D10382" t="s">
        <v>8633</v>
      </c>
      <c r="E10382">
        <v>-7344.48</v>
      </c>
      <c r="F10382">
        <v>-1.33</v>
      </c>
      <c r="G10382" t="s">
        <v>12</v>
      </c>
      <c r="I10382" t="s">
        <v>13</v>
      </c>
    </row>
    <row r="10383" spans="1:9" hidden="1" x14ac:dyDescent="0.25">
      <c r="A10383" t="s">
        <v>8627</v>
      </c>
      <c r="B10383" t="s">
        <v>31</v>
      </c>
      <c r="C10383" s="2">
        <f>HYPERLINK("https://cao.dolgi.msk.ru/account/1080011651/", 1080011651)</f>
        <v>1080011651</v>
      </c>
      <c r="D10383" t="s">
        <v>8634</v>
      </c>
      <c r="E10383">
        <v>-14752.52</v>
      </c>
      <c r="F10383">
        <v>-1.02</v>
      </c>
      <c r="G10383" t="s">
        <v>12</v>
      </c>
      <c r="I10383" t="s">
        <v>13</v>
      </c>
    </row>
    <row r="10384" spans="1:9" x14ac:dyDescent="0.25">
      <c r="A10384" t="s">
        <v>8627</v>
      </c>
      <c r="B10384" t="s">
        <v>33</v>
      </c>
      <c r="C10384" s="2">
        <f>HYPERLINK("https://cao.dolgi.msk.ru/account/1080011686/", 1080011686)</f>
        <v>1080011686</v>
      </c>
      <c r="D10384" t="s">
        <v>8635</v>
      </c>
      <c r="E10384">
        <v>63215.05</v>
      </c>
      <c r="F10384">
        <v>9.58</v>
      </c>
      <c r="G10384" t="s">
        <v>12</v>
      </c>
      <c r="I10384" t="s">
        <v>13</v>
      </c>
    </row>
    <row r="10385" spans="1:9" hidden="1" x14ac:dyDescent="0.25">
      <c r="A10385" t="s">
        <v>8627</v>
      </c>
      <c r="B10385" t="s">
        <v>263</v>
      </c>
      <c r="C10385" s="2">
        <f>HYPERLINK("https://cao.dolgi.msk.ru/account/1080011678/", 1080011678)</f>
        <v>1080011678</v>
      </c>
      <c r="D10385" t="s">
        <v>8636</v>
      </c>
      <c r="E10385">
        <v>-7642.26</v>
      </c>
      <c r="F10385">
        <v>-1.0900000000000001</v>
      </c>
      <c r="G10385" t="s">
        <v>12</v>
      </c>
      <c r="I10385" t="s">
        <v>13</v>
      </c>
    </row>
    <row r="10386" spans="1:9" hidden="1" x14ac:dyDescent="0.25">
      <c r="A10386" t="s">
        <v>8627</v>
      </c>
      <c r="B10386" t="s">
        <v>34</v>
      </c>
      <c r="C10386" s="2">
        <f>HYPERLINK("https://cao.dolgi.msk.ru/account/1080011635/", 1080011635)</f>
        <v>1080011635</v>
      </c>
      <c r="D10386" t="s">
        <v>62</v>
      </c>
      <c r="E10386">
        <v>-12010.99</v>
      </c>
      <c r="F10386">
        <v>-0.96</v>
      </c>
      <c r="G10386" t="s">
        <v>12</v>
      </c>
      <c r="I10386" t="s">
        <v>13</v>
      </c>
    </row>
    <row r="10387" spans="1:9" hidden="1" x14ac:dyDescent="0.25">
      <c r="A10387" t="s">
        <v>8627</v>
      </c>
      <c r="B10387" t="s">
        <v>36</v>
      </c>
      <c r="C10387" s="2">
        <f>HYPERLINK("https://cao.dolgi.msk.ru/account/1080011707/", 1080011707)</f>
        <v>1080011707</v>
      </c>
      <c r="D10387" t="s">
        <v>62</v>
      </c>
      <c r="E10387">
        <v>-6575.08</v>
      </c>
      <c r="F10387">
        <v>-0.71</v>
      </c>
      <c r="G10387" t="s">
        <v>12</v>
      </c>
      <c r="I10387" t="s">
        <v>13</v>
      </c>
    </row>
    <row r="10388" spans="1:9" hidden="1" x14ac:dyDescent="0.25">
      <c r="A10388" t="s">
        <v>8627</v>
      </c>
      <c r="B10388" t="s">
        <v>7665</v>
      </c>
      <c r="C10388" s="2">
        <f>HYPERLINK("https://cao.dolgi.msk.ru/account/1080011715/", 1080011715)</f>
        <v>1080011715</v>
      </c>
      <c r="D10388" t="s">
        <v>62</v>
      </c>
      <c r="E10388">
        <v>-7163.63</v>
      </c>
      <c r="F10388">
        <v>-1.1100000000000001</v>
      </c>
      <c r="G10388" t="s">
        <v>12</v>
      </c>
      <c r="I10388" t="s">
        <v>13</v>
      </c>
    </row>
    <row r="10389" spans="1:9" hidden="1" x14ac:dyDescent="0.25">
      <c r="A10389" t="s">
        <v>8627</v>
      </c>
      <c r="B10389" t="s">
        <v>38</v>
      </c>
      <c r="C10389" s="2">
        <f>HYPERLINK("https://cao.dolgi.msk.ru/account/1080011694/", 1080011694)</f>
        <v>1080011694</v>
      </c>
      <c r="D10389" t="s">
        <v>6155</v>
      </c>
      <c r="E10389">
        <v>-147.78</v>
      </c>
      <c r="F10389">
        <v>-0.01</v>
      </c>
      <c r="G10389" t="s">
        <v>12</v>
      </c>
      <c r="I10389" t="s">
        <v>13</v>
      </c>
    </row>
    <row r="10390" spans="1:9" hidden="1" x14ac:dyDescent="0.25">
      <c r="A10390" t="s">
        <v>8627</v>
      </c>
      <c r="B10390" t="s">
        <v>39</v>
      </c>
      <c r="C10390" s="2">
        <f>HYPERLINK("https://cao.dolgi.msk.ru/account/1080011731/", 1080011731)</f>
        <v>1080011731</v>
      </c>
      <c r="D10390" t="s">
        <v>8637</v>
      </c>
      <c r="E10390">
        <v>0</v>
      </c>
      <c r="F10390">
        <v>0</v>
      </c>
      <c r="G10390" t="s">
        <v>12</v>
      </c>
      <c r="I10390" t="s">
        <v>13</v>
      </c>
    </row>
    <row r="10391" spans="1:9" hidden="1" x14ac:dyDescent="0.25">
      <c r="A10391" t="s">
        <v>8627</v>
      </c>
      <c r="B10391" t="s">
        <v>7668</v>
      </c>
      <c r="C10391" s="2">
        <f>HYPERLINK("https://cao.dolgi.msk.ru/account/1080011723/", 1080011723)</f>
        <v>1080011723</v>
      </c>
      <c r="D10391" t="s">
        <v>8638</v>
      </c>
      <c r="E10391">
        <v>-1743.03</v>
      </c>
      <c r="F10391">
        <v>-0.36</v>
      </c>
      <c r="G10391" t="s">
        <v>12</v>
      </c>
      <c r="I10391" t="s">
        <v>13</v>
      </c>
    </row>
    <row r="10392" spans="1:9" hidden="1" x14ac:dyDescent="0.25">
      <c r="A10392" t="s">
        <v>8627</v>
      </c>
      <c r="B10392" t="s">
        <v>40</v>
      </c>
      <c r="C10392" s="2">
        <f>HYPERLINK("https://cao.dolgi.msk.ru/account/1080011643/", 1080011643)</f>
        <v>1080011643</v>
      </c>
      <c r="D10392" t="s">
        <v>8639</v>
      </c>
      <c r="E10392">
        <v>-745.73</v>
      </c>
      <c r="F10392">
        <v>-0.06</v>
      </c>
      <c r="G10392" t="s">
        <v>12</v>
      </c>
      <c r="I10392" t="s">
        <v>13</v>
      </c>
    </row>
    <row r="10393" spans="1:9" hidden="1" x14ac:dyDescent="0.25">
      <c r="A10393" t="s">
        <v>8627</v>
      </c>
      <c r="B10393" t="s">
        <v>268</v>
      </c>
      <c r="C10393" s="2">
        <f>HYPERLINK("https://cao.dolgi.msk.ru/account/1080325458/", 1080325458)</f>
        <v>1080325458</v>
      </c>
      <c r="D10393" t="s">
        <v>15</v>
      </c>
      <c r="E10393">
        <v>-10108.5</v>
      </c>
      <c r="F10393">
        <v>-0.95</v>
      </c>
      <c r="G10393" t="s">
        <v>12</v>
      </c>
      <c r="I10393" t="s">
        <v>13</v>
      </c>
    </row>
    <row r="10394" spans="1:9" hidden="1" x14ac:dyDescent="0.25">
      <c r="A10394" t="s">
        <v>8640</v>
      </c>
      <c r="B10394" t="s">
        <v>10</v>
      </c>
      <c r="C10394" s="2">
        <f>HYPERLINK("https://cao.dolgi.msk.ru/account/1080029173/", 1080029173)</f>
        <v>1080029173</v>
      </c>
      <c r="D10394" t="s">
        <v>5677</v>
      </c>
      <c r="E10394">
        <v>-10641.03</v>
      </c>
      <c r="F10394">
        <v>-1.08</v>
      </c>
      <c r="G10394" t="s">
        <v>12</v>
      </c>
      <c r="I10394" t="s">
        <v>13</v>
      </c>
    </row>
    <row r="10395" spans="1:9" x14ac:dyDescent="0.25">
      <c r="A10395" t="s">
        <v>8640</v>
      </c>
      <c r="B10395" t="s">
        <v>16</v>
      </c>
      <c r="C10395" s="2">
        <f>HYPERLINK("https://cao.dolgi.msk.ru/account/1080029181/", 1080029181)</f>
        <v>1080029181</v>
      </c>
      <c r="D10395" t="s">
        <v>8641</v>
      </c>
      <c r="E10395">
        <v>24604.33</v>
      </c>
      <c r="F10395">
        <v>2.91</v>
      </c>
      <c r="G10395" t="s">
        <v>12</v>
      </c>
      <c r="I10395" t="s">
        <v>13</v>
      </c>
    </row>
    <row r="10396" spans="1:9" hidden="1" x14ac:dyDescent="0.25">
      <c r="A10396" t="s">
        <v>8640</v>
      </c>
      <c r="B10396" t="s">
        <v>18</v>
      </c>
      <c r="C10396" s="2">
        <f>HYPERLINK("https://cao.dolgi.msk.ru/account/1080029202/", 1080029202)</f>
        <v>1080029202</v>
      </c>
      <c r="D10396" t="s">
        <v>8642</v>
      </c>
      <c r="E10396">
        <v>-25346.09</v>
      </c>
      <c r="F10396">
        <v>-2.3199999999999998</v>
      </c>
      <c r="G10396" t="s">
        <v>12</v>
      </c>
      <c r="I10396" t="s">
        <v>13</v>
      </c>
    </row>
    <row r="10397" spans="1:9" x14ac:dyDescent="0.25">
      <c r="A10397" t="s">
        <v>8640</v>
      </c>
      <c r="B10397" t="s">
        <v>20</v>
      </c>
      <c r="C10397" s="2">
        <f>HYPERLINK("https://cao.dolgi.msk.ru/account/1080029229/", 1080029229)</f>
        <v>1080029229</v>
      </c>
      <c r="D10397" t="s">
        <v>8643</v>
      </c>
      <c r="E10397">
        <v>41859.949999999997</v>
      </c>
      <c r="F10397">
        <v>9.75</v>
      </c>
      <c r="G10397" t="s">
        <v>12</v>
      </c>
      <c r="I10397" t="s">
        <v>13</v>
      </c>
    </row>
    <row r="10398" spans="1:9" x14ac:dyDescent="0.25">
      <c r="A10398" t="s">
        <v>8640</v>
      </c>
      <c r="B10398" t="s">
        <v>20</v>
      </c>
      <c r="C10398" s="2">
        <f>HYPERLINK("https://cao.dolgi.msk.ru/account/1080322281/", 1080322281)</f>
        <v>1080322281</v>
      </c>
      <c r="D10398" t="s">
        <v>8643</v>
      </c>
      <c r="E10398">
        <v>15738.53</v>
      </c>
      <c r="F10398">
        <v>5.55</v>
      </c>
      <c r="G10398" t="s">
        <v>12</v>
      </c>
      <c r="I10398" t="s">
        <v>13</v>
      </c>
    </row>
    <row r="10399" spans="1:9" hidden="1" x14ac:dyDescent="0.25">
      <c r="A10399" t="s">
        <v>8640</v>
      </c>
      <c r="B10399" t="s">
        <v>21</v>
      </c>
      <c r="C10399" s="2">
        <f>HYPERLINK("https://cao.dolgi.msk.ru/account/1080029237/", 1080029237)</f>
        <v>1080029237</v>
      </c>
      <c r="D10399" t="s">
        <v>8644</v>
      </c>
      <c r="E10399">
        <v>-5833.54</v>
      </c>
      <c r="F10399">
        <v>-1.1000000000000001</v>
      </c>
      <c r="G10399" t="s">
        <v>12</v>
      </c>
      <c r="I10399" t="s">
        <v>13</v>
      </c>
    </row>
    <row r="10400" spans="1:9" hidden="1" x14ac:dyDescent="0.25">
      <c r="A10400" t="s">
        <v>8640</v>
      </c>
      <c r="B10400" t="s">
        <v>22</v>
      </c>
      <c r="C10400" s="2">
        <f>HYPERLINK("https://cao.dolgi.msk.ru/account/1080029245/", 1080029245)</f>
        <v>1080029245</v>
      </c>
      <c r="D10400" t="s">
        <v>8645</v>
      </c>
      <c r="E10400">
        <v>-16837.310000000001</v>
      </c>
      <c r="F10400">
        <v>-1.47</v>
      </c>
      <c r="G10400" t="s">
        <v>12</v>
      </c>
      <c r="I10400" t="s">
        <v>13</v>
      </c>
    </row>
    <row r="10401" spans="1:9" hidden="1" x14ac:dyDescent="0.25">
      <c r="A10401" t="s">
        <v>8640</v>
      </c>
      <c r="B10401" t="s">
        <v>23</v>
      </c>
      <c r="C10401" s="2">
        <f>HYPERLINK("https://cao.dolgi.msk.ru/account/1080029253/", 1080029253)</f>
        <v>1080029253</v>
      </c>
      <c r="D10401" t="s">
        <v>8646</v>
      </c>
      <c r="E10401">
        <v>0</v>
      </c>
      <c r="F10401">
        <v>0</v>
      </c>
      <c r="G10401" t="s">
        <v>12</v>
      </c>
      <c r="I10401" t="s">
        <v>13</v>
      </c>
    </row>
    <row r="10402" spans="1:9" hidden="1" x14ac:dyDescent="0.25">
      <c r="A10402" t="s">
        <v>8640</v>
      </c>
      <c r="B10402" t="s">
        <v>24</v>
      </c>
      <c r="C10402" s="2">
        <f>HYPERLINK("https://cao.dolgi.msk.ru/account/1080029261/", 1080029261)</f>
        <v>1080029261</v>
      </c>
      <c r="D10402" t="s">
        <v>8647</v>
      </c>
      <c r="E10402">
        <v>-4521.1400000000003</v>
      </c>
      <c r="F10402">
        <v>-1.0900000000000001</v>
      </c>
      <c r="G10402" t="s">
        <v>12</v>
      </c>
      <c r="I10402" t="s">
        <v>13</v>
      </c>
    </row>
    <row r="10403" spans="1:9" hidden="1" x14ac:dyDescent="0.25">
      <c r="A10403" t="s">
        <v>8640</v>
      </c>
      <c r="B10403" t="s">
        <v>27</v>
      </c>
      <c r="C10403" s="2">
        <f>HYPERLINK("https://cao.dolgi.msk.ru/account/1080029288/", 1080029288)</f>
        <v>1080029288</v>
      </c>
      <c r="D10403" t="s">
        <v>8648</v>
      </c>
      <c r="E10403">
        <v>-12319.87</v>
      </c>
      <c r="F10403">
        <v>-1.01</v>
      </c>
      <c r="G10403" t="s">
        <v>12</v>
      </c>
      <c r="I10403" t="s">
        <v>13</v>
      </c>
    </row>
    <row r="10404" spans="1:9" hidden="1" x14ac:dyDescent="0.25">
      <c r="A10404" t="s">
        <v>8640</v>
      </c>
      <c r="B10404" t="s">
        <v>29</v>
      </c>
      <c r="C10404" s="2">
        <f>HYPERLINK("https://cao.dolgi.msk.ru/account/1080029296/", 1080029296)</f>
        <v>1080029296</v>
      </c>
      <c r="D10404" t="s">
        <v>8649</v>
      </c>
      <c r="E10404">
        <v>-5765.06</v>
      </c>
      <c r="F10404">
        <v>-1.02</v>
      </c>
      <c r="G10404" t="s">
        <v>12</v>
      </c>
      <c r="I10404" t="s">
        <v>13</v>
      </c>
    </row>
    <row r="10405" spans="1:9" hidden="1" x14ac:dyDescent="0.25">
      <c r="A10405" t="s">
        <v>8640</v>
      </c>
      <c r="B10405" t="s">
        <v>31</v>
      </c>
      <c r="C10405" s="2">
        <f>HYPERLINK("https://cao.dolgi.msk.ru/account/1080029309/", 1080029309)</f>
        <v>1080029309</v>
      </c>
      <c r="D10405" t="s">
        <v>8650</v>
      </c>
      <c r="E10405">
        <v>-1276.3399999999999</v>
      </c>
      <c r="F10405">
        <v>-7.0000000000000007E-2</v>
      </c>
      <c r="G10405" t="s">
        <v>12</v>
      </c>
      <c r="I10405" t="s">
        <v>13</v>
      </c>
    </row>
    <row r="10406" spans="1:9" hidden="1" x14ac:dyDescent="0.25">
      <c r="A10406" t="s">
        <v>8640</v>
      </c>
      <c r="B10406" t="s">
        <v>33</v>
      </c>
      <c r="C10406" s="2">
        <f>HYPERLINK("https://cao.dolgi.msk.ru/account/1080029317/", 1080029317)</f>
        <v>1080029317</v>
      </c>
      <c r="D10406" t="s">
        <v>736</v>
      </c>
      <c r="E10406">
        <v>-12892.35</v>
      </c>
      <c r="F10406">
        <v>-1.07</v>
      </c>
      <c r="G10406" t="s">
        <v>12</v>
      </c>
      <c r="I10406" t="s">
        <v>13</v>
      </c>
    </row>
    <row r="10407" spans="1:9" hidden="1" x14ac:dyDescent="0.25">
      <c r="A10407" t="s">
        <v>8640</v>
      </c>
      <c r="B10407" t="s">
        <v>34</v>
      </c>
      <c r="C10407" s="2">
        <f>HYPERLINK("https://cao.dolgi.msk.ru/account/1080029325/", 1080029325)</f>
        <v>1080029325</v>
      </c>
      <c r="D10407" t="s">
        <v>7589</v>
      </c>
      <c r="E10407">
        <v>-4501.91</v>
      </c>
      <c r="F10407">
        <v>-1.06</v>
      </c>
      <c r="G10407" t="s">
        <v>12</v>
      </c>
      <c r="I10407" t="s">
        <v>13</v>
      </c>
    </row>
    <row r="10408" spans="1:9" hidden="1" x14ac:dyDescent="0.25">
      <c r="A10408" t="s">
        <v>8640</v>
      </c>
      <c r="B10408" t="s">
        <v>36</v>
      </c>
      <c r="C10408" s="2">
        <f>HYPERLINK("https://cao.dolgi.msk.ru/account/1080029333/", 1080029333)</f>
        <v>1080029333</v>
      </c>
      <c r="D10408" t="s">
        <v>8651</v>
      </c>
      <c r="E10408">
        <v>-2.65</v>
      </c>
      <c r="F10408">
        <v>0</v>
      </c>
      <c r="G10408" t="s">
        <v>12</v>
      </c>
      <c r="I10408" t="s">
        <v>13</v>
      </c>
    </row>
    <row r="10409" spans="1:9" hidden="1" x14ac:dyDescent="0.25">
      <c r="A10409" t="s">
        <v>8640</v>
      </c>
      <c r="B10409" t="s">
        <v>38</v>
      </c>
      <c r="C10409" s="2">
        <f>HYPERLINK("https://cao.dolgi.msk.ru/account/1080029341/", 1080029341)</f>
        <v>1080029341</v>
      </c>
      <c r="D10409" t="s">
        <v>8652</v>
      </c>
      <c r="E10409">
        <v>-11948.29</v>
      </c>
      <c r="F10409">
        <v>-1.37</v>
      </c>
      <c r="G10409" t="s">
        <v>12</v>
      </c>
      <c r="I10409" t="s">
        <v>13</v>
      </c>
    </row>
    <row r="10410" spans="1:9" hidden="1" x14ac:dyDescent="0.25">
      <c r="A10410" t="s">
        <v>8640</v>
      </c>
      <c r="B10410" t="s">
        <v>39</v>
      </c>
      <c r="C10410" s="2">
        <f>HYPERLINK("https://cao.dolgi.msk.ru/account/1080029368/", 1080029368)</f>
        <v>1080029368</v>
      </c>
      <c r="D10410" t="s">
        <v>8653</v>
      </c>
      <c r="E10410">
        <v>134.02000000000001</v>
      </c>
      <c r="F10410">
        <v>0.01</v>
      </c>
      <c r="G10410" t="s">
        <v>12</v>
      </c>
      <c r="I10410" t="s">
        <v>13</v>
      </c>
    </row>
    <row r="10411" spans="1:9" hidden="1" x14ac:dyDescent="0.25">
      <c r="A10411" t="s">
        <v>8640</v>
      </c>
      <c r="B10411" t="s">
        <v>40</v>
      </c>
      <c r="C10411" s="2">
        <f>HYPERLINK("https://cao.dolgi.msk.ru/account/1080029376/", 1080029376)</f>
        <v>1080029376</v>
      </c>
      <c r="D10411" t="s">
        <v>8654</v>
      </c>
      <c r="E10411">
        <v>0</v>
      </c>
      <c r="F10411">
        <v>0</v>
      </c>
      <c r="G10411" t="s">
        <v>12</v>
      </c>
      <c r="I10411" t="s">
        <v>13</v>
      </c>
    </row>
    <row r="10412" spans="1:9" hidden="1" x14ac:dyDescent="0.25">
      <c r="A10412" t="s">
        <v>8640</v>
      </c>
      <c r="B10412" t="s">
        <v>41</v>
      </c>
      <c r="C10412" s="2">
        <f>HYPERLINK("https://cao.dolgi.msk.ru/account/1080029384/", 1080029384)</f>
        <v>1080029384</v>
      </c>
      <c r="D10412" t="s">
        <v>8655</v>
      </c>
      <c r="E10412">
        <v>-9238.8700000000008</v>
      </c>
      <c r="F10412">
        <v>-1.1299999999999999</v>
      </c>
      <c r="G10412" t="s">
        <v>12</v>
      </c>
      <c r="I10412" t="s">
        <v>13</v>
      </c>
    </row>
    <row r="10413" spans="1:9" hidden="1" x14ac:dyDescent="0.25">
      <c r="A10413" t="s">
        <v>8640</v>
      </c>
      <c r="B10413" t="s">
        <v>42</v>
      </c>
      <c r="C10413" s="2">
        <f>HYPERLINK("https://cao.dolgi.msk.ru/account/1080029392/", 1080029392)</f>
        <v>1080029392</v>
      </c>
      <c r="D10413" t="s">
        <v>8656</v>
      </c>
      <c r="E10413">
        <v>-14470.81</v>
      </c>
      <c r="F10413">
        <v>-1.07</v>
      </c>
      <c r="G10413" t="s">
        <v>12</v>
      </c>
      <c r="I10413" t="s">
        <v>13</v>
      </c>
    </row>
    <row r="10414" spans="1:9" hidden="1" x14ac:dyDescent="0.25">
      <c r="A10414" t="s">
        <v>8640</v>
      </c>
      <c r="B10414" t="s">
        <v>44</v>
      </c>
      <c r="C10414" s="2">
        <f>HYPERLINK("https://cao.dolgi.msk.ru/account/1080029405/", 1080029405)</f>
        <v>1080029405</v>
      </c>
      <c r="D10414" t="s">
        <v>8657</v>
      </c>
      <c r="E10414">
        <v>-7926.67</v>
      </c>
      <c r="F10414">
        <v>-0.82</v>
      </c>
      <c r="G10414" t="s">
        <v>12</v>
      </c>
      <c r="I10414" t="s">
        <v>13</v>
      </c>
    </row>
    <row r="10415" spans="1:9" hidden="1" x14ac:dyDescent="0.25">
      <c r="A10415" t="s">
        <v>8640</v>
      </c>
      <c r="B10415" t="s">
        <v>66</v>
      </c>
      <c r="C10415" s="2">
        <f>HYPERLINK("https://cao.dolgi.msk.ru/account/1080029413/", 1080029413)</f>
        <v>1080029413</v>
      </c>
      <c r="D10415" t="s">
        <v>8658</v>
      </c>
      <c r="E10415">
        <v>-3505.04</v>
      </c>
      <c r="F10415">
        <v>-0.96</v>
      </c>
      <c r="G10415" t="s">
        <v>12</v>
      </c>
      <c r="I10415" t="s">
        <v>13</v>
      </c>
    </row>
    <row r="10416" spans="1:9" hidden="1" x14ac:dyDescent="0.25">
      <c r="A10416" t="s">
        <v>8640</v>
      </c>
      <c r="B10416" t="s">
        <v>66</v>
      </c>
      <c r="C10416" s="2">
        <f>HYPERLINK("https://cao.dolgi.msk.ru/account/1089133516/", 1089133516)</f>
        <v>1089133516</v>
      </c>
      <c r="D10416" t="s">
        <v>15</v>
      </c>
      <c r="E10416">
        <v>-6689.31</v>
      </c>
      <c r="F10416">
        <v>-0.88</v>
      </c>
      <c r="G10416" t="s">
        <v>12</v>
      </c>
      <c r="I10416" t="s">
        <v>13</v>
      </c>
    </row>
    <row r="10417" spans="1:9" hidden="1" x14ac:dyDescent="0.25">
      <c r="A10417" t="s">
        <v>8640</v>
      </c>
      <c r="B10417" t="s">
        <v>68</v>
      </c>
      <c r="C10417" s="2">
        <f>HYPERLINK("https://cao.dolgi.msk.ru/account/1080029421/", 1080029421)</f>
        <v>1080029421</v>
      </c>
      <c r="D10417" t="s">
        <v>8659</v>
      </c>
      <c r="E10417">
        <v>-11607.81</v>
      </c>
      <c r="F10417">
        <v>-1.17</v>
      </c>
      <c r="G10417" t="s">
        <v>12</v>
      </c>
      <c r="I10417" t="s">
        <v>13</v>
      </c>
    </row>
    <row r="10418" spans="1:9" hidden="1" x14ac:dyDescent="0.25">
      <c r="A10418" t="s">
        <v>8640</v>
      </c>
      <c r="B10418" t="s">
        <v>70</v>
      </c>
      <c r="C10418" s="2">
        <f>HYPERLINK("https://cao.dolgi.msk.ru/account/1080029448/", 1080029448)</f>
        <v>1080029448</v>
      </c>
      <c r="D10418" t="s">
        <v>8660</v>
      </c>
      <c r="E10418">
        <v>-9028.34</v>
      </c>
      <c r="F10418">
        <v>-1.35</v>
      </c>
      <c r="G10418" t="s">
        <v>12</v>
      </c>
      <c r="I10418" t="s">
        <v>13</v>
      </c>
    </row>
    <row r="10419" spans="1:9" hidden="1" x14ac:dyDescent="0.25">
      <c r="A10419" t="s">
        <v>8640</v>
      </c>
      <c r="B10419" t="s">
        <v>72</v>
      </c>
      <c r="C10419" s="2">
        <f>HYPERLINK("https://cao.dolgi.msk.ru/account/1080029456/", 1080029456)</f>
        <v>1080029456</v>
      </c>
      <c r="D10419" t="s">
        <v>8661</v>
      </c>
      <c r="E10419">
        <v>0</v>
      </c>
      <c r="F10419">
        <v>0</v>
      </c>
      <c r="G10419" t="s">
        <v>12</v>
      </c>
      <c r="I10419" t="s">
        <v>13</v>
      </c>
    </row>
    <row r="10420" spans="1:9" hidden="1" x14ac:dyDescent="0.25">
      <c r="A10420" t="s">
        <v>8640</v>
      </c>
      <c r="B10420" t="s">
        <v>74</v>
      </c>
      <c r="C10420" s="2">
        <f>HYPERLINK("https://cao.dolgi.msk.ru/account/1080029464/", 1080029464)</f>
        <v>1080029464</v>
      </c>
      <c r="D10420" t="s">
        <v>8662</v>
      </c>
      <c r="E10420">
        <v>0</v>
      </c>
      <c r="F10420">
        <v>0</v>
      </c>
      <c r="G10420" t="s">
        <v>12</v>
      </c>
      <c r="I10420" t="s">
        <v>13</v>
      </c>
    </row>
    <row r="10421" spans="1:9" hidden="1" x14ac:dyDescent="0.25">
      <c r="A10421" t="s">
        <v>8640</v>
      </c>
      <c r="B10421" t="s">
        <v>76</v>
      </c>
      <c r="C10421" s="2">
        <f>HYPERLINK("https://cao.dolgi.msk.ru/account/1080029472/", 1080029472)</f>
        <v>1080029472</v>
      </c>
      <c r="D10421" t="s">
        <v>8663</v>
      </c>
      <c r="E10421">
        <v>0</v>
      </c>
      <c r="F10421">
        <v>0</v>
      </c>
      <c r="G10421" t="s">
        <v>12</v>
      </c>
      <c r="I10421" t="s">
        <v>13</v>
      </c>
    </row>
    <row r="10422" spans="1:9" hidden="1" x14ac:dyDescent="0.25">
      <c r="A10422" t="s">
        <v>8640</v>
      </c>
      <c r="B10422" t="s">
        <v>78</v>
      </c>
      <c r="C10422" s="2">
        <f>HYPERLINK("https://cao.dolgi.msk.ru/account/1080029499/", 1080029499)</f>
        <v>1080029499</v>
      </c>
      <c r="D10422" t="s">
        <v>8664</v>
      </c>
      <c r="E10422">
        <v>0</v>
      </c>
      <c r="F10422">
        <v>0</v>
      </c>
      <c r="G10422" t="s">
        <v>12</v>
      </c>
      <c r="I10422" t="s">
        <v>13</v>
      </c>
    </row>
    <row r="10423" spans="1:9" hidden="1" x14ac:dyDescent="0.25">
      <c r="A10423" t="s">
        <v>8640</v>
      </c>
      <c r="B10423" t="s">
        <v>80</v>
      </c>
      <c r="C10423" s="2">
        <f>HYPERLINK("https://cao.dolgi.msk.ru/account/1080029501/", 1080029501)</f>
        <v>1080029501</v>
      </c>
      <c r="D10423" t="s">
        <v>8665</v>
      </c>
      <c r="E10423">
        <v>-1949.86</v>
      </c>
      <c r="F10423">
        <v>-0.22</v>
      </c>
      <c r="G10423" t="s">
        <v>12</v>
      </c>
      <c r="I10423" t="s">
        <v>13</v>
      </c>
    </row>
    <row r="10424" spans="1:9" hidden="1" x14ac:dyDescent="0.25">
      <c r="A10424" t="s">
        <v>8666</v>
      </c>
      <c r="B10424" t="s">
        <v>10</v>
      </c>
      <c r="C10424" s="2">
        <f>HYPERLINK("https://cao.dolgi.msk.ru/account/1080023361/", 1080023361)</f>
        <v>1080023361</v>
      </c>
      <c r="D10424" t="s">
        <v>8667</v>
      </c>
      <c r="E10424">
        <v>-7754.53</v>
      </c>
      <c r="F10424">
        <v>-1.1100000000000001</v>
      </c>
      <c r="G10424" t="s">
        <v>12</v>
      </c>
      <c r="I10424" t="s">
        <v>13</v>
      </c>
    </row>
    <row r="10425" spans="1:9" hidden="1" x14ac:dyDescent="0.25">
      <c r="A10425" t="s">
        <v>8666</v>
      </c>
      <c r="B10425" t="s">
        <v>16</v>
      </c>
      <c r="C10425" s="2">
        <f>HYPERLINK("https://cao.dolgi.msk.ru/account/1080023388/", 1080023388)</f>
        <v>1080023388</v>
      </c>
      <c r="D10425" t="s">
        <v>8668</v>
      </c>
      <c r="E10425">
        <v>-5765.6</v>
      </c>
      <c r="F10425">
        <v>-1.1200000000000001</v>
      </c>
      <c r="G10425" t="s">
        <v>12</v>
      </c>
      <c r="I10425" t="s">
        <v>13</v>
      </c>
    </row>
    <row r="10426" spans="1:9" hidden="1" x14ac:dyDescent="0.25">
      <c r="A10426" t="s">
        <v>8666</v>
      </c>
      <c r="B10426" t="s">
        <v>18</v>
      </c>
      <c r="C10426" s="2">
        <f>HYPERLINK("https://cao.dolgi.msk.ru/account/1080023396/", 1080023396)</f>
        <v>1080023396</v>
      </c>
      <c r="D10426" t="s">
        <v>8669</v>
      </c>
      <c r="E10426">
        <v>-2228.3000000000002</v>
      </c>
      <c r="F10426">
        <v>-0.36</v>
      </c>
      <c r="G10426" t="s">
        <v>12</v>
      </c>
      <c r="I10426" t="s">
        <v>13</v>
      </c>
    </row>
    <row r="10427" spans="1:9" hidden="1" x14ac:dyDescent="0.25">
      <c r="A10427" t="s">
        <v>8666</v>
      </c>
      <c r="B10427" t="s">
        <v>20</v>
      </c>
      <c r="C10427" s="2">
        <f>HYPERLINK("https://cao.dolgi.msk.ru/account/1080023409/", 1080023409)</f>
        <v>1080023409</v>
      </c>
      <c r="D10427" t="s">
        <v>62</v>
      </c>
      <c r="E10427">
        <v>6037.03</v>
      </c>
      <c r="F10427">
        <v>1</v>
      </c>
      <c r="G10427" t="s">
        <v>12</v>
      </c>
      <c r="I10427" t="s">
        <v>13</v>
      </c>
    </row>
    <row r="10428" spans="1:9" hidden="1" x14ac:dyDescent="0.25">
      <c r="A10428" t="s">
        <v>8666</v>
      </c>
      <c r="B10428" t="s">
        <v>21</v>
      </c>
      <c r="C10428" s="2">
        <f>HYPERLINK("https://cao.dolgi.msk.ru/account/1080023417/", 1080023417)</f>
        <v>1080023417</v>
      </c>
      <c r="D10428" t="s">
        <v>8670</v>
      </c>
      <c r="E10428">
        <v>-8229.64</v>
      </c>
      <c r="F10428">
        <v>-1.0900000000000001</v>
      </c>
      <c r="G10428" t="s">
        <v>12</v>
      </c>
      <c r="I10428" t="s">
        <v>13</v>
      </c>
    </row>
    <row r="10429" spans="1:9" hidden="1" x14ac:dyDescent="0.25">
      <c r="A10429" t="s">
        <v>8666</v>
      </c>
      <c r="B10429" t="s">
        <v>22</v>
      </c>
      <c r="C10429" s="2">
        <f>HYPERLINK("https://cao.dolgi.msk.ru/account/1080023425/", 1080023425)</f>
        <v>1080023425</v>
      </c>
      <c r="D10429" t="s">
        <v>8671</v>
      </c>
      <c r="E10429">
        <v>-16695.740000000002</v>
      </c>
      <c r="F10429">
        <v>-2.84</v>
      </c>
      <c r="G10429" t="s">
        <v>12</v>
      </c>
      <c r="I10429" t="s">
        <v>13</v>
      </c>
    </row>
    <row r="10430" spans="1:9" hidden="1" x14ac:dyDescent="0.25">
      <c r="A10430" t="s">
        <v>8666</v>
      </c>
      <c r="B10430" t="s">
        <v>23</v>
      </c>
      <c r="C10430" s="2">
        <f>HYPERLINK("https://cao.dolgi.msk.ru/account/1080023433/", 1080023433)</f>
        <v>1080023433</v>
      </c>
      <c r="D10430" t="s">
        <v>8672</v>
      </c>
      <c r="E10430">
        <v>-6031.73</v>
      </c>
      <c r="F10430">
        <v>-0.98</v>
      </c>
      <c r="G10430" t="s">
        <v>12</v>
      </c>
      <c r="I10430" t="s">
        <v>13</v>
      </c>
    </row>
    <row r="10431" spans="1:9" hidden="1" x14ac:dyDescent="0.25">
      <c r="A10431" t="s">
        <v>8666</v>
      </c>
      <c r="B10431" t="s">
        <v>24</v>
      </c>
      <c r="C10431" s="2">
        <f>HYPERLINK("https://cao.dolgi.msk.ru/account/1080023441/", 1080023441)</f>
        <v>1080023441</v>
      </c>
      <c r="D10431" t="s">
        <v>8673</v>
      </c>
      <c r="E10431">
        <v>-5035.18</v>
      </c>
      <c r="F10431">
        <v>-0.99</v>
      </c>
      <c r="G10431" t="s">
        <v>12</v>
      </c>
      <c r="I10431" t="s">
        <v>13</v>
      </c>
    </row>
    <row r="10432" spans="1:9" hidden="1" x14ac:dyDescent="0.25">
      <c r="A10432" t="s">
        <v>8666</v>
      </c>
      <c r="B10432" t="s">
        <v>27</v>
      </c>
      <c r="C10432" s="2">
        <f>HYPERLINK("https://cao.dolgi.msk.ru/account/1080023468/", 1080023468)</f>
        <v>1080023468</v>
      </c>
      <c r="D10432" t="s">
        <v>8674</v>
      </c>
      <c r="E10432">
        <v>-8269.65</v>
      </c>
      <c r="F10432">
        <v>-1.07</v>
      </c>
      <c r="G10432" t="s">
        <v>12</v>
      </c>
      <c r="I10432" t="s">
        <v>13</v>
      </c>
    </row>
    <row r="10433" spans="1:9" hidden="1" x14ac:dyDescent="0.25">
      <c r="A10433" t="s">
        <v>8666</v>
      </c>
      <c r="B10433" t="s">
        <v>29</v>
      </c>
      <c r="C10433" s="2">
        <f>HYPERLINK("https://cao.dolgi.msk.ru/account/1080023476/", 1080023476)</f>
        <v>1080023476</v>
      </c>
      <c r="D10433" t="s">
        <v>8675</v>
      </c>
      <c r="E10433">
        <v>-4421.47</v>
      </c>
      <c r="F10433">
        <v>-1.02</v>
      </c>
      <c r="G10433" t="s">
        <v>12</v>
      </c>
      <c r="I10433" t="s">
        <v>13</v>
      </c>
    </row>
    <row r="10434" spans="1:9" hidden="1" x14ac:dyDescent="0.25">
      <c r="A10434" t="s">
        <v>8666</v>
      </c>
      <c r="B10434" t="s">
        <v>31</v>
      </c>
      <c r="C10434" s="2">
        <f>HYPERLINK("https://cao.dolgi.msk.ru/account/1080023484/", 1080023484)</f>
        <v>1080023484</v>
      </c>
      <c r="D10434" t="s">
        <v>62</v>
      </c>
      <c r="E10434">
        <v>-9981.39</v>
      </c>
      <c r="F10434">
        <v>-1.06</v>
      </c>
      <c r="G10434" t="s">
        <v>12</v>
      </c>
      <c r="I10434" t="s">
        <v>13</v>
      </c>
    </row>
    <row r="10435" spans="1:9" hidden="1" x14ac:dyDescent="0.25">
      <c r="A10435" t="s">
        <v>8666</v>
      </c>
      <c r="B10435" t="s">
        <v>33</v>
      </c>
      <c r="C10435" s="2">
        <f>HYPERLINK("https://cao.dolgi.msk.ru/account/1080023492/", 1080023492)</f>
        <v>1080023492</v>
      </c>
      <c r="D10435" t="s">
        <v>8676</v>
      </c>
      <c r="E10435">
        <v>12329.76</v>
      </c>
      <c r="F10435">
        <v>0.95</v>
      </c>
      <c r="G10435" t="s">
        <v>12</v>
      </c>
      <c r="I10435" t="s">
        <v>13</v>
      </c>
    </row>
    <row r="10436" spans="1:9" hidden="1" x14ac:dyDescent="0.25">
      <c r="A10436" t="s">
        <v>8666</v>
      </c>
      <c r="B10436" t="s">
        <v>34</v>
      </c>
      <c r="C10436" s="2">
        <f>HYPERLINK("https://cao.dolgi.msk.ru/account/1080023505/", 1080023505)</f>
        <v>1080023505</v>
      </c>
      <c r="D10436" t="s">
        <v>8677</v>
      </c>
      <c r="E10436">
        <v>-8055.58</v>
      </c>
      <c r="F10436">
        <v>-1.01</v>
      </c>
      <c r="G10436" t="s">
        <v>12</v>
      </c>
      <c r="I10436" t="s">
        <v>13</v>
      </c>
    </row>
    <row r="10437" spans="1:9" hidden="1" x14ac:dyDescent="0.25">
      <c r="A10437" t="s">
        <v>8666</v>
      </c>
      <c r="B10437" t="s">
        <v>36</v>
      </c>
      <c r="C10437" s="2">
        <f>HYPERLINK("https://cao.dolgi.msk.ru/account/1080023513/", 1080023513)</f>
        <v>1080023513</v>
      </c>
      <c r="D10437" t="s">
        <v>8678</v>
      </c>
      <c r="E10437">
        <v>-2894.48</v>
      </c>
      <c r="F10437">
        <v>-1.0900000000000001</v>
      </c>
      <c r="G10437" t="s">
        <v>12</v>
      </c>
      <c r="I10437" t="s">
        <v>13</v>
      </c>
    </row>
    <row r="10438" spans="1:9" hidden="1" x14ac:dyDescent="0.25">
      <c r="A10438" t="s">
        <v>8666</v>
      </c>
      <c r="B10438" t="s">
        <v>36</v>
      </c>
      <c r="C10438" s="2">
        <f>HYPERLINK("https://cao.dolgi.msk.ru/account/1083271424/", 1083271424)</f>
        <v>1083271424</v>
      </c>
      <c r="D10438" t="s">
        <v>15</v>
      </c>
      <c r="E10438">
        <v>-2927.8</v>
      </c>
      <c r="F10438">
        <v>-1.1100000000000001</v>
      </c>
      <c r="G10438" t="s">
        <v>12</v>
      </c>
      <c r="I10438" t="s">
        <v>13</v>
      </c>
    </row>
    <row r="10439" spans="1:9" hidden="1" x14ac:dyDescent="0.25">
      <c r="A10439" t="s">
        <v>8666</v>
      </c>
      <c r="B10439" t="s">
        <v>38</v>
      </c>
      <c r="C10439" s="2">
        <f>HYPERLINK("https://cao.dolgi.msk.ru/account/1080023521/", 1080023521)</f>
        <v>1080023521</v>
      </c>
      <c r="D10439" t="s">
        <v>8673</v>
      </c>
      <c r="E10439">
        <v>-6894.93</v>
      </c>
      <c r="F10439">
        <v>-1.07</v>
      </c>
      <c r="G10439" t="s">
        <v>12</v>
      </c>
      <c r="I10439" t="s">
        <v>13</v>
      </c>
    </row>
    <row r="10440" spans="1:9" hidden="1" x14ac:dyDescent="0.25">
      <c r="A10440" t="s">
        <v>8666</v>
      </c>
      <c r="B10440" t="s">
        <v>39</v>
      </c>
      <c r="C10440" s="2">
        <f>HYPERLINK("https://cao.dolgi.msk.ru/account/1080023548/", 1080023548)</f>
        <v>1080023548</v>
      </c>
      <c r="D10440" t="s">
        <v>8679</v>
      </c>
      <c r="E10440">
        <v>-8287.58</v>
      </c>
      <c r="F10440">
        <v>-1.05</v>
      </c>
      <c r="G10440" t="s">
        <v>12</v>
      </c>
      <c r="I10440" t="s">
        <v>13</v>
      </c>
    </row>
    <row r="10441" spans="1:9" hidden="1" x14ac:dyDescent="0.25">
      <c r="A10441" t="s">
        <v>8666</v>
      </c>
      <c r="B10441" t="s">
        <v>40</v>
      </c>
      <c r="C10441" s="2">
        <f>HYPERLINK("https://cao.dolgi.msk.ru/account/1080023556/", 1080023556)</f>
        <v>1080023556</v>
      </c>
      <c r="D10441" t="s">
        <v>8680</v>
      </c>
      <c r="E10441">
        <v>-5322.71</v>
      </c>
      <c r="F10441">
        <v>-0.8</v>
      </c>
      <c r="G10441" t="s">
        <v>12</v>
      </c>
      <c r="I10441" t="s">
        <v>13</v>
      </c>
    </row>
    <row r="10442" spans="1:9" hidden="1" x14ac:dyDescent="0.25">
      <c r="A10442" t="s">
        <v>8666</v>
      </c>
      <c r="B10442" t="s">
        <v>41</v>
      </c>
      <c r="C10442" s="2">
        <f>HYPERLINK("https://cao.dolgi.msk.ru/account/1080023564/", 1080023564)</f>
        <v>1080023564</v>
      </c>
      <c r="D10442" t="s">
        <v>8681</v>
      </c>
      <c r="E10442">
        <v>-7909.06</v>
      </c>
      <c r="F10442">
        <v>-1.02</v>
      </c>
      <c r="G10442" t="s">
        <v>12</v>
      </c>
      <c r="I10442" t="s">
        <v>13</v>
      </c>
    </row>
    <row r="10443" spans="1:9" hidden="1" x14ac:dyDescent="0.25">
      <c r="A10443" t="s">
        <v>8666</v>
      </c>
      <c r="B10443" t="s">
        <v>42</v>
      </c>
      <c r="C10443" s="2">
        <f>HYPERLINK("https://cao.dolgi.msk.ru/account/1080023572/", 1080023572)</f>
        <v>1080023572</v>
      </c>
      <c r="D10443" t="s">
        <v>8682</v>
      </c>
      <c r="E10443">
        <v>-6946.81</v>
      </c>
      <c r="F10443">
        <v>-1.04</v>
      </c>
      <c r="G10443" t="s">
        <v>12</v>
      </c>
      <c r="I10443" t="s">
        <v>13</v>
      </c>
    </row>
    <row r="10444" spans="1:9" hidden="1" x14ac:dyDescent="0.25">
      <c r="A10444" t="s">
        <v>8666</v>
      </c>
      <c r="B10444" t="s">
        <v>44</v>
      </c>
      <c r="C10444" s="2">
        <f>HYPERLINK("https://cao.dolgi.msk.ru/account/1080023599/", 1080023599)</f>
        <v>1080023599</v>
      </c>
      <c r="D10444" t="s">
        <v>8683</v>
      </c>
      <c r="E10444">
        <v>-7035.15</v>
      </c>
      <c r="F10444">
        <v>-1.05</v>
      </c>
      <c r="G10444" t="s">
        <v>12</v>
      </c>
      <c r="I10444" t="s">
        <v>13</v>
      </c>
    </row>
    <row r="10445" spans="1:9" hidden="1" x14ac:dyDescent="0.25">
      <c r="A10445" t="s">
        <v>8666</v>
      </c>
      <c r="B10445" t="s">
        <v>66</v>
      </c>
      <c r="C10445" s="2">
        <f>HYPERLINK("https://cao.dolgi.msk.ru/account/1080023601/", 1080023601)</f>
        <v>1080023601</v>
      </c>
      <c r="D10445" t="s">
        <v>1082</v>
      </c>
      <c r="E10445">
        <v>-15633.34</v>
      </c>
      <c r="F10445">
        <v>-1.05</v>
      </c>
      <c r="G10445" t="s">
        <v>12</v>
      </c>
      <c r="I10445" t="s">
        <v>13</v>
      </c>
    </row>
    <row r="10446" spans="1:9" hidden="1" x14ac:dyDescent="0.25">
      <c r="A10446" t="s">
        <v>8666</v>
      </c>
      <c r="B10446" t="s">
        <v>68</v>
      </c>
      <c r="C10446" s="2">
        <f>HYPERLINK("https://cao.dolgi.msk.ru/account/1080023628/", 1080023628)</f>
        <v>1080023628</v>
      </c>
      <c r="D10446" t="s">
        <v>1082</v>
      </c>
      <c r="E10446">
        <v>0</v>
      </c>
      <c r="G10446" t="s">
        <v>14</v>
      </c>
      <c r="I10446" t="s">
        <v>13</v>
      </c>
    </row>
    <row r="10447" spans="1:9" hidden="1" x14ac:dyDescent="0.25">
      <c r="A10447" t="s">
        <v>8666</v>
      </c>
      <c r="B10447" t="s">
        <v>70</v>
      </c>
      <c r="C10447" s="2">
        <f>HYPERLINK("https://cao.dolgi.msk.ru/account/1080023636/", 1080023636)</f>
        <v>1080023636</v>
      </c>
      <c r="D10447" t="s">
        <v>8684</v>
      </c>
      <c r="E10447">
        <v>-13592.74</v>
      </c>
      <c r="F10447">
        <v>-1.1100000000000001</v>
      </c>
      <c r="G10447" t="s">
        <v>12</v>
      </c>
      <c r="I10447" t="s">
        <v>13</v>
      </c>
    </row>
    <row r="10448" spans="1:9" hidden="1" x14ac:dyDescent="0.25">
      <c r="A10448" t="s">
        <v>8666</v>
      </c>
      <c r="B10448" t="s">
        <v>72</v>
      </c>
      <c r="C10448" s="2">
        <f>HYPERLINK("https://cao.dolgi.msk.ru/account/1080023644/", 1080023644)</f>
        <v>1080023644</v>
      </c>
      <c r="D10448" t="s">
        <v>8685</v>
      </c>
      <c r="E10448">
        <v>0</v>
      </c>
      <c r="F10448">
        <v>0</v>
      </c>
      <c r="G10448" t="s">
        <v>12</v>
      </c>
      <c r="I10448" t="s">
        <v>13</v>
      </c>
    </row>
    <row r="10449" spans="1:9" hidden="1" x14ac:dyDescent="0.25">
      <c r="A10449" t="s">
        <v>8666</v>
      </c>
      <c r="B10449" t="s">
        <v>74</v>
      </c>
      <c r="C10449" s="2">
        <f>HYPERLINK("https://cao.dolgi.msk.ru/account/1080023652/", 1080023652)</f>
        <v>1080023652</v>
      </c>
      <c r="D10449" t="s">
        <v>8686</v>
      </c>
      <c r="E10449">
        <v>-5258.27</v>
      </c>
      <c r="F10449">
        <v>-1.05</v>
      </c>
      <c r="G10449" t="s">
        <v>12</v>
      </c>
      <c r="I10449" t="s">
        <v>13</v>
      </c>
    </row>
    <row r="10450" spans="1:9" hidden="1" x14ac:dyDescent="0.25">
      <c r="A10450" t="s">
        <v>8666</v>
      </c>
      <c r="B10450" t="s">
        <v>76</v>
      </c>
      <c r="C10450" s="2">
        <f>HYPERLINK("https://cao.dolgi.msk.ru/account/1080023679/", 1080023679)</f>
        <v>1080023679</v>
      </c>
      <c r="D10450" t="s">
        <v>8687</v>
      </c>
      <c r="E10450">
        <v>-6916</v>
      </c>
      <c r="F10450">
        <v>-1.08</v>
      </c>
      <c r="G10450" t="s">
        <v>12</v>
      </c>
      <c r="I10450" t="s">
        <v>13</v>
      </c>
    </row>
    <row r="10451" spans="1:9" hidden="1" x14ac:dyDescent="0.25">
      <c r="A10451" t="s">
        <v>8666</v>
      </c>
      <c r="B10451" t="s">
        <v>78</v>
      </c>
      <c r="C10451" s="2">
        <f>HYPERLINK("https://cao.dolgi.msk.ru/account/1080023687/", 1080023687)</f>
        <v>1080023687</v>
      </c>
      <c r="D10451" t="s">
        <v>8688</v>
      </c>
      <c r="E10451">
        <v>-146.85</v>
      </c>
      <c r="F10451">
        <v>-0.03</v>
      </c>
      <c r="G10451" t="s">
        <v>12</v>
      </c>
      <c r="I10451" t="s">
        <v>13</v>
      </c>
    </row>
    <row r="10452" spans="1:9" hidden="1" x14ac:dyDescent="0.25">
      <c r="A10452" t="s">
        <v>8666</v>
      </c>
      <c r="B10452" t="s">
        <v>80</v>
      </c>
      <c r="C10452" s="2">
        <f>HYPERLINK("https://cao.dolgi.msk.ru/account/1080023695/", 1080023695)</f>
        <v>1080023695</v>
      </c>
      <c r="D10452" t="s">
        <v>8689</v>
      </c>
      <c r="E10452">
        <v>3775.83</v>
      </c>
      <c r="F10452">
        <v>0.76</v>
      </c>
      <c r="G10452" t="s">
        <v>12</v>
      </c>
      <c r="I10452" t="s">
        <v>13</v>
      </c>
    </row>
    <row r="10453" spans="1:9" hidden="1" x14ac:dyDescent="0.25">
      <c r="A10453" t="s">
        <v>8666</v>
      </c>
      <c r="B10453" t="s">
        <v>82</v>
      </c>
      <c r="C10453" s="2">
        <f>HYPERLINK("https://cao.dolgi.msk.ru/account/1080023708/", 1080023708)</f>
        <v>1080023708</v>
      </c>
      <c r="D10453" t="s">
        <v>8690</v>
      </c>
      <c r="E10453">
        <v>-9119.24</v>
      </c>
      <c r="F10453">
        <v>-1.1100000000000001</v>
      </c>
      <c r="G10453" t="s">
        <v>12</v>
      </c>
      <c r="I10453" t="s">
        <v>13</v>
      </c>
    </row>
    <row r="10454" spans="1:9" hidden="1" x14ac:dyDescent="0.25">
      <c r="A10454" t="s">
        <v>8666</v>
      </c>
      <c r="B10454" t="s">
        <v>82</v>
      </c>
      <c r="C10454" s="2">
        <f>HYPERLINK("https://cao.dolgi.msk.ru/account/1089125401/", 1089125401)</f>
        <v>1089125401</v>
      </c>
      <c r="D10454" t="s">
        <v>8690</v>
      </c>
      <c r="E10454">
        <v>0</v>
      </c>
      <c r="G10454" t="s">
        <v>14</v>
      </c>
      <c r="I10454" t="s">
        <v>13</v>
      </c>
    </row>
    <row r="10455" spans="1:9" hidden="1" x14ac:dyDescent="0.25">
      <c r="A10455" t="s">
        <v>8691</v>
      </c>
      <c r="B10455" t="s">
        <v>10</v>
      </c>
      <c r="C10455" s="2">
        <f>HYPERLINK("https://cao.dolgi.msk.ru/account/1080028947/", 1080028947)</f>
        <v>1080028947</v>
      </c>
      <c r="D10455" t="s">
        <v>8692</v>
      </c>
      <c r="E10455">
        <v>-112.06</v>
      </c>
      <c r="F10455">
        <v>-0.01</v>
      </c>
      <c r="G10455" t="s">
        <v>12</v>
      </c>
      <c r="I10455" t="s">
        <v>13</v>
      </c>
    </row>
    <row r="10456" spans="1:9" hidden="1" x14ac:dyDescent="0.25">
      <c r="A10456" t="s">
        <v>8691</v>
      </c>
      <c r="B10456" t="s">
        <v>16</v>
      </c>
      <c r="C10456" s="2">
        <f>HYPERLINK("https://cao.dolgi.msk.ru/account/1080028955/", 1080028955)</f>
        <v>1080028955</v>
      </c>
      <c r="D10456" t="s">
        <v>8693</v>
      </c>
      <c r="E10456">
        <v>-4058.73</v>
      </c>
      <c r="F10456">
        <v>-1.9</v>
      </c>
      <c r="G10456" t="s">
        <v>12</v>
      </c>
      <c r="I10456" t="s">
        <v>13</v>
      </c>
    </row>
    <row r="10457" spans="1:9" hidden="1" x14ac:dyDescent="0.25">
      <c r="A10457" t="s">
        <v>8691</v>
      </c>
      <c r="B10457" t="s">
        <v>18</v>
      </c>
      <c r="C10457" s="2">
        <f>HYPERLINK("https://cao.dolgi.msk.ru/account/1080028963/", 1080028963)</f>
        <v>1080028963</v>
      </c>
      <c r="D10457" t="s">
        <v>8694</v>
      </c>
      <c r="E10457">
        <v>-10190.94</v>
      </c>
      <c r="F10457">
        <v>-1.1200000000000001</v>
      </c>
      <c r="G10457" t="s">
        <v>12</v>
      </c>
      <c r="I10457" t="s">
        <v>13</v>
      </c>
    </row>
    <row r="10458" spans="1:9" hidden="1" x14ac:dyDescent="0.25">
      <c r="A10458" t="s">
        <v>8691</v>
      </c>
      <c r="B10458" t="s">
        <v>20</v>
      </c>
      <c r="C10458" s="2">
        <f>HYPERLINK("https://cao.dolgi.msk.ru/account/1080028971/", 1080028971)</f>
        <v>1080028971</v>
      </c>
      <c r="D10458" t="s">
        <v>8695</v>
      </c>
      <c r="E10458">
        <v>-8271.26</v>
      </c>
      <c r="F10458">
        <v>-1.19</v>
      </c>
      <c r="G10458" t="s">
        <v>12</v>
      </c>
      <c r="I10458" t="s">
        <v>13</v>
      </c>
    </row>
    <row r="10459" spans="1:9" hidden="1" x14ac:dyDescent="0.25">
      <c r="A10459" t="s">
        <v>8691</v>
      </c>
      <c r="B10459" t="s">
        <v>21</v>
      </c>
      <c r="C10459" s="2">
        <f>HYPERLINK("https://cao.dolgi.msk.ru/account/1080028998/", 1080028998)</f>
        <v>1080028998</v>
      </c>
      <c r="D10459" t="s">
        <v>8696</v>
      </c>
      <c r="E10459">
        <v>-3759.34</v>
      </c>
      <c r="F10459">
        <v>-1.29</v>
      </c>
      <c r="G10459" t="s">
        <v>12</v>
      </c>
      <c r="I10459" t="s">
        <v>13</v>
      </c>
    </row>
    <row r="10460" spans="1:9" hidden="1" x14ac:dyDescent="0.25">
      <c r="A10460" t="s">
        <v>8691</v>
      </c>
      <c r="B10460" t="s">
        <v>22</v>
      </c>
      <c r="C10460" s="2">
        <f>HYPERLINK("https://cao.dolgi.msk.ru/account/1080029018/", 1080029018)</f>
        <v>1080029018</v>
      </c>
      <c r="D10460" t="s">
        <v>8697</v>
      </c>
      <c r="E10460">
        <v>-5619.49</v>
      </c>
      <c r="F10460">
        <v>-1.08</v>
      </c>
      <c r="G10460" t="s">
        <v>12</v>
      </c>
      <c r="I10460" t="s">
        <v>13</v>
      </c>
    </row>
    <row r="10461" spans="1:9" hidden="1" x14ac:dyDescent="0.25">
      <c r="A10461" t="s">
        <v>8691</v>
      </c>
      <c r="B10461" t="s">
        <v>23</v>
      </c>
      <c r="C10461" s="2">
        <f>HYPERLINK("https://cao.dolgi.msk.ru/account/1080029026/", 1080029026)</f>
        <v>1080029026</v>
      </c>
      <c r="D10461" t="s">
        <v>8698</v>
      </c>
      <c r="E10461">
        <v>-80565.05</v>
      </c>
      <c r="F10461">
        <v>-9.64</v>
      </c>
      <c r="G10461" t="s">
        <v>12</v>
      </c>
      <c r="I10461" t="s">
        <v>13</v>
      </c>
    </row>
    <row r="10462" spans="1:9" hidden="1" x14ac:dyDescent="0.25">
      <c r="A10462" t="s">
        <v>8691</v>
      </c>
      <c r="B10462" t="s">
        <v>24</v>
      </c>
      <c r="C10462" s="2">
        <f>HYPERLINK("https://cao.dolgi.msk.ru/account/1080029034/", 1080029034)</f>
        <v>1080029034</v>
      </c>
      <c r="D10462" t="s">
        <v>736</v>
      </c>
      <c r="E10462">
        <v>0.9</v>
      </c>
      <c r="F10462">
        <v>0</v>
      </c>
      <c r="G10462" t="s">
        <v>12</v>
      </c>
      <c r="I10462" t="s">
        <v>13</v>
      </c>
    </row>
    <row r="10463" spans="1:9" hidden="1" x14ac:dyDescent="0.25">
      <c r="A10463" t="s">
        <v>8691</v>
      </c>
      <c r="B10463" t="s">
        <v>27</v>
      </c>
      <c r="C10463" s="2">
        <f>HYPERLINK("https://cao.dolgi.msk.ru/account/1080029042/", 1080029042)</f>
        <v>1080029042</v>
      </c>
      <c r="D10463" t="s">
        <v>8699</v>
      </c>
      <c r="E10463">
        <v>-6571.42</v>
      </c>
      <c r="F10463">
        <v>-1.1200000000000001</v>
      </c>
      <c r="G10463" t="s">
        <v>12</v>
      </c>
      <c r="I10463" t="s">
        <v>13</v>
      </c>
    </row>
    <row r="10464" spans="1:9" hidden="1" x14ac:dyDescent="0.25">
      <c r="A10464" t="s">
        <v>8691</v>
      </c>
      <c r="B10464" t="s">
        <v>29</v>
      </c>
      <c r="C10464" s="2">
        <f>HYPERLINK("https://cao.dolgi.msk.ru/account/1080029069/", 1080029069)</f>
        <v>1080029069</v>
      </c>
      <c r="D10464" t="s">
        <v>8700</v>
      </c>
      <c r="E10464">
        <v>-4583.57</v>
      </c>
      <c r="F10464">
        <v>-1.18</v>
      </c>
      <c r="G10464" t="s">
        <v>12</v>
      </c>
      <c r="I10464" t="s">
        <v>13</v>
      </c>
    </row>
    <row r="10465" spans="1:9" hidden="1" x14ac:dyDescent="0.25">
      <c r="A10465" t="s">
        <v>8691</v>
      </c>
      <c r="B10465" t="s">
        <v>31</v>
      </c>
      <c r="C10465" s="2">
        <f>HYPERLINK("https://cao.dolgi.msk.ru/account/1080029077/", 1080029077)</f>
        <v>1080029077</v>
      </c>
      <c r="D10465" t="s">
        <v>15</v>
      </c>
      <c r="E10465">
        <v>8023.28</v>
      </c>
      <c r="F10465">
        <v>0.75</v>
      </c>
      <c r="G10465" t="s">
        <v>12</v>
      </c>
      <c r="I10465" t="s">
        <v>13</v>
      </c>
    </row>
    <row r="10466" spans="1:9" hidden="1" x14ac:dyDescent="0.25">
      <c r="A10466" t="s">
        <v>8691</v>
      </c>
      <c r="B10466" t="s">
        <v>33</v>
      </c>
      <c r="C10466" s="2">
        <f>HYPERLINK("https://cao.dolgi.msk.ru/account/1080029085/", 1080029085)</f>
        <v>1080029085</v>
      </c>
      <c r="D10466" t="s">
        <v>8701</v>
      </c>
      <c r="E10466">
        <v>-13765.76</v>
      </c>
      <c r="F10466">
        <v>-1.1499999999999999</v>
      </c>
      <c r="G10466" t="s">
        <v>12</v>
      </c>
      <c r="I10466" t="s">
        <v>13</v>
      </c>
    </row>
    <row r="10467" spans="1:9" hidden="1" x14ac:dyDescent="0.25">
      <c r="A10467" t="s">
        <v>8691</v>
      </c>
      <c r="B10467" t="s">
        <v>34</v>
      </c>
      <c r="C10467" s="2">
        <f>HYPERLINK("https://cao.dolgi.msk.ru/account/1080029093/", 1080029093)</f>
        <v>1080029093</v>
      </c>
      <c r="D10467" t="s">
        <v>8702</v>
      </c>
      <c r="E10467">
        <v>-10430.66</v>
      </c>
      <c r="F10467">
        <v>-2.68</v>
      </c>
      <c r="G10467" t="s">
        <v>12</v>
      </c>
      <c r="I10467" t="s">
        <v>13</v>
      </c>
    </row>
    <row r="10468" spans="1:9" hidden="1" x14ac:dyDescent="0.25">
      <c r="A10468" t="s">
        <v>8691</v>
      </c>
      <c r="B10468" t="s">
        <v>36</v>
      </c>
      <c r="C10468" s="2">
        <f>HYPERLINK("https://cao.dolgi.msk.ru/account/1080029106/", 1080029106)</f>
        <v>1080029106</v>
      </c>
      <c r="D10468" t="s">
        <v>8703</v>
      </c>
      <c r="E10468">
        <v>-5868.28</v>
      </c>
      <c r="F10468">
        <v>-1.0900000000000001</v>
      </c>
      <c r="G10468" t="s">
        <v>12</v>
      </c>
      <c r="I10468" t="s">
        <v>13</v>
      </c>
    </row>
    <row r="10469" spans="1:9" hidden="1" x14ac:dyDescent="0.25">
      <c r="A10469" t="s">
        <v>8691</v>
      </c>
      <c r="B10469" t="s">
        <v>38</v>
      </c>
      <c r="C10469" s="2">
        <f>HYPERLINK("https://cao.dolgi.msk.ru/account/1080029114/", 1080029114)</f>
        <v>1080029114</v>
      </c>
      <c r="D10469" t="s">
        <v>62</v>
      </c>
      <c r="E10469">
        <v>-20288.3</v>
      </c>
      <c r="F10469">
        <v>-2.16</v>
      </c>
      <c r="G10469" t="s">
        <v>12</v>
      </c>
      <c r="I10469" t="s">
        <v>13</v>
      </c>
    </row>
    <row r="10470" spans="1:9" hidden="1" x14ac:dyDescent="0.25">
      <c r="A10470" t="s">
        <v>8691</v>
      </c>
      <c r="B10470" t="s">
        <v>39</v>
      </c>
      <c r="C10470" s="2">
        <f>HYPERLINK("https://cao.dolgi.msk.ru/account/1080029122/", 1080029122)</f>
        <v>1080029122</v>
      </c>
      <c r="D10470" t="s">
        <v>8704</v>
      </c>
      <c r="E10470">
        <v>-10487.27</v>
      </c>
      <c r="F10470">
        <v>-0.7</v>
      </c>
      <c r="G10470" t="s">
        <v>12</v>
      </c>
      <c r="I10470" t="s">
        <v>13</v>
      </c>
    </row>
    <row r="10471" spans="1:9" hidden="1" x14ac:dyDescent="0.25">
      <c r="A10471" t="s">
        <v>8691</v>
      </c>
      <c r="B10471" t="s">
        <v>40</v>
      </c>
      <c r="C10471" s="2">
        <f>HYPERLINK("https://cao.dolgi.msk.ru/account/1080029149/", 1080029149)</f>
        <v>1080029149</v>
      </c>
      <c r="D10471" t="s">
        <v>8705</v>
      </c>
      <c r="E10471">
        <v>-6522.75</v>
      </c>
      <c r="F10471">
        <v>-1.1299999999999999</v>
      </c>
      <c r="G10471" t="s">
        <v>12</v>
      </c>
      <c r="I10471" t="s">
        <v>13</v>
      </c>
    </row>
    <row r="10472" spans="1:9" hidden="1" x14ac:dyDescent="0.25">
      <c r="A10472" t="s">
        <v>8691</v>
      </c>
      <c r="B10472" t="s">
        <v>41</v>
      </c>
      <c r="C10472" s="2">
        <f>HYPERLINK("https://cao.dolgi.msk.ru/account/1080029157/", 1080029157)</f>
        <v>1080029157</v>
      </c>
      <c r="D10472" t="s">
        <v>8706</v>
      </c>
      <c r="E10472">
        <v>-0.63</v>
      </c>
      <c r="F10472">
        <v>0</v>
      </c>
      <c r="G10472" t="s">
        <v>12</v>
      </c>
      <c r="I10472" t="s">
        <v>13</v>
      </c>
    </row>
    <row r="10473" spans="1:9" hidden="1" x14ac:dyDescent="0.25">
      <c r="A10473" t="s">
        <v>8691</v>
      </c>
      <c r="B10473" t="s">
        <v>42</v>
      </c>
      <c r="C10473" s="2">
        <f>HYPERLINK("https://cao.dolgi.msk.ru/account/1080029165/", 1080029165)</f>
        <v>1080029165</v>
      </c>
      <c r="D10473" t="s">
        <v>8707</v>
      </c>
      <c r="E10473">
        <v>-10217.200000000001</v>
      </c>
      <c r="F10473">
        <v>-1.33</v>
      </c>
      <c r="G10473" t="s">
        <v>12</v>
      </c>
      <c r="I10473" t="s">
        <v>13</v>
      </c>
    </row>
    <row r="10474" spans="1:9" hidden="1" x14ac:dyDescent="0.25">
      <c r="A10474" t="s">
        <v>8708</v>
      </c>
      <c r="B10474" t="s">
        <v>10</v>
      </c>
      <c r="C10474" s="2">
        <f>HYPERLINK("https://cao.dolgi.msk.ru/account/1080021825/", 1080021825)</f>
        <v>1080021825</v>
      </c>
      <c r="D10474" t="s">
        <v>8709</v>
      </c>
      <c r="E10474">
        <v>-14421</v>
      </c>
      <c r="F10474">
        <v>-2.58</v>
      </c>
      <c r="G10474" t="s">
        <v>12</v>
      </c>
      <c r="I10474" t="s">
        <v>13</v>
      </c>
    </row>
    <row r="10475" spans="1:9" hidden="1" x14ac:dyDescent="0.25">
      <c r="A10475" t="s">
        <v>8708</v>
      </c>
      <c r="B10475" t="s">
        <v>16</v>
      </c>
      <c r="C10475" s="2">
        <f>HYPERLINK("https://cao.dolgi.msk.ru/account/1080021833/", 1080021833)</f>
        <v>1080021833</v>
      </c>
      <c r="D10475" t="s">
        <v>15</v>
      </c>
      <c r="G10475" t="s">
        <v>14</v>
      </c>
      <c r="I10475" t="s">
        <v>13</v>
      </c>
    </row>
    <row r="10476" spans="1:9" x14ac:dyDescent="0.25">
      <c r="A10476" t="s">
        <v>8708</v>
      </c>
      <c r="B10476" t="s">
        <v>18</v>
      </c>
      <c r="C10476" s="2">
        <f>HYPERLINK("https://cao.dolgi.msk.ru/account/1080021841/", 1080021841)</f>
        <v>1080021841</v>
      </c>
      <c r="D10476" t="s">
        <v>8710</v>
      </c>
      <c r="E10476">
        <v>10680.33</v>
      </c>
      <c r="F10476">
        <v>1.56</v>
      </c>
      <c r="G10476" t="s">
        <v>12</v>
      </c>
      <c r="I10476" t="s">
        <v>13</v>
      </c>
    </row>
    <row r="10477" spans="1:9" hidden="1" x14ac:dyDescent="0.25">
      <c r="A10477" t="s">
        <v>8708</v>
      </c>
      <c r="B10477" t="s">
        <v>20</v>
      </c>
      <c r="C10477" s="2">
        <f>HYPERLINK("https://cao.dolgi.msk.ru/account/1080021868/", 1080021868)</f>
        <v>1080021868</v>
      </c>
      <c r="D10477" t="s">
        <v>8711</v>
      </c>
      <c r="E10477">
        <v>4897.3900000000003</v>
      </c>
      <c r="F10477">
        <v>0.8</v>
      </c>
      <c r="G10477" t="s">
        <v>12</v>
      </c>
      <c r="I10477" t="s">
        <v>13</v>
      </c>
    </row>
    <row r="10478" spans="1:9" hidden="1" x14ac:dyDescent="0.25">
      <c r="A10478" t="s">
        <v>8708</v>
      </c>
      <c r="B10478" t="s">
        <v>21</v>
      </c>
      <c r="C10478" s="2">
        <f>HYPERLINK("https://cao.dolgi.msk.ru/account/1080021876/", 1080021876)</f>
        <v>1080021876</v>
      </c>
      <c r="D10478" t="s">
        <v>8712</v>
      </c>
      <c r="E10478">
        <v>-5028.7</v>
      </c>
      <c r="F10478">
        <v>-1.03</v>
      </c>
      <c r="G10478" t="s">
        <v>12</v>
      </c>
      <c r="I10478" t="s">
        <v>13</v>
      </c>
    </row>
    <row r="10479" spans="1:9" hidden="1" x14ac:dyDescent="0.25">
      <c r="A10479" t="s">
        <v>8708</v>
      </c>
      <c r="B10479" t="s">
        <v>22</v>
      </c>
      <c r="C10479" s="2">
        <f>HYPERLINK("https://cao.dolgi.msk.ru/account/1080021884/", 1080021884)</f>
        <v>1080021884</v>
      </c>
      <c r="D10479" t="s">
        <v>736</v>
      </c>
      <c r="E10479">
        <v>-7201.29</v>
      </c>
      <c r="F10479">
        <v>-1.04</v>
      </c>
      <c r="G10479" t="s">
        <v>12</v>
      </c>
      <c r="I10479" t="s">
        <v>13</v>
      </c>
    </row>
    <row r="10480" spans="1:9" hidden="1" x14ac:dyDescent="0.25">
      <c r="A10480" t="s">
        <v>8708</v>
      </c>
      <c r="B10480" t="s">
        <v>23</v>
      </c>
      <c r="C10480" s="2">
        <f>HYPERLINK("https://cao.dolgi.msk.ru/account/1080021892/", 1080021892)</f>
        <v>1080021892</v>
      </c>
      <c r="D10480" t="s">
        <v>8713</v>
      </c>
      <c r="E10480">
        <v>-6383.84</v>
      </c>
      <c r="F10480">
        <v>-1.06</v>
      </c>
      <c r="G10480" t="s">
        <v>12</v>
      </c>
      <c r="I10480" t="s">
        <v>13</v>
      </c>
    </row>
    <row r="10481" spans="1:9" hidden="1" x14ac:dyDescent="0.25">
      <c r="A10481" t="s">
        <v>8708</v>
      </c>
      <c r="B10481" t="s">
        <v>24</v>
      </c>
      <c r="C10481" s="2">
        <f>HYPERLINK("https://cao.dolgi.msk.ru/account/1080021905/", 1080021905)</f>
        <v>1080021905</v>
      </c>
      <c r="D10481" t="s">
        <v>8714</v>
      </c>
      <c r="E10481">
        <v>-4796.1499999999996</v>
      </c>
      <c r="F10481">
        <v>-0.92</v>
      </c>
      <c r="G10481" t="s">
        <v>12</v>
      </c>
      <c r="I10481" t="s">
        <v>13</v>
      </c>
    </row>
    <row r="10482" spans="1:9" hidden="1" x14ac:dyDescent="0.25">
      <c r="A10482" t="s">
        <v>8708</v>
      </c>
      <c r="B10482" t="s">
        <v>27</v>
      </c>
      <c r="C10482" s="2">
        <f>HYPERLINK("https://cao.dolgi.msk.ru/account/1080021913/", 1080021913)</f>
        <v>1080021913</v>
      </c>
      <c r="D10482" t="s">
        <v>1082</v>
      </c>
      <c r="E10482">
        <v>0</v>
      </c>
      <c r="F10482">
        <v>0</v>
      </c>
      <c r="G10482" t="s">
        <v>12</v>
      </c>
      <c r="I10482" t="s">
        <v>13</v>
      </c>
    </row>
    <row r="10483" spans="1:9" hidden="1" x14ac:dyDescent="0.25">
      <c r="A10483" t="s">
        <v>8708</v>
      </c>
      <c r="B10483" t="s">
        <v>29</v>
      </c>
      <c r="C10483" s="2">
        <f>HYPERLINK("https://cao.dolgi.msk.ru/account/1080021921/", 1080021921)</f>
        <v>1080021921</v>
      </c>
      <c r="D10483" t="s">
        <v>8715</v>
      </c>
      <c r="E10483">
        <v>-3942.98</v>
      </c>
      <c r="F10483">
        <v>-1.03</v>
      </c>
      <c r="G10483" t="s">
        <v>12</v>
      </c>
      <c r="I10483" t="s">
        <v>13</v>
      </c>
    </row>
    <row r="10484" spans="1:9" hidden="1" x14ac:dyDescent="0.25">
      <c r="A10484" t="s">
        <v>8708</v>
      </c>
      <c r="B10484" t="s">
        <v>31</v>
      </c>
      <c r="C10484" s="2">
        <f>HYPERLINK("https://cao.dolgi.msk.ru/account/1080021948/", 1080021948)</f>
        <v>1080021948</v>
      </c>
      <c r="D10484" t="s">
        <v>8716</v>
      </c>
      <c r="E10484">
        <v>-72.19</v>
      </c>
      <c r="F10484">
        <v>-0.01</v>
      </c>
      <c r="G10484" t="s">
        <v>12</v>
      </c>
      <c r="I10484" t="s">
        <v>13</v>
      </c>
    </row>
    <row r="10485" spans="1:9" hidden="1" x14ac:dyDescent="0.25">
      <c r="A10485" t="s">
        <v>8708</v>
      </c>
      <c r="B10485" t="s">
        <v>33</v>
      </c>
      <c r="C10485" s="2">
        <f>HYPERLINK("https://cao.dolgi.msk.ru/account/1080021956/", 1080021956)</f>
        <v>1080021956</v>
      </c>
      <c r="D10485" t="s">
        <v>8717</v>
      </c>
      <c r="E10485">
        <v>-3139.02</v>
      </c>
      <c r="F10485">
        <v>-0.66</v>
      </c>
      <c r="G10485" t="s">
        <v>12</v>
      </c>
      <c r="I10485" t="s">
        <v>13</v>
      </c>
    </row>
    <row r="10486" spans="1:9" hidden="1" x14ac:dyDescent="0.25">
      <c r="A10486" t="s">
        <v>8708</v>
      </c>
      <c r="B10486" t="s">
        <v>34</v>
      </c>
      <c r="C10486" s="2">
        <f>HYPERLINK("https://cao.dolgi.msk.ru/account/1080021964/", 1080021964)</f>
        <v>1080021964</v>
      </c>
      <c r="D10486" t="s">
        <v>8718</v>
      </c>
      <c r="E10486">
        <v>-8670.2999999999993</v>
      </c>
      <c r="F10486">
        <v>-1.87</v>
      </c>
      <c r="G10486" t="s">
        <v>12</v>
      </c>
      <c r="I10486" t="s">
        <v>13</v>
      </c>
    </row>
    <row r="10487" spans="1:9" hidden="1" x14ac:dyDescent="0.25">
      <c r="A10487" t="s">
        <v>8708</v>
      </c>
      <c r="B10487" t="s">
        <v>36</v>
      </c>
      <c r="C10487" s="2">
        <f>HYPERLINK("https://cao.dolgi.msk.ru/account/1080021972/", 1080021972)</f>
        <v>1080021972</v>
      </c>
      <c r="D10487" t="s">
        <v>8719</v>
      </c>
      <c r="E10487">
        <v>-6895.71</v>
      </c>
      <c r="F10487">
        <v>-2.0499999999999998</v>
      </c>
      <c r="G10487" t="s">
        <v>12</v>
      </c>
      <c r="I10487" t="s">
        <v>13</v>
      </c>
    </row>
    <row r="10488" spans="1:9" hidden="1" x14ac:dyDescent="0.25">
      <c r="A10488" t="s">
        <v>8708</v>
      </c>
      <c r="B10488" t="s">
        <v>38</v>
      </c>
      <c r="C10488" s="2">
        <f>HYPERLINK("https://cao.dolgi.msk.ru/account/1080021999/", 1080021999)</f>
        <v>1080021999</v>
      </c>
      <c r="D10488" t="s">
        <v>8720</v>
      </c>
      <c r="E10488">
        <v>-4676.79</v>
      </c>
      <c r="F10488">
        <v>-1.03</v>
      </c>
      <c r="G10488" t="s">
        <v>12</v>
      </c>
      <c r="I10488" t="s">
        <v>13</v>
      </c>
    </row>
    <row r="10489" spans="1:9" hidden="1" x14ac:dyDescent="0.25">
      <c r="A10489" t="s">
        <v>8708</v>
      </c>
      <c r="B10489" t="s">
        <v>39</v>
      </c>
      <c r="C10489" s="2">
        <f>HYPERLINK("https://cao.dolgi.msk.ru/account/1080022019/", 1080022019)</f>
        <v>1080022019</v>
      </c>
      <c r="D10489" t="s">
        <v>15</v>
      </c>
      <c r="E10489">
        <v>-5653.46</v>
      </c>
      <c r="F10489">
        <v>-1.18</v>
      </c>
      <c r="G10489" t="s">
        <v>12</v>
      </c>
      <c r="I10489" t="s">
        <v>13</v>
      </c>
    </row>
    <row r="10490" spans="1:9" hidden="1" x14ac:dyDescent="0.25">
      <c r="A10490" t="s">
        <v>8708</v>
      </c>
      <c r="B10490" t="s">
        <v>40</v>
      </c>
      <c r="C10490" s="2">
        <f>HYPERLINK("https://cao.dolgi.msk.ru/account/1080022027/", 1080022027)</f>
        <v>1080022027</v>
      </c>
      <c r="D10490" t="s">
        <v>8721</v>
      </c>
      <c r="E10490">
        <v>-4302.0200000000004</v>
      </c>
      <c r="F10490">
        <v>-1.06</v>
      </c>
      <c r="G10490" t="s">
        <v>12</v>
      </c>
      <c r="I10490" t="s">
        <v>13</v>
      </c>
    </row>
    <row r="10491" spans="1:9" hidden="1" x14ac:dyDescent="0.25">
      <c r="A10491" t="s">
        <v>8708</v>
      </c>
      <c r="B10491" t="s">
        <v>41</v>
      </c>
      <c r="C10491" s="2">
        <f>HYPERLINK("https://cao.dolgi.msk.ru/account/1080022035/", 1080022035)</f>
        <v>1080022035</v>
      </c>
      <c r="D10491" t="s">
        <v>8722</v>
      </c>
      <c r="E10491">
        <v>-7237.52</v>
      </c>
      <c r="F10491">
        <v>-1.01</v>
      </c>
      <c r="G10491" t="s">
        <v>12</v>
      </c>
      <c r="I10491" t="s">
        <v>13</v>
      </c>
    </row>
    <row r="10492" spans="1:9" hidden="1" x14ac:dyDescent="0.25">
      <c r="A10492" t="s">
        <v>8708</v>
      </c>
      <c r="B10492" t="s">
        <v>42</v>
      </c>
      <c r="C10492" s="2">
        <f>HYPERLINK("https://cao.dolgi.msk.ru/account/1080022043/", 1080022043)</f>
        <v>1080022043</v>
      </c>
      <c r="D10492" t="s">
        <v>8723</v>
      </c>
      <c r="E10492">
        <v>-3964.17</v>
      </c>
      <c r="F10492">
        <v>-1.04</v>
      </c>
      <c r="G10492" t="s">
        <v>12</v>
      </c>
      <c r="I10492" t="s">
        <v>13</v>
      </c>
    </row>
    <row r="10493" spans="1:9" hidden="1" x14ac:dyDescent="0.25">
      <c r="A10493" t="s">
        <v>8708</v>
      </c>
      <c r="B10493" t="s">
        <v>44</v>
      </c>
      <c r="C10493" s="2">
        <f>HYPERLINK("https://cao.dolgi.msk.ru/account/1080022051/", 1080022051)</f>
        <v>1080022051</v>
      </c>
      <c r="D10493" t="s">
        <v>8724</v>
      </c>
      <c r="E10493">
        <v>-10744.45</v>
      </c>
      <c r="F10493">
        <v>-1.03</v>
      </c>
      <c r="G10493" t="s">
        <v>12</v>
      </c>
      <c r="I10493" t="s">
        <v>13</v>
      </c>
    </row>
    <row r="10494" spans="1:9" hidden="1" x14ac:dyDescent="0.25">
      <c r="A10494" t="s">
        <v>8708</v>
      </c>
      <c r="B10494" t="s">
        <v>66</v>
      </c>
      <c r="C10494" s="2">
        <f>HYPERLINK("https://cao.dolgi.msk.ru/account/1080022078/", 1080022078)</f>
        <v>1080022078</v>
      </c>
      <c r="D10494" t="s">
        <v>8725</v>
      </c>
      <c r="E10494">
        <v>-9611.2900000000009</v>
      </c>
      <c r="F10494">
        <v>-2.21</v>
      </c>
      <c r="G10494" t="s">
        <v>12</v>
      </c>
      <c r="I10494" t="s">
        <v>13</v>
      </c>
    </row>
    <row r="10495" spans="1:9" hidden="1" x14ac:dyDescent="0.25">
      <c r="A10495" t="s">
        <v>8708</v>
      </c>
      <c r="B10495" t="s">
        <v>68</v>
      </c>
      <c r="C10495" s="2">
        <f>HYPERLINK("https://cao.dolgi.msk.ru/account/1080022086/", 1080022086)</f>
        <v>1080022086</v>
      </c>
      <c r="D10495" t="s">
        <v>8726</v>
      </c>
      <c r="E10495">
        <v>-5896.4</v>
      </c>
      <c r="F10495">
        <v>-0.99</v>
      </c>
      <c r="G10495" t="s">
        <v>12</v>
      </c>
      <c r="I10495" t="s">
        <v>13</v>
      </c>
    </row>
    <row r="10496" spans="1:9" hidden="1" x14ac:dyDescent="0.25">
      <c r="A10496" t="s">
        <v>8708</v>
      </c>
      <c r="B10496" t="s">
        <v>70</v>
      </c>
      <c r="C10496" s="2">
        <f>HYPERLINK("https://cao.dolgi.msk.ru/account/1080022094/", 1080022094)</f>
        <v>1080022094</v>
      </c>
      <c r="D10496" t="s">
        <v>8727</v>
      </c>
      <c r="E10496">
        <v>-6858.88</v>
      </c>
      <c r="F10496">
        <v>-1.03</v>
      </c>
      <c r="G10496" t="s">
        <v>12</v>
      </c>
      <c r="I10496" t="s">
        <v>13</v>
      </c>
    </row>
    <row r="10497" spans="1:9" hidden="1" x14ac:dyDescent="0.25">
      <c r="A10497" t="s">
        <v>8708</v>
      </c>
      <c r="B10497" t="s">
        <v>72</v>
      </c>
      <c r="C10497" s="2">
        <f>HYPERLINK("https://cao.dolgi.msk.ru/account/1080022107/", 1080022107)</f>
        <v>1080022107</v>
      </c>
      <c r="D10497" t="s">
        <v>8728</v>
      </c>
      <c r="E10497">
        <v>-7798.35</v>
      </c>
      <c r="F10497">
        <v>-1.05</v>
      </c>
      <c r="G10497" t="s">
        <v>12</v>
      </c>
      <c r="I10497" t="s">
        <v>13</v>
      </c>
    </row>
    <row r="10498" spans="1:9" hidden="1" x14ac:dyDescent="0.25">
      <c r="A10498" t="s">
        <v>8708</v>
      </c>
      <c r="B10498" t="s">
        <v>74</v>
      </c>
      <c r="C10498" s="2">
        <f>HYPERLINK("https://cao.dolgi.msk.ru/account/1080022115/", 1080022115)</f>
        <v>1080022115</v>
      </c>
      <c r="D10498" t="s">
        <v>8729</v>
      </c>
      <c r="E10498">
        <v>-6033.93</v>
      </c>
      <c r="F10498">
        <v>-1.05</v>
      </c>
      <c r="G10498" t="s">
        <v>12</v>
      </c>
      <c r="I10498" t="s">
        <v>13</v>
      </c>
    </row>
    <row r="10499" spans="1:9" hidden="1" x14ac:dyDescent="0.25">
      <c r="A10499" t="s">
        <v>8708</v>
      </c>
      <c r="B10499" t="s">
        <v>76</v>
      </c>
      <c r="C10499" s="2">
        <f>HYPERLINK("https://cao.dolgi.msk.ru/account/1080022123/", 1080022123)</f>
        <v>1080022123</v>
      </c>
      <c r="D10499" t="s">
        <v>8730</v>
      </c>
      <c r="E10499">
        <v>-4084.26</v>
      </c>
      <c r="F10499">
        <v>-1.5</v>
      </c>
      <c r="G10499" t="s">
        <v>12</v>
      </c>
      <c r="I10499" t="s">
        <v>13</v>
      </c>
    </row>
    <row r="10500" spans="1:9" hidden="1" x14ac:dyDescent="0.25">
      <c r="A10500" t="s">
        <v>8708</v>
      </c>
      <c r="B10500" t="s">
        <v>76</v>
      </c>
      <c r="C10500" s="2">
        <f>HYPERLINK("https://cao.dolgi.msk.ru/account/1089122745/", 1089122745)</f>
        <v>1089122745</v>
      </c>
      <c r="D10500" t="s">
        <v>8730</v>
      </c>
      <c r="E10500">
        <v>-7776.63</v>
      </c>
      <c r="F10500">
        <v>-1.96</v>
      </c>
      <c r="G10500" t="s">
        <v>12</v>
      </c>
      <c r="I10500" t="s">
        <v>13</v>
      </c>
    </row>
    <row r="10501" spans="1:9" hidden="1" x14ac:dyDescent="0.25">
      <c r="A10501" t="s">
        <v>8708</v>
      </c>
      <c r="B10501" t="s">
        <v>78</v>
      </c>
      <c r="C10501" s="2">
        <f>HYPERLINK("https://cao.dolgi.msk.ru/account/1080022131/", 1080022131)</f>
        <v>1080022131</v>
      </c>
      <c r="D10501" t="s">
        <v>8731</v>
      </c>
      <c r="E10501">
        <v>-4750.8900000000003</v>
      </c>
      <c r="F10501">
        <v>-1.1299999999999999</v>
      </c>
      <c r="G10501" t="s">
        <v>12</v>
      </c>
      <c r="I10501" t="s">
        <v>13</v>
      </c>
    </row>
    <row r="10502" spans="1:9" hidden="1" x14ac:dyDescent="0.25">
      <c r="A10502" t="s">
        <v>8708</v>
      </c>
      <c r="B10502" t="s">
        <v>80</v>
      </c>
      <c r="C10502" s="2">
        <f>HYPERLINK("https://cao.dolgi.msk.ru/account/1080022158/", 1080022158)</f>
        <v>1080022158</v>
      </c>
      <c r="D10502" t="s">
        <v>8732</v>
      </c>
      <c r="E10502">
        <v>58.2</v>
      </c>
      <c r="F10502">
        <v>0.01</v>
      </c>
      <c r="G10502" t="s">
        <v>12</v>
      </c>
      <c r="I10502" t="s">
        <v>13</v>
      </c>
    </row>
    <row r="10503" spans="1:9" hidden="1" x14ac:dyDescent="0.25">
      <c r="A10503" t="s">
        <v>8708</v>
      </c>
      <c r="B10503" t="s">
        <v>82</v>
      </c>
      <c r="C10503" s="2">
        <f>HYPERLINK("https://cao.dolgi.msk.ru/account/1080022166/", 1080022166)</f>
        <v>1080022166</v>
      </c>
      <c r="D10503" t="s">
        <v>8733</v>
      </c>
      <c r="E10503">
        <v>-3912.3</v>
      </c>
      <c r="F10503">
        <v>-1.1000000000000001</v>
      </c>
      <c r="G10503" t="s">
        <v>12</v>
      </c>
      <c r="I10503" t="s">
        <v>13</v>
      </c>
    </row>
    <row r="10504" spans="1:9" hidden="1" x14ac:dyDescent="0.25">
      <c r="A10504" t="s">
        <v>8708</v>
      </c>
      <c r="B10504" t="s">
        <v>84</v>
      </c>
      <c r="C10504" s="2">
        <f>HYPERLINK("https://cao.dolgi.msk.ru/account/1080022174/", 1080022174)</f>
        <v>1080022174</v>
      </c>
      <c r="D10504" t="s">
        <v>736</v>
      </c>
      <c r="E10504">
        <v>-99.12</v>
      </c>
      <c r="F10504">
        <v>-0.02</v>
      </c>
      <c r="G10504" t="s">
        <v>12</v>
      </c>
      <c r="I10504" t="s">
        <v>13</v>
      </c>
    </row>
    <row r="10505" spans="1:9" hidden="1" x14ac:dyDescent="0.25">
      <c r="A10505" t="s">
        <v>8708</v>
      </c>
      <c r="B10505" t="s">
        <v>86</v>
      </c>
      <c r="C10505" s="2">
        <f>HYPERLINK("https://cao.dolgi.msk.ru/account/1080022182/", 1080022182)</f>
        <v>1080022182</v>
      </c>
      <c r="D10505" t="s">
        <v>8734</v>
      </c>
      <c r="E10505">
        <v>-22584.73</v>
      </c>
      <c r="F10505">
        <v>-3.07</v>
      </c>
      <c r="G10505" t="s">
        <v>12</v>
      </c>
      <c r="I10505" t="s">
        <v>13</v>
      </c>
    </row>
    <row r="10506" spans="1:9" hidden="1" x14ac:dyDescent="0.25">
      <c r="A10506" t="s">
        <v>8708</v>
      </c>
      <c r="B10506" t="s">
        <v>88</v>
      </c>
      <c r="C10506" s="2">
        <f>HYPERLINK("https://cao.dolgi.msk.ru/account/1080022203/", 1080022203)</f>
        <v>1080022203</v>
      </c>
      <c r="D10506" t="s">
        <v>8735</v>
      </c>
      <c r="E10506">
        <v>-7327.67</v>
      </c>
      <c r="F10506">
        <v>-1.02</v>
      </c>
      <c r="G10506" t="s">
        <v>12</v>
      </c>
      <c r="I10506" t="s">
        <v>13</v>
      </c>
    </row>
    <row r="10507" spans="1:9" hidden="1" x14ac:dyDescent="0.25">
      <c r="A10507" t="s">
        <v>8708</v>
      </c>
      <c r="B10507" t="s">
        <v>90</v>
      </c>
      <c r="C10507" s="2">
        <f>HYPERLINK("https://cao.dolgi.msk.ru/account/1080022211/", 1080022211)</f>
        <v>1080022211</v>
      </c>
      <c r="D10507" t="s">
        <v>8736</v>
      </c>
      <c r="E10507">
        <v>-10523.18</v>
      </c>
      <c r="F10507">
        <v>-0.97</v>
      </c>
      <c r="G10507" t="s">
        <v>12</v>
      </c>
      <c r="I10507" t="s">
        <v>13</v>
      </c>
    </row>
    <row r="10508" spans="1:9" hidden="1" x14ac:dyDescent="0.25">
      <c r="A10508" t="s">
        <v>8708</v>
      </c>
      <c r="B10508" t="s">
        <v>92</v>
      </c>
      <c r="C10508" s="2">
        <f>HYPERLINK("https://cao.dolgi.msk.ru/account/1080022238/", 1080022238)</f>
        <v>1080022238</v>
      </c>
      <c r="D10508" t="s">
        <v>736</v>
      </c>
      <c r="E10508">
        <v>161.6</v>
      </c>
      <c r="F10508">
        <v>0.02</v>
      </c>
      <c r="G10508" t="s">
        <v>12</v>
      </c>
      <c r="I10508" t="s">
        <v>13</v>
      </c>
    </row>
    <row r="10509" spans="1:9" hidden="1" x14ac:dyDescent="0.25">
      <c r="A10509" t="s">
        <v>8708</v>
      </c>
      <c r="B10509" t="s">
        <v>94</v>
      </c>
      <c r="C10509" s="2">
        <f>HYPERLINK("https://cao.dolgi.msk.ru/account/1080022246/", 1080022246)</f>
        <v>1080022246</v>
      </c>
      <c r="D10509" t="s">
        <v>8737</v>
      </c>
      <c r="E10509">
        <v>-6683.2</v>
      </c>
      <c r="F10509">
        <v>-1</v>
      </c>
      <c r="G10509" t="s">
        <v>12</v>
      </c>
      <c r="I10509" t="s">
        <v>13</v>
      </c>
    </row>
    <row r="10510" spans="1:9" hidden="1" x14ac:dyDescent="0.25">
      <c r="A10510" t="s">
        <v>8708</v>
      </c>
      <c r="B10510" t="s">
        <v>96</v>
      </c>
      <c r="C10510" s="2">
        <f>HYPERLINK("https://cao.dolgi.msk.ru/account/1080022254/", 1080022254)</f>
        <v>1080022254</v>
      </c>
      <c r="D10510" t="s">
        <v>8738</v>
      </c>
      <c r="E10510">
        <v>-8173.06</v>
      </c>
      <c r="F10510">
        <v>-1.04</v>
      </c>
      <c r="G10510" t="s">
        <v>12</v>
      </c>
      <c r="I10510" t="s">
        <v>13</v>
      </c>
    </row>
    <row r="10511" spans="1:9" hidden="1" x14ac:dyDescent="0.25">
      <c r="A10511" t="s">
        <v>8708</v>
      </c>
      <c r="B10511" t="s">
        <v>98</v>
      </c>
      <c r="C10511" s="2">
        <f>HYPERLINK("https://cao.dolgi.msk.ru/account/1080022262/", 1080022262)</f>
        <v>1080022262</v>
      </c>
      <c r="D10511" t="s">
        <v>8739</v>
      </c>
      <c r="E10511">
        <v>141.55000000000001</v>
      </c>
      <c r="F10511">
        <v>0.01</v>
      </c>
      <c r="G10511" t="s">
        <v>12</v>
      </c>
      <c r="I10511" t="s">
        <v>13</v>
      </c>
    </row>
    <row r="10512" spans="1:9" hidden="1" x14ac:dyDescent="0.25">
      <c r="A10512" t="s">
        <v>8708</v>
      </c>
      <c r="B10512" t="s">
        <v>100</v>
      </c>
      <c r="C10512" s="2">
        <f>HYPERLINK("https://cao.dolgi.msk.ru/account/1080022289/", 1080022289)</f>
        <v>1080022289</v>
      </c>
      <c r="D10512" t="s">
        <v>8740</v>
      </c>
      <c r="E10512">
        <v>-1726.01</v>
      </c>
      <c r="F10512">
        <v>-0.23</v>
      </c>
      <c r="G10512" t="s">
        <v>12</v>
      </c>
      <c r="I10512" t="s">
        <v>13</v>
      </c>
    </row>
    <row r="10513" spans="1:9" hidden="1" x14ac:dyDescent="0.25">
      <c r="A10513" t="s">
        <v>8708</v>
      </c>
      <c r="B10513" t="s">
        <v>102</v>
      </c>
      <c r="C10513" s="2">
        <f>HYPERLINK("https://cao.dolgi.msk.ru/account/1080022297/", 1080022297)</f>
        <v>1080022297</v>
      </c>
      <c r="D10513" t="s">
        <v>8741</v>
      </c>
      <c r="E10513">
        <v>0</v>
      </c>
      <c r="F10513">
        <v>0</v>
      </c>
      <c r="G10513" t="s">
        <v>12</v>
      </c>
      <c r="I10513" t="s">
        <v>13</v>
      </c>
    </row>
    <row r="10514" spans="1:9" hidden="1" x14ac:dyDescent="0.25">
      <c r="A10514" t="s">
        <v>8708</v>
      </c>
      <c r="B10514" t="s">
        <v>104</v>
      </c>
      <c r="C10514" s="2">
        <f>HYPERLINK("https://cao.dolgi.msk.ru/account/1080022318/", 1080022318)</f>
        <v>1080022318</v>
      </c>
      <c r="D10514" t="s">
        <v>8742</v>
      </c>
      <c r="E10514">
        <v>-204</v>
      </c>
      <c r="F10514">
        <v>-0.03</v>
      </c>
      <c r="G10514" t="s">
        <v>12</v>
      </c>
      <c r="I10514" t="s">
        <v>13</v>
      </c>
    </row>
    <row r="10515" spans="1:9" hidden="1" x14ac:dyDescent="0.25">
      <c r="A10515" t="s">
        <v>8708</v>
      </c>
      <c r="B10515" t="s">
        <v>104</v>
      </c>
      <c r="C10515" s="2">
        <f>HYPERLINK("https://cao.dolgi.msk.ru/account/1080022326/", 1080022326)</f>
        <v>1080022326</v>
      </c>
      <c r="D10515" t="s">
        <v>1082</v>
      </c>
      <c r="E10515">
        <v>0</v>
      </c>
      <c r="G10515" t="s">
        <v>14</v>
      </c>
      <c r="I10515" t="s">
        <v>13</v>
      </c>
    </row>
    <row r="10516" spans="1:9" hidden="1" x14ac:dyDescent="0.25">
      <c r="A10516" t="s">
        <v>8708</v>
      </c>
      <c r="B10516" t="s">
        <v>106</v>
      </c>
      <c r="C10516" s="2">
        <f>HYPERLINK("https://cao.dolgi.msk.ru/account/1080022334/", 1080022334)</f>
        <v>1080022334</v>
      </c>
      <c r="D10516" t="s">
        <v>8743</v>
      </c>
      <c r="E10516">
        <v>-486.68</v>
      </c>
      <c r="F10516">
        <v>-0.06</v>
      </c>
      <c r="G10516" t="s">
        <v>12</v>
      </c>
      <c r="I10516" t="s">
        <v>13</v>
      </c>
    </row>
    <row r="10517" spans="1:9" hidden="1" x14ac:dyDescent="0.25">
      <c r="A10517" t="s">
        <v>8708</v>
      </c>
      <c r="B10517" t="s">
        <v>108</v>
      </c>
      <c r="C10517" s="2">
        <f>HYPERLINK("https://cao.dolgi.msk.ru/account/1080022342/", 1080022342)</f>
        <v>1080022342</v>
      </c>
      <c r="D10517" t="s">
        <v>15</v>
      </c>
      <c r="E10517">
        <v>-410.05</v>
      </c>
      <c r="G10517" t="s">
        <v>14</v>
      </c>
      <c r="I10517" t="s">
        <v>13</v>
      </c>
    </row>
    <row r="10518" spans="1:9" x14ac:dyDescent="0.25">
      <c r="A10518" t="s">
        <v>8708</v>
      </c>
      <c r="B10518" t="s">
        <v>108</v>
      </c>
      <c r="C10518" s="2">
        <f>HYPERLINK("https://cao.dolgi.msk.ru/account/1080022369/", 1080022369)</f>
        <v>1080022369</v>
      </c>
      <c r="D10518" t="s">
        <v>8744</v>
      </c>
      <c r="E10518">
        <v>41737.300000000003</v>
      </c>
      <c r="F10518">
        <v>3.32</v>
      </c>
      <c r="G10518" t="s">
        <v>12</v>
      </c>
      <c r="I10518" t="s">
        <v>13</v>
      </c>
    </row>
    <row r="10519" spans="1:9" hidden="1" x14ac:dyDescent="0.25">
      <c r="A10519" t="s">
        <v>8708</v>
      </c>
      <c r="B10519" t="s">
        <v>8745</v>
      </c>
      <c r="C10519" s="2">
        <f>HYPERLINK("https://cao.dolgi.msk.ru/account/1080022377/", 1080022377)</f>
        <v>1080022377</v>
      </c>
      <c r="D10519" t="s">
        <v>15</v>
      </c>
      <c r="E10519">
        <v>-11260.03</v>
      </c>
      <c r="F10519">
        <v>-1.08</v>
      </c>
      <c r="G10519" t="s">
        <v>12</v>
      </c>
      <c r="I10519" t="s">
        <v>13</v>
      </c>
    </row>
    <row r="10520" spans="1:9" hidden="1" x14ac:dyDescent="0.25">
      <c r="A10520" t="s">
        <v>8708</v>
      </c>
      <c r="B10520" t="s">
        <v>112</v>
      </c>
      <c r="C10520" s="2">
        <f>HYPERLINK("https://cao.dolgi.msk.ru/account/1080022393/", 1080022393)</f>
        <v>1080022393</v>
      </c>
      <c r="D10520" t="s">
        <v>8746</v>
      </c>
      <c r="E10520">
        <v>-3057.79</v>
      </c>
      <c r="F10520">
        <v>-1.28</v>
      </c>
      <c r="G10520" t="s">
        <v>12</v>
      </c>
      <c r="I10520" t="s">
        <v>13</v>
      </c>
    </row>
    <row r="10521" spans="1:9" hidden="1" x14ac:dyDescent="0.25">
      <c r="A10521" t="s">
        <v>8708</v>
      </c>
      <c r="B10521" t="s">
        <v>114</v>
      </c>
      <c r="C10521" s="2">
        <f>HYPERLINK("https://cao.dolgi.msk.ru/account/1080022406/", 1080022406)</f>
        <v>1080022406</v>
      </c>
      <c r="D10521" t="s">
        <v>15</v>
      </c>
      <c r="E10521">
        <v>0</v>
      </c>
      <c r="G10521" t="s">
        <v>14</v>
      </c>
      <c r="I10521" t="s">
        <v>13</v>
      </c>
    </row>
    <row r="10522" spans="1:9" hidden="1" x14ac:dyDescent="0.25">
      <c r="A10522" t="s">
        <v>8708</v>
      </c>
      <c r="B10522" t="s">
        <v>116</v>
      </c>
      <c r="C10522" s="2">
        <f>HYPERLINK("https://cao.dolgi.msk.ru/account/1080022414/", 1080022414)</f>
        <v>1080022414</v>
      </c>
      <c r="D10522" t="s">
        <v>8747</v>
      </c>
      <c r="E10522">
        <v>-4775.59</v>
      </c>
      <c r="F10522">
        <v>-0.97</v>
      </c>
      <c r="G10522" t="s">
        <v>12</v>
      </c>
      <c r="I10522" t="s">
        <v>13</v>
      </c>
    </row>
    <row r="10523" spans="1:9" hidden="1" x14ac:dyDescent="0.25">
      <c r="A10523" t="s">
        <v>8708</v>
      </c>
      <c r="B10523" t="s">
        <v>118</v>
      </c>
      <c r="C10523" s="2">
        <f>HYPERLINK("https://cao.dolgi.msk.ru/account/1080022422/", 1080022422)</f>
        <v>1080022422</v>
      </c>
      <c r="D10523" t="s">
        <v>8748</v>
      </c>
      <c r="E10523">
        <v>-7664.55</v>
      </c>
      <c r="F10523">
        <v>-1.08</v>
      </c>
      <c r="G10523" t="s">
        <v>12</v>
      </c>
      <c r="I10523" t="s">
        <v>13</v>
      </c>
    </row>
    <row r="10524" spans="1:9" hidden="1" x14ac:dyDescent="0.25">
      <c r="A10524" t="s">
        <v>8708</v>
      </c>
      <c r="B10524" t="s">
        <v>120</v>
      </c>
      <c r="C10524" s="2">
        <f>HYPERLINK("https://cao.dolgi.msk.ru/account/1080022449/", 1080022449)</f>
        <v>1080022449</v>
      </c>
      <c r="D10524" t="s">
        <v>8749</v>
      </c>
      <c r="E10524">
        <v>-7176.47</v>
      </c>
      <c r="F10524">
        <v>-1.07</v>
      </c>
      <c r="G10524" t="s">
        <v>12</v>
      </c>
      <c r="I10524" t="s">
        <v>13</v>
      </c>
    </row>
    <row r="10525" spans="1:9" hidden="1" x14ac:dyDescent="0.25">
      <c r="A10525" t="s">
        <v>8708</v>
      </c>
      <c r="B10525" t="s">
        <v>122</v>
      </c>
      <c r="C10525" s="2">
        <f>HYPERLINK("https://cao.dolgi.msk.ru/account/1080022457/", 1080022457)</f>
        <v>1080022457</v>
      </c>
      <c r="D10525" t="s">
        <v>8750</v>
      </c>
      <c r="E10525">
        <v>-691.02</v>
      </c>
      <c r="F10525">
        <v>-0.13</v>
      </c>
      <c r="G10525" t="s">
        <v>12</v>
      </c>
      <c r="I10525" t="s">
        <v>13</v>
      </c>
    </row>
    <row r="10526" spans="1:9" hidden="1" x14ac:dyDescent="0.25">
      <c r="A10526" t="s">
        <v>8708</v>
      </c>
      <c r="B10526" t="s">
        <v>124</v>
      </c>
      <c r="C10526" s="2">
        <f>HYPERLINK("https://cao.dolgi.msk.ru/account/1080022465/", 1080022465)</f>
        <v>1080022465</v>
      </c>
      <c r="D10526" t="s">
        <v>8751</v>
      </c>
      <c r="E10526">
        <v>-3628.53</v>
      </c>
      <c r="F10526">
        <v>-1.1299999999999999</v>
      </c>
      <c r="G10526" t="s">
        <v>12</v>
      </c>
      <c r="I10526" t="s">
        <v>13</v>
      </c>
    </row>
    <row r="10527" spans="1:9" x14ac:dyDescent="0.25">
      <c r="A10527" t="s">
        <v>8708</v>
      </c>
      <c r="B10527" t="s">
        <v>126</v>
      </c>
      <c r="C10527" s="2">
        <f>HYPERLINK("https://cao.dolgi.msk.ru/account/1080022473/", 1080022473)</f>
        <v>1080022473</v>
      </c>
      <c r="D10527" t="s">
        <v>8752</v>
      </c>
      <c r="E10527">
        <v>68282.61</v>
      </c>
      <c r="F10527">
        <v>14.15</v>
      </c>
      <c r="G10527" t="s">
        <v>12</v>
      </c>
      <c r="I10527" t="s">
        <v>13</v>
      </c>
    </row>
    <row r="10528" spans="1:9" hidden="1" x14ac:dyDescent="0.25">
      <c r="A10528" t="s">
        <v>8708</v>
      </c>
      <c r="B10528" t="s">
        <v>128</v>
      </c>
      <c r="C10528" s="2">
        <f>HYPERLINK("https://cao.dolgi.msk.ru/account/1080022481/", 1080022481)</f>
        <v>1080022481</v>
      </c>
      <c r="D10528" t="s">
        <v>8753</v>
      </c>
      <c r="E10528">
        <v>-9314.4599999999991</v>
      </c>
      <c r="F10528">
        <v>-1.06</v>
      </c>
      <c r="G10528" t="s">
        <v>12</v>
      </c>
      <c r="I10528" t="s">
        <v>13</v>
      </c>
    </row>
    <row r="10529" spans="1:9" hidden="1" x14ac:dyDescent="0.25">
      <c r="A10529" t="s">
        <v>8708</v>
      </c>
      <c r="B10529" t="s">
        <v>130</v>
      </c>
      <c r="C10529" s="2">
        <f>HYPERLINK("https://cao.dolgi.msk.ru/account/1080022502/", 1080022502)</f>
        <v>1080022502</v>
      </c>
      <c r="D10529" t="s">
        <v>8754</v>
      </c>
      <c r="E10529">
        <v>-5612.68</v>
      </c>
      <c r="F10529">
        <v>-1.08</v>
      </c>
      <c r="G10529" t="s">
        <v>12</v>
      </c>
      <c r="I10529" t="s">
        <v>13</v>
      </c>
    </row>
    <row r="10530" spans="1:9" hidden="1" x14ac:dyDescent="0.25">
      <c r="A10530" t="s">
        <v>8708</v>
      </c>
      <c r="B10530" t="s">
        <v>132</v>
      </c>
      <c r="C10530" s="2">
        <f>HYPERLINK("https://cao.dolgi.msk.ru/account/1080022529/", 1080022529)</f>
        <v>1080022529</v>
      </c>
      <c r="D10530" t="s">
        <v>8755</v>
      </c>
      <c r="E10530">
        <v>-5159</v>
      </c>
      <c r="F10530">
        <v>-1.0900000000000001</v>
      </c>
      <c r="G10530" t="s">
        <v>12</v>
      </c>
      <c r="I10530" t="s">
        <v>13</v>
      </c>
    </row>
    <row r="10531" spans="1:9" hidden="1" x14ac:dyDescent="0.25">
      <c r="A10531" t="s">
        <v>8708</v>
      </c>
      <c r="B10531" t="s">
        <v>133</v>
      </c>
      <c r="C10531" s="2">
        <f>HYPERLINK("https://cao.dolgi.msk.ru/account/1080022537/", 1080022537)</f>
        <v>1080022537</v>
      </c>
      <c r="D10531" t="s">
        <v>8756</v>
      </c>
      <c r="E10531">
        <v>-7004.39</v>
      </c>
      <c r="F10531">
        <v>-1.08</v>
      </c>
      <c r="G10531" t="s">
        <v>12</v>
      </c>
      <c r="I10531" t="s">
        <v>13</v>
      </c>
    </row>
    <row r="10532" spans="1:9" hidden="1" x14ac:dyDescent="0.25">
      <c r="A10532" t="s">
        <v>8708</v>
      </c>
      <c r="B10532" t="s">
        <v>135</v>
      </c>
      <c r="C10532" s="2">
        <f>HYPERLINK("https://cao.dolgi.msk.ru/account/1080022545/", 1080022545)</f>
        <v>1080022545</v>
      </c>
      <c r="D10532" t="s">
        <v>8757</v>
      </c>
      <c r="E10532">
        <v>-4925.8999999999996</v>
      </c>
      <c r="F10532">
        <v>-1.1200000000000001</v>
      </c>
      <c r="G10532" t="s">
        <v>12</v>
      </c>
      <c r="I10532" t="s">
        <v>13</v>
      </c>
    </row>
    <row r="10533" spans="1:9" hidden="1" x14ac:dyDescent="0.25">
      <c r="A10533" t="s">
        <v>8758</v>
      </c>
      <c r="B10533" t="s">
        <v>20</v>
      </c>
      <c r="C10533" s="2">
        <f>HYPERLINK("https://cao.dolgi.msk.ru/account/1080325335/", 1080325335)</f>
        <v>1080325335</v>
      </c>
      <c r="D10533" t="s">
        <v>15</v>
      </c>
      <c r="E10533">
        <v>-73.11</v>
      </c>
      <c r="G10533" t="s">
        <v>14</v>
      </c>
      <c r="I10533" t="s">
        <v>13</v>
      </c>
    </row>
    <row r="10534" spans="1:9" hidden="1" x14ac:dyDescent="0.25">
      <c r="A10534" t="s">
        <v>8758</v>
      </c>
      <c r="B10534" t="s">
        <v>20</v>
      </c>
      <c r="C10534" s="2">
        <f>HYPERLINK("https://cao.dolgi.msk.ru/account/1083387005/", 1083387005)</f>
        <v>1083387005</v>
      </c>
      <c r="D10534" t="s">
        <v>15</v>
      </c>
      <c r="E10534">
        <v>-84</v>
      </c>
      <c r="F10534">
        <v>-0.02</v>
      </c>
      <c r="G10534" t="s">
        <v>12</v>
      </c>
      <c r="I10534" t="s">
        <v>13</v>
      </c>
    </row>
    <row r="10535" spans="1:9" hidden="1" x14ac:dyDescent="0.25">
      <c r="A10535" t="s">
        <v>8758</v>
      </c>
      <c r="B10535" t="s">
        <v>240</v>
      </c>
      <c r="C10535" s="2">
        <f>HYPERLINK("https://cao.dolgi.msk.ru/account/1080325343/", 1080325343)</f>
        <v>1080325343</v>
      </c>
      <c r="D10535" t="s">
        <v>15</v>
      </c>
      <c r="E10535">
        <v>0</v>
      </c>
      <c r="G10535" t="s">
        <v>14</v>
      </c>
      <c r="I10535" t="s">
        <v>13</v>
      </c>
    </row>
    <row r="10536" spans="1:9" hidden="1" x14ac:dyDescent="0.25">
      <c r="A10536" t="s">
        <v>8758</v>
      </c>
      <c r="B10536" t="s">
        <v>240</v>
      </c>
      <c r="C10536" s="2">
        <f>HYPERLINK("https://cao.dolgi.msk.ru/account/1083387101/", 1083387101)</f>
        <v>1083387101</v>
      </c>
      <c r="D10536" t="s">
        <v>15</v>
      </c>
      <c r="E10536">
        <v>-112</v>
      </c>
      <c r="F10536">
        <v>-0.04</v>
      </c>
      <c r="G10536" t="s">
        <v>12</v>
      </c>
      <c r="I10536" t="s">
        <v>13</v>
      </c>
    </row>
    <row r="10537" spans="1:9" hidden="1" x14ac:dyDescent="0.25">
      <c r="A10537" t="s">
        <v>8758</v>
      </c>
      <c r="B10537" t="s">
        <v>34</v>
      </c>
      <c r="C10537" s="2">
        <f>HYPERLINK("https://cao.dolgi.msk.ru/account/1080325351/", 1080325351)</f>
        <v>1080325351</v>
      </c>
      <c r="D10537" t="s">
        <v>15</v>
      </c>
      <c r="E10537">
        <v>0</v>
      </c>
      <c r="G10537" t="s">
        <v>14</v>
      </c>
      <c r="I10537" t="s">
        <v>13</v>
      </c>
    </row>
    <row r="10538" spans="1:9" hidden="1" x14ac:dyDescent="0.25">
      <c r="A10538" t="s">
        <v>8758</v>
      </c>
      <c r="B10538" t="s">
        <v>34</v>
      </c>
      <c r="C10538" s="2">
        <f>HYPERLINK("https://cao.dolgi.msk.ru/account/1083387064/", 1083387064)</f>
        <v>1083387064</v>
      </c>
      <c r="D10538" t="s">
        <v>15</v>
      </c>
      <c r="E10538">
        <v>-112</v>
      </c>
      <c r="F10538">
        <v>-0.02</v>
      </c>
      <c r="G10538" t="s">
        <v>12</v>
      </c>
      <c r="I10538" t="s">
        <v>13</v>
      </c>
    </row>
    <row r="10539" spans="1:9" hidden="1" x14ac:dyDescent="0.25">
      <c r="A10539" t="s">
        <v>8758</v>
      </c>
      <c r="B10539" t="s">
        <v>36</v>
      </c>
      <c r="C10539" s="2">
        <f>HYPERLINK("https://cao.dolgi.msk.ru/account/1080050669/", 1080050669)</f>
        <v>1080050669</v>
      </c>
      <c r="D10539" t="s">
        <v>8759</v>
      </c>
      <c r="E10539">
        <v>25802.18</v>
      </c>
      <c r="G10539" t="s">
        <v>14</v>
      </c>
      <c r="H10539" t="s">
        <v>7</v>
      </c>
      <c r="I10539" t="s">
        <v>13</v>
      </c>
    </row>
    <row r="10540" spans="1:9" hidden="1" x14ac:dyDescent="0.25">
      <c r="A10540" t="s">
        <v>8758</v>
      </c>
      <c r="B10540" t="s">
        <v>36</v>
      </c>
      <c r="C10540" s="2">
        <f>HYPERLINK("https://cao.dolgi.msk.ru/account/1080050677/", 1080050677)</f>
        <v>1080050677</v>
      </c>
      <c r="D10540" t="s">
        <v>8760</v>
      </c>
      <c r="E10540">
        <v>3967.86</v>
      </c>
      <c r="G10540" t="s">
        <v>14</v>
      </c>
      <c r="H10540" t="s">
        <v>7</v>
      </c>
      <c r="I10540" t="s">
        <v>13</v>
      </c>
    </row>
    <row r="10541" spans="1:9" hidden="1" x14ac:dyDescent="0.25">
      <c r="A10541" t="s">
        <v>8758</v>
      </c>
      <c r="B10541" t="s">
        <v>36</v>
      </c>
      <c r="C10541" s="2">
        <f>HYPERLINK("https://cao.dolgi.msk.ru/account/1080050685/", 1080050685)</f>
        <v>1080050685</v>
      </c>
      <c r="D10541" t="s">
        <v>8761</v>
      </c>
      <c r="E10541">
        <v>4432.13</v>
      </c>
      <c r="G10541" t="s">
        <v>14</v>
      </c>
      <c r="H10541" t="s">
        <v>7</v>
      </c>
      <c r="I10541" t="s">
        <v>13</v>
      </c>
    </row>
    <row r="10542" spans="1:9" x14ac:dyDescent="0.25">
      <c r="A10542" t="s">
        <v>8758</v>
      </c>
      <c r="B10542" t="s">
        <v>36</v>
      </c>
      <c r="C10542" s="2">
        <f>HYPERLINK("https://cao.dolgi.msk.ru/account/1083387021/", 1083387021)</f>
        <v>1083387021</v>
      </c>
      <c r="D10542" t="s">
        <v>8761</v>
      </c>
      <c r="E10542">
        <v>176814.18</v>
      </c>
      <c r="F10542">
        <v>28.76</v>
      </c>
      <c r="G10542" t="s">
        <v>12</v>
      </c>
      <c r="H10542" t="s">
        <v>7</v>
      </c>
      <c r="I10542" t="s">
        <v>13</v>
      </c>
    </row>
    <row r="10543" spans="1:9" x14ac:dyDescent="0.25">
      <c r="A10543" t="s">
        <v>8758</v>
      </c>
      <c r="B10543" t="s">
        <v>36</v>
      </c>
      <c r="C10543" s="2">
        <f>HYPERLINK("https://cao.dolgi.msk.ru/account/1083387128/", 1083387128)</f>
        <v>1083387128</v>
      </c>
      <c r="D10543" t="s">
        <v>8759</v>
      </c>
      <c r="E10543">
        <v>239074.15</v>
      </c>
      <c r="F10543">
        <v>46.77</v>
      </c>
      <c r="G10543" t="s">
        <v>12</v>
      </c>
      <c r="H10543" t="s">
        <v>7</v>
      </c>
      <c r="I10543" t="s">
        <v>13</v>
      </c>
    </row>
    <row r="10544" spans="1:9" x14ac:dyDescent="0.25">
      <c r="A10544" t="s">
        <v>8758</v>
      </c>
      <c r="B10544" t="s">
        <v>36</v>
      </c>
      <c r="C10544" s="2">
        <f>HYPERLINK("https://cao.dolgi.msk.ru/account/1083387136/", 1083387136)</f>
        <v>1083387136</v>
      </c>
      <c r="D10544" t="s">
        <v>8760</v>
      </c>
      <c r="E10544">
        <v>83188.33</v>
      </c>
      <c r="F10544">
        <v>14.05</v>
      </c>
      <c r="G10544" t="s">
        <v>12</v>
      </c>
      <c r="H10544" t="s">
        <v>7</v>
      </c>
      <c r="I10544" t="s">
        <v>13</v>
      </c>
    </row>
    <row r="10545" spans="1:9" hidden="1" x14ac:dyDescent="0.25">
      <c r="A10545" t="s">
        <v>8758</v>
      </c>
      <c r="B10545" t="s">
        <v>38</v>
      </c>
      <c r="C10545" s="2">
        <f>HYPERLINK("https://cao.dolgi.msk.ru/account/1080045149/", 1080045149)</f>
        <v>1080045149</v>
      </c>
      <c r="D10545" t="s">
        <v>15</v>
      </c>
      <c r="G10545" t="s">
        <v>14</v>
      </c>
      <c r="H10545" t="s">
        <v>7</v>
      </c>
      <c r="I10545" t="s">
        <v>13</v>
      </c>
    </row>
    <row r="10546" spans="1:9" hidden="1" x14ac:dyDescent="0.25">
      <c r="A10546" t="s">
        <v>8758</v>
      </c>
      <c r="B10546" t="s">
        <v>38</v>
      </c>
      <c r="C10546" s="2">
        <f>HYPERLINK("https://cao.dolgi.msk.ru/account/1080050693/", 1080050693)</f>
        <v>1080050693</v>
      </c>
      <c r="D10546" t="s">
        <v>8762</v>
      </c>
      <c r="E10546">
        <v>435.19</v>
      </c>
      <c r="G10546" t="s">
        <v>14</v>
      </c>
      <c r="H10546" t="s">
        <v>7</v>
      </c>
      <c r="I10546" t="s">
        <v>13</v>
      </c>
    </row>
    <row r="10547" spans="1:9" hidden="1" x14ac:dyDescent="0.25">
      <c r="A10547" t="s">
        <v>8758</v>
      </c>
      <c r="B10547" t="s">
        <v>38</v>
      </c>
      <c r="C10547" s="2">
        <f>HYPERLINK("https://cao.dolgi.msk.ru/account/1080050706/", 1080050706)</f>
        <v>1080050706</v>
      </c>
      <c r="D10547" t="s">
        <v>8763</v>
      </c>
      <c r="E10547">
        <v>2861.44</v>
      </c>
      <c r="G10547" t="s">
        <v>14</v>
      </c>
      <c r="H10547" t="s">
        <v>7</v>
      </c>
      <c r="I10547" t="s">
        <v>13</v>
      </c>
    </row>
    <row r="10548" spans="1:9" hidden="1" x14ac:dyDescent="0.25">
      <c r="A10548" t="s">
        <v>8758</v>
      </c>
      <c r="B10548" t="s">
        <v>38</v>
      </c>
      <c r="C10548" s="2">
        <f>HYPERLINK("https://cao.dolgi.msk.ru/account/1080325087/", 1080325087)</f>
        <v>1080325087</v>
      </c>
      <c r="D10548" t="s">
        <v>15</v>
      </c>
      <c r="E10548">
        <v>-2011.65</v>
      </c>
      <c r="G10548" t="s">
        <v>14</v>
      </c>
      <c r="H10548" t="s">
        <v>7</v>
      </c>
      <c r="I10548" t="s">
        <v>13</v>
      </c>
    </row>
    <row r="10549" spans="1:9" hidden="1" x14ac:dyDescent="0.25">
      <c r="A10549" t="s">
        <v>8758</v>
      </c>
      <c r="B10549" t="s">
        <v>38</v>
      </c>
      <c r="C10549" s="2">
        <f>HYPERLINK("https://cao.dolgi.msk.ru/account/1083387048/", 1083387048)</f>
        <v>1083387048</v>
      </c>
      <c r="D10549" t="s">
        <v>8762</v>
      </c>
      <c r="E10549">
        <v>-3543.34</v>
      </c>
      <c r="F10549">
        <v>-1.02</v>
      </c>
      <c r="G10549" t="s">
        <v>12</v>
      </c>
      <c r="H10549" t="s">
        <v>7</v>
      </c>
      <c r="I10549" t="s">
        <v>13</v>
      </c>
    </row>
    <row r="10550" spans="1:9" hidden="1" x14ac:dyDescent="0.25">
      <c r="A10550" t="s">
        <v>8758</v>
      </c>
      <c r="B10550" t="s">
        <v>38</v>
      </c>
      <c r="C10550" s="2">
        <f>HYPERLINK("https://cao.dolgi.msk.ru/account/1083387056/", 1083387056)</f>
        <v>1083387056</v>
      </c>
      <c r="D10550" t="s">
        <v>15</v>
      </c>
      <c r="E10550">
        <v>0</v>
      </c>
      <c r="G10550" t="s">
        <v>12</v>
      </c>
      <c r="H10550" t="s">
        <v>7</v>
      </c>
      <c r="I10550" t="s">
        <v>13</v>
      </c>
    </row>
    <row r="10551" spans="1:9" x14ac:dyDescent="0.25">
      <c r="A10551" t="s">
        <v>8758</v>
      </c>
      <c r="B10551" t="s">
        <v>38</v>
      </c>
      <c r="C10551" s="2">
        <f>HYPERLINK("https://cao.dolgi.msk.ru/account/1083387072/", 1083387072)</f>
        <v>1083387072</v>
      </c>
      <c r="D10551" t="s">
        <v>8763</v>
      </c>
      <c r="E10551">
        <v>120178.45</v>
      </c>
      <c r="F10551">
        <v>33.549999999999997</v>
      </c>
      <c r="G10551" t="s">
        <v>12</v>
      </c>
      <c r="H10551" t="s">
        <v>7</v>
      </c>
      <c r="I10551" t="s">
        <v>13</v>
      </c>
    </row>
    <row r="10552" spans="1:9" hidden="1" x14ac:dyDescent="0.25">
      <c r="A10552" t="s">
        <v>8758</v>
      </c>
      <c r="B10552" t="s">
        <v>38</v>
      </c>
      <c r="C10552" s="2">
        <f>HYPERLINK("https://cao.dolgi.msk.ru/account/1083387099/", 1083387099)</f>
        <v>1083387099</v>
      </c>
      <c r="D10552" t="s">
        <v>15</v>
      </c>
      <c r="E10552">
        <v>0</v>
      </c>
      <c r="F10552">
        <v>0</v>
      </c>
      <c r="G10552" t="s">
        <v>12</v>
      </c>
      <c r="H10552" t="s">
        <v>7</v>
      </c>
      <c r="I10552" t="s">
        <v>13</v>
      </c>
    </row>
    <row r="10553" spans="1:9" hidden="1" x14ac:dyDescent="0.25">
      <c r="A10553" t="s">
        <v>8758</v>
      </c>
      <c r="B10553" t="s">
        <v>39</v>
      </c>
      <c r="C10553" s="2">
        <f>HYPERLINK("https://cao.dolgi.msk.ru/account/1080050714/", 1080050714)</f>
        <v>1080050714</v>
      </c>
      <c r="D10553" t="s">
        <v>8764</v>
      </c>
      <c r="E10553">
        <v>0</v>
      </c>
      <c r="F10553">
        <v>0</v>
      </c>
      <c r="G10553" t="s">
        <v>14</v>
      </c>
      <c r="I10553" t="s">
        <v>13</v>
      </c>
    </row>
    <row r="10554" spans="1:9" x14ac:dyDescent="0.25">
      <c r="A10554" t="s">
        <v>8758</v>
      </c>
      <c r="B10554" t="s">
        <v>39</v>
      </c>
      <c r="C10554" s="2">
        <f>HYPERLINK("https://cao.dolgi.msk.ru/account/1083387013/", 1083387013)</f>
        <v>1083387013</v>
      </c>
      <c r="D10554" t="s">
        <v>8764</v>
      </c>
      <c r="E10554">
        <v>12200.46</v>
      </c>
      <c r="F10554">
        <v>2</v>
      </c>
      <c r="G10554" t="s">
        <v>12</v>
      </c>
      <c r="I10554" t="s">
        <v>13</v>
      </c>
    </row>
    <row r="10555" spans="1:9" hidden="1" x14ac:dyDescent="0.25">
      <c r="A10555" t="s">
        <v>8765</v>
      </c>
      <c r="B10555" t="s">
        <v>10</v>
      </c>
      <c r="C10555" s="2">
        <f>HYPERLINK("https://cao.dolgi.msk.ru/account/1080060787/", 1080060787)</f>
        <v>1080060787</v>
      </c>
      <c r="D10555" t="s">
        <v>62</v>
      </c>
      <c r="E10555">
        <v>-31.8</v>
      </c>
      <c r="F10555">
        <v>0</v>
      </c>
      <c r="G10555" t="s">
        <v>12</v>
      </c>
      <c r="I10555" t="s">
        <v>13</v>
      </c>
    </row>
    <row r="10556" spans="1:9" hidden="1" x14ac:dyDescent="0.25">
      <c r="A10556" t="s">
        <v>8765</v>
      </c>
      <c r="B10556" t="s">
        <v>16</v>
      </c>
      <c r="C10556" s="2">
        <f>HYPERLINK("https://cao.dolgi.msk.ru/account/1080060883/", 1080060883)</f>
        <v>1080060883</v>
      </c>
      <c r="D10556" t="s">
        <v>62</v>
      </c>
      <c r="E10556">
        <v>-14632.24</v>
      </c>
      <c r="F10556">
        <v>-1.02</v>
      </c>
      <c r="G10556" t="s">
        <v>12</v>
      </c>
      <c r="I10556" t="s">
        <v>13</v>
      </c>
    </row>
    <row r="10557" spans="1:9" hidden="1" x14ac:dyDescent="0.25">
      <c r="A10557" t="s">
        <v>8765</v>
      </c>
      <c r="B10557" t="s">
        <v>18</v>
      </c>
      <c r="C10557" s="2">
        <f>HYPERLINK("https://cao.dolgi.msk.ru/account/1080060867/", 1080060867)</f>
        <v>1080060867</v>
      </c>
      <c r="D10557" t="s">
        <v>8766</v>
      </c>
      <c r="E10557">
        <v>-11182.04</v>
      </c>
      <c r="F10557">
        <v>-1.06</v>
      </c>
      <c r="G10557" t="s">
        <v>12</v>
      </c>
      <c r="I10557" t="s">
        <v>13</v>
      </c>
    </row>
    <row r="10558" spans="1:9" hidden="1" x14ac:dyDescent="0.25">
      <c r="A10558" t="s">
        <v>8765</v>
      </c>
      <c r="B10558" t="s">
        <v>20</v>
      </c>
      <c r="C10558" s="2">
        <f>HYPERLINK("https://cao.dolgi.msk.ru/account/1080060664/", 1080060664)</f>
        <v>1080060664</v>
      </c>
      <c r="D10558" t="s">
        <v>8767</v>
      </c>
      <c r="E10558">
        <v>-9458.2900000000009</v>
      </c>
      <c r="F10558">
        <v>-1.05</v>
      </c>
      <c r="G10558" t="s">
        <v>12</v>
      </c>
      <c r="I10558" t="s">
        <v>13</v>
      </c>
    </row>
    <row r="10559" spans="1:9" hidden="1" x14ac:dyDescent="0.25">
      <c r="A10559" t="s">
        <v>8765</v>
      </c>
      <c r="B10559" t="s">
        <v>21</v>
      </c>
      <c r="C10559" s="2">
        <f>HYPERLINK("https://cao.dolgi.msk.ru/account/1080060656/", 1080060656)</f>
        <v>1080060656</v>
      </c>
      <c r="D10559" t="s">
        <v>8768</v>
      </c>
      <c r="E10559">
        <v>-18563.990000000002</v>
      </c>
      <c r="F10559">
        <v>-1.02</v>
      </c>
      <c r="G10559" t="s">
        <v>12</v>
      </c>
      <c r="I10559" t="s">
        <v>13</v>
      </c>
    </row>
    <row r="10560" spans="1:9" hidden="1" x14ac:dyDescent="0.25">
      <c r="A10560" t="s">
        <v>8765</v>
      </c>
      <c r="B10560" t="s">
        <v>22</v>
      </c>
      <c r="C10560" s="2">
        <f>HYPERLINK("https://cao.dolgi.msk.ru/account/1080060816/", 1080060816)</f>
        <v>1080060816</v>
      </c>
      <c r="D10560" t="s">
        <v>15</v>
      </c>
      <c r="E10560">
        <v>-20295.68</v>
      </c>
      <c r="F10560">
        <v>-1.04</v>
      </c>
      <c r="G10560" t="s">
        <v>12</v>
      </c>
      <c r="I10560" t="s">
        <v>13</v>
      </c>
    </row>
    <row r="10561" spans="1:9" hidden="1" x14ac:dyDescent="0.25">
      <c r="A10561" t="s">
        <v>8765</v>
      </c>
      <c r="B10561" t="s">
        <v>23</v>
      </c>
      <c r="C10561" s="2">
        <f>HYPERLINK("https://cao.dolgi.msk.ru/account/1080060752/", 1080060752)</f>
        <v>1080060752</v>
      </c>
      <c r="D10561" t="s">
        <v>8769</v>
      </c>
      <c r="E10561">
        <v>-12498.44</v>
      </c>
      <c r="F10561">
        <v>-1</v>
      </c>
      <c r="G10561" t="s">
        <v>12</v>
      </c>
      <c r="I10561" t="s">
        <v>13</v>
      </c>
    </row>
    <row r="10562" spans="1:9" hidden="1" x14ac:dyDescent="0.25">
      <c r="A10562" t="s">
        <v>8765</v>
      </c>
      <c r="B10562" t="s">
        <v>24</v>
      </c>
      <c r="C10562" s="2">
        <f>HYPERLINK("https://cao.dolgi.msk.ru/account/1080060744/", 1080060744)</f>
        <v>1080060744</v>
      </c>
      <c r="D10562" t="s">
        <v>62</v>
      </c>
      <c r="E10562">
        <v>-1401.57</v>
      </c>
      <c r="F10562">
        <v>-0.1</v>
      </c>
      <c r="G10562" t="s">
        <v>12</v>
      </c>
      <c r="I10562" t="s">
        <v>13</v>
      </c>
    </row>
    <row r="10563" spans="1:9" hidden="1" x14ac:dyDescent="0.25">
      <c r="A10563" t="s">
        <v>8765</v>
      </c>
      <c r="B10563" t="s">
        <v>27</v>
      </c>
      <c r="C10563" s="2">
        <f>HYPERLINK("https://cao.dolgi.msk.ru/account/1080060672/", 1080060672)</f>
        <v>1080060672</v>
      </c>
      <c r="D10563" t="s">
        <v>8770</v>
      </c>
      <c r="E10563">
        <v>-13557.72</v>
      </c>
      <c r="F10563">
        <v>-1.05</v>
      </c>
      <c r="G10563" t="s">
        <v>12</v>
      </c>
      <c r="I10563" t="s">
        <v>13</v>
      </c>
    </row>
    <row r="10564" spans="1:9" hidden="1" x14ac:dyDescent="0.25">
      <c r="A10564" t="s">
        <v>8765</v>
      </c>
      <c r="B10564" t="s">
        <v>29</v>
      </c>
      <c r="C10564" s="2">
        <f>HYPERLINK("https://cao.dolgi.msk.ru/account/1080060832/", 1080060832)</f>
        <v>1080060832</v>
      </c>
      <c r="D10564" t="s">
        <v>8771</v>
      </c>
      <c r="E10564">
        <v>-654.19000000000005</v>
      </c>
      <c r="F10564">
        <v>-0.05</v>
      </c>
      <c r="G10564" t="s">
        <v>12</v>
      </c>
      <c r="I10564" t="s">
        <v>13</v>
      </c>
    </row>
    <row r="10565" spans="1:9" hidden="1" x14ac:dyDescent="0.25">
      <c r="A10565" t="s">
        <v>8765</v>
      </c>
      <c r="B10565" t="s">
        <v>31</v>
      </c>
      <c r="C10565" s="2">
        <f>HYPERLINK("https://cao.dolgi.msk.ru/account/1080060795/", 1080060795)</f>
        <v>1080060795</v>
      </c>
      <c r="D10565" t="s">
        <v>8772</v>
      </c>
      <c r="E10565">
        <v>-15640.2</v>
      </c>
      <c r="F10565">
        <v>-1.06</v>
      </c>
      <c r="G10565" t="s">
        <v>12</v>
      </c>
      <c r="I10565" t="s">
        <v>13</v>
      </c>
    </row>
    <row r="10566" spans="1:9" hidden="1" x14ac:dyDescent="0.25">
      <c r="A10566" t="s">
        <v>8765</v>
      </c>
      <c r="B10566" t="s">
        <v>5289</v>
      </c>
      <c r="C10566" s="2">
        <f>HYPERLINK("https://cao.dolgi.msk.ru/account/1089130657/", 1089130657)</f>
        <v>1089130657</v>
      </c>
      <c r="D10566" t="s">
        <v>15</v>
      </c>
      <c r="E10566">
        <v>0</v>
      </c>
      <c r="G10566" t="s">
        <v>14</v>
      </c>
      <c r="I10566" t="s">
        <v>13</v>
      </c>
    </row>
    <row r="10567" spans="1:9" hidden="1" x14ac:dyDescent="0.25">
      <c r="A10567" t="s">
        <v>8765</v>
      </c>
      <c r="B10567" t="s">
        <v>5289</v>
      </c>
      <c r="C10567" s="2">
        <f>HYPERLINK("https://cao.dolgi.msk.ru/account/1089130665/", 1089130665)</f>
        <v>1089130665</v>
      </c>
      <c r="D10567" t="s">
        <v>15</v>
      </c>
      <c r="E10567">
        <v>-7450.67</v>
      </c>
      <c r="F10567">
        <v>-1.07</v>
      </c>
      <c r="G10567" t="s">
        <v>12</v>
      </c>
      <c r="I10567" t="s">
        <v>13</v>
      </c>
    </row>
    <row r="10568" spans="1:9" hidden="1" x14ac:dyDescent="0.25">
      <c r="A10568" t="s">
        <v>8765</v>
      </c>
      <c r="B10568" t="s">
        <v>33</v>
      </c>
      <c r="C10568" s="2">
        <f>HYPERLINK("https://cao.dolgi.msk.ru/account/1080060736/", 1080060736)</f>
        <v>1080060736</v>
      </c>
      <c r="D10568" t="s">
        <v>8773</v>
      </c>
      <c r="E10568">
        <v>-13058.58</v>
      </c>
      <c r="F10568">
        <v>-0.99</v>
      </c>
      <c r="G10568" t="s">
        <v>12</v>
      </c>
      <c r="I10568" t="s">
        <v>13</v>
      </c>
    </row>
    <row r="10569" spans="1:9" hidden="1" x14ac:dyDescent="0.25">
      <c r="A10569" t="s">
        <v>8765</v>
      </c>
      <c r="B10569" t="s">
        <v>34</v>
      </c>
      <c r="C10569" s="2">
        <f>HYPERLINK("https://cao.dolgi.msk.ru/account/1080060824/", 1080060824)</f>
        <v>1080060824</v>
      </c>
      <c r="D10569" t="s">
        <v>62</v>
      </c>
      <c r="E10569">
        <v>-15111.62</v>
      </c>
      <c r="F10569">
        <v>-1.1000000000000001</v>
      </c>
      <c r="G10569" t="s">
        <v>12</v>
      </c>
      <c r="I10569" t="s">
        <v>13</v>
      </c>
    </row>
    <row r="10570" spans="1:9" hidden="1" x14ac:dyDescent="0.25">
      <c r="A10570" t="s">
        <v>8765</v>
      </c>
      <c r="B10570" t="s">
        <v>36</v>
      </c>
      <c r="C10570" s="2">
        <f>HYPERLINK("https://cao.dolgi.msk.ru/account/1080060808/", 1080060808)</f>
        <v>1080060808</v>
      </c>
      <c r="D10570" t="s">
        <v>62</v>
      </c>
      <c r="E10570">
        <v>-24471.68</v>
      </c>
      <c r="F10570">
        <v>-1.34</v>
      </c>
      <c r="G10570" t="s">
        <v>12</v>
      </c>
      <c r="I10570" t="s">
        <v>13</v>
      </c>
    </row>
    <row r="10571" spans="1:9" hidden="1" x14ac:dyDescent="0.25">
      <c r="A10571" t="s">
        <v>8765</v>
      </c>
      <c r="B10571" t="s">
        <v>38</v>
      </c>
      <c r="C10571" s="2">
        <f>HYPERLINK("https://cao.dolgi.msk.ru/account/1080060875/", 1080060875)</f>
        <v>1080060875</v>
      </c>
      <c r="D10571" t="s">
        <v>8774</v>
      </c>
      <c r="E10571">
        <v>-14376.94</v>
      </c>
      <c r="F10571">
        <v>-1.05</v>
      </c>
      <c r="G10571" t="s">
        <v>12</v>
      </c>
      <c r="I10571" t="s">
        <v>13</v>
      </c>
    </row>
    <row r="10572" spans="1:9" hidden="1" x14ac:dyDescent="0.25">
      <c r="A10572" t="s">
        <v>8765</v>
      </c>
      <c r="B10572" t="s">
        <v>39</v>
      </c>
      <c r="C10572" s="2">
        <f>HYPERLINK("https://cao.dolgi.msk.ru/account/1080060859/", 1080060859)</f>
        <v>1080060859</v>
      </c>
      <c r="D10572" t="s">
        <v>62</v>
      </c>
      <c r="E10572">
        <v>-17146.810000000001</v>
      </c>
      <c r="F10572">
        <v>-1.24</v>
      </c>
      <c r="G10572" t="s">
        <v>12</v>
      </c>
      <c r="I10572" t="s">
        <v>13</v>
      </c>
    </row>
    <row r="10573" spans="1:9" hidden="1" x14ac:dyDescent="0.25">
      <c r="A10573" t="s">
        <v>8765</v>
      </c>
      <c r="B10573" t="s">
        <v>40</v>
      </c>
      <c r="C10573" s="2">
        <f>HYPERLINK("https://cao.dolgi.msk.ru/account/1080060779/", 1080060779)</f>
        <v>1080060779</v>
      </c>
      <c r="D10573" t="s">
        <v>62</v>
      </c>
      <c r="E10573">
        <v>-15045.24</v>
      </c>
      <c r="F10573">
        <v>-1.05</v>
      </c>
      <c r="G10573" t="s">
        <v>12</v>
      </c>
      <c r="I10573" t="s">
        <v>13</v>
      </c>
    </row>
    <row r="10574" spans="1:9" hidden="1" x14ac:dyDescent="0.25">
      <c r="A10574" t="s">
        <v>8765</v>
      </c>
      <c r="B10574" t="s">
        <v>41</v>
      </c>
      <c r="C10574" s="2">
        <f>HYPERLINK("https://cao.dolgi.msk.ru/account/1080060699/", 1080060699)</f>
        <v>1080060699</v>
      </c>
      <c r="D10574" t="s">
        <v>62</v>
      </c>
      <c r="E10574">
        <v>-123.02</v>
      </c>
      <c r="F10574">
        <v>-0.01</v>
      </c>
      <c r="G10574" t="s">
        <v>12</v>
      </c>
      <c r="I10574" t="s">
        <v>13</v>
      </c>
    </row>
    <row r="10575" spans="1:9" hidden="1" x14ac:dyDescent="0.25">
      <c r="A10575" t="s">
        <v>8765</v>
      </c>
      <c r="B10575" t="s">
        <v>42</v>
      </c>
      <c r="C10575" s="2">
        <f>HYPERLINK("https://cao.dolgi.msk.ru/account/1080060701/", 1080060701)</f>
        <v>1080060701</v>
      </c>
      <c r="D10575" t="s">
        <v>8775</v>
      </c>
      <c r="E10575">
        <v>-16143.36</v>
      </c>
      <c r="F10575">
        <v>-1.1200000000000001</v>
      </c>
      <c r="G10575" t="s">
        <v>12</v>
      </c>
      <c r="I10575" t="s">
        <v>13</v>
      </c>
    </row>
    <row r="10576" spans="1:9" hidden="1" x14ac:dyDescent="0.25">
      <c r="A10576" t="s">
        <v>8765</v>
      </c>
      <c r="B10576" t="s">
        <v>44</v>
      </c>
      <c r="C10576" s="2">
        <f>HYPERLINK("https://cao.dolgi.msk.ru/account/1080060728/", 1080060728)</f>
        <v>1080060728</v>
      </c>
      <c r="D10576" t="s">
        <v>8776</v>
      </c>
      <c r="E10576">
        <v>-15616.2</v>
      </c>
      <c r="F10576">
        <v>-1.1200000000000001</v>
      </c>
      <c r="G10576" t="s">
        <v>12</v>
      </c>
      <c r="I10576" t="s">
        <v>13</v>
      </c>
    </row>
    <row r="10577" spans="1:9" hidden="1" x14ac:dyDescent="0.25">
      <c r="A10577" t="s">
        <v>8777</v>
      </c>
      <c r="B10577" t="s">
        <v>16</v>
      </c>
      <c r="C10577" s="2">
        <f>HYPERLINK("https://cao.dolgi.msk.ru/account/1080021665/", 1080021665)</f>
        <v>1080021665</v>
      </c>
      <c r="D10577" t="s">
        <v>8778</v>
      </c>
      <c r="E10577">
        <v>-77.88</v>
      </c>
      <c r="G10577" t="s">
        <v>14</v>
      </c>
      <c r="H10577" t="s">
        <v>7</v>
      </c>
      <c r="I10577" t="s">
        <v>13</v>
      </c>
    </row>
    <row r="10578" spans="1:9" hidden="1" x14ac:dyDescent="0.25">
      <c r="A10578" t="s">
        <v>8777</v>
      </c>
      <c r="B10578" t="s">
        <v>16</v>
      </c>
      <c r="C10578" s="2">
        <f>HYPERLINK("https://cao.dolgi.msk.ru/account/1080021673/", 1080021673)</f>
        <v>1080021673</v>
      </c>
      <c r="D10578" t="s">
        <v>8779</v>
      </c>
      <c r="E10578">
        <v>0</v>
      </c>
      <c r="G10578" t="s">
        <v>14</v>
      </c>
      <c r="I10578" t="s">
        <v>13</v>
      </c>
    </row>
    <row r="10579" spans="1:9" hidden="1" x14ac:dyDescent="0.25">
      <c r="A10579" t="s">
        <v>8777</v>
      </c>
      <c r="B10579" t="s">
        <v>16</v>
      </c>
      <c r="C10579" s="2">
        <f>HYPERLINK("https://cao.dolgi.msk.ru/account/1083387785/", 1083387785)</f>
        <v>1083387785</v>
      </c>
      <c r="D10579" t="s">
        <v>15</v>
      </c>
      <c r="E10579">
        <v>28332.39</v>
      </c>
      <c r="G10579" t="s">
        <v>12</v>
      </c>
      <c r="H10579" t="s">
        <v>7</v>
      </c>
      <c r="I10579" t="s">
        <v>13</v>
      </c>
    </row>
    <row r="10580" spans="1:9" hidden="1" x14ac:dyDescent="0.25">
      <c r="A10580" t="s">
        <v>8777</v>
      </c>
      <c r="B10580" t="s">
        <v>16</v>
      </c>
      <c r="C10580" s="2">
        <f>HYPERLINK("https://cao.dolgi.msk.ru/account/1083387793/", 1083387793)</f>
        <v>1083387793</v>
      </c>
      <c r="D10580" t="s">
        <v>15</v>
      </c>
      <c r="E10580">
        <v>28358.31</v>
      </c>
      <c r="G10580" t="s">
        <v>12</v>
      </c>
      <c r="H10580" t="s">
        <v>7</v>
      </c>
      <c r="I10580" t="s">
        <v>13</v>
      </c>
    </row>
    <row r="10581" spans="1:9" hidden="1" x14ac:dyDescent="0.25">
      <c r="A10581" t="s">
        <v>8777</v>
      </c>
      <c r="B10581" t="s">
        <v>18</v>
      </c>
      <c r="C10581" s="2">
        <f>HYPERLINK("https://cao.dolgi.msk.ru/account/1083387646/", 1083387646)</f>
        <v>1083387646</v>
      </c>
      <c r="D10581" t="s">
        <v>15</v>
      </c>
      <c r="E10581">
        <v>4052.8</v>
      </c>
      <c r="G10581" t="s">
        <v>12</v>
      </c>
      <c r="I10581" t="s">
        <v>13</v>
      </c>
    </row>
    <row r="10582" spans="1:9" hidden="1" x14ac:dyDescent="0.25">
      <c r="A10582" t="s">
        <v>8777</v>
      </c>
      <c r="B10582" t="s">
        <v>20</v>
      </c>
      <c r="C10582" s="2">
        <f>HYPERLINK("https://cao.dolgi.msk.ru/account/1080021737/", 1080021737)</f>
        <v>1080021737</v>
      </c>
      <c r="D10582" t="s">
        <v>736</v>
      </c>
      <c r="E10582">
        <v>0</v>
      </c>
      <c r="F10582">
        <v>0</v>
      </c>
      <c r="G10582" t="s">
        <v>14</v>
      </c>
      <c r="I10582" t="s">
        <v>13</v>
      </c>
    </row>
    <row r="10583" spans="1:9" hidden="1" x14ac:dyDescent="0.25">
      <c r="A10583" t="s">
        <v>8777</v>
      </c>
      <c r="B10583" t="s">
        <v>20</v>
      </c>
      <c r="C10583" s="2">
        <f>HYPERLINK("https://cao.dolgi.msk.ru/account/1083387654/", 1083387654)</f>
        <v>1083387654</v>
      </c>
      <c r="D10583" t="s">
        <v>15</v>
      </c>
      <c r="E10583">
        <v>3121.2</v>
      </c>
      <c r="G10583" t="s">
        <v>12</v>
      </c>
      <c r="I10583" t="s">
        <v>13</v>
      </c>
    </row>
    <row r="10584" spans="1:9" hidden="1" x14ac:dyDescent="0.25">
      <c r="A10584" t="s">
        <v>8777</v>
      </c>
      <c r="B10584" t="s">
        <v>21</v>
      </c>
      <c r="C10584" s="2">
        <f>HYPERLINK("https://cao.dolgi.msk.ru/account/1080021753/", 1080021753)</f>
        <v>1080021753</v>
      </c>
      <c r="D10584" t="s">
        <v>736</v>
      </c>
      <c r="E10584">
        <v>-751.18</v>
      </c>
      <c r="F10584">
        <v>-1.65</v>
      </c>
      <c r="G10584" t="s">
        <v>14</v>
      </c>
      <c r="I10584" t="s">
        <v>13</v>
      </c>
    </row>
    <row r="10585" spans="1:9" hidden="1" x14ac:dyDescent="0.25">
      <c r="A10585" t="s">
        <v>8777</v>
      </c>
      <c r="B10585" t="s">
        <v>21</v>
      </c>
      <c r="C10585" s="2">
        <f>HYPERLINK("https://cao.dolgi.msk.ru/account/1083387662/", 1083387662)</f>
        <v>1083387662</v>
      </c>
      <c r="D10585" t="s">
        <v>15</v>
      </c>
      <c r="E10585">
        <v>39835.800000000003</v>
      </c>
      <c r="G10585" t="s">
        <v>12</v>
      </c>
      <c r="I10585" t="s">
        <v>13</v>
      </c>
    </row>
    <row r="10586" spans="1:9" hidden="1" x14ac:dyDescent="0.25">
      <c r="A10586" t="s">
        <v>8777</v>
      </c>
      <c r="B10586" t="s">
        <v>22</v>
      </c>
      <c r="C10586" s="2">
        <f>HYPERLINK("https://cao.dolgi.msk.ru/account/1080021788/", 1080021788)</f>
        <v>1080021788</v>
      </c>
      <c r="D10586" t="s">
        <v>8780</v>
      </c>
      <c r="E10586">
        <v>-59.72</v>
      </c>
      <c r="G10586" t="s">
        <v>14</v>
      </c>
      <c r="I10586" t="s">
        <v>13</v>
      </c>
    </row>
    <row r="10587" spans="1:9" hidden="1" x14ac:dyDescent="0.25">
      <c r="A10587" t="s">
        <v>8777</v>
      </c>
      <c r="B10587" t="s">
        <v>22</v>
      </c>
      <c r="C10587" s="2">
        <f>HYPERLINK("https://cao.dolgi.msk.ru/account/1083387689/", 1083387689)</f>
        <v>1083387689</v>
      </c>
      <c r="D10587" t="s">
        <v>15</v>
      </c>
      <c r="E10587">
        <v>3316.7</v>
      </c>
      <c r="G10587" t="s">
        <v>12</v>
      </c>
      <c r="I10587" t="s">
        <v>13</v>
      </c>
    </row>
    <row r="10588" spans="1:9" hidden="1" x14ac:dyDescent="0.25">
      <c r="A10588" t="s">
        <v>8777</v>
      </c>
      <c r="B10588" t="s">
        <v>23</v>
      </c>
      <c r="C10588" s="2">
        <f>HYPERLINK("https://cao.dolgi.msk.ru/account/1083387697/", 1083387697)</f>
        <v>1083387697</v>
      </c>
      <c r="D10588" t="s">
        <v>15</v>
      </c>
      <c r="E10588">
        <v>4268.7</v>
      </c>
      <c r="G10588" t="s">
        <v>12</v>
      </c>
      <c r="I10588" t="s">
        <v>13</v>
      </c>
    </row>
    <row r="10589" spans="1:9" hidden="1" x14ac:dyDescent="0.25">
      <c r="A10589" t="s">
        <v>8777</v>
      </c>
      <c r="B10589" t="s">
        <v>24</v>
      </c>
      <c r="C10589" s="2">
        <f>HYPERLINK("https://cao.dolgi.msk.ru/account/1080021817/", 1080021817)</f>
        <v>1080021817</v>
      </c>
      <c r="D10589" t="s">
        <v>736</v>
      </c>
      <c r="E10589">
        <v>0</v>
      </c>
      <c r="G10589" t="s">
        <v>14</v>
      </c>
      <c r="I10589" t="s">
        <v>13</v>
      </c>
    </row>
    <row r="10590" spans="1:9" hidden="1" x14ac:dyDescent="0.25">
      <c r="A10590" t="s">
        <v>8777</v>
      </c>
      <c r="B10590" t="s">
        <v>24</v>
      </c>
      <c r="C10590" s="2">
        <f>HYPERLINK("https://cao.dolgi.msk.ru/account/1083387718/", 1083387718)</f>
        <v>1083387718</v>
      </c>
      <c r="D10590" t="s">
        <v>15</v>
      </c>
      <c r="E10590">
        <v>89971.199999999997</v>
      </c>
      <c r="G10590" t="s">
        <v>12</v>
      </c>
      <c r="I10590" t="s">
        <v>13</v>
      </c>
    </row>
    <row r="10591" spans="1:9" hidden="1" x14ac:dyDescent="0.25">
      <c r="A10591" t="s">
        <v>8781</v>
      </c>
      <c r="B10591" t="s">
        <v>18</v>
      </c>
      <c r="C10591" s="2">
        <f>HYPERLINK("https://cao.dolgi.msk.ru/account/1080050976/", 1080050976)</f>
        <v>1080050976</v>
      </c>
      <c r="D10591" t="s">
        <v>8782</v>
      </c>
      <c r="E10591">
        <v>14151.11</v>
      </c>
      <c r="F10591">
        <v>0.74</v>
      </c>
      <c r="G10591" t="s">
        <v>12</v>
      </c>
      <c r="I10591" t="s">
        <v>13</v>
      </c>
    </row>
    <row r="10592" spans="1:9" hidden="1" x14ac:dyDescent="0.25">
      <c r="A10592" t="s">
        <v>8781</v>
      </c>
      <c r="B10592" t="s">
        <v>20</v>
      </c>
      <c r="C10592" s="2">
        <f>HYPERLINK("https://cao.dolgi.msk.ru/account/1080050984/", 1080050984)</f>
        <v>1080050984</v>
      </c>
      <c r="D10592" t="s">
        <v>8783</v>
      </c>
      <c r="E10592">
        <v>-11539.8</v>
      </c>
      <c r="F10592">
        <v>-0.6</v>
      </c>
      <c r="G10592" t="s">
        <v>12</v>
      </c>
      <c r="I10592" t="s">
        <v>13</v>
      </c>
    </row>
    <row r="10593" spans="1:9" hidden="1" x14ac:dyDescent="0.25">
      <c r="A10593" t="s">
        <v>8781</v>
      </c>
      <c r="B10593" t="s">
        <v>21</v>
      </c>
      <c r="C10593" s="2">
        <f>HYPERLINK("https://cao.dolgi.msk.ru/account/1080050992/", 1080050992)</f>
        <v>1080050992</v>
      </c>
      <c r="D10593" t="s">
        <v>8784</v>
      </c>
      <c r="E10593">
        <v>-20730.52</v>
      </c>
      <c r="F10593">
        <v>-1.17</v>
      </c>
      <c r="G10593" t="s">
        <v>12</v>
      </c>
      <c r="I10593" t="s">
        <v>13</v>
      </c>
    </row>
    <row r="10594" spans="1:9" hidden="1" x14ac:dyDescent="0.25">
      <c r="A10594" t="s">
        <v>8781</v>
      </c>
      <c r="B10594" t="s">
        <v>22</v>
      </c>
      <c r="C10594" s="2">
        <f>HYPERLINK("https://cao.dolgi.msk.ru/account/1080051004/", 1080051004)</f>
        <v>1080051004</v>
      </c>
      <c r="D10594" t="s">
        <v>62</v>
      </c>
      <c r="E10594">
        <v>-24169.34</v>
      </c>
      <c r="F10594">
        <v>-1.19</v>
      </c>
      <c r="G10594" t="s">
        <v>12</v>
      </c>
      <c r="I10594" t="s">
        <v>13</v>
      </c>
    </row>
    <row r="10595" spans="1:9" hidden="1" x14ac:dyDescent="0.25">
      <c r="A10595" t="s">
        <v>8781</v>
      </c>
      <c r="B10595" t="s">
        <v>23</v>
      </c>
      <c r="C10595" s="2">
        <f>HYPERLINK("https://cao.dolgi.msk.ru/account/1080051012/", 1080051012)</f>
        <v>1080051012</v>
      </c>
      <c r="D10595" t="s">
        <v>8785</v>
      </c>
      <c r="E10595">
        <v>-1768.55</v>
      </c>
      <c r="F10595">
        <v>-0.09</v>
      </c>
      <c r="G10595" t="s">
        <v>12</v>
      </c>
      <c r="I10595" t="s">
        <v>13</v>
      </c>
    </row>
    <row r="10596" spans="1:9" hidden="1" x14ac:dyDescent="0.25">
      <c r="A10596" t="s">
        <v>8781</v>
      </c>
      <c r="B10596" t="s">
        <v>24</v>
      </c>
      <c r="C10596" s="2">
        <f>HYPERLINK("https://cao.dolgi.msk.ru/account/1080051039/", 1080051039)</f>
        <v>1080051039</v>
      </c>
      <c r="D10596" t="s">
        <v>8786</v>
      </c>
      <c r="E10596">
        <v>1094.52</v>
      </c>
      <c r="F10596">
        <v>0.04</v>
      </c>
      <c r="G10596" t="s">
        <v>12</v>
      </c>
      <c r="I10596" t="s">
        <v>13</v>
      </c>
    </row>
    <row r="10597" spans="1:9" hidden="1" x14ac:dyDescent="0.25">
      <c r="A10597" t="s">
        <v>8781</v>
      </c>
      <c r="B10597" t="s">
        <v>27</v>
      </c>
      <c r="C10597" s="2">
        <f>HYPERLINK("https://cao.dolgi.msk.ru/account/1080051047/", 1080051047)</f>
        <v>1080051047</v>
      </c>
      <c r="D10597" t="s">
        <v>8787</v>
      </c>
      <c r="E10597">
        <v>547.23</v>
      </c>
      <c r="F10597">
        <v>0.03</v>
      </c>
      <c r="G10597" t="s">
        <v>12</v>
      </c>
      <c r="I10597" t="s">
        <v>13</v>
      </c>
    </row>
    <row r="10598" spans="1:9" hidden="1" x14ac:dyDescent="0.25">
      <c r="A10598" t="s">
        <v>8781</v>
      </c>
      <c r="B10598" t="s">
        <v>29</v>
      </c>
      <c r="C10598" s="2">
        <f>HYPERLINK("https://cao.dolgi.msk.ru/account/1080051055/", 1080051055)</f>
        <v>1080051055</v>
      </c>
      <c r="D10598" t="s">
        <v>8788</v>
      </c>
      <c r="E10598">
        <v>9.9</v>
      </c>
      <c r="F10598">
        <v>0</v>
      </c>
      <c r="G10598" t="s">
        <v>12</v>
      </c>
      <c r="I10598" t="s">
        <v>13</v>
      </c>
    </row>
    <row r="10599" spans="1:9" hidden="1" x14ac:dyDescent="0.25">
      <c r="A10599" t="s">
        <v>8781</v>
      </c>
      <c r="B10599" t="s">
        <v>8789</v>
      </c>
      <c r="C10599" s="2">
        <f>HYPERLINK("https://cao.dolgi.msk.ru/account/1089131596/", 1089131596)</f>
        <v>1089131596</v>
      </c>
      <c r="D10599" t="s">
        <v>8790</v>
      </c>
      <c r="E10599">
        <v>-21537.52</v>
      </c>
      <c r="F10599">
        <v>-1.18</v>
      </c>
      <c r="G10599" t="s">
        <v>12</v>
      </c>
      <c r="I10599" t="s">
        <v>13</v>
      </c>
    </row>
    <row r="10600" spans="1:9" hidden="1" x14ac:dyDescent="0.25">
      <c r="A10600" t="s">
        <v>8781</v>
      </c>
      <c r="B10600" t="s">
        <v>8791</v>
      </c>
      <c r="C10600" s="2">
        <f>HYPERLINK("https://cao.dolgi.msk.ru/account/1089131609/", 1089131609)</f>
        <v>1089131609</v>
      </c>
      <c r="D10600" t="s">
        <v>15</v>
      </c>
      <c r="E10600">
        <v>-25569.84</v>
      </c>
      <c r="F10600">
        <v>-1.18</v>
      </c>
      <c r="G10600" t="s">
        <v>12</v>
      </c>
      <c r="I10600" t="s">
        <v>13</v>
      </c>
    </row>
    <row r="10601" spans="1:9" hidden="1" x14ac:dyDescent="0.25">
      <c r="A10601" t="s">
        <v>8781</v>
      </c>
      <c r="B10601" t="s">
        <v>34</v>
      </c>
      <c r="C10601" s="2">
        <f>HYPERLINK("https://cao.dolgi.msk.ru/account/1080053122/", 1080053122)</f>
        <v>1080053122</v>
      </c>
      <c r="D10601" t="s">
        <v>8792</v>
      </c>
      <c r="E10601">
        <v>-25935.24</v>
      </c>
      <c r="F10601">
        <v>-1.29</v>
      </c>
      <c r="G10601" t="s">
        <v>12</v>
      </c>
      <c r="I10601" t="s">
        <v>13</v>
      </c>
    </row>
    <row r="10602" spans="1:9" hidden="1" x14ac:dyDescent="0.25">
      <c r="A10602" t="s">
        <v>8781</v>
      </c>
      <c r="B10602" t="s">
        <v>36</v>
      </c>
      <c r="C10602" s="2">
        <f>HYPERLINK("https://cao.dolgi.msk.ru/account/1080053173/", 1080053173)</f>
        <v>1080053173</v>
      </c>
      <c r="D10602" t="s">
        <v>8793</v>
      </c>
      <c r="E10602">
        <v>-22157.23</v>
      </c>
      <c r="F10602">
        <v>-1.2</v>
      </c>
      <c r="G10602" t="s">
        <v>12</v>
      </c>
      <c r="I10602" t="s">
        <v>13</v>
      </c>
    </row>
    <row r="10603" spans="1:9" hidden="1" x14ac:dyDescent="0.25">
      <c r="A10603" t="s">
        <v>8781</v>
      </c>
      <c r="B10603" t="s">
        <v>38</v>
      </c>
      <c r="C10603" s="2">
        <f>HYPERLINK("https://cao.dolgi.msk.ru/account/1080053229/", 1080053229)</f>
        <v>1080053229</v>
      </c>
      <c r="D10603" t="s">
        <v>62</v>
      </c>
      <c r="E10603">
        <v>-21202.79</v>
      </c>
      <c r="F10603">
        <v>-1.07</v>
      </c>
      <c r="G10603" t="s">
        <v>12</v>
      </c>
      <c r="I10603" t="s">
        <v>13</v>
      </c>
    </row>
    <row r="10604" spans="1:9" hidden="1" x14ac:dyDescent="0.25">
      <c r="A10604" t="s">
        <v>8781</v>
      </c>
      <c r="B10604" t="s">
        <v>39</v>
      </c>
      <c r="C10604" s="2">
        <f>HYPERLINK("https://cao.dolgi.msk.ru/account/1080053237/", 1080053237)</f>
        <v>1080053237</v>
      </c>
      <c r="D10604" t="s">
        <v>8794</v>
      </c>
      <c r="E10604">
        <v>6.78</v>
      </c>
      <c r="F10604">
        <v>0</v>
      </c>
      <c r="G10604" t="s">
        <v>12</v>
      </c>
      <c r="I10604" t="s">
        <v>13</v>
      </c>
    </row>
    <row r="10605" spans="1:9" hidden="1" x14ac:dyDescent="0.25">
      <c r="A10605" t="s">
        <v>8781</v>
      </c>
      <c r="B10605" t="s">
        <v>40</v>
      </c>
      <c r="C10605" s="2">
        <f>HYPERLINK("https://cao.dolgi.msk.ru/account/1080053202/", 1080053202)</f>
        <v>1080053202</v>
      </c>
      <c r="D10605" t="s">
        <v>8795</v>
      </c>
      <c r="E10605">
        <v>185.29</v>
      </c>
      <c r="F10605">
        <v>0.01</v>
      </c>
      <c r="G10605" t="s">
        <v>12</v>
      </c>
      <c r="I10605" t="s">
        <v>13</v>
      </c>
    </row>
    <row r="10606" spans="1:9" hidden="1" x14ac:dyDescent="0.25">
      <c r="A10606" t="s">
        <v>8781</v>
      </c>
      <c r="B10606" t="s">
        <v>41</v>
      </c>
      <c r="C10606" s="2">
        <f>HYPERLINK("https://cao.dolgi.msk.ru/account/1080053245/", 1080053245)</f>
        <v>1080053245</v>
      </c>
      <c r="D10606" t="s">
        <v>8796</v>
      </c>
      <c r="E10606">
        <v>-88.25</v>
      </c>
      <c r="F10606">
        <v>0</v>
      </c>
      <c r="G10606" t="s">
        <v>12</v>
      </c>
      <c r="I10606" t="s">
        <v>13</v>
      </c>
    </row>
    <row r="10607" spans="1:9" hidden="1" x14ac:dyDescent="0.25">
      <c r="A10607" t="s">
        <v>8781</v>
      </c>
      <c r="B10607" t="s">
        <v>42</v>
      </c>
      <c r="C10607" s="2">
        <f>HYPERLINK("https://cao.dolgi.msk.ru/account/1080053253/", 1080053253)</f>
        <v>1080053253</v>
      </c>
      <c r="D10607" t="s">
        <v>8797</v>
      </c>
      <c r="E10607">
        <v>-3515.15</v>
      </c>
      <c r="F10607">
        <v>-0.18</v>
      </c>
      <c r="G10607" t="s">
        <v>12</v>
      </c>
      <c r="I10607" t="s">
        <v>13</v>
      </c>
    </row>
    <row r="10608" spans="1:9" hidden="1" x14ac:dyDescent="0.25">
      <c r="A10608" t="s">
        <v>8781</v>
      </c>
      <c r="B10608" t="s">
        <v>44</v>
      </c>
      <c r="C10608" s="2">
        <f>HYPERLINK("https://cao.dolgi.msk.ru/account/1080053261/", 1080053261)</f>
        <v>1080053261</v>
      </c>
      <c r="D10608" t="s">
        <v>8798</v>
      </c>
      <c r="E10608">
        <v>-21196.02</v>
      </c>
      <c r="F10608">
        <v>-1.23</v>
      </c>
      <c r="G10608" t="s">
        <v>12</v>
      </c>
      <c r="I10608" t="s">
        <v>13</v>
      </c>
    </row>
    <row r="10609" spans="1:9" hidden="1" x14ac:dyDescent="0.25">
      <c r="A10609" t="s">
        <v>8781</v>
      </c>
      <c r="B10609" t="s">
        <v>66</v>
      </c>
      <c r="C10609" s="2">
        <f>HYPERLINK("https://cao.dolgi.msk.ru/account/1080053114/", 1080053114)</f>
        <v>1080053114</v>
      </c>
      <c r="D10609" t="s">
        <v>8799</v>
      </c>
      <c r="E10609">
        <v>-23297.98</v>
      </c>
      <c r="G10609" t="s">
        <v>14</v>
      </c>
      <c r="H10609" t="s">
        <v>7</v>
      </c>
      <c r="I10609" t="s">
        <v>13</v>
      </c>
    </row>
    <row r="10610" spans="1:9" hidden="1" x14ac:dyDescent="0.25">
      <c r="A10610" t="s">
        <v>8781</v>
      </c>
      <c r="B10610" t="s">
        <v>66</v>
      </c>
      <c r="C10610" s="2">
        <f>HYPERLINK("https://cao.dolgi.msk.ru/account/1080053288/", 1080053288)</f>
        <v>1080053288</v>
      </c>
      <c r="D10610" t="s">
        <v>8799</v>
      </c>
      <c r="E10610">
        <v>-8706.58</v>
      </c>
      <c r="F10610">
        <v>-0.4</v>
      </c>
      <c r="G10610" t="s">
        <v>12</v>
      </c>
      <c r="H10610" t="s">
        <v>7</v>
      </c>
      <c r="I10610" t="s">
        <v>13</v>
      </c>
    </row>
    <row r="10611" spans="1:9" hidden="1" x14ac:dyDescent="0.25">
      <c r="A10611" t="s">
        <v>8781</v>
      </c>
      <c r="B10611" t="s">
        <v>66</v>
      </c>
      <c r="C10611" s="2">
        <f>HYPERLINK("https://cao.dolgi.msk.ru/account/1080053309/", 1080053309)</f>
        <v>1080053309</v>
      </c>
      <c r="D10611" t="s">
        <v>8799</v>
      </c>
      <c r="E10611">
        <v>25701.41</v>
      </c>
      <c r="G10611" t="s">
        <v>14</v>
      </c>
      <c r="H10611" t="s">
        <v>7</v>
      </c>
      <c r="I10611" t="s">
        <v>13</v>
      </c>
    </row>
    <row r="10612" spans="1:9" hidden="1" x14ac:dyDescent="0.25">
      <c r="A10612" t="s">
        <v>8781</v>
      </c>
      <c r="B10612" t="s">
        <v>66</v>
      </c>
      <c r="C10612" s="2">
        <f>HYPERLINK("https://cao.dolgi.msk.ru/account/1080053317/", 1080053317)</f>
        <v>1080053317</v>
      </c>
      <c r="D10612" t="s">
        <v>8799</v>
      </c>
      <c r="E10612">
        <v>-61.01</v>
      </c>
      <c r="G10612" t="s">
        <v>14</v>
      </c>
      <c r="H10612" t="s">
        <v>7</v>
      </c>
      <c r="I10612" t="s">
        <v>13</v>
      </c>
    </row>
    <row r="10613" spans="1:9" hidden="1" x14ac:dyDescent="0.25">
      <c r="A10613" t="s">
        <v>8781</v>
      </c>
      <c r="B10613" t="s">
        <v>68</v>
      </c>
      <c r="C10613" s="2">
        <f>HYPERLINK("https://cao.dolgi.msk.ru/account/1080053325/", 1080053325)</f>
        <v>1080053325</v>
      </c>
      <c r="D10613" t="s">
        <v>8800</v>
      </c>
      <c r="E10613">
        <v>-41462.31</v>
      </c>
      <c r="F10613">
        <v>-1.19</v>
      </c>
      <c r="G10613" t="s">
        <v>12</v>
      </c>
      <c r="I10613" t="s">
        <v>13</v>
      </c>
    </row>
    <row r="10614" spans="1:9" hidden="1" x14ac:dyDescent="0.25">
      <c r="A10614" t="s">
        <v>8801</v>
      </c>
      <c r="B10614" t="s">
        <v>10</v>
      </c>
      <c r="C10614" s="2">
        <f>HYPERLINK("https://cao.dolgi.msk.ru/account/1080022553/", 1080022553)</f>
        <v>1080022553</v>
      </c>
      <c r="D10614" t="s">
        <v>8802</v>
      </c>
      <c r="E10614">
        <v>-6393.42</v>
      </c>
      <c r="F10614">
        <v>-1.1499999999999999</v>
      </c>
      <c r="G10614" t="s">
        <v>12</v>
      </c>
      <c r="I10614" t="s">
        <v>13</v>
      </c>
    </row>
    <row r="10615" spans="1:9" hidden="1" x14ac:dyDescent="0.25">
      <c r="A10615" t="s">
        <v>8801</v>
      </c>
      <c r="B10615" t="s">
        <v>16</v>
      </c>
      <c r="C10615" s="2">
        <f>HYPERLINK("https://cao.dolgi.msk.ru/account/1080022561/", 1080022561)</f>
        <v>1080022561</v>
      </c>
      <c r="D10615" t="s">
        <v>8803</v>
      </c>
      <c r="E10615">
        <v>0</v>
      </c>
      <c r="F10615">
        <v>0</v>
      </c>
      <c r="G10615" t="s">
        <v>12</v>
      </c>
      <c r="I10615" t="s">
        <v>13</v>
      </c>
    </row>
    <row r="10616" spans="1:9" hidden="1" x14ac:dyDescent="0.25">
      <c r="A10616" t="s">
        <v>8801</v>
      </c>
      <c r="B10616" t="s">
        <v>18</v>
      </c>
      <c r="C10616" s="2">
        <f>HYPERLINK("https://cao.dolgi.msk.ru/account/1080022588/", 1080022588)</f>
        <v>1080022588</v>
      </c>
      <c r="D10616" t="s">
        <v>8804</v>
      </c>
      <c r="E10616">
        <v>-12587.8</v>
      </c>
      <c r="F10616">
        <v>-8.1999999999999993</v>
      </c>
      <c r="G10616" t="s">
        <v>12</v>
      </c>
      <c r="I10616" t="s">
        <v>13</v>
      </c>
    </row>
    <row r="10617" spans="1:9" x14ac:dyDescent="0.25">
      <c r="A10617" t="s">
        <v>8801</v>
      </c>
      <c r="B10617" t="s">
        <v>18</v>
      </c>
      <c r="C10617" s="2">
        <f>HYPERLINK("https://cao.dolgi.msk.ru/account/1083321831/", 1083321831)</f>
        <v>1083321831</v>
      </c>
      <c r="D10617" t="s">
        <v>15</v>
      </c>
      <c r="E10617">
        <v>4607.49</v>
      </c>
      <c r="F10617">
        <v>3</v>
      </c>
      <c r="G10617" t="s">
        <v>12</v>
      </c>
      <c r="I10617" t="s">
        <v>13</v>
      </c>
    </row>
    <row r="10618" spans="1:9" hidden="1" x14ac:dyDescent="0.25">
      <c r="A10618" t="s">
        <v>8801</v>
      </c>
      <c r="B10618" t="s">
        <v>20</v>
      </c>
      <c r="C10618" s="2">
        <f>HYPERLINK("https://cao.dolgi.msk.ru/account/1080022596/", 1080022596)</f>
        <v>1080022596</v>
      </c>
      <c r="D10618" t="s">
        <v>8805</v>
      </c>
      <c r="E10618">
        <v>-3253.64</v>
      </c>
      <c r="F10618">
        <v>-1.05</v>
      </c>
      <c r="G10618" t="s">
        <v>12</v>
      </c>
      <c r="I10618" t="s">
        <v>13</v>
      </c>
    </row>
    <row r="10619" spans="1:9" hidden="1" x14ac:dyDescent="0.25">
      <c r="A10619" t="s">
        <v>8801</v>
      </c>
      <c r="B10619" t="s">
        <v>20</v>
      </c>
      <c r="C10619" s="2">
        <f>HYPERLINK("https://cao.dolgi.msk.ru/account/1089124185/", 1089124185)</f>
        <v>1089124185</v>
      </c>
      <c r="D10619" t="s">
        <v>8805</v>
      </c>
      <c r="E10619">
        <v>-2779.22</v>
      </c>
      <c r="F10619">
        <v>-1.03</v>
      </c>
      <c r="G10619" t="s">
        <v>12</v>
      </c>
      <c r="I10619" t="s">
        <v>13</v>
      </c>
    </row>
    <row r="10620" spans="1:9" hidden="1" x14ac:dyDescent="0.25">
      <c r="A10620" t="s">
        <v>8801</v>
      </c>
      <c r="B10620" t="s">
        <v>21</v>
      </c>
      <c r="C10620" s="2">
        <f>HYPERLINK("https://cao.dolgi.msk.ru/account/1080022609/", 1080022609)</f>
        <v>1080022609</v>
      </c>
      <c r="D10620" t="s">
        <v>8806</v>
      </c>
      <c r="E10620">
        <v>-0.15</v>
      </c>
      <c r="F10620">
        <v>0</v>
      </c>
      <c r="G10620" t="s">
        <v>12</v>
      </c>
      <c r="I10620" t="s">
        <v>13</v>
      </c>
    </row>
    <row r="10621" spans="1:9" hidden="1" x14ac:dyDescent="0.25">
      <c r="A10621" t="s">
        <v>8801</v>
      </c>
      <c r="B10621" t="s">
        <v>22</v>
      </c>
      <c r="C10621" s="2">
        <f>HYPERLINK("https://cao.dolgi.msk.ru/account/1080022617/", 1080022617)</f>
        <v>1080022617</v>
      </c>
      <c r="D10621" t="s">
        <v>8807</v>
      </c>
      <c r="E10621">
        <v>-20020.060000000001</v>
      </c>
      <c r="F10621">
        <v>-1.03</v>
      </c>
      <c r="G10621" t="s">
        <v>12</v>
      </c>
      <c r="I10621" t="s">
        <v>13</v>
      </c>
    </row>
    <row r="10622" spans="1:9" hidden="1" x14ac:dyDescent="0.25">
      <c r="A10622" t="s">
        <v>8801</v>
      </c>
      <c r="B10622" t="s">
        <v>23</v>
      </c>
      <c r="C10622" s="2">
        <f>HYPERLINK("https://cao.dolgi.msk.ru/account/1080022625/", 1080022625)</f>
        <v>1080022625</v>
      </c>
      <c r="D10622" t="s">
        <v>8808</v>
      </c>
      <c r="E10622">
        <v>-6373.91</v>
      </c>
      <c r="F10622">
        <v>-1.01</v>
      </c>
      <c r="G10622" t="s">
        <v>12</v>
      </c>
      <c r="I10622" t="s">
        <v>13</v>
      </c>
    </row>
    <row r="10623" spans="1:9" hidden="1" x14ac:dyDescent="0.25">
      <c r="A10623" t="s">
        <v>8801</v>
      </c>
      <c r="B10623" t="s">
        <v>24</v>
      </c>
      <c r="C10623" s="2">
        <f>HYPERLINK("https://cao.dolgi.msk.ru/account/1080022633/", 1080022633)</f>
        <v>1080022633</v>
      </c>
      <c r="D10623" t="s">
        <v>8809</v>
      </c>
      <c r="E10623">
        <v>-7.0000000000000007E-2</v>
      </c>
      <c r="F10623">
        <v>0</v>
      </c>
      <c r="G10623" t="s">
        <v>12</v>
      </c>
      <c r="I10623" t="s">
        <v>13</v>
      </c>
    </row>
    <row r="10624" spans="1:9" hidden="1" x14ac:dyDescent="0.25">
      <c r="A10624" t="s">
        <v>8801</v>
      </c>
      <c r="B10624" t="s">
        <v>27</v>
      </c>
      <c r="C10624" s="2">
        <f>HYPERLINK("https://cao.dolgi.msk.ru/account/1080022641/", 1080022641)</f>
        <v>1080022641</v>
      </c>
      <c r="D10624" t="s">
        <v>8810</v>
      </c>
      <c r="E10624">
        <v>-6469.22</v>
      </c>
      <c r="F10624">
        <v>-0.82</v>
      </c>
      <c r="G10624" t="s">
        <v>12</v>
      </c>
      <c r="I10624" t="s">
        <v>13</v>
      </c>
    </row>
    <row r="10625" spans="1:9" hidden="1" x14ac:dyDescent="0.25">
      <c r="A10625" t="s">
        <v>8801</v>
      </c>
      <c r="B10625" t="s">
        <v>29</v>
      </c>
      <c r="C10625" s="2">
        <f>HYPERLINK("https://cao.dolgi.msk.ru/account/1080022668/", 1080022668)</f>
        <v>1080022668</v>
      </c>
      <c r="D10625" t="s">
        <v>8811</v>
      </c>
      <c r="E10625">
        <v>-8570.5300000000007</v>
      </c>
      <c r="F10625">
        <v>-1.05</v>
      </c>
      <c r="G10625" t="s">
        <v>12</v>
      </c>
      <c r="I10625" t="s">
        <v>13</v>
      </c>
    </row>
    <row r="10626" spans="1:9" hidden="1" x14ac:dyDescent="0.25">
      <c r="A10626" t="s">
        <v>8801</v>
      </c>
      <c r="B10626" t="s">
        <v>31</v>
      </c>
      <c r="C10626" s="2">
        <f>HYPERLINK("https://cao.dolgi.msk.ru/account/1080022676/", 1080022676)</f>
        <v>1080022676</v>
      </c>
      <c r="D10626" t="s">
        <v>8812</v>
      </c>
      <c r="E10626">
        <v>-3417.8</v>
      </c>
      <c r="F10626">
        <v>-1.03</v>
      </c>
      <c r="G10626" t="s">
        <v>12</v>
      </c>
      <c r="I10626" t="s">
        <v>13</v>
      </c>
    </row>
    <row r="10627" spans="1:9" hidden="1" x14ac:dyDescent="0.25">
      <c r="A10627" t="s">
        <v>8801</v>
      </c>
      <c r="B10627" t="s">
        <v>33</v>
      </c>
      <c r="C10627" s="2">
        <f>HYPERLINK("https://cao.dolgi.msk.ru/account/1080022684/", 1080022684)</f>
        <v>1080022684</v>
      </c>
      <c r="D10627" t="s">
        <v>8813</v>
      </c>
      <c r="E10627">
        <v>-6945.25</v>
      </c>
      <c r="F10627">
        <v>-1.17</v>
      </c>
      <c r="G10627" t="s">
        <v>12</v>
      </c>
      <c r="I10627" t="s">
        <v>13</v>
      </c>
    </row>
    <row r="10628" spans="1:9" hidden="1" x14ac:dyDescent="0.25">
      <c r="A10628" t="s">
        <v>8801</v>
      </c>
      <c r="B10628" t="s">
        <v>34</v>
      </c>
      <c r="C10628" s="2">
        <f>HYPERLINK("https://cao.dolgi.msk.ru/account/1080022692/", 1080022692)</f>
        <v>1080022692</v>
      </c>
      <c r="D10628" t="s">
        <v>736</v>
      </c>
      <c r="E10628">
        <v>7449.46</v>
      </c>
      <c r="F10628">
        <v>1</v>
      </c>
      <c r="G10628" t="s">
        <v>12</v>
      </c>
      <c r="I10628" t="s">
        <v>13</v>
      </c>
    </row>
    <row r="10629" spans="1:9" hidden="1" x14ac:dyDescent="0.25">
      <c r="A10629" t="s">
        <v>8801</v>
      </c>
      <c r="B10629" t="s">
        <v>36</v>
      </c>
      <c r="C10629" s="2">
        <f>HYPERLINK("https://cao.dolgi.msk.ru/account/1080022705/", 1080022705)</f>
        <v>1080022705</v>
      </c>
      <c r="D10629" t="s">
        <v>8814</v>
      </c>
      <c r="E10629">
        <v>-7444.77</v>
      </c>
      <c r="F10629">
        <v>-0.71</v>
      </c>
      <c r="G10629" t="s">
        <v>12</v>
      </c>
      <c r="I10629" t="s">
        <v>13</v>
      </c>
    </row>
    <row r="10630" spans="1:9" hidden="1" x14ac:dyDescent="0.25">
      <c r="A10630" t="s">
        <v>8801</v>
      </c>
      <c r="B10630" t="s">
        <v>38</v>
      </c>
      <c r="C10630" s="2">
        <f>HYPERLINK("https://cao.dolgi.msk.ru/account/1080022713/", 1080022713)</f>
        <v>1080022713</v>
      </c>
      <c r="D10630" t="s">
        <v>8815</v>
      </c>
      <c r="E10630">
        <v>-1583.14</v>
      </c>
      <c r="F10630">
        <v>-0.46</v>
      </c>
      <c r="G10630" t="s">
        <v>12</v>
      </c>
      <c r="I10630" t="s">
        <v>13</v>
      </c>
    </row>
    <row r="10631" spans="1:9" hidden="1" x14ac:dyDescent="0.25">
      <c r="A10631" t="s">
        <v>8801</v>
      </c>
      <c r="B10631" t="s">
        <v>39</v>
      </c>
      <c r="C10631" s="2">
        <f>HYPERLINK("https://cao.dolgi.msk.ru/account/1080022721/", 1080022721)</f>
        <v>1080022721</v>
      </c>
      <c r="D10631" t="s">
        <v>15</v>
      </c>
      <c r="E10631">
        <v>-7421.51</v>
      </c>
      <c r="F10631">
        <v>-1.07</v>
      </c>
      <c r="G10631" t="s">
        <v>12</v>
      </c>
      <c r="I10631" t="s">
        <v>13</v>
      </c>
    </row>
    <row r="10632" spans="1:9" hidden="1" x14ac:dyDescent="0.25">
      <c r="A10632" t="s">
        <v>8816</v>
      </c>
      <c r="B10632" t="s">
        <v>116</v>
      </c>
      <c r="C10632" s="2">
        <f>HYPERLINK("https://cao.dolgi.msk.ru/account/1080026511/", 1080026511)</f>
        <v>1080026511</v>
      </c>
      <c r="D10632" t="s">
        <v>8817</v>
      </c>
      <c r="G10632" t="s">
        <v>14</v>
      </c>
      <c r="I10632" t="s">
        <v>13</v>
      </c>
    </row>
    <row r="10633" spans="1:9" hidden="1" x14ac:dyDescent="0.25">
      <c r="A10633" t="s">
        <v>8816</v>
      </c>
      <c r="B10633" t="s">
        <v>120</v>
      </c>
      <c r="C10633" s="2">
        <f>HYPERLINK("https://cao.dolgi.msk.ru/account/1080026546/", 1080026546)</f>
        <v>1080026546</v>
      </c>
      <c r="D10633" t="s">
        <v>15</v>
      </c>
      <c r="G10633" t="s">
        <v>14</v>
      </c>
      <c r="I10633" t="s">
        <v>13</v>
      </c>
    </row>
    <row r="10634" spans="1:9" hidden="1" x14ac:dyDescent="0.25">
      <c r="A10634" t="s">
        <v>8816</v>
      </c>
      <c r="B10634" t="s">
        <v>122</v>
      </c>
      <c r="C10634" s="2">
        <f>HYPERLINK("https://cao.dolgi.msk.ru/account/1080026554/", 1080026554)</f>
        <v>1080026554</v>
      </c>
      <c r="D10634" t="s">
        <v>8818</v>
      </c>
      <c r="G10634" t="s">
        <v>14</v>
      </c>
      <c r="I10634" t="s">
        <v>13</v>
      </c>
    </row>
    <row r="10635" spans="1:9" hidden="1" x14ac:dyDescent="0.25">
      <c r="A10635" t="s">
        <v>8816</v>
      </c>
      <c r="B10635" t="s">
        <v>126</v>
      </c>
      <c r="C10635" s="2">
        <f>HYPERLINK("https://cao.dolgi.msk.ru/account/1080026597/", 1080026597)</f>
        <v>1080026597</v>
      </c>
      <c r="D10635" t="s">
        <v>8819</v>
      </c>
      <c r="G10635" t="s">
        <v>14</v>
      </c>
      <c r="H10635" t="s">
        <v>7</v>
      </c>
      <c r="I10635" t="s">
        <v>13</v>
      </c>
    </row>
    <row r="10636" spans="1:9" hidden="1" x14ac:dyDescent="0.25">
      <c r="A10636" t="s">
        <v>8816</v>
      </c>
      <c r="B10636" t="s">
        <v>132</v>
      </c>
      <c r="C10636" s="2">
        <f>HYPERLINK("https://cao.dolgi.msk.ru/account/1080026642/", 1080026642)</f>
        <v>1080026642</v>
      </c>
      <c r="D10636" t="s">
        <v>15</v>
      </c>
      <c r="G10636" t="s">
        <v>14</v>
      </c>
      <c r="H10636" t="s">
        <v>7</v>
      </c>
      <c r="I10636" t="s">
        <v>13</v>
      </c>
    </row>
    <row r="10637" spans="1:9" hidden="1" x14ac:dyDescent="0.25">
      <c r="A10637" t="s">
        <v>8816</v>
      </c>
      <c r="B10637" t="s">
        <v>135</v>
      </c>
      <c r="C10637" s="2">
        <f>HYPERLINK("https://cao.dolgi.msk.ru/account/1080026677/", 1080026677)</f>
        <v>1080026677</v>
      </c>
      <c r="D10637" t="s">
        <v>8820</v>
      </c>
      <c r="G10637" t="s">
        <v>14</v>
      </c>
      <c r="H10637" t="s">
        <v>7</v>
      </c>
      <c r="I10637" t="s">
        <v>13</v>
      </c>
    </row>
    <row r="10638" spans="1:9" hidden="1" x14ac:dyDescent="0.25">
      <c r="A10638" t="s">
        <v>8821</v>
      </c>
      <c r="B10638" t="s">
        <v>16</v>
      </c>
      <c r="C10638" s="2">
        <f>HYPERLINK("https://cao.dolgi.msk.ru/account/1080045165/", 1080045165)</f>
        <v>1080045165</v>
      </c>
      <c r="D10638" t="s">
        <v>8822</v>
      </c>
      <c r="E10638">
        <v>-2437.98</v>
      </c>
      <c r="F10638">
        <v>-0.47</v>
      </c>
      <c r="G10638" t="s">
        <v>12</v>
      </c>
      <c r="I10638" t="s">
        <v>13</v>
      </c>
    </row>
    <row r="10639" spans="1:9" hidden="1" x14ac:dyDescent="0.25">
      <c r="A10639" t="s">
        <v>8821</v>
      </c>
      <c r="B10639" t="s">
        <v>18</v>
      </c>
      <c r="C10639" s="2">
        <f>HYPERLINK("https://cao.dolgi.msk.ru/account/1080045173/", 1080045173)</f>
        <v>1080045173</v>
      </c>
      <c r="D10639" t="s">
        <v>8823</v>
      </c>
      <c r="E10639">
        <v>-4093.68</v>
      </c>
      <c r="F10639">
        <v>-1.1499999999999999</v>
      </c>
      <c r="G10639" t="s">
        <v>12</v>
      </c>
      <c r="I10639" t="s">
        <v>13</v>
      </c>
    </row>
    <row r="10640" spans="1:9" hidden="1" x14ac:dyDescent="0.25">
      <c r="A10640" t="s">
        <v>8821</v>
      </c>
      <c r="B10640" t="s">
        <v>20</v>
      </c>
      <c r="C10640" s="2">
        <f>HYPERLINK("https://cao.dolgi.msk.ru/account/1080047478/", 1080047478)</f>
        <v>1080047478</v>
      </c>
      <c r="D10640" t="s">
        <v>8824</v>
      </c>
      <c r="E10640">
        <v>-8271.44</v>
      </c>
      <c r="F10640">
        <v>-1.26</v>
      </c>
      <c r="G10640" t="s">
        <v>12</v>
      </c>
      <c r="I10640" t="s">
        <v>13</v>
      </c>
    </row>
    <row r="10641" spans="1:9" hidden="1" x14ac:dyDescent="0.25">
      <c r="A10641" t="s">
        <v>8821</v>
      </c>
      <c r="B10641" t="s">
        <v>21</v>
      </c>
      <c r="C10641" s="2">
        <f>HYPERLINK("https://cao.dolgi.msk.ru/account/1080045181/", 1080045181)</f>
        <v>1080045181</v>
      </c>
      <c r="D10641" t="s">
        <v>8825</v>
      </c>
      <c r="E10641">
        <v>-5660.9</v>
      </c>
      <c r="F10641">
        <v>-1.06</v>
      </c>
      <c r="G10641" t="s">
        <v>12</v>
      </c>
      <c r="I10641" t="s">
        <v>13</v>
      </c>
    </row>
    <row r="10642" spans="1:9" hidden="1" x14ac:dyDescent="0.25">
      <c r="A10642" t="s">
        <v>8821</v>
      </c>
      <c r="B10642" t="s">
        <v>22</v>
      </c>
      <c r="C10642" s="2">
        <f>HYPERLINK("https://cao.dolgi.msk.ru/account/1080045202/", 1080045202)</f>
        <v>1080045202</v>
      </c>
      <c r="D10642" t="s">
        <v>8826</v>
      </c>
      <c r="E10642">
        <v>-23970.01</v>
      </c>
      <c r="F10642">
        <v>-1.31</v>
      </c>
      <c r="G10642" t="s">
        <v>12</v>
      </c>
      <c r="I10642" t="s">
        <v>13</v>
      </c>
    </row>
    <row r="10643" spans="1:9" hidden="1" x14ac:dyDescent="0.25">
      <c r="A10643" t="s">
        <v>8821</v>
      </c>
      <c r="B10643" t="s">
        <v>23</v>
      </c>
      <c r="C10643" s="2">
        <f>HYPERLINK("https://cao.dolgi.msk.ru/account/1080045229/", 1080045229)</f>
        <v>1080045229</v>
      </c>
      <c r="D10643" t="s">
        <v>8827</v>
      </c>
      <c r="E10643">
        <v>-6743.56</v>
      </c>
      <c r="F10643">
        <v>-1.1000000000000001</v>
      </c>
      <c r="G10643" t="s">
        <v>12</v>
      </c>
      <c r="I10643" t="s">
        <v>13</v>
      </c>
    </row>
    <row r="10644" spans="1:9" hidden="1" x14ac:dyDescent="0.25">
      <c r="A10644" t="s">
        <v>8821</v>
      </c>
      <c r="B10644" t="s">
        <v>24</v>
      </c>
      <c r="C10644" s="2">
        <f>HYPERLINK("https://cao.dolgi.msk.ru/account/1080045237/", 1080045237)</f>
        <v>1080045237</v>
      </c>
      <c r="D10644" t="s">
        <v>8828</v>
      </c>
      <c r="E10644">
        <v>-7994.13</v>
      </c>
      <c r="F10644">
        <v>-1.41</v>
      </c>
      <c r="G10644" t="s">
        <v>12</v>
      </c>
      <c r="I10644" t="s">
        <v>13</v>
      </c>
    </row>
    <row r="10645" spans="1:9" hidden="1" x14ac:dyDescent="0.25">
      <c r="A10645" t="s">
        <v>8821</v>
      </c>
      <c r="B10645" t="s">
        <v>27</v>
      </c>
      <c r="C10645" s="2">
        <f>HYPERLINK("https://cao.dolgi.msk.ru/account/1080045245/", 1080045245)</f>
        <v>1080045245</v>
      </c>
      <c r="D10645" t="s">
        <v>8829</v>
      </c>
      <c r="E10645">
        <v>-2134.42</v>
      </c>
      <c r="F10645">
        <v>-0.38</v>
      </c>
      <c r="G10645" t="s">
        <v>12</v>
      </c>
      <c r="I10645" t="s">
        <v>13</v>
      </c>
    </row>
    <row r="10646" spans="1:9" hidden="1" x14ac:dyDescent="0.25">
      <c r="A10646" t="s">
        <v>8821</v>
      </c>
      <c r="B10646" t="s">
        <v>29</v>
      </c>
      <c r="C10646" s="2">
        <f>HYPERLINK("https://cao.dolgi.msk.ru/account/1080045253/", 1080045253)</f>
        <v>1080045253</v>
      </c>
      <c r="D10646" t="s">
        <v>8830</v>
      </c>
      <c r="E10646">
        <v>-5919.13</v>
      </c>
      <c r="F10646">
        <v>-1.0900000000000001</v>
      </c>
      <c r="G10646" t="s">
        <v>12</v>
      </c>
      <c r="I10646" t="s">
        <v>13</v>
      </c>
    </row>
    <row r="10647" spans="1:9" hidden="1" x14ac:dyDescent="0.25">
      <c r="A10647" t="s">
        <v>8821</v>
      </c>
      <c r="B10647" t="s">
        <v>29</v>
      </c>
      <c r="C10647" s="2">
        <f>HYPERLINK("https://cao.dolgi.msk.ru/account/1083270747/", 1083270747)</f>
        <v>1083270747</v>
      </c>
      <c r="D10647" t="s">
        <v>8830</v>
      </c>
      <c r="E10647">
        <v>0</v>
      </c>
      <c r="G10647" t="s">
        <v>14</v>
      </c>
      <c r="I10647" t="s">
        <v>13</v>
      </c>
    </row>
    <row r="10648" spans="1:9" hidden="1" x14ac:dyDescent="0.25">
      <c r="A10648" t="s">
        <v>8821</v>
      </c>
      <c r="B10648" t="s">
        <v>31</v>
      </c>
      <c r="C10648" s="2">
        <f>HYPERLINK("https://cao.dolgi.msk.ru/account/1080045261/", 1080045261)</f>
        <v>1080045261</v>
      </c>
      <c r="D10648" t="s">
        <v>8831</v>
      </c>
      <c r="E10648">
        <v>-3928.49</v>
      </c>
      <c r="F10648">
        <v>-1.22</v>
      </c>
      <c r="G10648" t="s">
        <v>12</v>
      </c>
      <c r="I10648" t="s">
        <v>13</v>
      </c>
    </row>
    <row r="10649" spans="1:9" hidden="1" x14ac:dyDescent="0.25">
      <c r="A10649" t="s">
        <v>8821</v>
      </c>
      <c r="B10649" t="s">
        <v>31</v>
      </c>
      <c r="C10649" s="2">
        <f>HYPERLINK("https://cao.dolgi.msk.ru/account/1089126551/", 1089126551)</f>
        <v>1089126551</v>
      </c>
      <c r="D10649" t="s">
        <v>8832</v>
      </c>
      <c r="E10649">
        <v>-3759.97</v>
      </c>
      <c r="F10649">
        <v>-1.23</v>
      </c>
      <c r="G10649" t="s">
        <v>12</v>
      </c>
      <c r="I10649" t="s">
        <v>13</v>
      </c>
    </row>
    <row r="10650" spans="1:9" x14ac:dyDescent="0.25">
      <c r="A10650" t="s">
        <v>8821</v>
      </c>
      <c r="B10650" t="s">
        <v>33</v>
      </c>
      <c r="C10650" s="2">
        <f>HYPERLINK("https://cao.dolgi.msk.ru/account/1080045288/", 1080045288)</f>
        <v>1080045288</v>
      </c>
      <c r="D10650" t="s">
        <v>8833</v>
      </c>
      <c r="E10650">
        <v>22308.77</v>
      </c>
      <c r="F10650">
        <v>3.07</v>
      </c>
      <c r="G10650" t="s">
        <v>12</v>
      </c>
      <c r="I10650" t="s">
        <v>13</v>
      </c>
    </row>
    <row r="10651" spans="1:9" hidden="1" x14ac:dyDescent="0.25">
      <c r="A10651" t="s">
        <v>8821</v>
      </c>
      <c r="B10651" t="s">
        <v>34</v>
      </c>
      <c r="C10651" s="2">
        <f>HYPERLINK("https://cao.dolgi.msk.ru/account/1080045296/", 1080045296)</f>
        <v>1080045296</v>
      </c>
      <c r="D10651" t="s">
        <v>8834</v>
      </c>
      <c r="E10651">
        <v>-6141.34</v>
      </c>
      <c r="F10651">
        <v>-1.05</v>
      </c>
      <c r="G10651" t="s">
        <v>12</v>
      </c>
      <c r="I10651" t="s">
        <v>13</v>
      </c>
    </row>
    <row r="10652" spans="1:9" hidden="1" x14ac:dyDescent="0.25">
      <c r="A10652" t="s">
        <v>8821</v>
      </c>
      <c r="B10652" t="s">
        <v>38</v>
      </c>
      <c r="C10652" s="2">
        <f>HYPERLINK("https://cao.dolgi.msk.ru/account/1080045309/", 1080045309)</f>
        <v>1080045309</v>
      </c>
      <c r="D10652" t="s">
        <v>8835</v>
      </c>
      <c r="E10652">
        <v>-4947.1899999999996</v>
      </c>
      <c r="F10652">
        <v>-0.84</v>
      </c>
      <c r="G10652" t="s">
        <v>12</v>
      </c>
      <c r="I10652" t="s">
        <v>13</v>
      </c>
    </row>
    <row r="10653" spans="1:9" hidden="1" x14ac:dyDescent="0.25">
      <c r="A10653" t="s">
        <v>8821</v>
      </c>
      <c r="B10653" t="s">
        <v>39</v>
      </c>
      <c r="C10653" s="2">
        <f>HYPERLINK("https://cao.dolgi.msk.ru/account/1080045317/", 1080045317)</f>
        <v>1080045317</v>
      </c>
      <c r="D10653" t="s">
        <v>8836</v>
      </c>
      <c r="E10653">
        <v>34.049999999999997</v>
      </c>
      <c r="F10653">
        <v>0.01</v>
      </c>
      <c r="G10653" t="s">
        <v>12</v>
      </c>
      <c r="I10653" t="s">
        <v>13</v>
      </c>
    </row>
    <row r="10654" spans="1:9" hidden="1" x14ac:dyDescent="0.25">
      <c r="A10654" t="s">
        <v>8821</v>
      </c>
      <c r="B10654" t="s">
        <v>40</v>
      </c>
      <c r="C10654" s="2">
        <f>HYPERLINK("https://cao.dolgi.msk.ru/account/1080045325/", 1080045325)</f>
        <v>1080045325</v>
      </c>
      <c r="D10654" t="s">
        <v>8837</v>
      </c>
      <c r="E10654">
        <v>-5158.82</v>
      </c>
      <c r="F10654">
        <v>-1.25</v>
      </c>
      <c r="G10654" t="s">
        <v>12</v>
      </c>
      <c r="I10654" t="s">
        <v>13</v>
      </c>
    </row>
    <row r="10655" spans="1:9" hidden="1" x14ac:dyDescent="0.25">
      <c r="A10655" t="s">
        <v>8821</v>
      </c>
      <c r="B10655" t="s">
        <v>41</v>
      </c>
      <c r="C10655" s="2">
        <f>HYPERLINK("https://cao.dolgi.msk.ru/account/1080045333/", 1080045333)</f>
        <v>1080045333</v>
      </c>
      <c r="D10655" t="s">
        <v>8838</v>
      </c>
      <c r="E10655">
        <v>-6864.27</v>
      </c>
      <c r="F10655">
        <v>-1.04</v>
      </c>
      <c r="G10655" t="s">
        <v>12</v>
      </c>
      <c r="I10655" t="s">
        <v>13</v>
      </c>
    </row>
    <row r="10656" spans="1:9" hidden="1" x14ac:dyDescent="0.25">
      <c r="A10656" t="s">
        <v>8821</v>
      </c>
      <c r="B10656" t="s">
        <v>42</v>
      </c>
      <c r="C10656" s="2">
        <f>HYPERLINK("https://cao.dolgi.msk.ru/account/1080045341/", 1080045341)</f>
        <v>1080045341</v>
      </c>
      <c r="D10656" t="s">
        <v>15</v>
      </c>
      <c r="E10656">
        <v>0</v>
      </c>
      <c r="F10656">
        <v>0</v>
      </c>
      <c r="G10656" t="s">
        <v>12</v>
      </c>
      <c r="I10656" t="s">
        <v>13</v>
      </c>
    </row>
    <row r="10657" spans="1:9" hidden="1" x14ac:dyDescent="0.25">
      <c r="A10657" t="s">
        <v>8821</v>
      </c>
      <c r="B10657" t="s">
        <v>44</v>
      </c>
      <c r="C10657" s="2">
        <f>HYPERLINK("https://cao.dolgi.msk.ru/account/1080045368/", 1080045368)</f>
        <v>1080045368</v>
      </c>
      <c r="D10657" t="s">
        <v>8839</v>
      </c>
      <c r="E10657">
        <v>0</v>
      </c>
      <c r="F10657">
        <v>0</v>
      </c>
      <c r="G10657" t="s">
        <v>12</v>
      </c>
      <c r="I10657" t="s">
        <v>13</v>
      </c>
    </row>
    <row r="10658" spans="1:9" hidden="1" x14ac:dyDescent="0.25">
      <c r="A10658" t="s">
        <v>8821</v>
      </c>
      <c r="B10658" t="s">
        <v>66</v>
      </c>
      <c r="C10658" s="2">
        <f>HYPERLINK("https://cao.dolgi.msk.ru/account/1080045376/", 1080045376)</f>
        <v>1080045376</v>
      </c>
      <c r="D10658" t="s">
        <v>8840</v>
      </c>
      <c r="E10658">
        <v>-16.96</v>
      </c>
      <c r="F10658">
        <v>0</v>
      </c>
      <c r="G10658" t="s">
        <v>12</v>
      </c>
      <c r="I10658" t="s">
        <v>13</v>
      </c>
    </row>
    <row r="10659" spans="1:9" hidden="1" x14ac:dyDescent="0.25">
      <c r="A10659" t="s">
        <v>8821</v>
      </c>
      <c r="B10659" t="s">
        <v>68</v>
      </c>
      <c r="C10659" s="2">
        <f>HYPERLINK("https://cao.dolgi.msk.ru/account/1080045384/", 1080045384)</f>
        <v>1080045384</v>
      </c>
      <c r="D10659" t="s">
        <v>8841</v>
      </c>
      <c r="E10659">
        <v>-42.59</v>
      </c>
      <c r="F10659">
        <v>-0.01</v>
      </c>
      <c r="G10659" t="s">
        <v>12</v>
      </c>
      <c r="I10659" t="s">
        <v>13</v>
      </c>
    </row>
    <row r="10660" spans="1:9" hidden="1" x14ac:dyDescent="0.25">
      <c r="A10660" t="s">
        <v>8821</v>
      </c>
      <c r="B10660" t="s">
        <v>70</v>
      </c>
      <c r="C10660" s="2">
        <f>HYPERLINK("https://cao.dolgi.msk.ru/account/1080045392/", 1080045392)</f>
        <v>1080045392</v>
      </c>
      <c r="D10660" t="s">
        <v>8842</v>
      </c>
      <c r="E10660">
        <v>-3034.8</v>
      </c>
      <c r="F10660">
        <v>-1.1000000000000001</v>
      </c>
      <c r="G10660" t="s">
        <v>12</v>
      </c>
      <c r="I10660" t="s">
        <v>13</v>
      </c>
    </row>
    <row r="10661" spans="1:9" hidden="1" x14ac:dyDescent="0.25">
      <c r="A10661" t="s">
        <v>8821</v>
      </c>
      <c r="B10661" t="s">
        <v>72</v>
      </c>
      <c r="C10661" s="2">
        <f>HYPERLINK("https://cao.dolgi.msk.ru/account/1080045405/", 1080045405)</f>
        <v>1080045405</v>
      </c>
      <c r="D10661" t="s">
        <v>15</v>
      </c>
      <c r="G10661" t="s">
        <v>14</v>
      </c>
      <c r="I10661" t="s">
        <v>13</v>
      </c>
    </row>
    <row r="10662" spans="1:9" hidden="1" x14ac:dyDescent="0.25">
      <c r="A10662" t="s">
        <v>8821</v>
      </c>
      <c r="B10662" t="s">
        <v>72</v>
      </c>
      <c r="C10662" s="2">
        <f>HYPERLINK("https://cao.dolgi.msk.ru/account/1080045413/", 1080045413)</f>
        <v>1080045413</v>
      </c>
      <c r="D10662" t="s">
        <v>15</v>
      </c>
      <c r="G10662" t="s">
        <v>14</v>
      </c>
      <c r="I10662" t="s">
        <v>13</v>
      </c>
    </row>
    <row r="10663" spans="1:9" hidden="1" x14ac:dyDescent="0.25">
      <c r="A10663" t="s">
        <v>8821</v>
      </c>
      <c r="B10663" t="s">
        <v>72</v>
      </c>
      <c r="C10663" s="2">
        <f>HYPERLINK("https://cao.dolgi.msk.ru/account/1080045421/", 1080045421)</f>
        <v>1080045421</v>
      </c>
      <c r="D10663" t="s">
        <v>8843</v>
      </c>
      <c r="E10663">
        <v>-632.01</v>
      </c>
      <c r="F10663">
        <v>-0.13</v>
      </c>
      <c r="G10663" t="s">
        <v>12</v>
      </c>
      <c r="I10663" t="s">
        <v>13</v>
      </c>
    </row>
    <row r="10664" spans="1:9" hidden="1" x14ac:dyDescent="0.25">
      <c r="A10664" t="s">
        <v>8821</v>
      </c>
      <c r="B10664" t="s">
        <v>74</v>
      </c>
      <c r="C10664" s="2">
        <f>HYPERLINK("https://cao.dolgi.msk.ru/account/1080045448/", 1080045448)</f>
        <v>1080045448</v>
      </c>
      <c r="D10664" t="s">
        <v>8844</v>
      </c>
      <c r="E10664">
        <v>38.799999999999997</v>
      </c>
      <c r="F10664">
        <v>0.02</v>
      </c>
      <c r="G10664" t="s">
        <v>12</v>
      </c>
      <c r="H10664" t="s">
        <v>7</v>
      </c>
      <c r="I10664" t="s">
        <v>13</v>
      </c>
    </row>
    <row r="10665" spans="1:9" hidden="1" x14ac:dyDescent="0.25">
      <c r="A10665" t="s">
        <v>8821</v>
      </c>
      <c r="B10665" t="s">
        <v>74</v>
      </c>
      <c r="C10665" s="2">
        <f>HYPERLINK("https://cao.dolgi.msk.ru/account/1080045456/", 1080045456)</f>
        <v>1080045456</v>
      </c>
      <c r="D10665" t="s">
        <v>8844</v>
      </c>
      <c r="E10665">
        <v>-6803.15</v>
      </c>
      <c r="F10665">
        <v>-1.1399999999999999</v>
      </c>
      <c r="G10665" t="s">
        <v>12</v>
      </c>
      <c r="H10665" t="s">
        <v>7</v>
      </c>
      <c r="I10665" t="s">
        <v>13</v>
      </c>
    </row>
    <row r="10666" spans="1:9" hidden="1" x14ac:dyDescent="0.25">
      <c r="A10666" t="s">
        <v>8821</v>
      </c>
      <c r="B10666" t="s">
        <v>76</v>
      </c>
      <c r="C10666" s="2">
        <f>HYPERLINK("https://cao.dolgi.msk.ru/account/1080045464/", 1080045464)</f>
        <v>1080045464</v>
      </c>
      <c r="D10666" t="s">
        <v>8845</v>
      </c>
      <c r="E10666">
        <v>-7618.81</v>
      </c>
      <c r="F10666">
        <v>-1.1100000000000001</v>
      </c>
      <c r="G10666" t="s">
        <v>12</v>
      </c>
      <c r="I10666" t="s">
        <v>13</v>
      </c>
    </row>
    <row r="10667" spans="1:9" hidden="1" x14ac:dyDescent="0.25">
      <c r="A10667" t="s">
        <v>8821</v>
      </c>
      <c r="B10667" t="s">
        <v>78</v>
      </c>
      <c r="C10667" s="2">
        <f>HYPERLINK("https://cao.dolgi.msk.ru/account/1080045472/", 1080045472)</f>
        <v>1080045472</v>
      </c>
      <c r="D10667" t="s">
        <v>15</v>
      </c>
      <c r="E10667">
        <v>840.65</v>
      </c>
      <c r="F10667">
        <v>0.13</v>
      </c>
      <c r="G10667" t="s">
        <v>12</v>
      </c>
      <c r="I10667" t="s">
        <v>13</v>
      </c>
    </row>
    <row r="10668" spans="1:9" hidden="1" x14ac:dyDescent="0.25">
      <c r="A10668" t="s">
        <v>8821</v>
      </c>
      <c r="B10668" t="s">
        <v>80</v>
      </c>
      <c r="C10668" s="2">
        <f>HYPERLINK("https://cao.dolgi.msk.ru/account/1080045499/", 1080045499)</f>
        <v>1080045499</v>
      </c>
      <c r="D10668" t="s">
        <v>8846</v>
      </c>
      <c r="E10668">
        <v>-7977.06</v>
      </c>
      <c r="F10668">
        <v>-1.05</v>
      </c>
      <c r="G10668" t="s">
        <v>12</v>
      </c>
      <c r="I10668" t="s">
        <v>13</v>
      </c>
    </row>
    <row r="10669" spans="1:9" hidden="1" x14ac:dyDescent="0.25">
      <c r="A10669" t="s">
        <v>8821</v>
      </c>
      <c r="B10669" t="s">
        <v>82</v>
      </c>
      <c r="C10669" s="2">
        <f>HYPERLINK("https://cao.dolgi.msk.ru/account/1080045501/", 1080045501)</f>
        <v>1080045501</v>
      </c>
      <c r="D10669" t="s">
        <v>8847</v>
      </c>
      <c r="E10669">
        <v>-7417.87</v>
      </c>
      <c r="F10669">
        <v>-1.1000000000000001</v>
      </c>
      <c r="G10669" t="s">
        <v>12</v>
      </c>
      <c r="I10669" t="s">
        <v>13</v>
      </c>
    </row>
    <row r="10670" spans="1:9" hidden="1" x14ac:dyDescent="0.25">
      <c r="A10670" t="s">
        <v>8821</v>
      </c>
      <c r="B10670" t="s">
        <v>84</v>
      </c>
      <c r="C10670" s="2">
        <f>HYPERLINK("https://cao.dolgi.msk.ru/account/1080045528/", 1080045528)</f>
        <v>1080045528</v>
      </c>
      <c r="D10670" t="s">
        <v>8848</v>
      </c>
      <c r="E10670">
        <v>-131.13999999999999</v>
      </c>
      <c r="F10670">
        <v>-0.02</v>
      </c>
      <c r="G10670" t="s">
        <v>12</v>
      </c>
      <c r="I10670" t="s">
        <v>13</v>
      </c>
    </row>
    <row r="10671" spans="1:9" hidden="1" x14ac:dyDescent="0.25">
      <c r="A10671" t="s">
        <v>8821</v>
      </c>
      <c r="B10671" t="s">
        <v>86</v>
      </c>
      <c r="C10671" s="2">
        <f>HYPERLINK("https://cao.dolgi.msk.ru/account/1080045536/", 1080045536)</f>
        <v>1080045536</v>
      </c>
      <c r="D10671" t="s">
        <v>15</v>
      </c>
      <c r="E10671">
        <v>-823.76</v>
      </c>
      <c r="F10671">
        <v>-0.08</v>
      </c>
      <c r="G10671" t="s">
        <v>12</v>
      </c>
      <c r="I10671" t="s">
        <v>13</v>
      </c>
    </row>
    <row r="10672" spans="1:9" hidden="1" x14ac:dyDescent="0.25">
      <c r="A10672" t="s">
        <v>8821</v>
      </c>
      <c r="B10672" t="s">
        <v>90</v>
      </c>
      <c r="C10672" s="2">
        <f>HYPERLINK("https://cao.dolgi.msk.ru/account/1080045552/", 1080045552)</f>
        <v>1080045552</v>
      </c>
      <c r="D10672" t="s">
        <v>8849</v>
      </c>
      <c r="E10672">
        <v>-7247.75</v>
      </c>
      <c r="F10672">
        <v>-1.03</v>
      </c>
      <c r="G10672" t="s">
        <v>12</v>
      </c>
      <c r="I10672" t="s">
        <v>13</v>
      </c>
    </row>
    <row r="10673" spans="1:9" hidden="1" x14ac:dyDescent="0.25">
      <c r="A10673" t="s">
        <v>8821</v>
      </c>
      <c r="B10673" t="s">
        <v>90</v>
      </c>
      <c r="C10673" s="2">
        <f>HYPERLINK("https://cao.dolgi.msk.ru/account/1083274553/", 1083274553)</f>
        <v>1083274553</v>
      </c>
      <c r="D10673" t="s">
        <v>15</v>
      </c>
      <c r="E10673">
        <v>-302.99</v>
      </c>
      <c r="G10673" t="s">
        <v>14</v>
      </c>
      <c r="I10673" t="s">
        <v>13</v>
      </c>
    </row>
    <row r="10674" spans="1:9" x14ac:dyDescent="0.25">
      <c r="A10674" t="s">
        <v>8821</v>
      </c>
      <c r="B10674" t="s">
        <v>92</v>
      </c>
      <c r="C10674" s="2">
        <f>HYPERLINK("https://cao.dolgi.msk.ru/account/1080045579/", 1080045579)</f>
        <v>1080045579</v>
      </c>
      <c r="D10674" t="s">
        <v>8850</v>
      </c>
      <c r="E10674">
        <v>2408.94</v>
      </c>
      <c r="F10674">
        <v>1.1000000000000001</v>
      </c>
      <c r="G10674" t="s">
        <v>12</v>
      </c>
      <c r="I10674" t="s">
        <v>13</v>
      </c>
    </row>
    <row r="10675" spans="1:9" hidden="1" x14ac:dyDescent="0.25">
      <c r="A10675" t="s">
        <v>8821</v>
      </c>
      <c r="B10675" t="s">
        <v>92</v>
      </c>
      <c r="C10675" s="2">
        <f>HYPERLINK("https://cao.dolgi.msk.ru/account/1083268997/", 1083268997)</f>
        <v>1083268997</v>
      </c>
      <c r="D10675" t="s">
        <v>8851</v>
      </c>
      <c r="E10675">
        <v>-6776.13</v>
      </c>
      <c r="F10675">
        <v>-1</v>
      </c>
      <c r="G10675" t="s">
        <v>12</v>
      </c>
      <c r="I10675" t="s">
        <v>13</v>
      </c>
    </row>
    <row r="10676" spans="1:9" hidden="1" x14ac:dyDescent="0.25">
      <c r="A10676" t="s">
        <v>8821</v>
      </c>
      <c r="B10676" t="s">
        <v>94</v>
      </c>
      <c r="C10676" s="2">
        <f>HYPERLINK("https://cao.dolgi.msk.ru/account/1080045587/", 1080045587)</f>
        <v>1080045587</v>
      </c>
      <c r="D10676" t="s">
        <v>8852</v>
      </c>
      <c r="E10676">
        <v>-8216.0400000000009</v>
      </c>
      <c r="F10676">
        <v>-1.07</v>
      </c>
      <c r="G10676" t="s">
        <v>12</v>
      </c>
      <c r="I10676" t="s">
        <v>13</v>
      </c>
    </row>
    <row r="10677" spans="1:9" hidden="1" x14ac:dyDescent="0.25">
      <c r="A10677" t="s">
        <v>8821</v>
      </c>
      <c r="B10677" t="s">
        <v>96</v>
      </c>
      <c r="C10677" s="2">
        <f>HYPERLINK("https://cao.dolgi.msk.ru/account/1080045608/", 1080045608)</f>
        <v>1080045608</v>
      </c>
      <c r="D10677" t="s">
        <v>8853</v>
      </c>
      <c r="E10677">
        <v>-13835.02</v>
      </c>
      <c r="F10677">
        <v>-1.1200000000000001</v>
      </c>
      <c r="G10677" t="s">
        <v>12</v>
      </c>
      <c r="I10677" t="s">
        <v>13</v>
      </c>
    </row>
    <row r="10678" spans="1:9" x14ac:dyDescent="0.25">
      <c r="A10678" t="s">
        <v>8821</v>
      </c>
      <c r="B10678" t="s">
        <v>98</v>
      </c>
      <c r="C10678" s="2">
        <f>HYPERLINK("https://cao.dolgi.msk.ru/account/1080045616/", 1080045616)</f>
        <v>1080045616</v>
      </c>
      <c r="D10678" t="s">
        <v>15</v>
      </c>
      <c r="E10678">
        <v>264144.64000000001</v>
      </c>
      <c r="F10678">
        <v>125.36</v>
      </c>
      <c r="G10678" t="s">
        <v>12</v>
      </c>
      <c r="H10678" t="s">
        <v>7</v>
      </c>
      <c r="I10678" t="s">
        <v>13</v>
      </c>
    </row>
    <row r="10679" spans="1:9" hidden="1" x14ac:dyDescent="0.25">
      <c r="A10679" t="s">
        <v>8821</v>
      </c>
      <c r="B10679" t="s">
        <v>98</v>
      </c>
      <c r="C10679" s="2">
        <f>HYPERLINK("https://cao.dolgi.msk.ru/account/1080045624/", 1080045624)</f>
        <v>1080045624</v>
      </c>
      <c r="D10679" t="s">
        <v>1151</v>
      </c>
      <c r="E10679">
        <v>0</v>
      </c>
      <c r="F10679">
        <v>0</v>
      </c>
      <c r="G10679" t="s">
        <v>12</v>
      </c>
      <c r="H10679" t="s">
        <v>7</v>
      </c>
      <c r="I10679" t="s">
        <v>13</v>
      </c>
    </row>
    <row r="10680" spans="1:9" hidden="1" x14ac:dyDescent="0.25">
      <c r="A10680" t="s">
        <v>8821</v>
      </c>
      <c r="B10680" t="s">
        <v>100</v>
      </c>
      <c r="C10680" s="2">
        <f>HYPERLINK("https://cao.dolgi.msk.ru/account/1080045632/", 1080045632)</f>
        <v>1080045632</v>
      </c>
      <c r="D10680" t="s">
        <v>8854</v>
      </c>
      <c r="E10680">
        <v>-2536.69</v>
      </c>
      <c r="F10680">
        <v>-0.37</v>
      </c>
      <c r="G10680" t="s">
        <v>12</v>
      </c>
      <c r="I10680" t="s">
        <v>13</v>
      </c>
    </row>
    <row r="10681" spans="1:9" hidden="1" x14ac:dyDescent="0.25">
      <c r="A10681" t="s">
        <v>8821</v>
      </c>
      <c r="B10681" t="s">
        <v>102</v>
      </c>
      <c r="C10681" s="2">
        <f>HYPERLINK("https://cao.dolgi.msk.ru/account/1080045659/", 1080045659)</f>
        <v>1080045659</v>
      </c>
      <c r="D10681" t="s">
        <v>8855</v>
      </c>
      <c r="E10681">
        <v>680.81</v>
      </c>
      <c r="F10681">
        <v>0.08</v>
      </c>
      <c r="G10681" t="s">
        <v>12</v>
      </c>
      <c r="I10681" t="s">
        <v>13</v>
      </c>
    </row>
    <row r="10682" spans="1:9" hidden="1" x14ac:dyDescent="0.25">
      <c r="A10682" t="s">
        <v>8821</v>
      </c>
      <c r="B10682" t="s">
        <v>102</v>
      </c>
      <c r="C10682" s="2">
        <f>HYPERLINK("https://cao.dolgi.msk.ru/account/1080045667/", 1080045667)</f>
        <v>1080045667</v>
      </c>
      <c r="D10682" t="s">
        <v>15</v>
      </c>
      <c r="G10682" t="s">
        <v>14</v>
      </c>
      <c r="I10682" t="s">
        <v>13</v>
      </c>
    </row>
    <row r="10683" spans="1:9" hidden="1" x14ac:dyDescent="0.25">
      <c r="A10683" t="s">
        <v>8821</v>
      </c>
      <c r="B10683" t="s">
        <v>104</v>
      </c>
      <c r="C10683" s="2">
        <f>HYPERLINK("https://cao.dolgi.msk.ru/account/1080045675/", 1080045675)</f>
        <v>1080045675</v>
      </c>
      <c r="D10683" t="s">
        <v>8856</v>
      </c>
      <c r="E10683">
        <v>-9118.2199999999993</v>
      </c>
      <c r="F10683">
        <v>-1.07</v>
      </c>
      <c r="G10683" t="s">
        <v>12</v>
      </c>
      <c r="I10683" t="s">
        <v>13</v>
      </c>
    </row>
    <row r="10684" spans="1:9" x14ac:dyDescent="0.25">
      <c r="A10684" t="s">
        <v>8821</v>
      </c>
      <c r="B10684" t="s">
        <v>106</v>
      </c>
      <c r="C10684" s="2">
        <f>HYPERLINK("https://cao.dolgi.msk.ru/account/1080045683/", 1080045683)</f>
        <v>1080045683</v>
      </c>
      <c r="D10684" t="s">
        <v>8857</v>
      </c>
      <c r="E10684">
        <v>260553.04</v>
      </c>
      <c r="F10684">
        <v>45.13</v>
      </c>
      <c r="G10684" t="s">
        <v>12</v>
      </c>
      <c r="H10684" t="s">
        <v>7</v>
      </c>
      <c r="I10684" t="s">
        <v>13</v>
      </c>
    </row>
    <row r="10685" spans="1:9" hidden="1" x14ac:dyDescent="0.25">
      <c r="A10685" t="s">
        <v>8821</v>
      </c>
      <c r="B10685" t="s">
        <v>106</v>
      </c>
      <c r="C10685" s="2">
        <f>HYPERLINK("https://cao.dolgi.msk.ru/account/1080045691/", 1080045691)</f>
        <v>1080045691</v>
      </c>
      <c r="D10685" t="s">
        <v>8858</v>
      </c>
      <c r="G10685" t="s">
        <v>14</v>
      </c>
      <c r="H10685" t="s">
        <v>7</v>
      </c>
      <c r="I10685" t="s">
        <v>13</v>
      </c>
    </row>
    <row r="10686" spans="1:9" x14ac:dyDescent="0.25">
      <c r="A10686" t="s">
        <v>8821</v>
      </c>
      <c r="B10686" t="s">
        <v>106</v>
      </c>
      <c r="C10686" s="2">
        <f>HYPERLINK("https://cao.dolgi.msk.ru/account/1080045712/", 1080045712)</f>
        <v>1080045712</v>
      </c>
      <c r="D10686" t="s">
        <v>8858</v>
      </c>
      <c r="E10686">
        <v>121853.08</v>
      </c>
      <c r="F10686">
        <v>66.37</v>
      </c>
      <c r="G10686" t="s">
        <v>12</v>
      </c>
      <c r="H10686" t="s">
        <v>7</v>
      </c>
      <c r="I10686" t="s">
        <v>13</v>
      </c>
    </row>
    <row r="10687" spans="1:9" x14ac:dyDescent="0.25">
      <c r="A10687" t="s">
        <v>8821</v>
      </c>
      <c r="B10687" t="s">
        <v>106</v>
      </c>
      <c r="C10687" s="2">
        <f>HYPERLINK("https://cao.dolgi.msk.ru/account/1080325538/", 1080325538)</f>
        <v>1080325538</v>
      </c>
      <c r="D10687" t="s">
        <v>15</v>
      </c>
      <c r="E10687">
        <v>71238.27</v>
      </c>
      <c r="F10687">
        <v>66.55</v>
      </c>
      <c r="G10687" t="s">
        <v>12</v>
      </c>
      <c r="H10687" t="s">
        <v>7</v>
      </c>
      <c r="I10687" t="s">
        <v>13</v>
      </c>
    </row>
    <row r="10688" spans="1:9" hidden="1" x14ac:dyDescent="0.25">
      <c r="A10688" t="s">
        <v>8821</v>
      </c>
      <c r="B10688" t="s">
        <v>106</v>
      </c>
      <c r="C10688" s="2">
        <f>HYPERLINK("https://cao.dolgi.msk.ru/account/1080325546/", 1080325546)</f>
        <v>1080325546</v>
      </c>
      <c r="D10688" t="s">
        <v>15</v>
      </c>
      <c r="G10688" t="s">
        <v>14</v>
      </c>
      <c r="H10688" t="s">
        <v>7</v>
      </c>
      <c r="I10688" t="s">
        <v>13</v>
      </c>
    </row>
    <row r="10689" spans="1:9" x14ac:dyDescent="0.25">
      <c r="A10689" t="s">
        <v>8821</v>
      </c>
      <c r="B10689" t="s">
        <v>106</v>
      </c>
      <c r="C10689" s="2">
        <f>HYPERLINK("https://cao.dolgi.msk.ru/account/1080325554/", 1080325554)</f>
        <v>1080325554</v>
      </c>
      <c r="D10689" t="s">
        <v>15</v>
      </c>
      <c r="E10689">
        <v>106567.62</v>
      </c>
      <c r="F10689">
        <v>47.97</v>
      </c>
      <c r="G10689" t="s">
        <v>12</v>
      </c>
      <c r="H10689" t="s">
        <v>7</v>
      </c>
      <c r="I10689" t="s">
        <v>13</v>
      </c>
    </row>
    <row r="10690" spans="1:9" x14ac:dyDescent="0.25">
      <c r="A10690" t="s">
        <v>8821</v>
      </c>
      <c r="B10690" t="s">
        <v>106</v>
      </c>
      <c r="C10690" s="2">
        <f>HYPERLINK("https://cao.dolgi.msk.ru/account/1080325562/", 1080325562)</f>
        <v>1080325562</v>
      </c>
      <c r="D10690" t="s">
        <v>15</v>
      </c>
      <c r="E10690">
        <v>68009.47</v>
      </c>
      <c r="F10690">
        <v>9.01</v>
      </c>
      <c r="G10690" t="s">
        <v>12</v>
      </c>
      <c r="H10690" t="s">
        <v>7</v>
      </c>
      <c r="I10690" t="s">
        <v>13</v>
      </c>
    </row>
    <row r="10691" spans="1:9" hidden="1" x14ac:dyDescent="0.25">
      <c r="A10691" t="s">
        <v>8821</v>
      </c>
      <c r="B10691" t="s">
        <v>106</v>
      </c>
      <c r="C10691" s="2">
        <f>HYPERLINK("https://cao.dolgi.msk.ru/account/1080325589/", 1080325589)</f>
        <v>1080325589</v>
      </c>
      <c r="D10691" t="s">
        <v>15</v>
      </c>
      <c r="G10691" t="s">
        <v>14</v>
      </c>
      <c r="H10691" t="s">
        <v>7</v>
      </c>
      <c r="I10691" t="s">
        <v>13</v>
      </c>
    </row>
    <row r="10692" spans="1:9" x14ac:dyDescent="0.25">
      <c r="A10692" t="s">
        <v>8821</v>
      </c>
      <c r="B10692" t="s">
        <v>106</v>
      </c>
      <c r="C10692" s="2">
        <f>HYPERLINK("https://cao.dolgi.msk.ru/account/1080325597/", 1080325597)</f>
        <v>1080325597</v>
      </c>
      <c r="D10692" t="s">
        <v>15</v>
      </c>
      <c r="E10692">
        <v>6938.73</v>
      </c>
      <c r="F10692">
        <v>17.2</v>
      </c>
      <c r="G10692" t="s">
        <v>12</v>
      </c>
      <c r="H10692" t="s">
        <v>7</v>
      </c>
      <c r="I10692" t="s">
        <v>13</v>
      </c>
    </row>
    <row r="10693" spans="1:9" hidden="1" x14ac:dyDescent="0.25">
      <c r="A10693" t="s">
        <v>8821</v>
      </c>
      <c r="B10693" t="s">
        <v>8859</v>
      </c>
      <c r="C10693" s="2">
        <f>HYPERLINK("https://cao.dolgi.msk.ru/account/1080045704/", 1080045704)</f>
        <v>1080045704</v>
      </c>
      <c r="D10693" t="s">
        <v>8860</v>
      </c>
      <c r="E10693">
        <v>-5692.96</v>
      </c>
      <c r="F10693">
        <v>-1.1299999999999999</v>
      </c>
      <c r="G10693" t="s">
        <v>12</v>
      </c>
      <c r="I10693" t="s">
        <v>13</v>
      </c>
    </row>
    <row r="10694" spans="1:9" hidden="1" x14ac:dyDescent="0.25">
      <c r="A10694" t="s">
        <v>8861</v>
      </c>
      <c r="B10694" t="s">
        <v>96</v>
      </c>
      <c r="C10694" s="2">
        <f>HYPERLINK("https://cao.dolgi.msk.ru/account/1080007249/", 1080007249)</f>
        <v>1080007249</v>
      </c>
      <c r="D10694" t="s">
        <v>8862</v>
      </c>
      <c r="E10694">
        <v>1763.98</v>
      </c>
      <c r="G10694" t="s">
        <v>14</v>
      </c>
      <c r="I10694" t="s">
        <v>13</v>
      </c>
    </row>
    <row r="10695" spans="1:9" hidden="1" x14ac:dyDescent="0.25">
      <c r="A10695" t="s">
        <v>8861</v>
      </c>
      <c r="B10695" t="s">
        <v>96</v>
      </c>
      <c r="C10695" s="2">
        <f>HYPERLINK("https://cao.dolgi.msk.ru/account/1083394061/", 1083394061)</f>
        <v>1083394061</v>
      </c>
      <c r="D10695" t="s">
        <v>8862</v>
      </c>
      <c r="E10695">
        <v>0</v>
      </c>
      <c r="F10695">
        <v>0</v>
      </c>
      <c r="G10695" t="s">
        <v>12</v>
      </c>
      <c r="I10695" t="s">
        <v>13</v>
      </c>
    </row>
    <row r="10696" spans="1:9" hidden="1" x14ac:dyDescent="0.25">
      <c r="A10696" t="s">
        <v>8861</v>
      </c>
      <c r="B10696" t="s">
        <v>98</v>
      </c>
      <c r="C10696" s="2">
        <f>HYPERLINK("https://cao.dolgi.msk.ru/account/1080007257/", 1080007257)</f>
        <v>1080007257</v>
      </c>
      <c r="D10696" t="s">
        <v>15</v>
      </c>
      <c r="G10696" t="s">
        <v>14</v>
      </c>
      <c r="I10696" t="s">
        <v>13</v>
      </c>
    </row>
    <row r="10697" spans="1:9" hidden="1" x14ac:dyDescent="0.25">
      <c r="A10697" t="s">
        <v>8861</v>
      </c>
      <c r="B10697" t="s">
        <v>100</v>
      </c>
      <c r="C10697" s="2">
        <f>HYPERLINK("https://cao.dolgi.msk.ru/account/1080007273/", 1080007273)</f>
        <v>1080007273</v>
      </c>
      <c r="D10697" t="s">
        <v>8863</v>
      </c>
      <c r="E10697">
        <v>-294.58999999999997</v>
      </c>
      <c r="G10697" t="s">
        <v>14</v>
      </c>
      <c r="I10697" t="s">
        <v>13</v>
      </c>
    </row>
    <row r="10698" spans="1:9" hidden="1" x14ac:dyDescent="0.25">
      <c r="A10698" t="s">
        <v>8861</v>
      </c>
      <c r="B10698" t="s">
        <v>100</v>
      </c>
      <c r="C10698" s="2">
        <f>HYPERLINK("https://cao.dolgi.msk.ru/account/1083394141/", 1083394141)</f>
        <v>1083394141</v>
      </c>
      <c r="D10698" t="s">
        <v>8863</v>
      </c>
      <c r="E10698">
        <v>-10375.27</v>
      </c>
      <c r="F10698">
        <v>-0.97</v>
      </c>
      <c r="G10698" t="s">
        <v>12</v>
      </c>
      <c r="I10698" t="s">
        <v>13</v>
      </c>
    </row>
    <row r="10699" spans="1:9" hidden="1" x14ac:dyDescent="0.25">
      <c r="A10699" t="s">
        <v>8861</v>
      </c>
      <c r="B10699" t="s">
        <v>102</v>
      </c>
      <c r="C10699" s="2">
        <f>HYPERLINK("https://cao.dolgi.msk.ru/account/1080007302/", 1080007302)</f>
        <v>1080007302</v>
      </c>
      <c r="D10699" t="s">
        <v>8864</v>
      </c>
      <c r="E10699">
        <v>-294.7</v>
      </c>
      <c r="F10699">
        <v>-0.13</v>
      </c>
      <c r="G10699" t="s">
        <v>14</v>
      </c>
      <c r="I10699" t="s">
        <v>13</v>
      </c>
    </row>
    <row r="10700" spans="1:9" hidden="1" x14ac:dyDescent="0.25">
      <c r="A10700" t="s">
        <v>8861</v>
      </c>
      <c r="B10700" t="s">
        <v>102</v>
      </c>
      <c r="C10700" s="2">
        <f>HYPERLINK("https://cao.dolgi.msk.ru/account/1083394109/", 1083394109)</f>
        <v>1083394109</v>
      </c>
      <c r="D10700" t="s">
        <v>8864</v>
      </c>
      <c r="E10700">
        <v>-11037.79</v>
      </c>
      <c r="F10700">
        <v>-0.95</v>
      </c>
      <c r="G10700" t="s">
        <v>12</v>
      </c>
      <c r="I10700" t="s">
        <v>13</v>
      </c>
    </row>
    <row r="10701" spans="1:9" hidden="1" x14ac:dyDescent="0.25">
      <c r="A10701" t="s">
        <v>8861</v>
      </c>
      <c r="B10701" t="s">
        <v>104</v>
      </c>
      <c r="C10701" s="2">
        <f>HYPERLINK("https://cao.dolgi.msk.ru/account/1080007353/", 1080007353)</f>
        <v>1080007353</v>
      </c>
      <c r="D10701" t="s">
        <v>15</v>
      </c>
      <c r="E10701">
        <v>2288.35</v>
      </c>
      <c r="G10701" t="s">
        <v>14</v>
      </c>
      <c r="I10701" t="s">
        <v>13</v>
      </c>
    </row>
    <row r="10702" spans="1:9" hidden="1" x14ac:dyDescent="0.25">
      <c r="A10702" t="s">
        <v>8861</v>
      </c>
      <c r="B10702" t="s">
        <v>104</v>
      </c>
      <c r="C10702" s="2">
        <f>HYPERLINK("https://cao.dolgi.msk.ru/account/1083394168/", 1083394168)</f>
        <v>1083394168</v>
      </c>
      <c r="D10702" t="s">
        <v>15</v>
      </c>
      <c r="E10702">
        <v>0</v>
      </c>
      <c r="F10702">
        <v>0</v>
      </c>
      <c r="G10702" t="s">
        <v>12</v>
      </c>
      <c r="I10702" t="s">
        <v>13</v>
      </c>
    </row>
    <row r="10703" spans="1:9" hidden="1" x14ac:dyDescent="0.25">
      <c r="A10703" t="s">
        <v>8861</v>
      </c>
      <c r="B10703" t="s">
        <v>106</v>
      </c>
      <c r="C10703" s="2">
        <f>HYPERLINK("https://cao.dolgi.msk.ru/account/1080007361/", 1080007361)</f>
        <v>1080007361</v>
      </c>
      <c r="D10703" t="s">
        <v>8865</v>
      </c>
      <c r="E10703">
        <v>-650.55999999999995</v>
      </c>
      <c r="G10703" t="s">
        <v>14</v>
      </c>
      <c r="I10703" t="s">
        <v>13</v>
      </c>
    </row>
    <row r="10704" spans="1:9" hidden="1" x14ac:dyDescent="0.25">
      <c r="A10704" t="s">
        <v>8861</v>
      </c>
      <c r="B10704" t="s">
        <v>106</v>
      </c>
      <c r="C10704" s="2">
        <f>HYPERLINK("https://cao.dolgi.msk.ru/account/1083394117/", 1083394117)</f>
        <v>1083394117</v>
      </c>
      <c r="D10704" t="s">
        <v>8865</v>
      </c>
      <c r="E10704">
        <v>-415.82</v>
      </c>
      <c r="F10704">
        <v>-0.03</v>
      </c>
      <c r="G10704" t="s">
        <v>12</v>
      </c>
      <c r="I10704" t="s">
        <v>13</v>
      </c>
    </row>
    <row r="10705" spans="1:9" hidden="1" x14ac:dyDescent="0.25">
      <c r="A10705" t="s">
        <v>8861</v>
      </c>
      <c r="B10705" t="s">
        <v>108</v>
      </c>
      <c r="C10705" s="2">
        <f>HYPERLINK("https://cao.dolgi.msk.ru/account/1080007417/", 1080007417)</f>
        <v>1080007417</v>
      </c>
      <c r="D10705" t="s">
        <v>8866</v>
      </c>
      <c r="E10705">
        <v>23277.96</v>
      </c>
      <c r="G10705" t="s">
        <v>14</v>
      </c>
      <c r="I10705" t="s">
        <v>13</v>
      </c>
    </row>
    <row r="10706" spans="1:9" hidden="1" x14ac:dyDescent="0.25">
      <c r="A10706" t="s">
        <v>8861</v>
      </c>
      <c r="B10706" t="s">
        <v>108</v>
      </c>
      <c r="C10706" s="2">
        <f>HYPERLINK("https://cao.dolgi.msk.ru/account/1083394045/", 1083394045)</f>
        <v>1083394045</v>
      </c>
      <c r="D10706" t="s">
        <v>8866</v>
      </c>
      <c r="E10706">
        <v>-56.92</v>
      </c>
      <c r="F10706">
        <v>0</v>
      </c>
      <c r="G10706" t="s">
        <v>12</v>
      </c>
      <c r="I10706" t="s">
        <v>13</v>
      </c>
    </row>
    <row r="10707" spans="1:9" hidden="1" x14ac:dyDescent="0.25">
      <c r="A10707" t="s">
        <v>8861</v>
      </c>
      <c r="B10707" t="s">
        <v>110</v>
      </c>
      <c r="C10707" s="2">
        <f>HYPERLINK("https://cao.dolgi.msk.ru/account/1080007337/", 1080007337)</f>
        <v>1080007337</v>
      </c>
      <c r="D10707" t="s">
        <v>8867</v>
      </c>
      <c r="E10707">
        <v>-1572.17</v>
      </c>
      <c r="G10707" t="s">
        <v>14</v>
      </c>
      <c r="I10707" t="s">
        <v>13</v>
      </c>
    </row>
    <row r="10708" spans="1:9" hidden="1" x14ac:dyDescent="0.25">
      <c r="A10708" t="s">
        <v>8861</v>
      </c>
      <c r="B10708" t="s">
        <v>110</v>
      </c>
      <c r="C10708" s="2">
        <f>HYPERLINK("https://cao.dolgi.msk.ru/account/1083394053/", 1083394053)</f>
        <v>1083394053</v>
      </c>
      <c r="D10708" t="s">
        <v>8867</v>
      </c>
      <c r="E10708">
        <v>-8616.77</v>
      </c>
      <c r="F10708">
        <v>-0.92</v>
      </c>
      <c r="G10708" t="s">
        <v>12</v>
      </c>
      <c r="I10708" t="s">
        <v>13</v>
      </c>
    </row>
    <row r="10709" spans="1:9" hidden="1" x14ac:dyDescent="0.25">
      <c r="A10709" t="s">
        <v>8861</v>
      </c>
      <c r="B10709" t="s">
        <v>112</v>
      </c>
      <c r="C10709" s="2">
        <f>HYPERLINK("https://cao.dolgi.msk.ru/account/1080007409/", 1080007409)</f>
        <v>1080007409</v>
      </c>
      <c r="D10709" t="s">
        <v>8868</v>
      </c>
      <c r="E10709">
        <v>23993.119999999999</v>
      </c>
      <c r="G10709" t="s">
        <v>14</v>
      </c>
      <c r="I10709" t="s">
        <v>13</v>
      </c>
    </row>
    <row r="10710" spans="1:9" x14ac:dyDescent="0.25">
      <c r="A10710" t="s">
        <v>8861</v>
      </c>
      <c r="B10710" t="s">
        <v>112</v>
      </c>
      <c r="C10710" s="2">
        <f>HYPERLINK("https://cao.dolgi.msk.ru/account/1083394125/", 1083394125)</f>
        <v>1083394125</v>
      </c>
      <c r="D10710" t="s">
        <v>8868</v>
      </c>
      <c r="E10710">
        <v>20593.66</v>
      </c>
      <c r="F10710">
        <v>1.94</v>
      </c>
      <c r="G10710" t="s">
        <v>12</v>
      </c>
      <c r="I10710" t="s">
        <v>13</v>
      </c>
    </row>
    <row r="10711" spans="1:9" hidden="1" x14ac:dyDescent="0.25">
      <c r="A10711" t="s">
        <v>8861</v>
      </c>
      <c r="B10711" t="s">
        <v>114</v>
      </c>
      <c r="C10711" s="2">
        <f>HYPERLINK("https://cao.dolgi.msk.ru/account/1080007425/", 1080007425)</f>
        <v>1080007425</v>
      </c>
      <c r="D10711" t="s">
        <v>8869</v>
      </c>
      <c r="E10711">
        <v>64399.199999999997</v>
      </c>
      <c r="G10711" t="s">
        <v>14</v>
      </c>
      <c r="I10711" t="s">
        <v>13</v>
      </c>
    </row>
    <row r="10712" spans="1:9" x14ac:dyDescent="0.25">
      <c r="A10712" t="s">
        <v>8861</v>
      </c>
      <c r="B10712" t="s">
        <v>114</v>
      </c>
      <c r="C10712" s="2">
        <f>HYPERLINK("https://cao.dolgi.msk.ru/account/1083394133/", 1083394133)</f>
        <v>1083394133</v>
      </c>
      <c r="D10712" t="s">
        <v>8869</v>
      </c>
      <c r="E10712">
        <v>35447.629999999997</v>
      </c>
      <c r="F10712">
        <v>3.38</v>
      </c>
      <c r="G10712" t="s">
        <v>12</v>
      </c>
      <c r="I10712" t="s">
        <v>13</v>
      </c>
    </row>
    <row r="10713" spans="1:9" hidden="1" x14ac:dyDescent="0.25">
      <c r="A10713" t="s">
        <v>8861</v>
      </c>
      <c r="B10713" t="s">
        <v>116</v>
      </c>
      <c r="C10713" s="2">
        <f>HYPERLINK("https://cao.dolgi.msk.ru/account/1080007433/", 1080007433)</f>
        <v>1080007433</v>
      </c>
      <c r="D10713" t="s">
        <v>8870</v>
      </c>
      <c r="E10713">
        <v>22432.38</v>
      </c>
      <c r="G10713" t="s">
        <v>14</v>
      </c>
      <c r="I10713" t="s">
        <v>13</v>
      </c>
    </row>
    <row r="10714" spans="1:9" x14ac:dyDescent="0.25">
      <c r="A10714" t="s">
        <v>8861</v>
      </c>
      <c r="B10714" t="s">
        <v>116</v>
      </c>
      <c r="C10714" s="2">
        <f>HYPERLINK("https://cao.dolgi.msk.ru/account/1083394088/", 1083394088)</f>
        <v>1083394088</v>
      </c>
      <c r="D10714" t="s">
        <v>8870</v>
      </c>
      <c r="E10714">
        <v>33975.230000000003</v>
      </c>
      <c r="F10714">
        <v>3.59</v>
      </c>
      <c r="G10714" t="s">
        <v>12</v>
      </c>
      <c r="I10714" t="s">
        <v>13</v>
      </c>
    </row>
    <row r="10715" spans="1:9" hidden="1" x14ac:dyDescent="0.25">
      <c r="A10715" t="s">
        <v>8861</v>
      </c>
      <c r="B10715" t="s">
        <v>118</v>
      </c>
      <c r="C10715" s="2">
        <f>HYPERLINK("https://cao.dolgi.msk.ru/account/1080007441/", 1080007441)</f>
        <v>1080007441</v>
      </c>
      <c r="D10715" t="s">
        <v>8871</v>
      </c>
      <c r="E10715">
        <v>22714.93</v>
      </c>
      <c r="G10715" t="s">
        <v>14</v>
      </c>
      <c r="I10715" t="s">
        <v>13</v>
      </c>
    </row>
    <row r="10716" spans="1:9" x14ac:dyDescent="0.25">
      <c r="A10716" t="s">
        <v>8861</v>
      </c>
      <c r="B10716" t="s">
        <v>118</v>
      </c>
      <c r="C10716" s="2">
        <f>HYPERLINK("https://cao.dolgi.msk.ru/account/1083394096/", 1083394096)</f>
        <v>1083394096</v>
      </c>
      <c r="D10716" t="s">
        <v>8871</v>
      </c>
      <c r="E10716">
        <v>26597.05</v>
      </c>
      <c r="F10716">
        <v>3.07</v>
      </c>
      <c r="G10716" t="s">
        <v>12</v>
      </c>
      <c r="I10716" t="s">
        <v>13</v>
      </c>
    </row>
    <row r="10717" spans="1:9" hidden="1" x14ac:dyDescent="0.25">
      <c r="A10717" t="s">
        <v>8872</v>
      </c>
      <c r="B10717" t="s">
        <v>16</v>
      </c>
      <c r="C10717" s="2">
        <f>HYPERLINK("https://cao.dolgi.msk.ru/account/1080043899/", 1080043899)</f>
        <v>1080043899</v>
      </c>
      <c r="D10717" t="s">
        <v>8873</v>
      </c>
      <c r="G10717" t="s">
        <v>14</v>
      </c>
      <c r="I10717" t="s">
        <v>13</v>
      </c>
    </row>
    <row r="10718" spans="1:9" hidden="1" x14ac:dyDescent="0.25">
      <c r="A10718" t="s">
        <v>8872</v>
      </c>
      <c r="B10718" t="s">
        <v>18</v>
      </c>
      <c r="C10718" s="2">
        <f>HYPERLINK("https://cao.dolgi.msk.ru/account/1080043952/", 1080043952)</f>
        <v>1080043952</v>
      </c>
      <c r="D10718" t="s">
        <v>8874</v>
      </c>
      <c r="E10718">
        <v>275.67</v>
      </c>
      <c r="G10718" t="s">
        <v>14</v>
      </c>
      <c r="I10718" t="s">
        <v>13</v>
      </c>
    </row>
    <row r="10719" spans="1:9" hidden="1" x14ac:dyDescent="0.25">
      <c r="A10719" t="s">
        <v>8872</v>
      </c>
      <c r="B10719" t="s">
        <v>18</v>
      </c>
      <c r="C10719" s="2">
        <f>HYPERLINK("https://cao.dolgi.msk.ru/account/1083394221/", 1083394221)</f>
        <v>1083394221</v>
      </c>
      <c r="D10719" t="s">
        <v>8874</v>
      </c>
      <c r="E10719">
        <v>4943.33</v>
      </c>
      <c r="F10719">
        <v>0.78</v>
      </c>
      <c r="G10719" t="s">
        <v>12</v>
      </c>
      <c r="I10719" t="s">
        <v>13</v>
      </c>
    </row>
    <row r="10720" spans="1:9" hidden="1" x14ac:dyDescent="0.25">
      <c r="A10720" t="s">
        <v>8872</v>
      </c>
      <c r="B10720" t="s">
        <v>20</v>
      </c>
      <c r="C10720" s="2">
        <f>HYPERLINK("https://cao.dolgi.msk.ru/account/1080043979/", 1080043979)</f>
        <v>1080043979</v>
      </c>
      <c r="D10720" t="s">
        <v>8875</v>
      </c>
      <c r="E10720">
        <v>-8510.08</v>
      </c>
      <c r="G10720" t="s">
        <v>14</v>
      </c>
      <c r="I10720" t="s">
        <v>13</v>
      </c>
    </row>
    <row r="10721" spans="1:9" hidden="1" x14ac:dyDescent="0.25">
      <c r="A10721" t="s">
        <v>8872</v>
      </c>
      <c r="B10721" t="s">
        <v>20</v>
      </c>
      <c r="C10721" s="2">
        <f>HYPERLINK("https://cao.dolgi.msk.ru/account/1083394213/", 1083394213)</f>
        <v>1083394213</v>
      </c>
      <c r="D10721" t="s">
        <v>8875</v>
      </c>
      <c r="E10721">
        <v>-17014.48</v>
      </c>
      <c r="F10721">
        <v>-2.09</v>
      </c>
      <c r="G10721" t="s">
        <v>12</v>
      </c>
      <c r="I10721" t="s">
        <v>13</v>
      </c>
    </row>
    <row r="10722" spans="1:9" hidden="1" x14ac:dyDescent="0.25">
      <c r="A10722" t="s">
        <v>8872</v>
      </c>
      <c r="B10722" t="s">
        <v>21</v>
      </c>
      <c r="C10722" s="2">
        <f>HYPERLINK("https://cao.dolgi.msk.ru/account/1080043987/", 1080043987)</f>
        <v>1080043987</v>
      </c>
      <c r="D10722" t="s">
        <v>8876</v>
      </c>
      <c r="E10722">
        <v>-609.02</v>
      </c>
      <c r="F10722">
        <v>-6.24</v>
      </c>
      <c r="G10722" t="s">
        <v>14</v>
      </c>
      <c r="I10722" t="s">
        <v>13</v>
      </c>
    </row>
    <row r="10723" spans="1:9" hidden="1" x14ac:dyDescent="0.25">
      <c r="A10723" t="s">
        <v>8872</v>
      </c>
      <c r="B10723" t="s">
        <v>21</v>
      </c>
      <c r="C10723" s="2">
        <f>HYPERLINK("https://cao.dolgi.msk.ru/account/1083394192/", 1083394192)</f>
        <v>1083394192</v>
      </c>
      <c r="D10723" t="s">
        <v>8876</v>
      </c>
      <c r="E10723">
        <v>-6069.83</v>
      </c>
      <c r="F10723">
        <v>-1.07</v>
      </c>
      <c r="G10723" t="s">
        <v>12</v>
      </c>
      <c r="I10723" t="s">
        <v>13</v>
      </c>
    </row>
    <row r="10724" spans="1:9" hidden="1" x14ac:dyDescent="0.25">
      <c r="A10724" t="s">
        <v>8872</v>
      </c>
      <c r="B10724" t="s">
        <v>21</v>
      </c>
      <c r="C10724" s="2">
        <f>HYPERLINK("https://cao.dolgi.msk.ru/account/1089133292/", 1089133292)</f>
        <v>1089133292</v>
      </c>
      <c r="D10724" t="s">
        <v>15</v>
      </c>
      <c r="G10724" t="s">
        <v>14</v>
      </c>
      <c r="I10724" t="s">
        <v>13</v>
      </c>
    </row>
    <row r="10725" spans="1:9" hidden="1" x14ac:dyDescent="0.25">
      <c r="A10725" t="s">
        <v>8872</v>
      </c>
      <c r="B10725" t="s">
        <v>22</v>
      </c>
      <c r="C10725" s="2">
        <f>HYPERLINK("https://cao.dolgi.msk.ru/account/1080043995/", 1080043995)</f>
        <v>1080043995</v>
      </c>
      <c r="D10725" t="s">
        <v>8877</v>
      </c>
      <c r="E10725">
        <v>3344.14</v>
      </c>
      <c r="G10725" t="s">
        <v>14</v>
      </c>
      <c r="I10725" t="s">
        <v>13</v>
      </c>
    </row>
    <row r="10726" spans="1:9" hidden="1" x14ac:dyDescent="0.25">
      <c r="A10726" t="s">
        <v>8872</v>
      </c>
      <c r="B10726" t="s">
        <v>22</v>
      </c>
      <c r="C10726" s="2">
        <f>HYPERLINK("https://cao.dolgi.msk.ru/account/1083394184/", 1083394184)</f>
        <v>1083394184</v>
      </c>
      <c r="D10726" t="s">
        <v>8877</v>
      </c>
      <c r="E10726">
        <v>-8241.51</v>
      </c>
      <c r="F10726">
        <v>-1.1200000000000001</v>
      </c>
      <c r="G10726" t="s">
        <v>12</v>
      </c>
      <c r="I10726" t="s">
        <v>13</v>
      </c>
    </row>
    <row r="10727" spans="1:9" hidden="1" x14ac:dyDescent="0.25">
      <c r="A10727" t="s">
        <v>8872</v>
      </c>
      <c r="B10727" t="s">
        <v>24</v>
      </c>
      <c r="C10727" s="2">
        <f>HYPERLINK("https://cao.dolgi.msk.ru/account/1080043936/", 1080043936)</f>
        <v>1080043936</v>
      </c>
      <c r="D10727" t="s">
        <v>62</v>
      </c>
      <c r="E10727">
        <v>-5853.7</v>
      </c>
      <c r="G10727" t="s">
        <v>14</v>
      </c>
      <c r="H10727" t="s">
        <v>7</v>
      </c>
      <c r="I10727" t="s">
        <v>13</v>
      </c>
    </row>
    <row r="10728" spans="1:9" hidden="1" x14ac:dyDescent="0.25">
      <c r="A10728" t="s">
        <v>8872</v>
      </c>
      <c r="B10728" t="s">
        <v>24</v>
      </c>
      <c r="C10728" s="2">
        <f>HYPERLINK("https://cao.dolgi.msk.ru/account/1080043944/", 1080043944)</f>
        <v>1080043944</v>
      </c>
      <c r="D10728" t="s">
        <v>8878</v>
      </c>
      <c r="E10728">
        <v>-325.93</v>
      </c>
      <c r="G10728" t="s">
        <v>14</v>
      </c>
      <c r="H10728" t="s">
        <v>7</v>
      </c>
      <c r="I10728" t="s">
        <v>13</v>
      </c>
    </row>
    <row r="10729" spans="1:9" hidden="1" x14ac:dyDescent="0.25">
      <c r="A10729" t="s">
        <v>8872</v>
      </c>
      <c r="B10729" t="s">
        <v>24</v>
      </c>
      <c r="C10729" s="2">
        <f>HYPERLINK("https://cao.dolgi.msk.ru/account/1083394176/", 1083394176)</f>
        <v>1083394176</v>
      </c>
      <c r="D10729" t="s">
        <v>8878</v>
      </c>
      <c r="E10729">
        <v>-17176.8</v>
      </c>
      <c r="F10729">
        <v>-2.21</v>
      </c>
      <c r="G10729" t="s">
        <v>12</v>
      </c>
      <c r="H10729" t="s">
        <v>7</v>
      </c>
      <c r="I10729" t="s">
        <v>13</v>
      </c>
    </row>
    <row r="10730" spans="1:9" hidden="1" x14ac:dyDescent="0.25">
      <c r="A10730" t="s">
        <v>8872</v>
      </c>
      <c r="B10730" t="s">
        <v>24</v>
      </c>
      <c r="C10730" s="2">
        <f>HYPERLINK("https://cao.dolgi.msk.ru/account/1083394205/", 1083394205)</f>
        <v>1083394205</v>
      </c>
      <c r="D10730" t="s">
        <v>62</v>
      </c>
      <c r="E10730">
        <v>-3953.92</v>
      </c>
      <c r="F10730">
        <v>-1.1100000000000001</v>
      </c>
      <c r="G10730" t="s">
        <v>12</v>
      </c>
      <c r="H10730" t="s">
        <v>7</v>
      </c>
      <c r="I10730" t="s">
        <v>13</v>
      </c>
    </row>
    <row r="10731" spans="1:9" hidden="1" x14ac:dyDescent="0.25">
      <c r="A10731" t="s">
        <v>8879</v>
      </c>
      <c r="B10731" t="s">
        <v>10</v>
      </c>
      <c r="C10731" s="2">
        <f>HYPERLINK("https://cao.dolgi.msk.ru/account/1080043514/", 1080043514)</f>
        <v>1080043514</v>
      </c>
      <c r="D10731" t="s">
        <v>8880</v>
      </c>
      <c r="E10731">
        <v>-67.84</v>
      </c>
      <c r="G10731" t="s">
        <v>14</v>
      </c>
      <c r="I10731" t="s">
        <v>13</v>
      </c>
    </row>
    <row r="10732" spans="1:9" hidden="1" x14ac:dyDescent="0.25">
      <c r="A10732" t="s">
        <v>8879</v>
      </c>
      <c r="B10732" t="s">
        <v>10</v>
      </c>
      <c r="C10732" s="2">
        <f>HYPERLINK("https://cao.dolgi.msk.ru/account/1083387259/", 1083387259)</f>
        <v>1083387259</v>
      </c>
      <c r="D10732" t="s">
        <v>8880</v>
      </c>
      <c r="E10732">
        <v>-8731.09</v>
      </c>
      <c r="F10732">
        <v>-1.07</v>
      </c>
      <c r="G10732" t="s">
        <v>12</v>
      </c>
      <c r="I10732" t="s">
        <v>13</v>
      </c>
    </row>
    <row r="10733" spans="1:9" hidden="1" x14ac:dyDescent="0.25">
      <c r="A10733" t="s">
        <v>8879</v>
      </c>
      <c r="B10733" t="s">
        <v>16</v>
      </c>
      <c r="C10733" s="2">
        <f>HYPERLINK("https://cao.dolgi.msk.ru/account/1080043506/", 1080043506)</f>
        <v>1080043506</v>
      </c>
      <c r="D10733" t="s">
        <v>8881</v>
      </c>
      <c r="E10733">
        <v>-16191.04</v>
      </c>
      <c r="G10733" t="s">
        <v>14</v>
      </c>
      <c r="I10733" t="s">
        <v>13</v>
      </c>
    </row>
    <row r="10734" spans="1:9" hidden="1" x14ac:dyDescent="0.25">
      <c r="A10734" t="s">
        <v>8879</v>
      </c>
      <c r="B10734" t="s">
        <v>16</v>
      </c>
      <c r="C10734" s="2">
        <f>HYPERLINK("https://cao.dolgi.msk.ru/account/1083387195/", 1083387195)</f>
        <v>1083387195</v>
      </c>
      <c r="D10734" t="s">
        <v>8881</v>
      </c>
      <c r="E10734">
        <v>-6918.79</v>
      </c>
      <c r="F10734">
        <v>-1.19</v>
      </c>
      <c r="G10734" t="s">
        <v>12</v>
      </c>
      <c r="I10734" t="s">
        <v>13</v>
      </c>
    </row>
    <row r="10735" spans="1:9" hidden="1" x14ac:dyDescent="0.25">
      <c r="A10735" t="s">
        <v>8879</v>
      </c>
      <c r="B10735" t="s">
        <v>18</v>
      </c>
      <c r="C10735" s="2">
        <f>HYPERLINK("https://cao.dolgi.msk.ru/account/1080043549/", 1080043549)</f>
        <v>1080043549</v>
      </c>
      <c r="D10735" t="s">
        <v>8882</v>
      </c>
      <c r="E10735">
        <v>-359.57</v>
      </c>
      <c r="F10735">
        <v>-2.02</v>
      </c>
      <c r="G10735" t="s">
        <v>14</v>
      </c>
      <c r="I10735" t="s">
        <v>13</v>
      </c>
    </row>
    <row r="10736" spans="1:9" hidden="1" x14ac:dyDescent="0.25">
      <c r="A10736" t="s">
        <v>8879</v>
      </c>
      <c r="B10736" t="s">
        <v>18</v>
      </c>
      <c r="C10736" s="2">
        <f>HYPERLINK("https://cao.dolgi.msk.ru/account/1083387179/", 1083387179)</f>
        <v>1083387179</v>
      </c>
      <c r="D10736" t="s">
        <v>8882</v>
      </c>
      <c r="E10736">
        <v>-8388</v>
      </c>
      <c r="F10736">
        <v>-1</v>
      </c>
      <c r="G10736" t="s">
        <v>12</v>
      </c>
      <c r="I10736" t="s">
        <v>13</v>
      </c>
    </row>
    <row r="10737" spans="1:9" hidden="1" x14ac:dyDescent="0.25">
      <c r="A10737" t="s">
        <v>8879</v>
      </c>
      <c r="B10737" t="s">
        <v>20</v>
      </c>
      <c r="C10737" s="2">
        <f>HYPERLINK("https://cao.dolgi.msk.ru/account/1080043557/", 1080043557)</f>
        <v>1080043557</v>
      </c>
      <c r="D10737" t="s">
        <v>8883</v>
      </c>
      <c r="E10737">
        <v>-276.93</v>
      </c>
      <c r="G10737" t="s">
        <v>14</v>
      </c>
      <c r="I10737" t="s">
        <v>13</v>
      </c>
    </row>
    <row r="10738" spans="1:9" hidden="1" x14ac:dyDescent="0.25">
      <c r="A10738" t="s">
        <v>8879</v>
      </c>
      <c r="B10738" t="s">
        <v>20</v>
      </c>
      <c r="C10738" s="2">
        <f>HYPERLINK("https://cao.dolgi.msk.ru/account/1083387216/", 1083387216)</f>
        <v>1083387216</v>
      </c>
      <c r="D10738" t="s">
        <v>8883</v>
      </c>
      <c r="E10738">
        <v>0</v>
      </c>
      <c r="F10738">
        <v>0</v>
      </c>
      <c r="G10738" t="s">
        <v>12</v>
      </c>
      <c r="I10738" t="s">
        <v>13</v>
      </c>
    </row>
    <row r="10739" spans="1:9" hidden="1" x14ac:dyDescent="0.25">
      <c r="A10739" t="s">
        <v>8879</v>
      </c>
      <c r="B10739" t="s">
        <v>21</v>
      </c>
      <c r="C10739" s="2">
        <f>HYPERLINK("https://cao.dolgi.msk.ru/account/1080043522/", 1080043522)</f>
        <v>1080043522</v>
      </c>
      <c r="D10739" t="s">
        <v>8884</v>
      </c>
      <c r="E10739">
        <v>-2422.3200000000002</v>
      </c>
      <c r="G10739" t="s">
        <v>14</v>
      </c>
      <c r="I10739" t="s">
        <v>13</v>
      </c>
    </row>
    <row r="10740" spans="1:9" hidden="1" x14ac:dyDescent="0.25">
      <c r="A10740" t="s">
        <v>8879</v>
      </c>
      <c r="B10740" t="s">
        <v>21</v>
      </c>
      <c r="C10740" s="2">
        <f>HYPERLINK("https://cao.dolgi.msk.ru/account/1083387208/", 1083387208)</f>
        <v>1083387208</v>
      </c>
      <c r="D10740" t="s">
        <v>8884</v>
      </c>
      <c r="E10740">
        <v>-7549.16</v>
      </c>
      <c r="F10740">
        <v>-1.1200000000000001</v>
      </c>
      <c r="G10740" t="s">
        <v>12</v>
      </c>
      <c r="I10740" t="s">
        <v>13</v>
      </c>
    </row>
    <row r="10741" spans="1:9" hidden="1" x14ac:dyDescent="0.25">
      <c r="A10741" t="s">
        <v>8879</v>
      </c>
      <c r="B10741" t="s">
        <v>22</v>
      </c>
      <c r="C10741" s="2">
        <f>HYPERLINK("https://cao.dolgi.msk.ru/account/1080043565/", 1080043565)</f>
        <v>1080043565</v>
      </c>
      <c r="D10741" t="s">
        <v>8885</v>
      </c>
      <c r="E10741">
        <v>1478.81</v>
      </c>
      <c r="G10741" t="s">
        <v>14</v>
      </c>
      <c r="I10741" t="s">
        <v>13</v>
      </c>
    </row>
    <row r="10742" spans="1:9" hidden="1" x14ac:dyDescent="0.25">
      <c r="A10742" t="s">
        <v>8879</v>
      </c>
      <c r="B10742" t="s">
        <v>22</v>
      </c>
      <c r="C10742" s="2">
        <f>HYPERLINK("https://cao.dolgi.msk.ru/account/1083387144/", 1083387144)</f>
        <v>1083387144</v>
      </c>
      <c r="D10742" t="s">
        <v>8885</v>
      </c>
      <c r="E10742">
        <v>-10948.42</v>
      </c>
      <c r="F10742">
        <v>-1.1000000000000001</v>
      </c>
      <c r="G10742" t="s">
        <v>12</v>
      </c>
      <c r="I10742" t="s">
        <v>13</v>
      </c>
    </row>
    <row r="10743" spans="1:9" hidden="1" x14ac:dyDescent="0.25">
      <c r="A10743" t="s">
        <v>8879</v>
      </c>
      <c r="B10743" t="s">
        <v>23</v>
      </c>
      <c r="C10743" s="2">
        <f>HYPERLINK("https://cao.dolgi.msk.ru/account/1080043573/", 1080043573)</f>
        <v>1080043573</v>
      </c>
      <c r="D10743" t="s">
        <v>8886</v>
      </c>
      <c r="E10743">
        <v>-125.08</v>
      </c>
      <c r="G10743" t="s">
        <v>14</v>
      </c>
      <c r="I10743" t="s">
        <v>13</v>
      </c>
    </row>
    <row r="10744" spans="1:9" hidden="1" x14ac:dyDescent="0.25">
      <c r="A10744" t="s">
        <v>8879</v>
      </c>
      <c r="B10744" t="s">
        <v>23</v>
      </c>
      <c r="C10744" s="2">
        <f>HYPERLINK("https://cao.dolgi.msk.ru/account/1083387152/", 1083387152)</f>
        <v>1083387152</v>
      </c>
      <c r="D10744" t="s">
        <v>8886</v>
      </c>
      <c r="E10744">
        <v>-8233.0499999999993</v>
      </c>
      <c r="F10744">
        <v>-1.1200000000000001</v>
      </c>
      <c r="G10744" t="s">
        <v>12</v>
      </c>
      <c r="I10744" t="s">
        <v>13</v>
      </c>
    </row>
    <row r="10745" spans="1:9" hidden="1" x14ac:dyDescent="0.25">
      <c r="A10745" t="s">
        <v>8879</v>
      </c>
      <c r="B10745" t="s">
        <v>24</v>
      </c>
      <c r="C10745" s="2">
        <f>HYPERLINK("https://cao.dolgi.msk.ru/account/1080043581/", 1080043581)</f>
        <v>1080043581</v>
      </c>
      <c r="D10745" t="s">
        <v>8887</v>
      </c>
      <c r="E10745">
        <v>0</v>
      </c>
      <c r="G10745" t="s">
        <v>14</v>
      </c>
      <c r="I10745" t="s">
        <v>13</v>
      </c>
    </row>
    <row r="10746" spans="1:9" hidden="1" x14ac:dyDescent="0.25">
      <c r="A10746" t="s">
        <v>8879</v>
      </c>
      <c r="B10746" t="s">
        <v>24</v>
      </c>
      <c r="C10746" s="2">
        <f>HYPERLINK("https://cao.dolgi.msk.ru/account/1083387224/", 1083387224)</f>
        <v>1083387224</v>
      </c>
      <c r="D10746" t="s">
        <v>8887</v>
      </c>
      <c r="E10746">
        <v>-9947.9</v>
      </c>
      <c r="F10746">
        <v>-1.19</v>
      </c>
      <c r="G10746" t="s">
        <v>12</v>
      </c>
      <c r="I10746" t="s">
        <v>13</v>
      </c>
    </row>
    <row r="10747" spans="1:9" hidden="1" x14ac:dyDescent="0.25">
      <c r="A10747" t="s">
        <v>8879</v>
      </c>
      <c r="B10747" t="s">
        <v>27</v>
      </c>
      <c r="C10747" s="2">
        <f>HYPERLINK("https://cao.dolgi.msk.ru/account/1080043629/", 1080043629)</f>
        <v>1080043629</v>
      </c>
      <c r="D10747" t="s">
        <v>62</v>
      </c>
      <c r="E10747">
        <v>-396.24</v>
      </c>
      <c r="G10747" t="s">
        <v>14</v>
      </c>
      <c r="I10747" t="s">
        <v>13</v>
      </c>
    </row>
    <row r="10748" spans="1:9" hidden="1" x14ac:dyDescent="0.25">
      <c r="A10748" t="s">
        <v>8879</v>
      </c>
      <c r="B10748" t="s">
        <v>27</v>
      </c>
      <c r="C10748" s="2">
        <f>HYPERLINK("https://cao.dolgi.msk.ru/account/1083387187/", 1083387187)</f>
        <v>1083387187</v>
      </c>
      <c r="D10748" t="s">
        <v>62</v>
      </c>
      <c r="E10748">
        <v>223.4</v>
      </c>
      <c r="F10748">
        <v>0.03</v>
      </c>
      <c r="G10748" t="s">
        <v>12</v>
      </c>
      <c r="I10748" t="s">
        <v>13</v>
      </c>
    </row>
    <row r="10749" spans="1:9" hidden="1" x14ac:dyDescent="0.25">
      <c r="A10749" t="s">
        <v>8879</v>
      </c>
      <c r="B10749" t="s">
        <v>29</v>
      </c>
      <c r="C10749" s="2">
        <f>HYPERLINK("https://cao.dolgi.msk.ru/account/1080043602/", 1080043602)</f>
        <v>1080043602</v>
      </c>
      <c r="D10749" t="s">
        <v>8888</v>
      </c>
      <c r="E10749">
        <v>-207.95</v>
      </c>
      <c r="F10749">
        <v>-0.11</v>
      </c>
      <c r="G10749" t="s">
        <v>14</v>
      </c>
      <c r="I10749" t="s">
        <v>13</v>
      </c>
    </row>
    <row r="10750" spans="1:9" hidden="1" x14ac:dyDescent="0.25">
      <c r="A10750" t="s">
        <v>8879</v>
      </c>
      <c r="B10750" t="s">
        <v>29</v>
      </c>
      <c r="C10750" s="2">
        <f>HYPERLINK("https://cao.dolgi.msk.ru/account/1083387232/", 1083387232)</f>
        <v>1083387232</v>
      </c>
      <c r="D10750" t="s">
        <v>8888</v>
      </c>
      <c r="E10750">
        <v>-12012.01</v>
      </c>
      <c r="F10750">
        <v>-1.1000000000000001</v>
      </c>
      <c r="G10750" t="s">
        <v>12</v>
      </c>
      <c r="I10750" t="s">
        <v>13</v>
      </c>
    </row>
    <row r="10751" spans="1:9" hidden="1" x14ac:dyDescent="0.25">
      <c r="A10751" t="s">
        <v>8889</v>
      </c>
      <c r="B10751" t="s">
        <v>10</v>
      </c>
      <c r="C10751" s="2">
        <f>HYPERLINK("https://cao.dolgi.msk.ru/account/1080122327/", 1080122327)</f>
        <v>1080122327</v>
      </c>
      <c r="D10751" t="s">
        <v>8890</v>
      </c>
      <c r="E10751">
        <v>0</v>
      </c>
      <c r="F10751">
        <v>0</v>
      </c>
      <c r="G10751" t="s">
        <v>14</v>
      </c>
      <c r="I10751" t="s">
        <v>2409</v>
      </c>
    </row>
    <row r="10752" spans="1:9" hidden="1" x14ac:dyDescent="0.25">
      <c r="A10752" t="s">
        <v>8889</v>
      </c>
      <c r="B10752" t="s">
        <v>10</v>
      </c>
      <c r="C10752" s="2">
        <f>HYPERLINK("https://cao.dolgi.msk.ru/account/1083392576/", 1083392576)</f>
        <v>1083392576</v>
      </c>
      <c r="D10752" t="s">
        <v>8890</v>
      </c>
      <c r="E10752">
        <v>-4539.83</v>
      </c>
      <c r="F10752">
        <v>-0.91</v>
      </c>
      <c r="G10752" t="s">
        <v>12</v>
      </c>
      <c r="I10752" t="s">
        <v>2409</v>
      </c>
    </row>
    <row r="10753" spans="1:9" hidden="1" x14ac:dyDescent="0.25">
      <c r="A10753" t="s">
        <v>8889</v>
      </c>
      <c r="B10753" t="s">
        <v>16</v>
      </c>
      <c r="C10753" s="2">
        <f>HYPERLINK("https://cao.dolgi.msk.ru/account/1080122343/", 1080122343)</f>
        <v>1080122343</v>
      </c>
      <c r="D10753" t="s">
        <v>8891</v>
      </c>
      <c r="E10753">
        <v>-23.35</v>
      </c>
      <c r="G10753" t="s">
        <v>14</v>
      </c>
      <c r="I10753" t="s">
        <v>2409</v>
      </c>
    </row>
    <row r="10754" spans="1:9" hidden="1" x14ac:dyDescent="0.25">
      <c r="A10754" t="s">
        <v>8889</v>
      </c>
      <c r="B10754" t="s">
        <v>16</v>
      </c>
      <c r="C10754" s="2">
        <f>HYPERLINK("https://cao.dolgi.msk.ru/account/1083392779/", 1083392779)</f>
        <v>1083392779</v>
      </c>
      <c r="D10754" t="s">
        <v>8891</v>
      </c>
      <c r="E10754">
        <v>-4366.2299999999996</v>
      </c>
      <c r="F10754">
        <v>-1</v>
      </c>
      <c r="G10754" t="s">
        <v>12</v>
      </c>
      <c r="I10754" t="s">
        <v>2409</v>
      </c>
    </row>
    <row r="10755" spans="1:9" hidden="1" x14ac:dyDescent="0.25">
      <c r="A10755" t="s">
        <v>8889</v>
      </c>
      <c r="B10755" t="s">
        <v>18</v>
      </c>
      <c r="C10755" s="2">
        <f>HYPERLINK("https://cao.dolgi.msk.ru/account/1080122351/", 1080122351)</f>
        <v>1080122351</v>
      </c>
      <c r="D10755" t="s">
        <v>8892</v>
      </c>
      <c r="E10755">
        <v>256.35000000000002</v>
      </c>
      <c r="G10755" t="s">
        <v>14</v>
      </c>
      <c r="I10755" t="s">
        <v>2409</v>
      </c>
    </row>
    <row r="10756" spans="1:9" hidden="1" x14ac:dyDescent="0.25">
      <c r="A10756" t="s">
        <v>8889</v>
      </c>
      <c r="B10756" t="s">
        <v>18</v>
      </c>
      <c r="C10756" s="2">
        <f>HYPERLINK("https://cao.dolgi.msk.ru/account/1083392787/", 1083392787)</f>
        <v>1083392787</v>
      </c>
      <c r="D10756" t="s">
        <v>8892</v>
      </c>
      <c r="E10756">
        <v>0</v>
      </c>
      <c r="F10756">
        <v>0</v>
      </c>
      <c r="G10756" t="s">
        <v>12</v>
      </c>
      <c r="I10756" t="s">
        <v>2409</v>
      </c>
    </row>
    <row r="10757" spans="1:9" hidden="1" x14ac:dyDescent="0.25">
      <c r="A10757" t="s">
        <v>8889</v>
      </c>
      <c r="B10757" t="s">
        <v>20</v>
      </c>
      <c r="C10757" s="2">
        <f>HYPERLINK("https://cao.dolgi.msk.ru/account/1080122394/", 1080122394)</f>
        <v>1080122394</v>
      </c>
      <c r="D10757" t="s">
        <v>8893</v>
      </c>
      <c r="E10757">
        <v>0</v>
      </c>
      <c r="G10757" t="s">
        <v>14</v>
      </c>
      <c r="I10757" t="s">
        <v>2409</v>
      </c>
    </row>
    <row r="10758" spans="1:9" hidden="1" x14ac:dyDescent="0.25">
      <c r="A10758" t="s">
        <v>8889</v>
      </c>
      <c r="B10758" t="s">
        <v>20</v>
      </c>
      <c r="C10758" s="2">
        <f>HYPERLINK("https://cao.dolgi.msk.ru/account/1083392795/", 1083392795)</f>
        <v>1083392795</v>
      </c>
      <c r="D10758" t="s">
        <v>8893</v>
      </c>
      <c r="E10758">
        <v>-3643.04</v>
      </c>
      <c r="F10758">
        <v>-1.01</v>
      </c>
      <c r="G10758" t="s">
        <v>12</v>
      </c>
      <c r="I10758" t="s">
        <v>2409</v>
      </c>
    </row>
    <row r="10759" spans="1:9" hidden="1" x14ac:dyDescent="0.25">
      <c r="A10759" t="s">
        <v>8889</v>
      </c>
      <c r="B10759" t="s">
        <v>21</v>
      </c>
      <c r="C10759" s="2">
        <f>HYPERLINK("https://cao.dolgi.msk.ru/account/1080122378/", 1080122378)</f>
        <v>1080122378</v>
      </c>
      <c r="D10759" t="s">
        <v>8894</v>
      </c>
      <c r="E10759">
        <v>0</v>
      </c>
      <c r="F10759">
        <v>0</v>
      </c>
      <c r="G10759" t="s">
        <v>14</v>
      </c>
      <c r="I10759" t="s">
        <v>2409</v>
      </c>
    </row>
    <row r="10760" spans="1:9" hidden="1" x14ac:dyDescent="0.25">
      <c r="A10760" t="s">
        <v>8889</v>
      </c>
      <c r="B10760" t="s">
        <v>21</v>
      </c>
      <c r="C10760" s="2">
        <f>HYPERLINK("https://cao.dolgi.msk.ru/account/1083392971/", 1083392971)</f>
        <v>1083392971</v>
      </c>
      <c r="D10760" t="s">
        <v>8894</v>
      </c>
      <c r="E10760">
        <v>-2847.07</v>
      </c>
      <c r="F10760">
        <v>-1.1000000000000001</v>
      </c>
      <c r="G10760" t="s">
        <v>12</v>
      </c>
      <c r="I10760" t="s">
        <v>2409</v>
      </c>
    </row>
    <row r="10761" spans="1:9" hidden="1" x14ac:dyDescent="0.25">
      <c r="A10761" t="s">
        <v>8889</v>
      </c>
      <c r="B10761" t="s">
        <v>22</v>
      </c>
      <c r="C10761" s="2">
        <f>HYPERLINK("https://cao.dolgi.msk.ru/account/1080122386/", 1080122386)</f>
        <v>1080122386</v>
      </c>
      <c r="D10761" t="s">
        <v>8895</v>
      </c>
      <c r="E10761">
        <v>-143.96</v>
      </c>
      <c r="F10761">
        <v>-0.22</v>
      </c>
      <c r="G10761" t="s">
        <v>14</v>
      </c>
      <c r="I10761" t="s">
        <v>2409</v>
      </c>
    </row>
    <row r="10762" spans="1:9" hidden="1" x14ac:dyDescent="0.25">
      <c r="A10762" t="s">
        <v>8889</v>
      </c>
      <c r="B10762" t="s">
        <v>22</v>
      </c>
      <c r="C10762" s="2">
        <f>HYPERLINK("https://cao.dolgi.msk.ru/account/1083392509/", 1083392509)</f>
        <v>1083392509</v>
      </c>
      <c r="D10762" t="s">
        <v>8895</v>
      </c>
      <c r="E10762">
        <v>-4956.46</v>
      </c>
      <c r="F10762">
        <v>-1.18</v>
      </c>
      <c r="G10762" t="s">
        <v>12</v>
      </c>
      <c r="I10762" t="s">
        <v>2409</v>
      </c>
    </row>
    <row r="10763" spans="1:9" hidden="1" x14ac:dyDescent="0.25">
      <c r="A10763" t="s">
        <v>8889</v>
      </c>
      <c r="B10763" t="s">
        <v>23</v>
      </c>
      <c r="C10763" s="2">
        <f>HYPERLINK("https://cao.dolgi.msk.ru/account/1080122407/", 1080122407)</f>
        <v>1080122407</v>
      </c>
      <c r="D10763" t="s">
        <v>8896</v>
      </c>
      <c r="E10763">
        <v>-8287.06</v>
      </c>
      <c r="G10763" t="s">
        <v>14</v>
      </c>
      <c r="I10763" t="s">
        <v>2409</v>
      </c>
    </row>
    <row r="10764" spans="1:9" hidden="1" x14ac:dyDescent="0.25">
      <c r="A10764" t="s">
        <v>8889</v>
      </c>
      <c r="B10764" t="s">
        <v>23</v>
      </c>
      <c r="C10764" s="2">
        <f>HYPERLINK("https://cao.dolgi.msk.ru/account/1083392875/", 1083392875)</f>
        <v>1083392875</v>
      </c>
      <c r="D10764" t="s">
        <v>8896</v>
      </c>
      <c r="E10764">
        <v>-1946.12</v>
      </c>
      <c r="F10764">
        <v>-0.25</v>
      </c>
      <c r="G10764" t="s">
        <v>12</v>
      </c>
      <c r="I10764" t="s">
        <v>2409</v>
      </c>
    </row>
    <row r="10765" spans="1:9" hidden="1" x14ac:dyDescent="0.25">
      <c r="A10765" t="s">
        <v>8889</v>
      </c>
      <c r="B10765" t="s">
        <v>24</v>
      </c>
      <c r="C10765" s="2">
        <f>HYPERLINK("https://cao.dolgi.msk.ru/account/1080122415/", 1080122415)</f>
        <v>1080122415</v>
      </c>
      <c r="D10765" t="s">
        <v>8897</v>
      </c>
      <c r="E10765">
        <v>36426.42</v>
      </c>
      <c r="G10765" t="s">
        <v>14</v>
      </c>
      <c r="I10765" t="s">
        <v>2409</v>
      </c>
    </row>
    <row r="10766" spans="1:9" hidden="1" x14ac:dyDescent="0.25">
      <c r="A10766" t="s">
        <v>8889</v>
      </c>
      <c r="B10766" t="s">
        <v>24</v>
      </c>
      <c r="C10766" s="2">
        <f>HYPERLINK("https://cao.dolgi.msk.ru/account/1083392699/", 1083392699)</f>
        <v>1083392699</v>
      </c>
      <c r="D10766" t="s">
        <v>8897</v>
      </c>
      <c r="E10766">
        <v>-3618.4</v>
      </c>
      <c r="F10766">
        <v>-0.84</v>
      </c>
      <c r="G10766" t="s">
        <v>12</v>
      </c>
      <c r="I10766" t="s">
        <v>2409</v>
      </c>
    </row>
    <row r="10767" spans="1:9" hidden="1" x14ac:dyDescent="0.25">
      <c r="A10767" t="s">
        <v>8889</v>
      </c>
      <c r="B10767" t="s">
        <v>27</v>
      </c>
      <c r="C10767" s="2">
        <f>HYPERLINK("https://cao.dolgi.msk.ru/account/1080122423/", 1080122423)</f>
        <v>1080122423</v>
      </c>
      <c r="D10767" t="s">
        <v>8898</v>
      </c>
      <c r="E10767">
        <v>10158.36</v>
      </c>
      <c r="F10767">
        <v>9.11</v>
      </c>
      <c r="G10767" t="s">
        <v>14</v>
      </c>
      <c r="I10767" t="s">
        <v>2409</v>
      </c>
    </row>
    <row r="10768" spans="1:9" hidden="1" x14ac:dyDescent="0.25">
      <c r="A10768" t="s">
        <v>8889</v>
      </c>
      <c r="B10768" t="s">
        <v>27</v>
      </c>
      <c r="C10768" s="2">
        <f>HYPERLINK("https://cao.dolgi.msk.ru/account/1083392701/", 1083392701)</f>
        <v>1083392701</v>
      </c>
      <c r="D10768" t="s">
        <v>8898</v>
      </c>
      <c r="E10768">
        <v>-4788.8100000000004</v>
      </c>
      <c r="F10768">
        <v>-1.06</v>
      </c>
      <c r="G10768" t="s">
        <v>12</v>
      </c>
      <c r="I10768" t="s">
        <v>2409</v>
      </c>
    </row>
    <row r="10769" spans="1:9" hidden="1" x14ac:dyDescent="0.25">
      <c r="A10769" t="s">
        <v>8889</v>
      </c>
      <c r="B10769" t="s">
        <v>29</v>
      </c>
      <c r="C10769" s="2">
        <f>HYPERLINK("https://cao.dolgi.msk.ru/account/1080122431/", 1080122431)</f>
        <v>1080122431</v>
      </c>
      <c r="D10769" t="s">
        <v>8899</v>
      </c>
      <c r="E10769">
        <v>0</v>
      </c>
      <c r="G10769" t="s">
        <v>14</v>
      </c>
      <c r="I10769" t="s">
        <v>2409</v>
      </c>
    </row>
    <row r="10770" spans="1:9" hidden="1" x14ac:dyDescent="0.25">
      <c r="A10770" t="s">
        <v>8889</v>
      </c>
      <c r="B10770" t="s">
        <v>29</v>
      </c>
      <c r="C10770" s="2">
        <f>HYPERLINK("https://cao.dolgi.msk.ru/account/1083392584/", 1083392584)</f>
        <v>1083392584</v>
      </c>
      <c r="D10770" t="s">
        <v>8899</v>
      </c>
      <c r="E10770">
        <v>-4318.5</v>
      </c>
      <c r="F10770">
        <v>-1.03</v>
      </c>
      <c r="G10770" t="s">
        <v>12</v>
      </c>
      <c r="I10770" t="s">
        <v>2409</v>
      </c>
    </row>
    <row r="10771" spans="1:9" hidden="1" x14ac:dyDescent="0.25">
      <c r="A10771" t="s">
        <v>8889</v>
      </c>
      <c r="B10771" t="s">
        <v>31</v>
      </c>
      <c r="C10771" s="2">
        <f>HYPERLINK("https://cao.dolgi.msk.ru/account/1080122458/", 1080122458)</f>
        <v>1080122458</v>
      </c>
      <c r="D10771" t="s">
        <v>8900</v>
      </c>
      <c r="E10771">
        <v>0</v>
      </c>
      <c r="G10771" t="s">
        <v>14</v>
      </c>
      <c r="I10771" t="s">
        <v>2409</v>
      </c>
    </row>
    <row r="10772" spans="1:9" hidden="1" x14ac:dyDescent="0.25">
      <c r="A10772" t="s">
        <v>8889</v>
      </c>
      <c r="B10772" t="s">
        <v>31</v>
      </c>
      <c r="C10772" s="2">
        <f>HYPERLINK("https://cao.dolgi.msk.ru/account/1083392728/", 1083392728)</f>
        <v>1083392728</v>
      </c>
      <c r="D10772" t="s">
        <v>8900</v>
      </c>
      <c r="E10772">
        <v>-4608.9799999999996</v>
      </c>
      <c r="F10772">
        <v>-0.97</v>
      </c>
      <c r="G10772" t="s">
        <v>12</v>
      </c>
      <c r="I10772" t="s">
        <v>2409</v>
      </c>
    </row>
    <row r="10773" spans="1:9" hidden="1" x14ac:dyDescent="0.25">
      <c r="A10773" t="s">
        <v>8889</v>
      </c>
      <c r="B10773" t="s">
        <v>33</v>
      </c>
      <c r="C10773" s="2">
        <f>HYPERLINK("https://cao.dolgi.msk.ru/account/1080122466/", 1080122466)</f>
        <v>1080122466</v>
      </c>
      <c r="D10773" t="s">
        <v>8901</v>
      </c>
      <c r="E10773">
        <v>0</v>
      </c>
      <c r="F10773">
        <v>0</v>
      </c>
      <c r="G10773" t="s">
        <v>14</v>
      </c>
      <c r="I10773" t="s">
        <v>2409</v>
      </c>
    </row>
    <row r="10774" spans="1:9" hidden="1" x14ac:dyDescent="0.25">
      <c r="A10774" t="s">
        <v>8889</v>
      </c>
      <c r="B10774" t="s">
        <v>33</v>
      </c>
      <c r="C10774" s="2">
        <f>HYPERLINK("https://cao.dolgi.msk.ru/account/1083392883/", 1083392883)</f>
        <v>1083392883</v>
      </c>
      <c r="D10774" t="s">
        <v>8901</v>
      </c>
      <c r="E10774">
        <v>-5108.99</v>
      </c>
      <c r="F10774">
        <v>-1.03</v>
      </c>
      <c r="G10774" t="s">
        <v>12</v>
      </c>
      <c r="I10774" t="s">
        <v>2409</v>
      </c>
    </row>
    <row r="10775" spans="1:9" hidden="1" x14ac:dyDescent="0.25">
      <c r="A10775" t="s">
        <v>8889</v>
      </c>
      <c r="B10775" t="s">
        <v>34</v>
      </c>
      <c r="C10775" s="2">
        <f>HYPERLINK("https://cao.dolgi.msk.ru/account/1080122474/", 1080122474)</f>
        <v>1080122474</v>
      </c>
      <c r="D10775" t="s">
        <v>8902</v>
      </c>
      <c r="E10775">
        <v>4752.3900000000003</v>
      </c>
      <c r="F10775">
        <v>4.68</v>
      </c>
      <c r="G10775" t="s">
        <v>14</v>
      </c>
      <c r="I10775" t="s">
        <v>2409</v>
      </c>
    </row>
    <row r="10776" spans="1:9" hidden="1" x14ac:dyDescent="0.25">
      <c r="A10776" t="s">
        <v>8889</v>
      </c>
      <c r="B10776" t="s">
        <v>34</v>
      </c>
      <c r="C10776" s="2">
        <f>HYPERLINK("https://cao.dolgi.msk.ru/account/1083392891/", 1083392891)</f>
        <v>1083392891</v>
      </c>
      <c r="D10776" t="s">
        <v>8902</v>
      </c>
      <c r="E10776">
        <v>-5609.01</v>
      </c>
      <c r="F10776">
        <v>-1.02</v>
      </c>
      <c r="G10776" t="s">
        <v>12</v>
      </c>
      <c r="I10776" t="s">
        <v>2409</v>
      </c>
    </row>
    <row r="10777" spans="1:9" hidden="1" x14ac:dyDescent="0.25">
      <c r="A10777" t="s">
        <v>8889</v>
      </c>
      <c r="B10777" t="s">
        <v>36</v>
      </c>
      <c r="C10777" s="2">
        <f>HYPERLINK("https://cao.dolgi.msk.ru/account/1083392672/", 1083392672)</f>
        <v>1083392672</v>
      </c>
      <c r="D10777" t="s">
        <v>8903</v>
      </c>
      <c r="E10777">
        <v>-5051.67</v>
      </c>
      <c r="F10777">
        <v>-1.01</v>
      </c>
      <c r="G10777" t="s">
        <v>12</v>
      </c>
      <c r="I10777" t="s">
        <v>2409</v>
      </c>
    </row>
    <row r="10778" spans="1:9" hidden="1" x14ac:dyDescent="0.25">
      <c r="A10778" t="s">
        <v>8889</v>
      </c>
      <c r="B10778" t="s">
        <v>36</v>
      </c>
      <c r="C10778" s="2">
        <f>HYPERLINK("https://cao.dolgi.msk.ru/account/1089123246/", 1089123246)</f>
        <v>1089123246</v>
      </c>
      <c r="D10778" t="s">
        <v>8903</v>
      </c>
      <c r="E10778">
        <v>0</v>
      </c>
      <c r="F10778">
        <v>0</v>
      </c>
      <c r="G10778" t="s">
        <v>14</v>
      </c>
      <c r="I10778" t="s">
        <v>2409</v>
      </c>
    </row>
    <row r="10779" spans="1:9" hidden="1" x14ac:dyDescent="0.25">
      <c r="A10779" t="s">
        <v>8889</v>
      </c>
      <c r="B10779" t="s">
        <v>38</v>
      </c>
      <c r="C10779" s="2">
        <f>HYPERLINK("https://cao.dolgi.msk.ru/account/1080122503/", 1080122503)</f>
        <v>1080122503</v>
      </c>
      <c r="D10779" t="s">
        <v>8904</v>
      </c>
      <c r="E10779">
        <v>-447.59</v>
      </c>
      <c r="F10779">
        <v>-1.22</v>
      </c>
      <c r="G10779" t="s">
        <v>14</v>
      </c>
      <c r="I10779" t="s">
        <v>2409</v>
      </c>
    </row>
    <row r="10780" spans="1:9" hidden="1" x14ac:dyDescent="0.25">
      <c r="A10780" t="s">
        <v>8889</v>
      </c>
      <c r="B10780" t="s">
        <v>38</v>
      </c>
      <c r="C10780" s="2">
        <f>HYPERLINK("https://cao.dolgi.msk.ru/account/1083393114/", 1083393114)</f>
        <v>1083393114</v>
      </c>
      <c r="D10780" t="s">
        <v>8904</v>
      </c>
      <c r="E10780">
        <v>0</v>
      </c>
      <c r="F10780">
        <v>0</v>
      </c>
      <c r="G10780" t="s">
        <v>12</v>
      </c>
      <c r="I10780" t="s">
        <v>2409</v>
      </c>
    </row>
    <row r="10781" spans="1:9" hidden="1" x14ac:dyDescent="0.25">
      <c r="A10781" t="s">
        <v>8889</v>
      </c>
      <c r="B10781" t="s">
        <v>39</v>
      </c>
      <c r="C10781" s="2">
        <f>HYPERLINK("https://cao.dolgi.msk.ru/account/1080122511/", 1080122511)</f>
        <v>1080122511</v>
      </c>
      <c r="D10781" t="s">
        <v>8905</v>
      </c>
      <c r="E10781">
        <v>0</v>
      </c>
      <c r="F10781">
        <v>0</v>
      </c>
      <c r="G10781" t="s">
        <v>14</v>
      </c>
      <c r="I10781" t="s">
        <v>2409</v>
      </c>
    </row>
    <row r="10782" spans="1:9" hidden="1" x14ac:dyDescent="0.25">
      <c r="A10782" t="s">
        <v>8889</v>
      </c>
      <c r="B10782" t="s">
        <v>39</v>
      </c>
      <c r="C10782" s="2">
        <f>HYPERLINK("https://cao.dolgi.msk.ru/account/1083392517/", 1083392517)</f>
        <v>1083392517</v>
      </c>
      <c r="D10782" t="s">
        <v>8905</v>
      </c>
      <c r="E10782">
        <v>-2895.72</v>
      </c>
      <c r="F10782">
        <v>-1.02</v>
      </c>
      <c r="G10782" t="s">
        <v>12</v>
      </c>
      <c r="I10782" t="s">
        <v>2409</v>
      </c>
    </row>
    <row r="10783" spans="1:9" hidden="1" x14ac:dyDescent="0.25">
      <c r="A10783" t="s">
        <v>8889</v>
      </c>
      <c r="B10783" t="s">
        <v>40</v>
      </c>
      <c r="C10783" s="2">
        <f>HYPERLINK("https://cao.dolgi.msk.ru/account/1080122538/", 1080122538)</f>
        <v>1080122538</v>
      </c>
      <c r="D10783" t="s">
        <v>8906</v>
      </c>
      <c r="E10783">
        <v>-574.71</v>
      </c>
      <c r="G10783" t="s">
        <v>14</v>
      </c>
      <c r="I10783" t="s">
        <v>2409</v>
      </c>
    </row>
    <row r="10784" spans="1:9" hidden="1" x14ac:dyDescent="0.25">
      <c r="A10784" t="s">
        <v>8889</v>
      </c>
      <c r="B10784" t="s">
        <v>40</v>
      </c>
      <c r="C10784" s="2">
        <f>HYPERLINK("https://cao.dolgi.msk.ru/account/1083392525/", 1083392525)</f>
        <v>1083392525</v>
      </c>
      <c r="D10784" t="s">
        <v>8906</v>
      </c>
      <c r="E10784">
        <v>-939.48</v>
      </c>
      <c r="F10784">
        <v>-0.19</v>
      </c>
      <c r="G10784" t="s">
        <v>12</v>
      </c>
      <c r="I10784" t="s">
        <v>2409</v>
      </c>
    </row>
    <row r="10785" spans="1:9" hidden="1" x14ac:dyDescent="0.25">
      <c r="A10785" t="s">
        <v>8889</v>
      </c>
      <c r="B10785" t="s">
        <v>41</v>
      </c>
      <c r="C10785" s="2">
        <f>HYPERLINK("https://cao.dolgi.msk.ru/account/1080122546/", 1080122546)</f>
        <v>1080122546</v>
      </c>
      <c r="D10785" t="s">
        <v>8907</v>
      </c>
      <c r="E10785">
        <v>0</v>
      </c>
      <c r="G10785" t="s">
        <v>14</v>
      </c>
      <c r="I10785" t="s">
        <v>2409</v>
      </c>
    </row>
    <row r="10786" spans="1:9" hidden="1" x14ac:dyDescent="0.25">
      <c r="A10786" t="s">
        <v>8889</v>
      </c>
      <c r="B10786" t="s">
        <v>41</v>
      </c>
      <c r="C10786" s="2">
        <f>HYPERLINK("https://cao.dolgi.msk.ru/account/1083392904/", 1083392904)</f>
        <v>1083392904</v>
      </c>
      <c r="D10786" t="s">
        <v>8907</v>
      </c>
      <c r="E10786">
        <v>-3804.84</v>
      </c>
      <c r="F10786">
        <v>-1</v>
      </c>
      <c r="G10786" t="s">
        <v>12</v>
      </c>
      <c r="I10786" t="s">
        <v>2409</v>
      </c>
    </row>
    <row r="10787" spans="1:9" hidden="1" x14ac:dyDescent="0.25">
      <c r="A10787" t="s">
        <v>8889</v>
      </c>
      <c r="B10787" t="s">
        <v>42</v>
      </c>
      <c r="C10787" s="2">
        <f>HYPERLINK("https://cao.dolgi.msk.ru/account/1080122554/", 1080122554)</f>
        <v>1080122554</v>
      </c>
      <c r="D10787" t="s">
        <v>8908</v>
      </c>
      <c r="E10787">
        <v>0</v>
      </c>
      <c r="G10787" t="s">
        <v>14</v>
      </c>
      <c r="I10787" t="s">
        <v>2409</v>
      </c>
    </row>
    <row r="10788" spans="1:9" hidden="1" x14ac:dyDescent="0.25">
      <c r="A10788" t="s">
        <v>8889</v>
      </c>
      <c r="B10788" t="s">
        <v>42</v>
      </c>
      <c r="C10788" s="2">
        <f>HYPERLINK("https://cao.dolgi.msk.ru/account/1083392365/", 1083392365)</f>
        <v>1083392365</v>
      </c>
      <c r="D10788" t="s">
        <v>8908</v>
      </c>
      <c r="E10788">
        <v>0</v>
      </c>
      <c r="F10788">
        <v>0</v>
      </c>
      <c r="G10788" t="s">
        <v>12</v>
      </c>
      <c r="I10788" t="s">
        <v>2409</v>
      </c>
    </row>
    <row r="10789" spans="1:9" hidden="1" x14ac:dyDescent="0.25">
      <c r="A10789" t="s">
        <v>8889</v>
      </c>
      <c r="B10789" t="s">
        <v>44</v>
      </c>
      <c r="C10789" s="2">
        <f>HYPERLINK("https://cao.dolgi.msk.ru/account/1080122562/", 1080122562)</f>
        <v>1080122562</v>
      </c>
      <c r="D10789" t="s">
        <v>8909</v>
      </c>
      <c r="E10789">
        <v>-69.19</v>
      </c>
      <c r="F10789">
        <v>-0.44</v>
      </c>
      <c r="G10789" t="s">
        <v>14</v>
      </c>
      <c r="I10789" t="s">
        <v>2409</v>
      </c>
    </row>
    <row r="10790" spans="1:9" hidden="1" x14ac:dyDescent="0.25">
      <c r="A10790" t="s">
        <v>8889</v>
      </c>
      <c r="B10790" t="s">
        <v>44</v>
      </c>
      <c r="C10790" s="2">
        <f>HYPERLINK("https://cao.dolgi.msk.ru/account/1083392998/", 1083392998)</f>
        <v>1083392998</v>
      </c>
      <c r="D10790" t="s">
        <v>8909</v>
      </c>
      <c r="E10790">
        <v>-2730.28</v>
      </c>
      <c r="F10790">
        <v>-1.02</v>
      </c>
      <c r="G10790" t="s">
        <v>12</v>
      </c>
      <c r="I10790" t="s">
        <v>2409</v>
      </c>
    </row>
    <row r="10791" spans="1:9" hidden="1" x14ac:dyDescent="0.25">
      <c r="A10791" t="s">
        <v>8889</v>
      </c>
      <c r="B10791" t="s">
        <v>66</v>
      </c>
      <c r="C10791" s="2">
        <f>HYPERLINK("https://cao.dolgi.msk.ru/account/1080122589/", 1080122589)</f>
        <v>1080122589</v>
      </c>
      <c r="D10791" t="s">
        <v>8910</v>
      </c>
      <c r="E10791">
        <v>0.83</v>
      </c>
      <c r="G10791" t="s">
        <v>14</v>
      </c>
      <c r="I10791" t="s">
        <v>2409</v>
      </c>
    </row>
    <row r="10792" spans="1:9" hidden="1" x14ac:dyDescent="0.25">
      <c r="A10792" t="s">
        <v>8889</v>
      </c>
      <c r="B10792" t="s">
        <v>66</v>
      </c>
      <c r="C10792" s="2">
        <f>HYPERLINK("https://cao.dolgi.msk.ru/account/1083392592/", 1083392592)</f>
        <v>1083392592</v>
      </c>
      <c r="D10792" t="s">
        <v>8910</v>
      </c>
      <c r="E10792">
        <v>-5694.13</v>
      </c>
      <c r="F10792">
        <v>-0.95</v>
      </c>
      <c r="G10792" t="s">
        <v>12</v>
      </c>
      <c r="I10792" t="s">
        <v>2409</v>
      </c>
    </row>
    <row r="10793" spans="1:9" hidden="1" x14ac:dyDescent="0.25">
      <c r="A10793" t="s">
        <v>8889</v>
      </c>
      <c r="B10793" t="s">
        <v>68</v>
      </c>
      <c r="C10793" s="2">
        <f>HYPERLINK("https://cao.dolgi.msk.ru/account/1080122597/", 1080122597)</f>
        <v>1080122597</v>
      </c>
      <c r="D10793" t="s">
        <v>8911</v>
      </c>
      <c r="E10793">
        <v>0</v>
      </c>
      <c r="G10793" t="s">
        <v>14</v>
      </c>
      <c r="I10793" t="s">
        <v>2409</v>
      </c>
    </row>
    <row r="10794" spans="1:9" hidden="1" x14ac:dyDescent="0.25">
      <c r="A10794" t="s">
        <v>8889</v>
      </c>
      <c r="B10794" t="s">
        <v>68</v>
      </c>
      <c r="C10794" s="2">
        <f>HYPERLINK("https://cao.dolgi.msk.ru/account/1083393122/", 1083393122)</f>
        <v>1083393122</v>
      </c>
      <c r="D10794" t="s">
        <v>8911</v>
      </c>
      <c r="E10794">
        <v>-3464.75</v>
      </c>
      <c r="F10794">
        <v>-1.02</v>
      </c>
      <c r="G10794" t="s">
        <v>12</v>
      </c>
      <c r="I10794" t="s">
        <v>2409</v>
      </c>
    </row>
    <row r="10795" spans="1:9" hidden="1" x14ac:dyDescent="0.25">
      <c r="A10795" t="s">
        <v>8889</v>
      </c>
      <c r="B10795" t="s">
        <v>70</v>
      </c>
      <c r="C10795" s="2">
        <f>HYPERLINK("https://cao.dolgi.msk.ru/account/1080122618/", 1080122618)</f>
        <v>1080122618</v>
      </c>
      <c r="D10795" t="s">
        <v>8912</v>
      </c>
      <c r="E10795">
        <v>0</v>
      </c>
      <c r="F10795">
        <v>0</v>
      </c>
      <c r="G10795" t="s">
        <v>14</v>
      </c>
      <c r="I10795" t="s">
        <v>2409</v>
      </c>
    </row>
    <row r="10796" spans="1:9" hidden="1" x14ac:dyDescent="0.25">
      <c r="A10796" t="s">
        <v>8889</v>
      </c>
      <c r="B10796" t="s">
        <v>70</v>
      </c>
      <c r="C10796" s="2">
        <f>HYPERLINK("https://cao.dolgi.msk.ru/account/1083392373/", 1083392373)</f>
        <v>1083392373</v>
      </c>
      <c r="D10796" t="s">
        <v>8912</v>
      </c>
      <c r="E10796">
        <v>-4289.4399999999996</v>
      </c>
      <c r="F10796">
        <v>-1.01</v>
      </c>
      <c r="G10796" t="s">
        <v>12</v>
      </c>
      <c r="I10796" t="s">
        <v>2409</v>
      </c>
    </row>
    <row r="10797" spans="1:9" hidden="1" x14ac:dyDescent="0.25">
      <c r="A10797" t="s">
        <v>8889</v>
      </c>
      <c r="B10797" t="s">
        <v>72</v>
      </c>
      <c r="C10797" s="2">
        <f>HYPERLINK("https://cao.dolgi.msk.ru/account/1080122626/", 1080122626)</f>
        <v>1080122626</v>
      </c>
      <c r="D10797" t="s">
        <v>8913</v>
      </c>
      <c r="E10797">
        <v>-99.12</v>
      </c>
      <c r="F10797">
        <v>-0.47</v>
      </c>
      <c r="G10797" t="s">
        <v>14</v>
      </c>
      <c r="I10797" t="s">
        <v>2409</v>
      </c>
    </row>
    <row r="10798" spans="1:9" hidden="1" x14ac:dyDescent="0.25">
      <c r="A10798" t="s">
        <v>8889</v>
      </c>
      <c r="B10798" t="s">
        <v>72</v>
      </c>
      <c r="C10798" s="2">
        <f>HYPERLINK("https://cao.dolgi.msk.ru/account/1083392808/", 1083392808)</f>
        <v>1083392808</v>
      </c>
      <c r="D10798" t="s">
        <v>8913</v>
      </c>
      <c r="E10798">
        <v>-5208.83</v>
      </c>
      <c r="F10798">
        <v>-1.08</v>
      </c>
      <c r="G10798" t="s">
        <v>12</v>
      </c>
      <c r="I10798" t="s">
        <v>2409</v>
      </c>
    </row>
    <row r="10799" spans="1:9" hidden="1" x14ac:dyDescent="0.25">
      <c r="A10799" t="s">
        <v>8889</v>
      </c>
      <c r="B10799" t="s">
        <v>74</v>
      </c>
      <c r="C10799" s="2">
        <f>HYPERLINK("https://cao.dolgi.msk.ru/account/1080122634/", 1080122634)</f>
        <v>1080122634</v>
      </c>
      <c r="D10799" t="s">
        <v>8914</v>
      </c>
      <c r="E10799">
        <v>-303.44</v>
      </c>
      <c r="G10799" t="s">
        <v>14</v>
      </c>
      <c r="I10799" t="s">
        <v>2409</v>
      </c>
    </row>
    <row r="10800" spans="1:9" hidden="1" x14ac:dyDescent="0.25">
      <c r="A10800" t="s">
        <v>8889</v>
      </c>
      <c r="B10800" t="s">
        <v>74</v>
      </c>
      <c r="C10800" s="2">
        <f>HYPERLINK("https://cao.dolgi.msk.ru/account/1083392736/", 1083392736)</f>
        <v>1083392736</v>
      </c>
      <c r="D10800" t="s">
        <v>8914</v>
      </c>
      <c r="E10800">
        <v>-2276.3000000000002</v>
      </c>
      <c r="F10800">
        <v>-0.97</v>
      </c>
      <c r="G10800" t="s">
        <v>12</v>
      </c>
      <c r="I10800" t="s">
        <v>2409</v>
      </c>
    </row>
    <row r="10801" spans="1:9" hidden="1" x14ac:dyDescent="0.25">
      <c r="A10801" t="s">
        <v>8889</v>
      </c>
      <c r="B10801" t="s">
        <v>76</v>
      </c>
      <c r="C10801" s="2">
        <f>HYPERLINK("https://cao.dolgi.msk.ru/account/1080122642/", 1080122642)</f>
        <v>1080122642</v>
      </c>
      <c r="D10801" t="s">
        <v>8915</v>
      </c>
      <c r="E10801">
        <v>-888.71</v>
      </c>
      <c r="G10801" t="s">
        <v>14</v>
      </c>
      <c r="I10801" t="s">
        <v>2409</v>
      </c>
    </row>
    <row r="10802" spans="1:9" hidden="1" x14ac:dyDescent="0.25">
      <c r="A10802" t="s">
        <v>8889</v>
      </c>
      <c r="B10802" t="s">
        <v>76</v>
      </c>
      <c r="C10802" s="2">
        <f>HYPERLINK("https://cao.dolgi.msk.ru/account/1083392744/", 1083392744)</f>
        <v>1083392744</v>
      </c>
      <c r="D10802" t="s">
        <v>8915</v>
      </c>
      <c r="E10802">
        <v>-6426.37</v>
      </c>
      <c r="F10802">
        <v>-1.08</v>
      </c>
      <c r="G10802" t="s">
        <v>12</v>
      </c>
      <c r="I10802" t="s">
        <v>2409</v>
      </c>
    </row>
    <row r="10803" spans="1:9" hidden="1" x14ac:dyDescent="0.25">
      <c r="A10803" t="s">
        <v>8889</v>
      </c>
      <c r="B10803" t="s">
        <v>78</v>
      </c>
      <c r="C10803" s="2">
        <f>HYPERLINK("https://cao.dolgi.msk.ru/account/1080122669/", 1080122669)</f>
        <v>1080122669</v>
      </c>
      <c r="D10803" t="s">
        <v>8916</v>
      </c>
      <c r="E10803">
        <v>0</v>
      </c>
      <c r="F10803">
        <v>0</v>
      </c>
      <c r="G10803" t="s">
        <v>14</v>
      </c>
      <c r="I10803" t="s">
        <v>2409</v>
      </c>
    </row>
    <row r="10804" spans="1:9" hidden="1" x14ac:dyDescent="0.25">
      <c r="A10804" t="s">
        <v>8889</v>
      </c>
      <c r="B10804" t="s">
        <v>78</v>
      </c>
      <c r="C10804" s="2">
        <f>HYPERLINK("https://cao.dolgi.msk.ru/account/1083393018/", 1083393018)</f>
        <v>1083393018</v>
      </c>
      <c r="D10804" t="s">
        <v>8916</v>
      </c>
      <c r="E10804">
        <v>-8700.6299999999992</v>
      </c>
      <c r="F10804">
        <v>-1</v>
      </c>
      <c r="G10804" t="s">
        <v>12</v>
      </c>
      <c r="I10804" t="s">
        <v>2409</v>
      </c>
    </row>
    <row r="10805" spans="1:9" hidden="1" x14ac:dyDescent="0.25">
      <c r="A10805" t="s">
        <v>8889</v>
      </c>
      <c r="B10805" t="s">
        <v>80</v>
      </c>
      <c r="C10805" s="2">
        <f>HYPERLINK("https://cao.dolgi.msk.ru/account/1080122677/", 1080122677)</f>
        <v>1080122677</v>
      </c>
      <c r="D10805" t="s">
        <v>8917</v>
      </c>
      <c r="E10805">
        <v>26895.84</v>
      </c>
      <c r="G10805" t="s">
        <v>14</v>
      </c>
      <c r="I10805" t="s">
        <v>2409</v>
      </c>
    </row>
    <row r="10806" spans="1:9" x14ac:dyDescent="0.25">
      <c r="A10806" t="s">
        <v>8889</v>
      </c>
      <c r="B10806" t="s">
        <v>80</v>
      </c>
      <c r="C10806" s="2">
        <f>HYPERLINK("https://cao.dolgi.msk.ru/account/1083392605/", 1083392605)</f>
        <v>1083392605</v>
      </c>
      <c r="D10806" t="s">
        <v>8917</v>
      </c>
      <c r="E10806">
        <v>15043.45</v>
      </c>
      <c r="F10806">
        <v>2.99</v>
      </c>
      <c r="G10806" t="s">
        <v>12</v>
      </c>
      <c r="I10806" t="s">
        <v>2409</v>
      </c>
    </row>
    <row r="10807" spans="1:9" hidden="1" x14ac:dyDescent="0.25">
      <c r="A10807" t="s">
        <v>8889</v>
      </c>
      <c r="B10807" t="s">
        <v>82</v>
      </c>
      <c r="C10807" s="2">
        <f>HYPERLINK("https://cao.dolgi.msk.ru/account/1080122685/", 1080122685)</f>
        <v>1080122685</v>
      </c>
      <c r="D10807" t="s">
        <v>8918</v>
      </c>
      <c r="E10807">
        <v>403.83</v>
      </c>
      <c r="F10807">
        <v>0.23</v>
      </c>
      <c r="G10807" t="s">
        <v>14</v>
      </c>
      <c r="I10807" t="s">
        <v>2409</v>
      </c>
    </row>
    <row r="10808" spans="1:9" hidden="1" x14ac:dyDescent="0.25">
      <c r="A10808" t="s">
        <v>8889</v>
      </c>
      <c r="B10808" t="s">
        <v>82</v>
      </c>
      <c r="C10808" s="2">
        <f>HYPERLINK("https://cao.dolgi.msk.ru/account/1083392381/", 1083392381)</f>
        <v>1083392381</v>
      </c>
      <c r="D10808" t="s">
        <v>8918</v>
      </c>
      <c r="E10808">
        <v>3963.38</v>
      </c>
      <c r="F10808">
        <v>0.65</v>
      </c>
      <c r="G10808" t="s">
        <v>12</v>
      </c>
      <c r="I10808" t="s">
        <v>2409</v>
      </c>
    </row>
    <row r="10809" spans="1:9" hidden="1" x14ac:dyDescent="0.25">
      <c r="A10809" t="s">
        <v>8889</v>
      </c>
      <c r="B10809" t="s">
        <v>84</v>
      </c>
      <c r="C10809" s="2">
        <f>HYPERLINK("https://cao.dolgi.msk.ru/account/1080122693/", 1080122693)</f>
        <v>1080122693</v>
      </c>
      <c r="D10809" t="s">
        <v>8919</v>
      </c>
      <c r="E10809">
        <v>0</v>
      </c>
      <c r="G10809" t="s">
        <v>14</v>
      </c>
      <c r="I10809" t="s">
        <v>2409</v>
      </c>
    </row>
    <row r="10810" spans="1:9" hidden="1" x14ac:dyDescent="0.25">
      <c r="A10810" t="s">
        <v>8889</v>
      </c>
      <c r="B10810" t="s">
        <v>84</v>
      </c>
      <c r="C10810" s="2">
        <f>HYPERLINK("https://cao.dolgi.msk.ru/account/1083393026/", 1083393026)</f>
        <v>1083393026</v>
      </c>
      <c r="D10810" t="s">
        <v>8919</v>
      </c>
      <c r="E10810">
        <v>-5413.39</v>
      </c>
      <c r="F10810">
        <v>-1.06</v>
      </c>
      <c r="G10810" t="s">
        <v>12</v>
      </c>
      <c r="I10810" t="s">
        <v>2409</v>
      </c>
    </row>
    <row r="10811" spans="1:9" hidden="1" x14ac:dyDescent="0.25">
      <c r="A10811" t="s">
        <v>8889</v>
      </c>
      <c r="B10811" t="s">
        <v>86</v>
      </c>
      <c r="C10811" s="2">
        <f>HYPERLINK("https://cao.dolgi.msk.ru/account/1080122706/", 1080122706)</f>
        <v>1080122706</v>
      </c>
      <c r="D10811" t="s">
        <v>8920</v>
      </c>
      <c r="E10811">
        <v>-10.71</v>
      </c>
      <c r="G10811" t="s">
        <v>14</v>
      </c>
      <c r="I10811" t="s">
        <v>2409</v>
      </c>
    </row>
    <row r="10812" spans="1:9" hidden="1" x14ac:dyDescent="0.25">
      <c r="A10812" t="s">
        <v>8889</v>
      </c>
      <c r="B10812" t="s">
        <v>86</v>
      </c>
      <c r="C10812" s="2">
        <f>HYPERLINK("https://cao.dolgi.msk.ru/account/1083393034/", 1083393034)</f>
        <v>1083393034</v>
      </c>
      <c r="D10812" t="s">
        <v>8920</v>
      </c>
      <c r="E10812">
        <v>-5598.9</v>
      </c>
      <c r="F10812">
        <v>-0.95</v>
      </c>
      <c r="G10812" t="s">
        <v>12</v>
      </c>
      <c r="I10812" t="s">
        <v>2409</v>
      </c>
    </row>
    <row r="10813" spans="1:9" x14ac:dyDescent="0.25">
      <c r="A10813" t="s">
        <v>8889</v>
      </c>
      <c r="B10813" t="s">
        <v>88</v>
      </c>
      <c r="C10813" s="2">
        <f>HYPERLINK("https://cao.dolgi.msk.ru/account/1083393149/", 1083393149)</f>
        <v>1083393149</v>
      </c>
      <c r="D10813" t="s">
        <v>8921</v>
      </c>
      <c r="E10813">
        <v>22536.66</v>
      </c>
      <c r="F10813">
        <v>2</v>
      </c>
      <c r="G10813" t="s">
        <v>12</v>
      </c>
      <c r="I10813" t="s">
        <v>2409</v>
      </c>
    </row>
    <row r="10814" spans="1:9" hidden="1" x14ac:dyDescent="0.25">
      <c r="A10814" t="s">
        <v>8889</v>
      </c>
      <c r="B10814" t="s">
        <v>90</v>
      </c>
      <c r="C10814" s="2">
        <f>HYPERLINK("https://cao.dolgi.msk.ru/account/1080122722/", 1080122722)</f>
        <v>1080122722</v>
      </c>
      <c r="D10814" t="s">
        <v>8922</v>
      </c>
      <c r="E10814">
        <v>83038.73</v>
      </c>
      <c r="F10814">
        <v>13.25</v>
      </c>
      <c r="G10814" t="s">
        <v>14</v>
      </c>
      <c r="I10814" t="s">
        <v>2409</v>
      </c>
    </row>
    <row r="10815" spans="1:9" x14ac:dyDescent="0.25">
      <c r="A10815" t="s">
        <v>8889</v>
      </c>
      <c r="B10815" t="s">
        <v>90</v>
      </c>
      <c r="C10815" s="2">
        <f>HYPERLINK("https://cao.dolgi.msk.ru/account/1083393042/", 1083393042)</f>
        <v>1083393042</v>
      </c>
      <c r="D10815" t="s">
        <v>8922</v>
      </c>
      <c r="E10815">
        <v>11197.43</v>
      </c>
      <c r="F10815">
        <v>1.96</v>
      </c>
      <c r="G10815" t="s">
        <v>12</v>
      </c>
      <c r="I10815" t="s">
        <v>2409</v>
      </c>
    </row>
    <row r="10816" spans="1:9" hidden="1" x14ac:dyDescent="0.25">
      <c r="A10816" t="s">
        <v>8889</v>
      </c>
      <c r="B10816" t="s">
        <v>92</v>
      </c>
      <c r="C10816" s="2">
        <f>HYPERLINK("https://cao.dolgi.msk.ru/account/1080122749/", 1080122749)</f>
        <v>1080122749</v>
      </c>
      <c r="D10816" t="s">
        <v>8923</v>
      </c>
      <c r="E10816">
        <v>1432.32</v>
      </c>
      <c r="F10816">
        <v>1</v>
      </c>
      <c r="G10816" t="s">
        <v>14</v>
      </c>
      <c r="I10816" t="s">
        <v>2409</v>
      </c>
    </row>
    <row r="10817" spans="1:9" hidden="1" x14ac:dyDescent="0.25">
      <c r="A10817" t="s">
        <v>8889</v>
      </c>
      <c r="B10817" t="s">
        <v>92</v>
      </c>
      <c r="C10817" s="2">
        <f>HYPERLINK("https://cao.dolgi.msk.ru/account/1083392816/", 1083392816)</f>
        <v>1083392816</v>
      </c>
      <c r="D10817" t="s">
        <v>8923</v>
      </c>
      <c r="E10817">
        <v>-5448.71</v>
      </c>
      <c r="F10817">
        <v>-1.06</v>
      </c>
      <c r="G10817" t="s">
        <v>12</v>
      </c>
      <c r="I10817" t="s">
        <v>2409</v>
      </c>
    </row>
    <row r="10818" spans="1:9" hidden="1" x14ac:dyDescent="0.25">
      <c r="A10818" t="s">
        <v>8889</v>
      </c>
      <c r="B10818" t="s">
        <v>94</v>
      </c>
      <c r="C10818" s="2">
        <f>HYPERLINK("https://cao.dolgi.msk.ru/account/1080122757/", 1080122757)</f>
        <v>1080122757</v>
      </c>
      <c r="D10818" t="s">
        <v>8924</v>
      </c>
      <c r="E10818">
        <v>0</v>
      </c>
      <c r="G10818" t="s">
        <v>14</v>
      </c>
      <c r="I10818" t="s">
        <v>2409</v>
      </c>
    </row>
    <row r="10819" spans="1:9" hidden="1" x14ac:dyDescent="0.25">
      <c r="A10819" t="s">
        <v>8889</v>
      </c>
      <c r="B10819" t="s">
        <v>94</v>
      </c>
      <c r="C10819" s="2">
        <f>HYPERLINK("https://cao.dolgi.msk.ru/account/1083392824/", 1083392824)</f>
        <v>1083392824</v>
      </c>
      <c r="D10819" t="s">
        <v>8924</v>
      </c>
      <c r="E10819">
        <v>-2229.4699999999998</v>
      </c>
      <c r="F10819">
        <v>-1.02</v>
      </c>
      <c r="G10819" t="s">
        <v>12</v>
      </c>
      <c r="I10819" t="s">
        <v>2409</v>
      </c>
    </row>
    <row r="10820" spans="1:9" hidden="1" x14ac:dyDescent="0.25">
      <c r="A10820" t="s">
        <v>8889</v>
      </c>
      <c r="B10820" t="s">
        <v>96</v>
      </c>
      <c r="C10820" s="2">
        <f>HYPERLINK("https://cao.dolgi.msk.ru/account/1080122765/", 1080122765)</f>
        <v>1080122765</v>
      </c>
      <c r="D10820" t="s">
        <v>8925</v>
      </c>
      <c r="E10820">
        <v>1296.2</v>
      </c>
      <c r="F10820">
        <v>8.85</v>
      </c>
      <c r="G10820" t="s">
        <v>14</v>
      </c>
      <c r="I10820" t="s">
        <v>2409</v>
      </c>
    </row>
    <row r="10821" spans="1:9" hidden="1" x14ac:dyDescent="0.25">
      <c r="A10821" t="s">
        <v>8889</v>
      </c>
      <c r="B10821" t="s">
        <v>96</v>
      </c>
      <c r="C10821" s="2">
        <f>HYPERLINK("https://cao.dolgi.msk.ru/account/1083392832/", 1083392832)</f>
        <v>1083392832</v>
      </c>
      <c r="D10821" t="s">
        <v>8925</v>
      </c>
      <c r="E10821">
        <v>-6117.54</v>
      </c>
      <c r="F10821">
        <v>-0.96</v>
      </c>
      <c r="G10821" t="s">
        <v>12</v>
      </c>
      <c r="I10821" t="s">
        <v>2409</v>
      </c>
    </row>
    <row r="10822" spans="1:9" hidden="1" x14ac:dyDescent="0.25">
      <c r="A10822" t="s">
        <v>8889</v>
      </c>
      <c r="B10822" t="s">
        <v>98</v>
      </c>
      <c r="C10822" s="2">
        <f>HYPERLINK("https://cao.dolgi.msk.ru/account/1080122773/", 1080122773)</f>
        <v>1080122773</v>
      </c>
      <c r="D10822" t="s">
        <v>8926</v>
      </c>
      <c r="E10822">
        <v>-170.77</v>
      </c>
      <c r="G10822" t="s">
        <v>14</v>
      </c>
      <c r="I10822" t="s">
        <v>2409</v>
      </c>
    </row>
    <row r="10823" spans="1:9" hidden="1" x14ac:dyDescent="0.25">
      <c r="A10823" t="s">
        <v>8889</v>
      </c>
      <c r="B10823" t="s">
        <v>98</v>
      </c>
      <c r="C10823" s="2">
        <f>HYPERLINK("https://cao.dolgi.msk.ru/account/1083392912/", 1083392912)</f>
        <v>1083392912</v>
      </c>
      <c r="D10823" t="s">
        <v>8926</v>
      </c>
      <c r="E10823">
        <v>-10039</v>
      </c>
      <c r="F10823">
        <v>-0.9</v>
      </c>
      <c r="G10823" t="s">
        <v>12</v>
      </c>
      <c r="I10823" t="s">
        <v>2409</v>
      </c>
    </row>
    <row r="10824" spans="1:9" hidden="1" x14ac:dyDescent="0.25">
      <c r="A10824" t="s">
        <v>8889</v>
      </c>
      <c r="B10824" t="s">
        <v>100</v>
      </c>
      <c r="C10824" s="2">
        <f>HYPERLINK("https://cao.dolgi.msk.ru/account/1080122781/", 1080122781)</f>
        <v>1080122781</v>
      </c>
      <c r="D10824" t="s">
        <v>8927</v>
      </c>
      <c r="E10824">
        <v>44</v>
      </c>
      <c r="G10824" t="s">
        <v>14</v>
      </c>
      <c r="I10824" t="s">
        <v>2409</v>
      </c>
    </row>
    <row r="10825" spans="1:9" hidden="1" x14ac:dyDescent="0.25">
      <c r="A10825" t="s">
        <v>8889</v>
      </c>
      <c r="B10825" t="s">
        <v>100</v>
      </c>
      <c r="C10825" s="2">
        <f>HYPERLINK("https://cao.dolgi.msk.ru/account/1083393069/", 1083393069)</f>
        <v>1083393069</v>
      </c>
      <c r="D10825" t="s">
        <v>8927</v>
      </c>
      <c r="E10825">
        <v>-4924.04</v>
      </c>
      <c r="F10825">
        <v>-0.84</v>
      </c>
      <c r="G10825" t="s">
        <v>12</v>
      </c>
      <c r="I10825" t="s">
        <v>2409</v>
      </c>
    </row>
    <row r="10826" spans="1:9" hidden="1" x14ac:dyDescent="0.25">
      <c r="A10826" t="s">
        <v>8889</v>
      </c>
      <c r="B10826" t="s">
        <v>102</v>
      </c>
      <c r="C10826" s="2">
        <f>HYPERLINK("https://cao.dolgi.msk.ru/account/1080122802/", 1080122802)</f>
        <v>1080122802</v>
      </c>
      <c r="D10826" t="s">
        <v>8928</v>
      </c>
      <c r="E10826">
        <v>-3284.98</v>
      </c>
      <c r="F10826">
        <v>-4.3099999999999996</v>
      </c>
      <c r="G10826" t="s">
        <v>14</v>
      </c>
      <c r="I10826" t="s">
        <v>2409</v>
      </c>
    </row>
    <row r="10827" spans="1:9" hidden="1" x14ac:dyDescent="0.25">
      <c r="A10827" t="s">
        <v>8889</v>
      </c>
      <c r="B10827" t="s">
        <v>102</v>
      </c>
      <c r="C10827" s="2">
        <f>HYPERLINK("https://cao.dolgi.msk.ru/account/1083392613/", 1083392613)</f>
        <v>1083392613</v>
      </c>
      <c r="D10827" t="s">
        <v>8928</v>
      </c>
      <c r="E10827">
        <v>-6952.33</v>
      </c>
      <c r="F10827">
        <v>-0.74</v>
      </c>
      <c r="G10827" t="s">
        <v>12</v>
      </c>
      <c r="I10827" t="s">
        <v>2409</v>
      </c>
    </row>
    <row r="10828" spans="1:9" hidden="1" x14ac:dyDescent="0.25">
      <c r="A10828" t="s">
        <v>8889</v>
      </c>
      <c r="B10828" t="s">
        <v>104</v>
      </c>
      <c r="C10828" s="2">
        <f>HYPERLINK("https://cao.dolgi.msk.ru/account/1080122829/", 1080122829)</f>
        <v>1080122829</v>
      </c>
      <c r="D10828" t="s">
        <v>8929</v>
      </c>
      <c r="E10828">
        <v>0</v>
      </c>
      <c r="G10828" t="s">
        <v>14</v>
      </c>
      <c r="I10828" t="s">
        <v>2409</v>
      </c>
    </row>
    <row r="10829" spans="1:9" hidden="1" x14ac:dyDescent="0.25">
      <c r="A10829" t="s">
        <v>8889</v>
      </c>
      <c r="B10829" t="s">
        <v>104</v>
      </c>
      <c r="C10829" s="2">
        <f>HYPERLINK("https://cao.dolgi.msk.ru/account/1083393157/", 1083393157)</f>
        <v>1083393157</v>
      </c>
      <c r="D10829" t="s">
        <v>8929</v>
      </c>
      <c r="E10829">
        <v>-4754.41</v>
      </c>
      <c r="F10829">
        <v>-1.07</v>
      </c>
      <c r="G10829" t="s">
        <v>12</v>
      </c>
      <c r="I10829" t="s">
        <v>2409</v>
      </c>
    </row>
    <row r="10830" spans="1:9" hidden="1" x14ac:dyDescent="0.25">
      <c r="A10830" t="s">
        <v>8889</v>
      </c>
      <c r="B10830" t="s">
        <v>106</v>
      </c>
      <c r="C10830" s="2">
        <f>HYPERLINK("https://cao.dolgi.msk.ru/account/1080122837/", 1080122837)</f>
        <v>1080122837</v>
      </c>
      <c r="D10830" t="s">
        <v>8930</v>
      </c>
      <c r="E10830">
        <v>6616.28</v>
      </c>
      <c r="F10830">
        <v>2.82</v>
      </c>
      <c r="G10830" t="s">
        <v>14</v>
      </c>
      <c r="I10830" t="s">
        <v>2409</v>
      </c>
    </row>
    <row r="10831" spans="1:9" hidden="1" x14ac:dyDescent="0.25">
      <c r="A10831" t="s">
        <v>8889</v>
      </c>
      <c r="B10831" t="s">
        <v>106</v>
      </c>
      <c r="C10831" s="2">
        <f>HYPERLINK("https://cao.dolgi.msk.ru/account/1083393077/", 1083393077)</f>
        <v>1083393077</v>
      </c>
      <c r="D10831" t="s">
        <v>8930</v>
      </c>
      <c r="E10831">
        <v>-7808.68</v>
      </c>
      <c r="F10831">
        <v>-1.01</v>
      </c>
      <c r="G10831" t="s">
        <v>12</v>
      </c>
      <c r="I10831" t="s">
        <v>2409</v>
      </c>
    </row>
    <row r="10832" spans="1:9" hidden="1" x14ac:dyDescent="0.25">
      <c r="A10832" t="s">
        <v>8889</v>
      </c>
      <c r="B10832" t="s">
        <v>108</v>
      </c>
      <c r="C10832" s="2">
        <f>HYPERLINK("https://cao.dolgi.msk.ru/account/1080122845/", 1080122845)</f>
        <v>1080122845</v>
      </c>
      <c r="D10832" t="s">
        <v>8931</v>
      </c>
      <c r="E10832">
        <v>-1746.43</v>
      </c>
      <c r="G10832" t="s">
        <v>14</v>
      </c>
      <c r="I10832" t="s">
        <v>2409</v>
      </c>
    </row>
    <row r="10833" spans="1:9" hidden="1" x14ac:dyDescent="0.25">
      <c r="A10833" t="s">
        <v>8889</v>
      </c>
      <c r="B10833" t="s">
        <v>108</v>
      </c>
      <c r="C10833" s="2">
        <f>HYPERLINK("https://cao.dolgi.msk.ru/account/1083392859/", 1083392859)</f>
        <v>1083392859</v>
      </c>
      <c r="D10833" t="s">
        <v>8931</v>
      </c>
      <c r="E10833">
        <v>0</v>
      </c>
      <c r="F10833">
        <v>0</v>
      </c>
      <c r="G10833" t="s">
        <v>12</v>
      </c>
      <c r="I10833" t="s">
        <v>2409</v>
      </c>
    </row>
    <row r="10834" spans="1:9" hidden="1" x14ac:dyDescent="0.25">
      <c r="A10834" t="s">
        <v>8889</v>
      </c>
      <c r="B10834" t="s">
        <v>110</v>
      </c>
      <c r="C10834" s="2">
        <f>HYPERLINK("https://cao.dolgi.msk.ru/account/1080122853/", 1080122853)</f>
        <v>1080122853</v>
      </c>
      <c r="D10834" t="s">
        <v>8932</v>
      </c>
      <c r="E10834">
        <v>-6198.8</v>
      </c>
      <c r="F10834">
        <v>-5.62</v>
      </c>
      <c r="G10834" t="s">
        <v>14</v>
      </c>
      <c r="I10834" t="s">
        <v>2409</v>
      </c>
    </row>
    <row r="10835" spans="1:9" hidden="1" x14ac:dyDescent="0.25">
      <c r="A10835" t="s">
        <v>8889</v>
      </c>
      <c r="B10835" t="s">
        <v>110</v>
      </c>
      <c r="C10835" s="2">
        <f>HYPERLINK("https://cao.dolgi.msk.ru/account/1083392939/", 1083392939)</f>
        <v>1083392939</v>
      </c>
      <c r="D10835" t="s">
        <v>8932</v>
      </c>
      <c r="E10835">
        <v>-6469.66</v>
      </c>
      <c r="F10835">
        <v>-1.92</v>
      </c>
      <c r="G10835" t="s">
        <v>12</v>
      </c>
      <c r="I10835" t="s">
        <v>2409</v>
      </c>
    </row>
    <row r="10836" spans="1:9" hidden="1" x14ac:dyDescent="0.25">
      <c r="A10836" t="s">
        <v>8889</v>
      </c>
      <c r="B10836" t="s">
        <v>112</v>
      </c>
      <c r="C10836" s="2">
        <f>HYPERLINK("https://cao.dolgi.msk.ru/account/1080122861/", 1080122861)</f>
        <v>1080122861</v>
      </c>
      <c r="D10836" t="s">
        <v>8933</v>
      </c>
      <c r="E10836">
        <v>6145.5</v>
      </c>
      <c r="G10836" t="s">
        <v>14</v>
      </c>
      <c r="I10836" t="s">
        <v>2409</v>
      </c>
    </row>
    <row r="10837" spans="1:9" hidden="1" x14ac:dyDescent="0.25">
      <c r="A10837" t="s">
        <v>8889</v>
      </c>
      <c r="B10837" t="s">
        <v>112</v>
      </c>
      <c r="C10837" s="2">
        <f>HYPERLINK("https://cao.dolgi.msk.ru/account/1083392533/", 1083392533)</f>
        <v>1083392533</v>
      </c>
      <c r="D10837" t="s">
        <v>8933</v>
      </c>
      <c r="E10837">
        <v>-5739.58</v>
      </c>
      <c r="F10837">
        <v>-0.95</v>
      </c>
      <c r="G10837" t="s">
        <v>12</v>
      </c>
      <c r="I10837" t="s">
        <v>2409</v>
      </c>
    </row>
    <row r="10838" spans="1:9" hidden="1" x14ac:dyDescent="0.25">
      <c r="A10838" t="s">
        <v>8889</v>
      </c>
      <c r="B10838" t="s">
        <v>114</v>
      </c>
      <c r="C10838" s="2">
        <f>HYPERLINK("https://cao.dolgi.msk.ru/account/1080122888/", 1080122888)</f>
        <v>1080122888</v>
      </c>
      <c r="D10838" t="s">
        <v>8934</v>
      </c>
      <c r="E10838">
        <v>4796.28</v>
      </c>
      <c r="F10838">
        <v>3.06</v>
      </c>
      <c r="G10838" t="s">
        <v>14</v>
      </c>
      <c r="I10838" t="s">
        <v>2409</v>
      </c>
    </row>
    <row r="10839" spans="1:9" hidden="1" x14ac:dyDescent="0.25">
      <c r="A10839" t="s">
        <v>8889</v>
      </c>
      <c r="B10839" t="s">
        <v>114</v>
      </c>
      <c r="C10839" s="2">
        <f>HYPERLINK("https://cao.dolgi.msk.ru/account/1083392947/", 1083392947)</f>
        <v>1083392947</v>
      </c>
      <c r="D10839" t="s">
        <v>8934</v>
      </c>
      <c r="E10839">
        <v>-4541.32</v>
      </c>
      <c r="F10839">
        <v>-1.01</v>
      </c>
      <c r="G10839" t="s">
        <v>12</v>
      </c>
      <c r="I10839" t="s">
        <v>2409</v>
      </c>
    </row>
    <row r="10840" spans="1:9" hidden="1" x14ac:dyDescent="0.25">
      <c r="A10840" t="s">
        <v>8889</v>
      </c>
      <c r="B10840" t="s">
        <v>116</v>
      </c>
      <c r="C10840" s="2">
        <f>HYPERLINK("https://cao.dolgi.msk.ru/account/1080122896/", 1080122896)</f>
        <v>1080122896</v>
      </c>
      <c r="D10840" t="s">
        <v>8935</v>
      </c>
      <c r="E10840">
        <v>0</v>
      </c>
      <c r="F10840">
        <v>0</v>
      </c>
      <c r="G10840" t="s">
        <v>14</v>
      </c>
      <c r="I10840" t="s">
        <v>2409</v>
      </c>
    </row>
    <row r="10841" spans="1:9" hidden="1" x14ac:dyDescent="0.25">
      <c r="A10841" t="s">
        <v>8889</v>
      </c>
      <c r="B10841" t="s">
        <v>116</v>
      </c>
      <c r="C10841" s="2">
        <f>HYPERLINK("https://cao.dolgi.msk.ru/account/1083392955/", 1083392955)</f>
        <v>1083392955</v>
      </c>
      <c r="D10841" t="s">
        <v>8935</v>
      </c>
      <c r="E10841">
        <v>-4826.7</v>
      </c>
      <c r="F10841">
        <v>-1.05</v>
      </c>
      <c r="G10841" t="s">
        <v>12</v>
      </c>
      <c r="I10841" t="s">
        <v>2409</v>
      </c>
    </row>
    <row r="10842" spans="1:9" hidden="1" x14ac:dyDescent="0.25">
      <c r="A10842" t="s">
        <v>8889</v>
      </c>
      <c r="B10842" t="s">
        <v>118</v>
      </c>
      <c r="C10842" s="2">
        <f>HYPERLINK("https://cao.dolgi.msk.ru/account/1080122909/", 1080122909)</f>
        <v>1080122909</v>
      </c>
      <c r="D10842" t="s">
        <v>8936</v>
      </c>
      <c r="E10842">
        <v>-215.22</v>
      </c>
      <c r="F10842">
        <v>-0.08</v>
      </c>
      <c r="G10842" t="s">
        <v>14</v>
      </c>
      <c r="I10842" t="s">
        <v>2409</v>
      </c>
    </row>
    <row r="10843" spans="1:9" hidden="1" x14ac:dyDescent="0.25">
      <c r="A10843" t="s">
        <v>8889</v>
      </c>
      <c r="B10843" t="s">
        <v>118</v>
      </c>
      <c r="C10843" s="2">
        <f>HYPERLINK("https://cao.dolgi.msk.ru/account/1083393085/", 1083393085)</f>
        <v>1083393085</v>
      </c>
      <c r="D10843" t="s">
        <v>8936</v>
      </c>
      <c r="E10843">
        <v>-9200.02</v>
      </c>
      <c r="F10843">
        <v>-0.89</v>
      </c>
      <c r="G10843" t="s">
        <v>12</v>
      </c>
      <c r="I10843" t="s">
        <v>2409</v>
      </c>
    </row>
    <row r="10844" spans="1:9" hidden="1" x14ac:dyDescent="0.25">
      <c r="A10844" t="s">
        <v>8889</v>
      </c>
      <c r="B10844" t="s">
        <v>120</v>
      </c>
      <c r="C10844" s="2">
        <f>HYPERLINK("https://cao.dolgi.msk.ru/account/1080122917/", 1080122917)</f>
        <v>1080122917</v>
      </c>
      <c r="D10844" t="s">
        <v>8937</v>
      </c>
      <c r="E10844">
        <v>3308.26</v>
      </c>
      <c r="F10844">
        <v>1</v>
      </c>
      <c r="G10844" t="s">
        <v>14</v>
      </c>
      <c r="I10844" t="s">
        <v>2409</v>
      </c>
    </row>
    <row r="10845" spans="1:9" hidden="1" x14ac:dyDescent="0.25">
      <c r="A10845" t="s">
        <v>8889</v>
      </c>
      <c r="B10845" t="s">
        <v>120</v>
      </c>
      <c r="C10845" s="2">
        <f>HYPERLINK("https://cao.dolgi.msk.ru/account/1083392752/", 1083392752)</f>
        <v>1083392752</v>
      </c>
      <c r="D10845" t="s">
        <v>8937</v>
      </c>
      <c r="E10845">
        <v>6200.22</v>
      </c>
      <c r="F10845">
        <v>0.84</v>
      </c>
      <c r="G10845" t="s">
        <v>12</v>
      </c>
      <c r="I10845" t="s">
        <v>2409</v>
      </c>
    </row>
    <row r="10846" spans="1:9" hidden="1" x14ac:dyDescent="0.25">
      <c r="A10846" t="s">
        <v>8889</v>
      </c>
      <c r="B10846" t="s">
        <v>122</v>
      </c>
      <c r="C10846" s="2">
        <f>HYPERLINK("https://cao.dolgi.msk.ru/account/1080122925/", 1080122925)</f>
        <v>1080122925</v>
      </c>
      <c r="D10846" t="s">
        <v>8938</v>
      </c>
      <c r="E10846">
        <v>0</v>
      </c>
      <c r="F10846">
        <v>0</v>
      </c>
      <c r="G10846" t="s">
        <v>14</v>
      </c>
      <c r="I10846" t="s">
        <v>2409</v>
      </c>
    </row>
    <row r="10847" spans="1:9" hidden="1" x14ac:dyDescent="0.25">
      <c r="A10847" t="s">
        <v>8889</v>
      </c>
      <c r="B10847" t="s">
        <v>122</v>
      </c>
      <c r="C10847" s="2">
        <f>HYPERLINK("https://cao.dolgi.msk.ru/account/1083392621/", 1083392621)</f>
        <v>1083392621</v>
      </c>
      <c r="D10847" t="s">
        <v>8938</v>
      </c>
      <c r="E10847">
        <v>-3328.55</v>
      </c>
      <c r="F10847">
        <v>-0.99</v>
      </c>
      <c r="G10847" t="s">
        <v>12</v>
      </c>
      <c r="I10847" t="s">
        <v>2409</v>
      </c>
    </row>
    <row r="10848" spans="1:9" hidden="1" x14ac:dyDescent="0.25">
      <c r="A10848" t="s">
        <v>8889</v>
      </c>
      <c r="B10848" t="s">
        <v>124</v>
      </c>
      <c r="C10848" s="2">
        <f>HYPERLINK("https://cao.dolgi.msk.ru/account/1080122933/", 1080122933)</f>
        <v>1080122933</v>
      </c>
      <c r="D10848" t="s">
        <v>8939</v>
      </c>
      <c r="E10848">
        <v>0</v>
      </c>
      <c r="F10848">
        <v>0</v>
      </c>
      <c r="G10848" t="s">
        <v>14</v>
      </c>
      <c r="I10848" t="s">
        <v>2409</v>
      </c>
    </row>
    <row r="10849" spans="1:9" hidden="1" x14ac:dyDescent="0.25">
      <c r="A10849" t="s">
        <v>8889</v>
      </c>
      <c r="B10849" t="s">
        <v>124</v>
      </c>
      <c r="C10849" s="2">
        <f>HYPERLINK("https://cao.dolgi.msk.ru/account/1083393093/", 1083393093)</f>
        <v>1083393093</v>
      </c>
      <c r="D10849" t="s">
        <v>8939</v>
      </c>
      <c r="E10849">
        <v>-4114.87</v>
      </c>
      <c r="F10849">
        <v>-1.31</v>
      </c>
      <c r="G10849" t="s">
        <v>12</v>
      </c>
      <c r="I10849" t="s">
        <v>2409</v>
      </c>
    </row>
    <row r="10850" spans="1:9" hidden="1" x14ac:dyDescent="0.25">
      <c r="A10850" t="s">
        <v>8889</v>
      </c>
      <c r="B10850" t="s">
        <v>126</v>
      </c>
      <c r="C10850" s="2">
        <f>HYPERLINK("https://cao.dolgi.msk.ru/account/1080122941/", 1080122941)</f>
        <v>1080122941</v>
      </c>
      <c r="D10850" t="s">
        <v>8940</v>
      </c>
      <c r="E10850">
        <v>805.77</v>
      </c>
      <c r="F10850">
        <v>1</v>
      </c>
      <c r="G10850" t="s">
        <v>14</v>
      </c>
      <c r="I10850" t="s">
        <v>2409</v>
      </c>
    </row>
    <row r="10851" spans="1:9" hidden="1" x14ac:dyDescent="0.25">
      <c r="A10851" t="s">
        <v>8889</v>
      </c>
      <c r="B10851" t="s">
        <v>126</v>
      </c>
      <c r="C10851" s="2">
        <f>HYPERLINK("https://cao.dolgi.msk.ru/account/1083393106/", 1083393106)</f>
        <v>1083393106</v>
      </c>
      <c r="D10851" t="s">
        <v>8940</v>
      </c>
      <c r="E10851">
        <v>-8266.8700000000008</v>
      </c>
      <c r="F10851">
        <v>-0.99</v>
      </c>
      <c r="G10851" t="s">
        <v>12</v>
      </c>
      <c r="I10851" t="s">
        <v>2409</v>
      </c>
    </row>
    <row r="10852" spans="1:9" hidden="1" x14ac:dyDescent="0.25">
      <c r="A10852" t="s">
        <v>8889</v>
      </c>
      <c r="B10852" t="s">
        <v>128</v>
      </c>
      <c r="C10852" s="2">
        <f>HYPERLINK("https://cao.dolgi.msk.ru/account/1080122968/", 1080122968)</f>
        <v>1080122968</v>
      </c>
      <c r="D10852" t="s">
        <v>8941</v>
      </c>
      <c r="E10852">
        <v>0</v>
      </c>
      <c r="F10852">
        <v>0</v>
      </c>
      <c r="G10852" t="s">
        <v>14</v>
      </c>
      <c r="I10852" t="s">
        <v>2409</v>
      </c>
    </row>
    <row r="10853" spans="1:9" hidden="1" x14ac:dyDescent="0.25">
      <c r="A10853" t="s">
        <v>8889</v>
      </c>
      <c r="B10853" t="s">
        <v>128</v>
      </c>
      <c r="C10853" s="2">
        <f>HYPERLINK("https://cao.dolgi.msk.ru/account/1083392402/", 1083392402)</f>
        <v>1083392402</v>
      </c>
      <c r="D10853" t="s">
        <v>8941</v>
      </c>
      <c r="E10853">
        <v>-25522.240000000002</v>
      </c>
      <c r="F10853">
        <v>-1.91</v>
      </c>
      <c r="G10853" t="s">
        <v>12</v>
      </c>
      <c r="I10853" t="s">
        <v>2409</v>
      </c>
    </row>
    <row r="10854" spans="1:9" hidden="1" x14ac:dyDescent="0.25">
      <c r="A10854" t="s">
        <v>8889</v>
      </c>
      <c r="B10854" t="s">
        <v>130</v>
      </c>
      <c r="C10854" s="2">
        <f>HYPERLINK("https://cao.dolgi.msk.ru/account/1080122976/", 1080122976)</f>
        <v>1080122976</v>
      </c>
      <c r="D10854" t="s">
        <v>8942</v>
      </c>
      <c r="E10854">
        <v>-182.64</v>
      </c>
      <c r="G10854" t="s">
        <v>14</v>
      </c>
      <c r="I10854" t="s">
        <v>2409</v>
      </c>
    </row>
    <row r="10855" spans="1:9" hidden="1" x14ac:dyDescent="0.25">
      <c r="A10855" t="s">
        <v>8889</v>
      </c>
      <c r="B10855" t="s">
        <v>130</v>
      </c>
      <c r="C10855" s="2">
        <f>HYPERLINK("https://cao.dolgi.msk.ru/account/1083392429/", 1083392429)</f>
        <v>1083392429</v>
      </c>
      <c r="D10855" t="s">
        <v>8942</v>
      </c>
      <c r="E10855">
        <v>-3932.68</v>
      </c>
      <c r="F10855">
        <v>-1.04</v>
      </c>
      <c r="G10855" t="s">
        <v>12</v>
      </c>
      <c r="I10855" t="s">
        <v>2409</v>
      </c>
    </row>
    <row r="10856" spans="1:9" hidden="1" x14ac:dyDescent="0.25">
      <c r="A10856" t="s">
        <v>8889</v>
      </c>
      <c r="B10856" t="s">
        <v>132</v>
      </c>
      <c r="C10856" s="2">
        <f>HYPERLINK("https://cao.dolgi.msk.ru/account/1080122984/", 1080122984)</f>
        <v>1080122984</v>
      </c>
      <c r="D10856" t="s">
        <v>1082</v>
      </c>
      <c r="E10856">
        <v>969.45</v>
      </c>
      <c r="F10856">
        <v>1.5</v>
      </c>
      <c r="G10856" t="s">
        <v>14</v>
      </c>
      <c r="I10856" t="s">
        <v>2409</v>
      </c>
    </row>
    <row r="10857" spans="1:9" hidden="1" x14ac:dyDescent="0.25">
      <c r="A10857" t="s">
        <v>8889</v>
      </c>
      <c r="B10857" t="s">
        <v>132</v>
      </c>
      <c r="C10857" s="2">
        <f>HYPERLINK("https://cao.dolgi.msk.ru/account/1083392541/", 1083392541)</f>
        <v>1083392541</v>
      </c>
      <c r="D10857" t="s">
        <v>1082</v>
      </c>
      <c r="E10857">
        <v>-6258.31</v>
      </c>
      <c r="F10857">
        <v>-1.23</v>
      </c>
      <c r="G10857" t="s">
        <v>12</v>
      </c>
      <c r="I10857" t="s">
        <v>2409</v>
      </c>
    </row>
    <row r="10858" spans="1:9" hidden="1" x14ac:dyDescent="0.25">
      <c r="A10858" t="s">
        <v>8889</v>
      </c>
      <c r="B10858" t="s">
        <v>133</v>
      </c>
      <c r="C10858" s="2">
        <f>HYPERLINK("https://cao.dolgi.msk.ru/account/1080122992/", 1080122992)</f>
        <v>1080122992</v>
      </c>
      <c r="D10858" t="s">
        <v>8943</v>
      </c>
      <c r="E10858">
        <v>138080.88</v>
      </c>
      <c r="G10858" t="s">
        <v>14</v>
      </c>
      <c r="I10858" t="s">
        <v>2409</v>
      </c>
    </row>
    <row r="10859" spans="1:9" x14ac:dyDescent="0.25">
      <c r="A10859" t="s">
        <v>8889</v>
      </c>
      <c r="B10859" t="s">
        <v>133</v>
      </c>
      <c r="C10859" s="2">
        <f>HYPERLINK("https://cao.dolgi.msk.ru/account/1083392437/", 1083392437)</f>
        <v>1083392437</v>
      </c>
      <c r="D10859" t="s">
        <v>8943</v>
      </c>
      <c r="E10859">
        <v>7375.6</v>
      </c>
      <c r="F10859">
        <v>1.41</v>
      </c>
      <c r="G10859" t="s">
        <v>12</v>
      </c>
      <c r="I10859" t="s">
        <v>2409</v>
      </c>
    </row>
    <row r="10860" spans="1:9" hidden="1" x14ac:dyDescent="0.25">
      <c r="A10860" t="s">
        <v>8889</v>
      </c>
      <c r="B10860" t="s">
        <v>135</v>
      </c>
      <c r="C10860" s="2">
        <f>HYPERLINK("https://cao.dolgi.msk.ru/account/1080123004/", 1080123004)</f>
        <v>1080123004</v>
      </c>
      <c r="D10860" t="s">
        <v>8944</v>
      </c>
      <c r="E10860">
        <v>345.68</v>
      </c>
      <c r="F10860">
        <v>0.39</v>
      </c>
      <c r="G10860" t="s">
        <v>14</v>
      </c>
      <c r="I10860" t="s">
        <v>2409</v>
      </c>
    </row>
    <row r="10861" spans="1:9" hidden="1" x14ac:dyDescent="0.25">
      <c r="A10861" t="s">
        <v>8889</v>
      </c>
      <c r="B10861" t="s">
        <v>135</v>
      </c>
      <c r="C10861" s="2">
        <f>HYPERLINK("https://cao.dolgi.msk.ru/account/1083392445/", 1083392445)</f>
        <v>1083392445</v>
      </c>
      <c r="D10861" t="s">
        <v>8944</v>
      </c>
      <c r="E10861">
        <v>-5464.09</v>
      </c>
      <c r="F10861">
        <v>-1.06</v>
      </c>
      <c r="G10861" t="s">
        <v>12</v>
      </c>
      <c r="I10861" t="s">
        <v>2409</v>
      </c>
    </row>
    <row r="10862" spans="1:9" hidden="1" x14ac:dyDescent="0.25">
      <c r="A10862" t="s">
        <v>8889</v>
      </c>
      <c r="B10862" t="s">
        <v>137</v>
      </c>
      <c r="C10862" s="2">
        <f>HYPERLINK("https://cao.dolgi.msk.ru/account/1080123012/", 1080123012)</f>
        <v>1080123012</v>
      </c>
      <c r="D10862" t="s">
        <v>8945</v>
      </c>
      <c r="E10862">
        <v>0</v>
      </c>
      <c r="F10862">
        <v>0</v>
      </c>
      <c r="G10862" t="s">
        <v>14</v>
      </c>
      <c r="I10862" t="s">
        <v>2409</v>
      </c>
    </row>
    <row r="10863" spans="1:9" hidden="1" x14ac:dyDescent="0.25">
      <c r="A10863" t="s">
        <v>8889</v>
      </c>
      <c r="B10863" t="s">
        <v>137</v>
      </c>
      <c r="C10863" s="2">
        <f>HYPERLINK("https://cao.dolgi.msk.ru/account/1083392648/", 1083392648)</f>
        <v>1083392648</v>
      </c>
      <c r="D10863" t="s">
        <v>8945</v>
      </c>
      <c r="E10863">
        <v>-9984.7999999999993</v>
      </c>
      <c r="F10863">
        <v>-1.01</v>
      </c>
      <c r="G10863" t="s">
        <v>12</v>
      </c>
      <c r="I10863" t="s">
        <v>2409</v>
      </c>
    </row>
    <row r="10864" spans="1:9" hidden="1" x14ac:dyDescent="0.25">
      <c r="A10864" t="s">
        <v>8889</v>
      </c>
      <c r="B10864" t="s">
        <v>139</v>
      </c>
      <c r="C10864" s="2">
        <f>HYPERLINK("https://cao.dolgi.msk.ru/account/1080123039/", 1080123039)</f>
        <v>1080123039</v>
      </c>
      <c r="D10864" t="s">
        <v>8946</v>
      </c>
      <c r="E10864">
        <v>0</v>
      </c>
      <c r="F10864">
        <v>0</v>
      </c>
      <c r="G10864" t="s">
        <v>14</v>
      </c>
      <c r="I10864" t="s">
        <v>2409</v>
      </c>
    </row>
    <row r="10865" spans="1:9" hidden="1" x14ac:dyDescent="0.25">
      <c r="A10865" t="s">
        <v>8889</v>
      </c>
      <c r="B10865" t="s">
        <v>139</v>
      </c>
      <c r="C10865" s="2">
        <f>HYPERLINK("https://cao.dolgi.msk.ru/account/1083392867/", 1083392867)</f>
        <v>1083392867</v>
      </c>
      <c r="D10865" t="s">
        <v>8946</v>
      </c>
      <c r="E10865">
        <v>-3635.54</v>
      </c>
      <c r="F10865">
        <v>-1.02</v>
      </c>
      <c r="G10865" t="s">
        <v>12</v>
      </c>
      <c r="I10865" t="s">
        <v>2409</v>
      </c>
    </row>
    <row r="10866" spans="1:9" hidden="1" x14ac:dyDescent="0.25">
      <c r="A10866" t="s">
        <v>8889</v>
      </c>
      <c r="B10866" t="s">
        <v>141</v>
      </c>
      <c r="C10866" s="2">
        <f>HYPERLINK("https://cao.dolgi.msk.ru/account/1080123047/", 1080123047)</f>
        <v>1080123047</v>
      </c>
      <c r="D10866" t="s">
        <v>8947</v>
      </c>
      <c r="E10866">
        <v>4726.1899999999996</v>
      </c>
      <c r="G10866" t="s">
        <v>14</v>
      </c>
      <c r="I10866" t="s">
        <v>2409</v>
      </c>
    </row>
    <row r="10867" spans="1:9" x14ac:dyDescent="0.25">
      <c r="A10867" t="s">
        <v>8889</v>
      </c>
      <c r="B10867" t="s">
        <v>141</v>
      </c>
      <c r="C10867" s="2">
        <f>HYPERLINK("https://cao.dolgi.msk.ru/account/1083392568/", 1083392568)</f>
        <v>1083392568</v>
      </c>
      <c r="D10867" t="s">
        <v>8947</v>
      </c>
      <c r="E10867">
        <v>9491.39</v>
      </c>
      <c r="F10867">
        <v>1.67</v>
      </c>
      <c r="G10867" t="s">
        <v>12</v>
      </c>
      <c r="I10867" t="s">
        <v>2409</v>
      </c>
    </row>
    <row r="10868" spans="1:9" hidden="1" x14ac:dyDescent="0.25">
      <c r="A10868" t="s">
        <v>8889</v>
      </c>
      <c r="B10868" t="s">
        <v>143</v>
      </c>
      <c r="C10868" s="2">
        <f>HYPERLINK("https://cao.dolgi.msk.ru/account/1080123055/", 1080123055)</f>
        <v>1080123055</v>
      </c>
      <c r="D10868" t="s">
        <v>8948</v>
      </c>
      <c r="E10868">
        <v>16965.39</v>
      </c>
      <c r="G10868" t="s">
        <v>14</v>
      </c>
      <c r="I10868" t="s">
        <v>2409</v>
      </c>
    </row>
    <row r="10869" spans="1:9" hidden="1" x14ac:dyDescent="0.25">
      <c r="A10869" t="s">
        <v>8889</v>
      </c>
      <c r="B10869" t="s">
        <v>143</v>
      </c>
      <c r="C10869" s="2">
        <f>HYPERLINK("https://cao.dolgi.msk.ru/account/1083392656/", 1083392656)</f>
        <v>1083392656</v>
      </c>
      <c r="D10869" t="s">
        <v>8948</v>
      </c>
      <c r="E10869">
        <v>2714.75</v>
      </c>
      <c r="F10869">
        <v>1</v>
      </c>
      <c r="G10869" t="s">
        <v>12</v>
      </c>
      <c r="I10869" t="s">
        <v>2409</v>
      </c>
    </row>
    <row r="10870" spans="1:9" hidden="1" x14ac:dyDescent="0.25">
      <c r="A10870" t="s">
        <v>8889</v>
      </c>
      <c r="B10870" t="s">
        <v>145</v>
      </c>
      <c r="C10870" s="2">
        <f>HYPERLINK("https://cao.dolgi.msk.ru/account/1080123063/", 1080123063)</f>
        <v>1080123063</v>
      </c>
      <c r="D10870" t="s">
        <v>8949</v>
      </c>
      <c r="E10870">
        <v>15330.77</v>
      </c>
      <c r="F10870">
        <v>3.26</v>
      </c>
      <c r="G10870" t="s">
        <v>14</v>
      </c>
      <c r="I10870" t="s">
        <v>2409</v>
      </c>
    </row>
    <row r="10871" spans="1:9" hidden="1" x14ac:dyDescent="0.25">
      <c r="A10871" t="s">
        <v>8889</v>
      </c>
      <c r="B10871" t="s">
        <v>145</v>
      </c>
      <c r="C10871" s="2">
        <f>HYPERLINK("https://cao.dolgi.msk.ru/account/1083392453/", 1083392453)</f>
        <v>1083392453</v>
      </c>
      <c r="D10871" t="s">
        <v>8949</v>
      </c>
      <c r="E10871">
        <v>7804.25</v>
      </c>
      <c r="F10871">
        <v>1</v>
      </c>
      <c r="G10871" t="s">
        <v>12</v>
      </c>
      <c r="I10871" t="s">
        <v>2409</v>
      </c>
    </row>
    <row r="10872" spans="1:9" hidden="1" x14ac:dyDescent="0.25">
      <c r="A10872" t="s">
        <v>8889</v>
      </c>
      <c r="B10872" t="s">
        <v>147</v>
      </c>
      <c r="C10872" s="2">
        <f>HYPERLINK("https://cao.dolgi.msk.ru/account/1080123071/", 1080123071)</f>
        <v>1080123071</v>
      </c>
      <c r="D10872" t="s">
        <v>8950</v>
      </c>
      <c r="E10872">
        <v>1147.4000000000001</v>
      </c>
      <c r="F10872">
        <v>1</v>
      </c>
      <c r="G10872" t="s">
        <v>14</v>
      </c>
      <c r="I10872" t="s">
        <v>2409</v>
      </c>
    </row>
    <row r="10873" spans="1:9" hidden="1" x14ac:dyDescent="0.25">
      <c r="A10873" t="s">
        <v>8889</v>
      </c>
      <c r="B10873" t="s">
        <v>147</v>
      </c>
      <c r="C10873" s="2">
        <f>HYPERLINK("https://cao.dolgi.msk.ru/account/1083392461/", 1083392461)</f>
        <v>1083392461</v>
      </c>
      <c r="D10873" t="s">
        <v>8950</v>
      </c>
      <c r="E10873">
        <v>-6126.09</v>
      </c>
      <c r="F10873">
        <v>-1.01</v>
      </c>
      <c r="G10873" t="s">
        <v>12</v>
      </c>
      <c r="I10873" t="s">
        <v>2409</v>
      </c>
    </row>
    <row r="10874" spans="1:9" hidden="1" x14ac:dyDescent="0.25">
      <c r="A10874" t="s">
        <v>8889</v>
      </c>
      <c r="B10874" t="s">
        <v>149</v>
      </c>
      <c r="C10874" s="2">
        <f>HYPERLINK("https://cao.dolgi.msk.ru/account/1080123098/", 1080123098)</f>
        <v>1080123098</v>
      </c>
      <c r="D10874" t="s">
        <v>8951</v>
      </c>
      <c r="E10874">
        <v>8488.19</v>
      </c>
      <c r="G10874" t="s">
        <v>14</v>
      </c>
      <c r="I10874" t="s">
        <v>2409</v>
      </c>
    </row>
    <row r="10875" spans="1:9" hidden="1" x14ac:dyDescent="0.25">
      <c r="A10875" t="s">
        <v>8889</v>
      </c>
      <c r="B10875" t="s">
        <v>149</v>
      </c>
      <c r="C10875" s="2">
        <f>HYPERLINK("https://cao.dolgi.msk.ru/account/1083392488/", 1083392488)</f>
        <v>1083392488</v>
      </c>
      <c r="D10875" t="s">
        <v>8951</v>
      </c>
      <c r="E10875">
        <v>-6411.51</v>
      </c>
      <c r="F10875">
        <v>-1.02</v>
      </c>
      <c r="G10875" t="s">
        <v>12</v>
      </c>
      <c r="I10875" t="s">
        <v>2409</v>
      </c>
    </row>
    <row r="10876" spans="1:9" hidden="1" x14ac:dyDescent="0.25">
      <c r="A10876" t="s">
        <v>8889</v>
      </c>
      <c r="B10876" t="s">
        <v>151</v>
      </c>
      <c r="C10876" s="2">
        <f>HYPERLINK("https://cao.dolgi.msk.ru/account/1080123119/", 1080123119)</f>
        <v>1080123119</v>
      </c>
      <c r="D10876" t="s">
        <v>8952</v>
      </c>
      <c r="E10876">
        <v>1376.37</v>
      </c>
      <c r="F10876">
        <v>2.4900000000000002</v>
      </c>
      <c r="G10876" t="s">
        <v>14</v>
      </c>
      <c r="I10876" t="s">
        <v>2409</v>
      </c>
    </row>
    <row r="10877" spans="1:9" hidden="1" x14ac:dyDescent="0.25">
      <c r="A10877" t="s">
        <v>8889</v>
      </c>
      <c r="B10877" t="s">
        <v>151</v>
      </c>
      <c r="C10877" s="2">
        <f>HYPERLINK("https://cao.dolgi.msk.ru/account/1083393165/", 1083393165)</f>
        <v>1083393165</v>
      </c>
      <c r="D10877" t="s">
        <v>8952</v>
      </c>
      <c r="E10877">
        <v>-4683.5200000000004</v>
      </c>
      <c r="F10877">
        <v>-1.1299999999999999</v>
      </c>
      <c r="G10877" t="s">
        <v>12</v>
      </c>
      <c r="I10877" t="s">
        <v>2409</v>
      </c>
    </row>
    <row r="10878" spans="1:9" hidden="1" x14ac:dyDescent="0.25">
      <c r="A10878" t="s">
        <v>8889</v>
      </c>
      <c r="B10878" t="s">
        <v>153</v>
      </c>
      <c r="C10878" s="2">
        <f>HYPERLINK("https://cao.dolgi.msk.ru/account/1080123127/", 1080123127)</f>
        <v>1080123127</v>
      </c>
      <c r="D10878" t="s">
        <v>8953</v>
      </c>
      <c r="E10878">
        <v>9051.5300000000007</v>
      </c>
      <c r="G10878" t="s">
        <v>14</v>
      </c>
      <c r="I10878" t="s">
        <v>2409</v>
      </c>
    </row>
    <row r="10879" spans="1:9" x14ac:dyDescent="0.25">
      <c r="A10879" t="s">
        <v>8889</v>
      </c>
      <c r="B10879" t="s">
        <v>153</v>
      </c>
      <c r="C10879" s="2">
        <f>HYPERLINK("https://cao.dolgi.msk.ru/account/1083392963/", 1083392963)</f>
        <v>1083392963</v>
      </c>
      <c r="D10879" t="s">
        <v>8953</v>
      </c>
      <c r="E10879">
        <v>6004.76</v>
      </c>
      <c r="F10879">
        <v>1.62</v>
      </c>
      <c r="G10879" t="s">
        <v>12</v>
      </c>
      <c r="I10879" t="s">
        <v>2409</v>
      </c>
    </row>
    <row r="10880" spans="1:9" hidden="1" x14ac:dyDescent="0.25">
      <c r="A10880" t="s">
        <v>8889</v>
      </c>
      <c r="B10880" t="s">
        <v>155</v>
      </c>
      <c r="C10880" s="2">
        <f>HYPERLINK("https://cao.dolgi.msk.ru/account/1080123135/", 1080123135)</f>
        <v>1080123135</v>
      </c>
      <c r="D10880" t="s">
        <v>8954</v>
      </c>
      <c r="E10880">
        <v>1331.46</v>
      </c>
      <c r="F10880">
        <v>2.41</v>
      </c>
      <c r="G10880" t="s">
        <v>14</v>
      </c>
      <c r="I10880" t="s">
        <v>2409</v>
      </c>
    </row>
    <row r="10881" spans="1:9" hidden="1" x14ac:dyDescent="0.25">
      <c r="A10881" t="s">
        <v>8889</v>
      </c>
      <c r="B10881" t="s">
        <v>155</v>
      </c>
      <c r="C10881" s="2">
        <f>HYPERLINK("https://cao.dolgi.msk.ru/account/1083392496/", 1083392496)</f>
        <v>1083392496</v>
      </c>
      <c r="D10881" t="s">
        <v>8954</v>
      </c>
      <c r="E10881">
        <v>-3424.15</v>
      </c>
      <c r="F10881">
        <v>-1.07</v>
      </c>
      <c r="G10881" t="s">
        <v>12</v>
      </c>
      <c r="I10881" t="s">
        <v>2409</v>
      </c>
    </row>
    <row r="10882" spans="1:9" hidden="1" x14ac:dyDescent="0.25">
      <c r="A10882" t="s">
        <v>8889</v>
      </c>
      <c r="B10882" t="s">
        <v>157</v>
      </c>
      <c r="C10882" s="2">
        <f>HYPERLINK("https://cao.dolgi.msk.ru/account/1080123143/", 1080123143)</f>
        <v>1080123143</v>
      </c>
      <c r="D10882" t="s">
        <v>8955</v>
      </c>
      <c r="E10882">
        <v>402.88</v>
      </c>
      <c r="F10882">
        <v>1</v>
      </c>
      <c r="G10882" t="s">
        <v>14</v>
      </c>
      <c r="I10882" t="s">
        <v>2409</v>
      </c>
    </row>
    <row r="10883" spans="1:9" hidden="1" x14ac:dyDescent="0.25">
      <c r="A10883" t="s">
        <v>8889</v>
      </c>
      <c r="B10883" t="s">
        <v>157</v>
      </c>
      <c r="C10883" s="2">
        <f>HYPERLINK("https://cao.dolgi.msk.ru/account/1083392664/", 1083392664)</f>
        <v>1083392664</v>
      </c>
      <c r="D10883" t="s">
        <v>8955</v>
      </c>
      <c r="E10883">
        <v>-7466.18</v>
      </c>
      <c r="F10883">
        <v>-1.3</v>
      </c>
      <c r="G10883" t="s">
        <v>12</v>
      </c>
      <c r="I10883" t="s">
        <v>2409</v>
      </c>
    </row>
    <row r="10884" spans="1:9" hidden="1" x14ac:dyDescent="0.25">
      <c r="A10884" t="s">
        <v>8956</v>
      </c>
      <c r="B10884" t="s">
        <v>41</v>
      </c>
      <c r="C10884" s="2">
        <f>HYPERLINK("https://cao.dolgi.msk.ru/account/1080090855/", 1080090855)</f>
        <v>1080090855</v>
      </c>
      <c r="D10884" t="s">
        <v>8957</v>
      </c>
      <c r="E10884">
        <v>0</v>
      </c>
      <c r="F10884">
        <v>0</v>
      </c>
      <c r="G10884" t="s">
        <v>12</v>
      </c>
      <c r="H10884" t="s">
        <v>7</v>
      </c>
      <c r="I10884" t="s">
        <v>230</v>
      </c>
    </row>
    <row r="10885" spans="1:9" hidden="1" x14ac:dyDescent="0.25">
      <c r="A10885" t="s">
        <v>8956</v>
      </c>
      <c r="B10885" t="s">
        <v>41</v>
      </c>
      <c r="C10885" s="2">
        <f>HYPERLINK("https://cao.dolgi.msk.ru/account/1080090863/", 1080090863)</f>
        <v>1080090863</v>
      </c>
      <c r="D10885" t="s">
        <v>15</v>
      </c>
      <c r="E10885">
        <v>-2662.4</v>
      </c>
      <c r="G10885" t="s">
        <v>14</v>
      </c>
      <c r="H10885" t="s">
        <v>7</v>
      </c>
      <c r="I10885" t="s">
        <v>230</v>
      </c>
    </row>
    <row r="10886" spans="1:9" hidden="1" x14ac:dyDescent="0.25">
      <c r="A10886" t="s">
        <v>8956</v>
      </c>
      <c r="B10886" t="s">
        <v>41</v>
      </c>
      <c r="C10886" s="2">
        <f>HYPERLINK("https://cao.dolgi.msk.ru/account/1080090871/", 1080090871)</f>
        <v>1080090871</v>
      </c>
      <c r="D10886" t="s">
        <v>8957</v>
      </c>
      <c r="E10886">
        <v>-1948.65</v>
      </c>
      <c r="F10886">
        <v>-0.28000000000000003</v>
      </c>
      <c r="G10886" t="s">
        <v>12</v>
      </c>
      <c r="H10886" t="s">
        <v>7</v>
      </c>
      <c r="I10886" t="s">
        <v>230</v>
      </c>
    </row>
    <row r="10887" spans="1:9" hidden="1" x14ac:dyDescent="0.25">
      <c r="A10887" t="s">
        <v>8956</v>
      </c>
      <c r="B10887" t="s">
        <v>44</v>
      </c>
      <c r="C10887" s="2">
        <f>HYPERLINK("https://cao.dolgi.msk.ru/account/1080090898/", 1080090898)</f>
        <v>1080090898</v>
      </c>
      <c r="D10887" t="s">
        <v>8958</v>
      </c>
      <c r="E10887">
        <v>-13.5</v>
      </c>
      <c r="F10887">
        <v>0</v>
      </c>
      <c r="G10887" t="s">
        <v>12</v>
      </c>
      <c r="H10887" t="s">
        <v>7</v>
      </c>
      <c r="I10887" t="s">
        <v>230</v>
      </c>
    </row>
    <row r="10888" spans="1:9" x14ac:dyDescent="0.25">
      <c r="A10888" t="s">
        <v>8956</v>
      </c>
      <c r="B10888" t="s">
        <v>44</v>
      </c>
      <c r="C10888" s="2">
        <f>HYPERLINK("https://cao.dolgi.msk.ru/account/1080090919/", 1080090919)</f>
        <v>1080090919</v>
      </c>
      <c r="D10888" t="s">
        <v>8958</v>
      </c>
      <c r="E10888">
        <v>5011.4799999999996</v>
      </c>
      <c r="F10888">
        <v>1.29</v>
      </c>
      <c r="G10888" t="s">
        <v>12</v>
      </c>
      <c r="H10888" t="s">
        <v>7</v>
      </c>
      <c r="I10888" t="s">
        <v>230</v>
      </c>
    </row>
    <row r="10889" spans="1:9" hidden="1" x14ac:dyDescent="0.25">
      <c r="A10889" t="s">
        <v>8956</v>
      </c>
      <c r="B10889" t="s">
        <v>44</v>
      </c>
      <c r="C10889" s="2">
        <f>HYPERLINK("https://cao.dolgi.msk.ru/account/1089129795/", 1089129795)</f>
        <v>1089129795</v>
      </c>
      <c r="D10889" t="s">
        <v>15</v>
      </c>
      <c r="G10889" t="s">
        <v>14</v>
      </c>
      <c r="H10889" t="s">
        <v>7</v>
      </c>
      <c r="I10889" t="s">
        <v>230</v>
      </c>
    </row>
    <row r="10890" spans="1:9" hidden="1" x14ac:dyDescent="0.25">
      <c r="A10890" t="s">
        <v>8956</v>
      </c>
      <c r="B10890" t="s">
        <v>66</v>
      </c>
      <c r="C10890" s="2">
        <f>HYPERLINK("https://cao.dolgi.msk.ru/account/1080090927/", 1080090927)</f>
        <v>1080090927</v>
      </c>
      <c r="D10890" t="s">
        <v>8959</v>
      </c>
      <c r="E10890">
        <v>-4622.04</v>
      </c>
      <c r="F10890">
        <v>-1.07</v>
      </c>
      <c r="G10890" t="s">
        <v>12</v>
      </c>
      <c r="I10890" t="s">
        <v>230</v>
      </c>
    </row>
    <row r="10891" spans="1:9" hidden="1" x14ac:dyDescent="0.25">
      <c r="A10891" t="s">
        <v>8956</v>
      </c>
      <c r="B10891" t="s">
        <v>68</v>
      </c>
      <c r="C10891" s="2">
        <f>HYPERLINK("https://cao.dolgi.msk.ru/account/1080090943/", 1080090943)</f>
        <v>1080090943</v>
      </c>
      <c r="D10891" t="s">
        <v>8960</v>
      </c>
      <c r="E10891">
        <v>-10608.49</v>
      </c>
      <c r="F10891">
        <v>-1.02</v>
      </c>
      <c r="G10891" t="s">
        <v>12</v>
      </c>
      <c r="I10891" t="s">
        <v>230</v>
      </c>
    </row>
    <row r="10892" spans="1:9" x14ac:dyDescent="0.25">
      <c r="A10892" t="s">
        <v>8956</v>
      </c>
      <c r="B10892" t="s">
        <v>70</v>
      </c>
      <c r="C10892" s="2">
        <f>HYPERLINK("https://cao.dolgi.msk.ru/account/1080090986/", 1080090986)</f>
        <v>1080090986</v>
      </c>
      <c r="D10892" t="s">
        <v>8961</v>
      </c>
      <c r="E10892">
        <v>7423.35</v>
      </c>
      <c r="F10892">
        <v>1.26</v>
      </c>
      <c r="G10892" t="s">
        <v>12</v>
      </c>
      <c r="I10892" t="s">
        <v>230</v>
      </c>
    </row>
    <row r="10893" spans="1:9" hidden="1" x14ac:dyDescent="0.25">
      <c r="A10893" t="s">
        <v>8956</v>
      </c>
      <c r="B10893" t="s">
        <v>72</v>
      </c>
      <c r="C10893" s="2">
        <f>HYPERLINK("https://cao.dolgi.msk.ru/account/1080090994/", 1080090994)</f>
        <v>1080090994</v>
      </c>
      <c r="D10893" t="s">
        <v>7625</v>
      </c>
      <c r="E10893">
        <v>-152.25</v>
      </c>
      <c r="F10893">
        <v>-0.02</v>
      </c>
      <c r="G10893" t="s">
        <v>12</v>
      </c>
      <c r="I10893" t="s">
        <v>230</v>
      </c>
    </row>
    <row r="10894" spans="1:9" hidden="1" x14ac:dyDescent="0.25">
      <c r="A10894" t="s">
        <v>8956</v>
      </c>
      <c r="B10894" t="s">
        <v>74</v>
      </c>
      <c r="C10894" s="2">
        <f>HYPERLINK("https://cao.dolgi.msk.ru/account/1080091006/", 1080091006)</f>
        <v>1080091006</v>
      </c>
      <c r="D10894" t="s">
        <v>8962</v>
      </c>
      <c r="E10894">
        <v>-9309.89</v>
      </c>
      <c r="F10894">
        <v>-1.03</v>
      </c>
      <c r="G10894" t="s">
        <v>12</v>
      </c>
      <c r="I10894" t="s">
        <v>230</v>
      </c>
    </row>
    <row r="10895" spans="1:9" hidden="1" x14ac:dyDescent="0.25">
      <c r="A10895" t="s">
        <v>8956</v>
      </c>
      <c r="B10895" t="s">
        <v>76</v>
      </c>
      <c r="C10895" s="2">
        <f>HYPERLINK("https://cao.dolgi.msk.ru/account/1080091014/", 1080091014)</f>
        <v>1080091014</v>
      </c>
      <c r="D10895" t="s">
        <v>8963</v>
      </c>
      <c r="E10895">
        <v>-6235.67</v>
      </c>
      <c r="F10895">
        <v>-1.06</v>
      </c>
      <c r="G10895" t="s">
        <v>12</v>
      </c>
      <c r="I10895" t="s">
        <v>230</v>
      </c>
    </row>
    <row r="10896" spans="1:9" x14ac:dyDescent="0.25">
      <c r="A10896" t="s">
        <v>8956</v>
      </c>
      <c r="B10896" t="s">
        <v>80</v>
      </c>
      <c r="C10896" s="2">
        <f>HYPERLINK("https://cao.dolgi.msk.ru/account/1080091022/", 1080091022)</f>
        <v>1080091022</v>
      </c>
      <c r="D10896" t="s">
        <v>8964</v>
      </c>
      <c r="E10896">
        <v>93628.21</v>
      </c>
      <c r="F10896">
        <v>34.31</v>
      </c>
      <c r="G10896" t="s">
        <v>12</v>
      </c>
      <c r="H10896" t="s">
        <v>7</v>
      </c>
      <c r="I10896" t="s">
        <v>230</v>
      </c>
    </row>
    <row r="10897" spans="1:9" x14ac:dyDescent="0.25">
      <c r="A10897" t="s">
        <v>8956</v>
      </c>
      <c r="B10897" t="s">
        <v>80</v>
      </c>
      <c r="C10897" s="2">
        <f>HYPERLINK("https://cao.dolgi.msk.ru/account/1080091049/", 1080091049)</f>
        <v>1080091049</v>
      </c>
      <c r="D10897" t="s">
        <v>8965</v>
      </c>
      <c r="E10897">
        <v>317048.65999999997</v>
      </c>
      <c r="F10897">
        <v>68.72</v>
      </c>
      <c r="G10897" t="s">
        <v>12</v>
      </c>
      <c r="H10897" t="s">
        <v>7</v>
      </c>
      <c r="I10897" t="s">
        <v>230</v>
      </c>
    </row>
    <row r="10898" spans="1:9" hidden="1" x14ac:dyDescent="0.25">
      <c r="A10898" t="s">
        <v>8956</v>
      </c>
      <c r="B10898" t="s">
        <v>80</v>
      </c>
      <c r="C10898" s="2">
        <f>HYPERLINK("https://cao.dolgi.msk.ru/account/1083387507/", 1083387507)</f>
        <v>1083387507</v>
      </c>
      <c r="D10898" t="s">
        <v>15</v>
      </c>
      <c r="E10898">
        <v>-1520.57</v>
      </c>
      <c r="G10898" t="s">
        <v>14</v>
      </c>
      <c r="H10898" t="s">
        <v>7</v>
      </c>
      <c r="I10898" t="s">
        <v>230</v>
      </c>
    </row>
    <row r="10899" spans="1:9" hidden="1" x14ac:dyDescent="0.25">
      <c r="A10899" t="s">
        <v>8956</v>
      </c>
      <c r="B10899" t="s">
        <v>80</v>
      </c>
      <c r="C10899" s="2">
        <f>HYPERLINK("https://cao.dolgi.msk.ru/account/1083389238/", 1083389238)</f>
        <v>1083389238</v>
      </c>
      <c r="D10899" t="s">
        <v>189</v>
      </c>
      <c r="E10899">
        <v>0</v>
      </c>
      <c r="F10899">
        <v>0</v>
      </c>
      <c r="G10899" t="s">
        <v>12</v>
      </c>
      <c r="H10899" t="s">
        <v>7</v>
      </c>
      <c r="I10899" t="s">
        <v>230</v>
      </c>
    </row>
    <row r="10900" spans="1:9" hidden="1" x14ac:dyDescent="0.25">
      <c r="A10900" t="s">
        <v>8956</v>
      </c>
      <c r="B10900" t="s">
        <v>80</v>
      </c>
      <c r="C10900" s="2">
        <f>HYPERLINK("https://cao.dolgi.msk.ru/account/1089130542/", 1089130542)</f>
        <v>1089130542</v>
      </c>
      <c r="D10900" t="s">
        <v>15</v>
      </c>
      <c r="E10900">
        <v>-3583.29</v>
      </c>
      <c r="F10900">
        <v>-1.48</v>
      </c>
      <c r="G10900" t="s">
        <v>12</v>
      </c>
      <c r="H10900" t="s">
        <v>7</v>
      </c>
      <c r="I10900" t="s">
        <v>230</v>
      </c>
    </row>
    <row r="10901" spans="1:9" hidden="1" x14ac:dyDescent="0.25">
      <c r="A10901" t="s">
        <v>8956</v>
      </c>
      <c r="B10901" t="s">
        <v>82</v>
      </c>
      <c r="C10901" s="2">
        <f>HYPERLINK("https://cao.dolgi.msk.ru/account/1080091057/", 1080091057)</f>
        <v>1080091057</v>
      </c>
      <c r="D10901" t="s">
        <v>62</v>
      </c>
      <c r="E10901">
        <v>-9474.16</v>
      </c>
      <c r="F10901">
        <v>-1.1599999999999999</v>
      </c>
      <c r="G10901" t="s">
        <v>12</v>
      </c>
      <c r="I10901" t="s">
        <v>230</v>
      </c>
    </row>
    <row r="10902" spans="1:9" hidden="1" x14ac:dyDescent="0.25">
      <c r="A10902" t="s">
        <v>8956</v>
      </c>
      <c r="B10902" t="s">
        <v>84</v>
      </c>
      <c r="C10902" s="2">
        <f>HYPERLINK("https://cao.dolgi.msk.ru/account/1080084607/", 1080084607)</f>
        <v>1080084607</v>
      </c>
      <c r="D10902" t="s">
        <v>8966</v>
      </c>
      <c r="E10902">
        <v>-8582.3799999999992</v>
      </c>
      <c r="F10902">
        <v>-0.95</v>
      </c>
      <c r="G10902" t="s">
        <v>12</v>
      </c>
      <c r="I10902" t="s">
        <v>230</v>
      </c>
    </row>
    <row r="10903" spans="1:9" hidden="1" x14ac:dyDescent="0.25">
      <c r="A10903" t="s">
        <v>8956</v>
      </c>
      <c r="B10903" t="s">
        <v>86</v>
      </c>
      <c r="C10903" s="2">
        <f>HYPERLINK("https://cao.dolgi.msk.ru/account/1080091065/", 1080091065)</f>
        <v>1080091065</v>
      </c>
      <c r="D10903" t="s">
        <v>8967</v>
      </c>
      <c r="E10903">
        <v>674.26</v>
      </c>
      <c r="F10903">
        <v>0.06</v>
      </c>
      <c r="G10903" t="s">
        <v>12</v>
      </c>
      <c r="I10903" t="s">
        <v>230</v>
      </c>
    </row>
    <row r="10904" spans="1:9" hidden="1" x14ac:dyDescent="0.25">
      <c r="A10904" t="s">
        <v>8956</v>
      </c>
      <c r="B10904" t="s">
        <v>88</v>
      </c>
      <c r="C10904" s="2">
        <f>HYPERLINK("https://cao.dolgi.msk.ru/account/1080091081/", 1080091081)</f>
        <v>1080091081</v>
      </c>
      <c r="D10904" t="s">
        <v>8968</v>
      </c>
      <c r="E10904">
        <v>230.49</v>
      </c>
      <c r="F10904">
        <v>0.03</v>
      </c>
      <c r="G10904" t="s">
        <v>12</v>
      </c>
      <c r="I10904" t="s">
        <v>230</v>
      </c>
    </row>
    <row r="10905" spans="1:9" hidden="1" x14ac:dyDescent="0.25">
      <c r="A10905" t="s">
        <v>8956</v>
      </c>
      <c r="B10905" t="s">
        <v>90</v>
      </c>
      <c r="C10905" s="2">
        <f>HYPERLINK("https://cao.dolgi.msk.ru/account/1080091102/", 1080091102)</f>
        <v>1080091102</v>
      </c>
      <c r="D10905" t="s">
        <v>8969</v>
      </c>
      <c r="E10905">
        <v>10154.19</v>
      </c>
      <c r="F10905">
        <v>1</v>
      </c>
      <c r="G10905" t="s">
        <v>12</v>
      </c>
      <c r="I10905" t="s">
        <v>230</v>
      </c>
    </row>
    <row r="10906" spans="1:9" hidden="1" x14ac:dyDescent="0.25">
      <c r="A10906" t="s">
        <v>8956</v>
      </c>
      <c r="B10906" t="s">
        <v>90</v>
      </c>
      <c r="C10906" s="2">
        <f>HYPERLINK("https://cao.dolgi.msk.ru/account/1080091129/", 1080091129)</f>
        <v>1080091129</v>
      </c>
      <c r="D10906" t="s">
        <v>8969</v>
      </c>
      <c r="E10906">
        <v>-208.84</v>
      </c>
      <c r="G10906" t="s">
        <v>14</v>
      </c>
      <c r="I10906" t="s">
        <v>230</v>
      </c>
    </row>
    <row r="10907" spans="1:9" hidden="1" x14ac:dyDescent="0.25">
      <c r="A10907" t="s">
        <v>8956</v>
      </c>
      <c r="B10907" t="s">
        <v>90</v>
      </c>
      <c r="C10907" s="2">
        <f>HYPERLINK("https://cao.dolgi.msk.ru/account/1080091137/", 1080091137)</f>
        <v>1080091137</v>
      </c>
      <c r="D10907" t="s">
        <v>8969</v>
      </c>
      <c r="E10907">
        <v>-206.99</v>
      </c>
      <c r="F10907">
        <v>-0.63</v>
      </c>
      <c r="G10907" t="s">
        <v>14</v>
      </c>
      <c r="I10907" t="s">
        <v>230</v>
      </c>
    </row>
    <row r="10908" spans="1:9" hidden="1" x14ac:dyDescent="0.25">
      <c r="A10908" t="s">
        <v>8956</v>
      </c>
      <c r="B10908" t="s">
        <v>90</v>
      </c>
      <c r="C10908" s="2">
        <f>HYPERLINK("https://cao.dolgi.msk.ru/account/1080091145/", 1080091145)</f>
        <v>1080091145</v>
      </c>
      <c r="D10908" t="s">
        <v>8969</v>
      </c>
      <c r="E10908">
        <v>-81.99</v>
      </c>
      <c r="F10908">
        <v>-0.12</v>
      </c>
      <c r="G10908" t="s">
        <v>14</v>
      </c>
      <c r="I10908" t="s">
        <v>230</v>
      </c>
    </row>
    <row r="10909" spans="1:9" hidden="1" x14ac:dyDescent="0.25">
      <c r="A10909" t="s">
        <v>8956</v>
      </c>
      <c r="B10909" t="s">
        <v>90</v>
      </c>
      <c r="C10909" s="2">
        <f>HYPERLINK("https://cao.dolgi.msk.ru/account/1080091153/", 1080091153)</f>
        <v>1080091153</v>
      </c>
      <c r="D10909" t="s">
        <v>8969</v>
      </c>
      <c r="E10909">
        <v>-198.09</v>
      </c>
      <c r="F10909">
        <v>-0.6</v>
      </c>
      <c r="G10909" t="s">
        <v>14</v>
      </c>
      <c r="I10909" t="s">
        <v>230</v>
      </c>
    </row>
    <row r="10910" spans="1:9" hidden="1" x14ac:dyDescent="0.25">
      <c r="A10910" t="s">
        <v>8956</v>
      </c>
      <c r="B10910" t="s">
        <v>92</v>
      </c>
      <c r="C10910" s="2">
        <f>HYPERLINK("https://cao.dolgi.msk.ru/account/1080091161/", 1080091161)</f>
        <v>1080091161</v>
      </c>
      <c r="D10910" t="s">
        <v>8970</v>
      </c>
      <c r="E10910">
        <v>-9165.8700000000008</v>
      </c>
      <c r="F10910">
        <v>-1.03</v>
      </c>
      <c r="G10910" t="s">
        <v>12</v>
      </c>
      <c r="I10910" t="s">
        <v>230</v>
      </c>
    </row>
    <row r="10911" spans="1:9" hidden="1" x14ac:dyDescent="0.25">
      <c r="A10911" t="s">
        <v>8956</v>
      </c>
      <c r="B10911" t="s">
        <v>94</v>
      </c>
      <c r="C10911" s="2">
        <f>HYPERLINK("https://cao.dolgi.msk.ru/account/1080091188/", 1080091188)</f>
        <v>1080091188</v>
      </c>
      <c r="D10911" t="s">
        <v>62</v>
      </c>
      <c r="E10911">
        <v>0</v>
      </c>
      <c r="F10911">
        <v>0</v>
      </c>
      <c r="G10911" t="s">
        <v>12</v>
      </c>
      <c r="I10911" t="s">
        <v>230</v>
      </c>
    </row>
    <row r="10912" spans="1:9" hidden="1" x14ac:dyDescent="0.25">
      <c r="A10912" t="s">
        <v>8956</v>
      </c>
      <c r="B10912" t="s">
        <v>94</v>
      </c>
      <c r="C10912" s="2">
        <f>HYPERLINK("https://cao.dolgi.msk.ru/account/1089129971/", 1089129971)</f>
        <v>1089129971</v>
      </c>
      <c r="D10912" t="s">
        <v>15</v>
      </c>
      <c r="G10912" t="s">
        <v>14</v>
      </c>
      <c r="I10912" t="s">
        <v>230</v>
      </c>
    </row>
    <row r="10913" spans="1:9" hidden="1" x14ac:dyDescent="0.25">
      <c r="A10913" t="s">
        <v>8971</v>
      </c>
      <c r="B10913" t="s">
        <v>18</v>
      </c>
      <c r="C10913" s="2">
        <f>HYPERLINK("https://cao.dolgi.msk.ru/account/1080090564/", 1080090564)</f>
        <v>1080090564</v>
      </c>
      <c r="D10913" t="s">
        <v>8972</v>
      </c>
      <c r="E10913">
        <v>-11015.04</v>
      </c>
      <c r="F10913">
        <v>-5.46</v>
      </c>
      <c r="G10913" t="s">
        <v>12</v>
      </c>
      <c r="H10913" t="s">
        <v>7</v>
      </c>
      <c r="I10913" t="s">
        <v>230</v>
      </c>
    </row>
    <row r="10914" spans="1:9" hidden="1" x14ac:dyDescent="0.25">
      <c r="A10914" t="s">
        <v>8971</v>
      </c>
      <c r="B10914" t="s">
        <v>18</v>
      </c>
      <c r="C10914" s="2">
        <f>HYPERLINK("https://cao.dolgi.msk.ru/account/1080090572/", 1080090572)</f>
        <v>1080090572</v>
      </c>
      <c r="D10914" t="s">
        <v>8972</v>
      </c>
      <c r="E10914">
        <v>-2398.0500000000002</v>
      </c>
      <c r="F10914">
        <v>-1.07</v>
      </c>
      <c r="G10914" t="s">
        <v>12</v>
      </c>
      <c r="H10914" t="s">
        <v>7</v>
      </c>
      <c r="I10914" t="s">
        <v>230</v>
      </c>
    </row>
    <row r="10915" spans="1:9" hidden="1" x14ac:dyDescent="0.25">
      <c r="A10915" t="s">
        <v>8971</v>
      </c>
      <c r="B10915" t="s">
        <v>18</v>
      </c>
      <c r="C10915" s="2">
        <f>HYPERLINK("https://cao.dolgi.msk.ru/account/1080090599/", 1080090599)</f>
        <v>1080090599</v>
      </c>
      <c r="D10915" t="s">
        <v>8972</v>
      </c>
      <c r="E10915">
        <v>-14511.88</v>
      </c>
      <c r="F10915">
        <v>-7.41</v>
      </c>
      <c r="G10915" t="s">
        <v>12</v>
      </c>
      <c r="H10915" t="s">
        <v>7</v>
      </c>
      <c r="I10915" t="s">
        <v>230</v>
      </c>
    </row>
    <row r="10916" spans="1:9" hidden="1" x14ac:dyDescent="0.25">
      <c r="A10916" t="s">
        <v>8971</v>
      </c>
      <c r="B10916" t="s">
        <v>20</v>
      </c>
      <c r="C10916" s="2">
        <f>HYPERLINK("https://cao.dolgi.msk.ru/account/1080090601/", 1080090601)</f>
        <v>1080090601</v>
      </c>
      <c r="D10916" t="s">
        <v>8973</v>
      </c>
      <c r="G10916" t="s">
        <v>14</v>
      </c>
      <c r="I10916" t="s">
        <v>230</v>
      </c>
    </row>
    <row r="10917" spans="1:9" x14ac:dyDescent="0.25">
      <c r="A10917" t="s">
        <v>8971</v>
      </c>
      <c r="B10917" t="s">
        <v>21</v>
      </c>
      <c r="C10917" s="2">
        <f>HYPERLINK("https://cao.dolgi.msk.ru/account/1080090628/", 1080090628)</f>
        <v>1080090628</v>
      </c>
      <c r="D10917" t="s">
        <v>8974</v>
      </c>
      <c r="E10917">
        <v>53717.45</v>
      </c>
      <c r="F10917">
        <v>10.49</v>
      </c>
      <c r="G10917" t="s">
        <v>12</v>
      </c>
      <c r="H10917" t="s">
        <v>7</v>
      </c>
      <c r="I10917" t="s">
        <v>230</v>
      </c>
    </row>
    <row r="10918" spans="1:9" x14ac:dyDescent="0.25">
      <c r="A10918" t="s">
        <v>8971</v>
      </c>
      <c r="B10918" t="s">
        <v>21</v>
      </c>
      <c r="C10918" s="2">
        <f>HYPERLINK("https://cao.dolgi.msk.ru/account/1080090636/", 1080090636)</f>
        <v>1080090636</v>
      </c>
      <c r="D10918" t="s">
        <v>8974</v>
      </c>
      <c r="E10918">
        <v>12517.64</v>
      </c>
      <c r="F10918">
        <v>3.69</v>
      </c>
      <c r="G10918" t="s">
        <v>12</v>
      </c>
      <c r="H10918" t="s">
        <v>7</v>
      </c>
      <c r="I10918" t="s">
        <v>230</v>
      </c>
    </row>
    <row r="10919" spans="1:9" hidden="1" x14ac:dyDescent="0.25">
      <c r="A10919" t="s">
        <v>8971</v>
      </c>
      <c r="B10919" t="s">
        <v>242</v>
      </c>
      <c r="C10919" s="2">
        <f>HYPERLINK("https://cao.dolgi.msk.ru/account/1080090644/", 1080090644)</f>
        <v>1080090644</v>
      </c>
      <c r="D10919" t="s">
        <v>8975</v>
      </c>
      <c r="E10919">
        <v>-159.13999999999999</v>
      </c>
      <c r="G10919" t="s">
        <v>14</v>
      </c>
      <c r="I10919" t="s">
        <v>230</v>
      </c>
    </row>
    <row r="10920" spans="1:9" hidden="1" x14ac:dyDescent="0.25">
      <c r="A10920" t="s">
        <v>8971</v>
      </c>
      <c r="B10920" t="s">
        <v>242</v>
      </c>
      <c r="C10920" s="2">
        <f>HYPERLINK("https://cao.dolgi.msk.ru/account/1080090652/", 1080090652)</f>
        <v>1080090652</v>
      </c>
      <c r="D10920" t="s">
        <v>8975</v>
      </c>
      <c r="E10920">
        <v>-8722.4500000000007</v>
      </c>
      <c r="F10920">
        <v>-1.03</v>
      </c>
      <c r="G10920" t="s">
        <v>12</v>
      </c>
      <c r="I10920" t="s">
        <v>230</v>
      </c>
    </row>
    <row r="10921" spans="1:9" hidden="1" x14ac:dyDescent="0.25">
      <c r="A10921" t="s">
        <v>8971</v>
      </c>
      <c r="B10921" t="s">
        <v>22</v>
      </c>
      <c r="C10921" s="2">
        <f>HYPERLINK("https://cao.dolgi.msk.ru/account/1080090679/", 1080090679)</f>
        <v>1080090679</v>
      </c>
      <c r="D10921" t="s">
        <v>8976</v>
      </c>
      <c r="E10921">
        <v>-7004.74</v>
      </c>
      <c r="F10921">
        <v>-1.02</v>
      </c>
      <c r="G10921" t="s">
        <v>12</v>
      </c>
      <c r="I10921" t="s">
        <v>230</v>
      </c>
    </row>
    <row r="10922" spans="1:9" hidden="1" x14ac:dyDescent="0.25">
      <c r="A10922" t="s">
        <v>8971</v>
      </c>
      <c r="B10922" t="s">
        <v>23</v>
      </c>
      <c r="C10922" s="2">
        <f>HYPERLINK("https://cao.dolgi.msk.ru/account/1080090687/", 1080090687)</f>
        <v>1080090687</v>
      </c>
      <c r="D10922" t="s">
        <v>8977</v>
      </c>
      <c r="E10922">
        <v>-8675.51</v>
      </c>
      <c r="F10922">
        <v>-1.02</v>
      </c>
      <c r="G10922" t="s">
        <v>12</v>
      </c>
      <c r="I10922" t="s">
        <v>230</v>
      </c>
    </row>
    <row r="10923" spans="1:9" hidden="1" x14ac:dyDescent="0.25">
      <c r="A10923" t="s">
        <v>8971</v>
      </c>
      <c r="B10923" t="s">
        <v>24</v>
      </c>
      <c r="C10923" s="2">
        <f>HYPERLINK("https://cao.dolgi.msk.ru/account/1080090695/", 1080090695)</f>
        <v>1080090695</v>
      </c>
      <c r="D10923" t="s">
        <v>8978</v>
      </c>
      <c r="E10923">
        <v>-5118.26</v>
      </c>
      <c r="F10923">
        <v>-1</v>
      </c>
      <c r="G10923" t="s">
        <v>12</v>
      </c>
      <c r="I10923" t="s">
        <v>230</v>
      </c>
    </row>
    <row r="10924" spans="1:9" hidden="1" x14ac:dyDescent="0.25">
      <c r="A10924" t="s">
        <v>8971</v>
      </c>
      <c r="B10924" t="s">
        <v>27</v>
      </c>
      <c r="C10924" s="2">
        <f>HYPERLINK("https://cao.dolgi.msk.ru/account/1080090708/", 1080090708)</f>
        <v>1080090708</v>
      </c>
      <c r="D10924" t="s">
        <v>8979</v>
      </c>
      <c r="E10924">
        <v>-6038.31</v>
      </c>
      <c r="F10924">
        <v>-0.94</v>
      </c>
      <c r="G10924" t="s">
        <v>12</v>
      </c>
      <c r="I10924" t="s">
        <v>230</v>
      </c>
    </row>
    <row r="10925" spans="1:9" x14ac:dyDescent="0.25">
      <c r="A10925" t="s">
        <v>8971</v>
      </c>
      <c r="B10925" t="s">
        <v>29</v>
      </c>
      <c r="C10925" s="2">
        <f>HYPERLINK("https://cao.dolgi.msk.ru/account/1080090716/", 1080090716)</f>
        <v>1080090716</v>
      </c>
      <c r="D10925" t="s">
        <v>8980</v>
      </c>
      <c r="E10925">
        <v>360214.21</v>
      </c>
      <c r="F10925">
        <v>36.97</v>
      </c>
      <c r="G10925" t="s">
        <v>12</v>
      </c>
      <c r="I10925" t="s">
        <v>230</v>
      </c>
    </row>
    <row r="10926" spans="1:9" hidden="1" x14ac:dyDescent="0.25">
      <c r="A10926" t="s">
        <v>8971</v>
      </c>
      <c r="B10926" t="s">
        <v>33</v>
      </c>
      <c r="C10926" s="2">
        <f>HYPERLINK("https://cao.dolgi.msk.ru/account/1080090759/", 1080090759)</f>
        <v>1080090759</v>
      </c>
      <c r="D10926" t="s">
        <v>8981</v>
      </c>
      <c r="E10926">
        <v>-3404.85</v>
      </c>
      <c r="F10926">
        <v>-0.94</v>
      </c>
      <c r="G10926" t="s">
        <v>12</v>
      </c>
      <c r="I10926" t="s">
        <v>230</v>
      </c>
    </row>
    <row r="10927" spans="1:9" hidden="1" x14ac:dyDescent="0.25">
      <c r="A10927" t="s">
        <v>8971</v>
      </c>
      <c r="B10927" t="s">
        <v>34</v>
      </c>
      <c r="C10927" s="2">
        <f>HYPERLINK("https://cao.dolgi.msk.ru/account/1080090767/", 1080090767)</f>
        <v>1080090767</v>
      </c>
      <c r="D10927" t="s">
        <v>8982</v>
      </c>
      <c r="E10927">
        <v>-10593.1</v>
      </c>
      <c r="F10927">
        <v>-1.05</v>
      </c>
      <c r="G10927" t="s">
        <v>12</v>
      </c>
      <c r="I10927" t="s">
        <v>230</v>
      </c>
    </row>
    <row r="10928" spans="1:9" hidden="1" x14ac:dyDescent="0.25">
      <c r="A10928" t="s">
        <v>8971</v>
      </c>
      <c r="B10928" t="s">
        <v>36</v>
      </c>
      <c r="C10928" s="2">
        <f>HYPERLINK("https://cao.dolgi.msk.ru/account/1080090783/", 1080090783)</f>
        <v>1080090783</v>
      </c>
      <c r="D10928" t="s">
        <v>62</v>
      </c>
      <c r="E10928">
        <v>-26.2</v>
      </c>
      <c r="F10928">
        <v>0</v>
      </c>
      <c r="G10928" t="s">
        <v>12</v>
      </c>
      <c r="H10928" t="s">
        <v>7</v>
      </c>
      <c r="I10928" t="s">
        <v>230</v>
      </c>
    </row>
    <row r="10929" spans="1:9" hidden="1" x14ac:dyDescent="0.25">
      <c r="A10929" t="s">
        <v>8971</v>
      </c>
      <c r="B10929" t="s">
        <v>36</v>
      </c>
      <c r="C10929" s="2">
        <f>HYPERLINK("https://cao.dolgi.msk.ru/account/1080090791/", 1080090791)</f>
        <v>1080090791</v>
      </c>
      <c r="D10929" t="s">
        <v>8983</v>
      </c>
      <c r="E10929">
        <v>150.38</v>
      </c>
      <c r="F10929">
        <v>0.05</v>
      </c>
      <c r="G10929" t="s">
        <v>12</v>
      </c>
      <c r="H10929" t="s">
        <v>7</v>
      </c>
      <c r="I10929" t="s">
        <v>230</v>
      </c>
    </row>
    <row r="10930" spans="1:9" hidden="1" x14ac:dyDescent="0.25">
      <c r="A10930" t="s">
        <v>8971</v>
      </c>
      <c r="B10930" t="s">
        <v>36</v>
      </c>
      <c r="C10930" s="2">
        <f>HYPERLINK("https://cao.dolgi.msk.ru/account/1080090804/", 1080090804)</f>
        <v>1080090804</v>
      </c>
      <c r="D10930" t="s">
        <v>8984</v>
      </c>
      <c r="E10930">
        <v>-8044.31</v>
      </c>
      <c r="F10930">
        <v>-1.02</v>
      </c>
      <c r="G10930" t="s">
        <v>12</v>
      </c>
      <c r="H10930" t="s">
        <v>7</v>
      </c>
      <c r="I10930" t="s">
        <v>230</v>
      </c>
    </row>
    <row r="10931" spans="1:9" hidden="1" x14ac:dyDescent="0.25">
      <c r="A10931" t="s">
        <v>8971</v>
      </c>
      <c r="B10931" t="s">
        <v>38</v>
      </c>
      <c r="C10931" s="2">
        <f>HYPERLINK("https://cao.dolgi.msk.ru/account/1080090812/", 1080090812)</f>
        <v>1080090812</v>
      </c>
      <c r="D10931" t="s">
        <v>8985</v>
      </c>
      <c r="E10931">
        <v>-6157.69</v>
      </c>
      <c r="F10931">
        <v>-1.02</v>
      </c>
      <c r="G10931" t="s">
        <v>12</v>
      </c>
      <c r="I10931" t="s">
        <v>230</v>
      </c>
    </row>
    <row r="10932" spans="1:9" hidden="1" x14ac:dyDescent="0.25">
      <c r="A10932" t="s">
        <v>8971</v>
      </c>
      <c r="B10932" t="s">
        <v>39</v>
      </c>
      <c r="C10932" s="2">
        <f>HYPERLINK("https://cao.dolgi.msk.ru/account/1080090839/", 1080090839)</f>
        <v>1080090839</v>
      </c>
      <c r="D10932" t="s">
        <v>8986</v>
      </c>
      <c r="E10932">
        <v>-1336.59</v>
      </c>
      <c r="F10932">
        <v>-0.91</v>
      </c>
      <c r="G10932" t="s">
        <v>12</v>
      </c>
      <c r="H10932" t="s">
        <v>7</v>
      </c>
      <c r="I10932" t="s">
        <v>230</v>
      </c>
    </row>
    <row r="10933" spans="1:9" x14ac:dyDescent="0.25">
      <c r="A10933" t="s">
        <v>8971</v>
      </c>
      <c r="B10933" t="s">
        <v>39</v>
      </c>
      <c r="C10933" s="2">
        <f>HYPERLINK("https://cao.dolgi.msk.ru/account/1080090847/", 1080090847)</f>
        <v>1080090847</v>
      </c>
      <c r="D10933" t="s">
        <v>8987</v>
      </c>
      <c r="E10933">
        <v>4643.6499999999996</v>
      </c>
      <c r="F10933">
        <v>5.58</v>
      </c>
      <c r="G10933" t="s">
        <v>12</v>
      </c>
      <c r="H10933" t="s">
        <v>7</v>
      </c>
      <c r="I10933" t="s">
        <v>230</v>
      </c>
    </row>
    <row r="10934" spans="1:9" hidden="1" x14ac:dyDescent="0.25">
      <c r="A10934" t="s">
        <v>8971</v>
      </c>
      <c r="B10934" t="s">
        <v>39</v>
      </c>
      <c r="C10934" s="2">
        <f>HYPERLINK("https://cao.dolgi.msk.ru/account/1083272726/", 1083272726)</f>
        <v>1083272726</v>
      </c>
      <c r="D10934" t="s">
        <v>8988</v>
      </c>
      <c r="E10934">
        <v>0</v>
      </c>
      <c r="F10934">
        <v>0</v>
      </c>
      <c r="G10934" t="s">
        <v>12</v>
      </c>
      <c r="H10934" t="s">
        <v>7</v>
      </c>
      <c r="I10934" t="s">
        <v>230</v>
      </c>
    </row>
    <row r="10935" spans="1:9" hidden="1" x14ac:dyDescent="0.25">
      <c r="A10935" t="s">
        <v>8971</v>
      </c>
      <c r="B10935" t="s">
        <v>40</v>
      </c>
      <c r="C10935" s="2">
        <f>HYPERLINK("https://cao.dolgi.msk.ru/account/1080091196/", 1080091196)</f>
        <v>1080091196</v>
      </c>
      <c r="D10935" t="s">
        <v>8989</v>
      </c>
      <c r="E10935">
        <v>-7333.76</v>
      </c>
      <c r="F10935">
        <v>-1.01</v>
      </c>
      <c r="G10935" t="s">
        <v>12</v>
      </c>
      <c r="I10935" t="s">
        <v>230</v>
      </c>
    </row>
    <row r="10936" spans="1:9" hidden="1" x14ac:dyDescent="0.25">
      <c r="A10936" t="s">
        <v>8990</v>
      </c>
      <c r="B10936" t="s">
        <v>24</v>
      </c>
      <c r="C10936" s="2">
        <f>HYPERLINK("https://cao.dolgi.msk.ru/account/1080091372/", 1080091372)</f>
        <v>1080091372</v>
      </c>
      <c r="E10936">
        <v>0</v>
      </c>
      <c r="G10936" t="s">
        <v>14</v>
      </c>
    </row>
    <row r="10937" spans="1:9" hidden="1" x14ac:dyDescent="0.25">
      <c r="A10937" t="s">
        <v>8990</v>
      </c>
      <c r="B10937" t="s">
        <v>24</v>
      </c>
      <c r="C10937" s="2">
        <f>HYPERLINK("https://cao.dolgi.msk.ru/account/1080322492/", 1080322492)</f>
        <v>1080322492</v>
      </c>
      <c r="E10937">
        <v>0</v>
      </c>
      <c r="G10937" t="s">
        <v>14</v>
      </c>
    </row>
    <row r="10938" spans="1:9" hidden="1" x14ac:dyDescent="0.25">
      <c r="A10938" t="s">
        <v>8991</v>
      </c>
      <c r="B10938" t="s">
        <v>20</v>
      </c>
      <c r="C10938" s="2">
        <f>HYPERLINK("https://cao.dolgi.msk.ru/account/1080091452/", 1080091452)</f>
        <v>1080091452</v>
      </c>
      <c r="D10938" t="s">
        <v>8992</v>
      </c>
      <c r="G10938" t="s">
        <v>14</v>
      </c>
      <c r="I10938" t="s">
        <v>230</v>
      </c>
    </row>
    <row r="10939" spans="1:9" hidden="1" x14ac:dyDescent="0.25">
      <c r="A10939" t="s">
        <v>8991</v>
      </c>
      <c r="B10939" t="s">
        <v>23</v>
      </c>
      <c r="C10939" s="2">
        <f>HYPERLINK("https://cao.dolgi.msk.ru/account/1080091508/", 1080091508)</f>
        <v>1080091508</v>
      </c>
      <c r="D10939" t="s">
        <v>15</v>
      </c>
      <c r="G10939" t="s">
        <v>14</v>
      </c>
      <c r="H10939" t="s">
        <v>7</v>
      </c>
      <c r="I10939" t="s">
        <v>230</v>
      </c>
    </row>
    <row r="10940" spans="1:9" hidden="1" x14ac:dyDescent="0.25">
      <c r="A10940" t="s">
        <v>8991</v>
      </c>
      <c r="B10940" t="s">
        <v>23</v>
      </c>
      <c r="C10940" s="2">
        <f>HYPERLINK("https://cao.dolgi.msk.ru/account/1080091524/", 1080091524)</f>
        <v>1080091524</v>
      </c>
      <c r="D10940" t="s">
        <v>15</v>
      </c>
      <c r="G10940" t="s">
        <v>14</v>
      </c>
      <c r="H10940" t="s">
        <v>7</v>
      </c>
      <c r="I10940" t="s">
        <v>230</v>
      </c>
    </row>
    <row r="10941" spans="1:9" hidden="1" x14ac:dyDescent="0.25">
      <c r="A10941" t="s">
        <v>8991</v>
      </c>
      <c r="B10941" t="s">
        <v>24</v>
      </c>
      <c r="C10941" s="2">
        <f>HYPERLINK("https://cao.dolgi.msk.ru/account/1080091532/", 1080091532)</f>
        <v>1080091532</v>
      </c>
      <c r="D10941" t="s">
        <v>8993</v>
      </c>
      <c r="E10941">
        <v>0</v>
      </c>
      <c r="G10941" t="s">
        <v>14</v>
      </c>
      <c r="I10941" t="s">
        <v>230</v>
      </c>
    </row>
    <row r="10942" spans="1:9" hidden="1" x14ac:dyDescent="0.25">
      <c r="A10942" t="s">
        <v>8991</v>
      </c>
      <c r="B10942" t="s">
        <v>29</v>
      </c>
      <c r="C10942" s="2">
        <f>HYPERLINK("https://cao.dolgi.msk.ru/account/1080091567/", 1080091567)</f>
        <v>1080091567</v>
      </c>
      <c r="D10942" t="s">
        <v>62</v>
      </c>
      <c r="E10942">
        <v>0</v>
      </c>
      <c r="G10942" t="s">
        <v>14</v>
      </c>
      <c r="I10942" t="s">
        <v>230</v>
      </c>
    </row>
    <row r="10943" spans="1:9" hidden="1" x14ac:dyDescent="0.25">
      <c r="A10943" t="s">
        <v>8994</v>
      </c>
      <c r="B10943" t="s">
        <v>16</v>
      </c>
      <c r="C10943" s="2">
        <f>HYPERLINK("https://cao.dolgi.msk.ru/account/1080091954/", 1080091954)</f>
        <v>1080091954</v>
      </c>
      <c r="D10943" t="s">
        <v>62</v>
      </c>
      <c r="G10943" t="s">
        <v>14</v>
      </c>
      <c r="I10943" t="s">
        <v>230</v>
      </c>
    </row>
    <row r="10944" spans="1:9" hidden="1" x14ac:dyDescent="0.25">
      <c r="A10944" t="s">
        <v>8994</v>
      </c>
      <c r="B10944" t="s">
        <v>22</v>
      </c>
      <c r="C10944" s="2">
        <f>HYPERLINK("https://cao.dolgi.msk.ru/account/1080091962/", 1080091962)</f>
        <v>1080091962</v>
      </c>
      <c r="D10944" t="s">
        <v>8995</v>
      </c>
      <c r="E10944">
        <v>1</v>
      </c>
      <c r="F10944">
        <v>0</v>
      </c>
      <c r="G10944" t="s">
        <v>12</v>
      </c>
      <c r="I10944" t="s">
        <v>230</v>
      </c>
    </row>
    <row r="10945" spans="1:9" hidden="1" x14ac:dyDescent="0.25">
      <c r="A10945" t="s">
        <v>8994</v>
      </c>
      <c r="B10945" t="s">
        <v>23</v>
      </c>
      <c r="C10945" s="2">
        <f>HYPERLINK("https://cao.dolgi.msk.ru/account/1080091989/", 1080091989)</f>
        <v>1080091989</v>
      </c>
      <c r="D10945" t="s">
        <v>15</v>
      </c>
      <c r="E10945">
        <v>-199.26</v>
      </c>
      <c r="F10945">
        <v>-0.02</v>
      </c>
      <c r="G10945" t="s">
        <v>12</v>
      </c>
      <c r="I10945" t="s">
        <v>230</v>
      </c>
    </row>
    <row r="10946" spans="1:9" hidden="1" x14ac:dyDescent="0.25">
      <c r="A10946" t="s">
        <v>8994</v>
      </c>
      <c r="B10946" t="s">
        <v>24</v>
      </c>
      <c r="C10946" s="2">
        <f>HYPERLINK("https://cao.dolgi.msk.ru/account/1080091997/", 1080091997)</f>
        <v>1080091997</v>
      </c>
      <c r="D10946" t="s">
        <v>8996</v>
      </c>
      <c r="E10946">
        <v>-7090.07</v>
      </c>
      <c r="F10946">
        <v>-0.9</v>
      </c>
      <c r="G10946" t="s">
        <v>12</v>
      </c>
      <c r="I10946" t="s">
        <v>230</v>
      </c>
    </row>
    <row r="10947" spans="1:9" hidden="1" x14ac:dyDescent="0.25">
      <c r="A10947" t="s">
        <v>8994</v>
      </c>
      <c r="B10947" t="s">
        <v>27</v>
      </c>
      <c r="C10947" s="2">
        <f>HYPERLINK("https://cao.dolgi.msk.ru/account/1080092009/", 1080092009)</f>
        <v>1080092009</v>
      </c>
      <c r="D10947" t="s">
        <v>8997</v>
      </c>
      <c r="E10947">
        <v>-10194.91</v>
      </c>
      <c r="F10947">
        <v>-1.3</v>
      </c>
      <c r="G10947" t="s">
        <v>12</v>
      </c>
      <c r="I10947" t="s">
        <v>230</v>
      </c>
    </row>
    <row r="10948" spans="1:9" hidden="1" x14ac:dyDescent="0.25">
      <c r="A10948" t="s">
        <v>8994</v>
      </c>
      <c r="B10948" t="s">
        <v>29</v>
      </c>
      <c r="C10948" s="2">
        <f>HYPERLINK("https://cao.dolgi.msk.ru/account/1080092017/", 1080092017)</f>
        <v>1080092017</v>
      </c>
      <c r="D10948" t="s">
        <v>8998</v>
      </c>
      <c r="E10948">
        <v>-10232.299999999999</v>
      </c>
      <c r="F10948">
        <v>-0.98</v>
      </c>
      <c r="G10948" t="s">
        <v>12</v>
      </c>
      <c r="I10948" t="s">
        <v>230</v>
      </c>
    </row>
    <row r="10949" spans="1:9" hidden="1" x14ac:dyDescent="0.25">
      <c r="A10949" t="s">
        <v>8994</v>
      </c>
      <c r="B10949" t="s">
        <v>31</v>
      </c>
      <c r="C10949" s="2">
        <f>HYPERLINK("https://cao.dolgi.msk.ru/account/1080092025/", 1080092025)</f>
        <v>1080092025</v>
      </c>
      <c r="D10949" t="s">
        <v>8999</v>
      </c>
      <c r="E10949">
        <v>-6117.03</v>
      </c>
      <c r="F10949">
        <v>-0.98</v>
      </c>
      <c r="G10949" t="s">
        <v>12</v>
      </c>
      <c r="I10949" t="s">
        <v>230</v>
      </c>
    </row>
    <row r="10950" spans="1:9" hidden="1" x14ac:dyDescent="0.25">
      <c r="A10950" t="s">
        <v>8994</v>
      </c>
      <c r="B10950" t="s">
        <v>33</v>
      </c>
      <c r="C10950" s="2">
        <f>HYPERLINK("https://cao.dolgi.msk.ru/account/1080092033/", 1080092033)</f>
        <v>1080092033</v>
      </c>
      <c r="D10950" t="s">
        <v>9000</v>
      </c>
      <c r="E10950">
        <v>-5226.32</v>
      </c>
      <c r="F10950">
        <v>-0.59</v>
      </c>
      <c r="G10950" t="s">
        <v>12</v>
      </c>
      <c r="I10950" t="s">
        <v>230</v>
      </c>
    </row>
    <row r="10951" spans="1:9" hidden="1" x14ac:dyDescent="0.25">
      <c r="A10951" t="s">
        <v>8994</v>
      </c>
      <c r="B10951" t="s">
        <v>36</v>
      </c>
      <c r="C10951" s="2">
        <f>HYPERLINK("https://cao.dolgi.msk.ru/account/1080092041/", 1080092041)</f>
        <v>1080092041</v>
      </c>
      <c r="D10951" t="s">
        <v>15</v>
      </c>
      <c r="E10951">
        <v>-3098.28</v>
      </c>
      <c r="F10951">
        <v>-1.07</v>
      </c>
      <c r="G10951" t="s">
        <v>12</v>
      </c>
      <c r="H10951" t="s">
        <v>7</v>
      </c>
      <c r="I10951" t="s">
        <v>230</v>
      </c>
    </row>
    <row r="10952" spans="1:9" hidden="1" x14ac:dyDescent="0.25">
      <c r="A10952" t="s">
        <v>8994</v>
      </c>
      <c r="B10952" t="s">
        <v>36</v>
      </c>
      <c r="C10952" s="2">
        <f>HYPERLINK("https://cao.dolgi.msk.ru/account/1080092068/", 1080092068)</f>
        <v>1080092068</v>
      </c>
      <c r="D10952" t="s">
        <v>9001</v>
      </c>
      <c r="E10952">
        <v>0</v>
      </c>
      <c r="F10952">
        <v>0</v>
      </c>
      <c r="G10952" t="s">
        <v>12</v>
      </c>
      <c r="H10952" t="s">
        <v>7</v>
      </c>
      <c r="I10952" t="s">
        <v>230</v>
      </c>
    </row>
    <row r="10953" spans="1:9" hidden="1" x14ac:dyDescent="0.25">
      <c r="A10953" t="s">
        <v>8994</v>
      </c>
      <c r="B10953" t="s">
        <v>38</v>
      </c>
      <c r="C10953" s="2">
        <f>HYPERLINK("https://cao.dolgi.msk.ru/account/1080092076/", 1080092076)</f>
        <v>1080092076</v>
      </c>
      <c r="D10953" t="s">
        <v>62</v>
      </c>
      <c r="E10953">
        <v>-2190.62</v>
      </c>
      <c r="F10953">
        <v>-0.51</v>
      </c>
      <c r="G10953" t="s">
        <v>12</v>
      </c>
      <c r="H10953" t="s">
        <v>7</v>
      </c>
      <c r="I10953" t="s">
        <v>230</v>
      </c>
    </row>
    <row r="10954" spans="1:9" hidden="1" x14ac:dyDescent="0.25">
      <c r="A10954" t="s">
        <v>8994</v>
      </c>
      <c r="B10954" t="s">
        <v>38</v>
      </c>
      <c r="C10954" s="2">
        <f>HYPERLINK("https://cao.dolgi.msk.ru/account/1080092084/", 1080092084)</f>
        <v>1080092084</v>
      </c>
      <c r="D10954" t="s">
        <v>9002</v>
      </c>
      <c r="E10954">
        <v>0</v>
      </c>
      <c r="F10954">
        <v>0</v>
      </c>
      <c r="G10954" t="s">
        <v>12</v>
      </c>
      <c r="H10954" t="s">
        <v>7</v>
      </c>
      <c r="I10954" t="s">
        <v>230</v>
      </c>
    </row>
    <row r="10955" spans="1:9" hidden="1" x14ac:dyDescent="0.25">
      <c r="A10955" t="s">
        <v>8994</v>
      </c>
      <c r="B10955" t="s">
        <v>39</v>
      </c>
      <c r="C10955" s="2">
        <f>HYPERLINK("https://cao.dolgi.msk.ru/account/1080092092/", 1080092092)</f>
        <v>1080092092</v>
      </c>
      <c r="D10955" t="s">
        <v>9003</v>
      </c>
      <c r="E10955">
        <v>-13077.79</v>
      </c>
      <c r="F10955">
        <v>-1.5</v>
      </c>
      <c r="G10955" t="s">
        <v>12</v>
      </c>
      <c r="I10955" t="s">
        <v>230</v>
      </c>
    </row>
    <row r="10956" spans="1:9" hidden="1" x14ac:dyDescent="0.25">
      <c r="A10956" t="s">
        <v>8994</v>
      </c>
      <c r="B10956" t="s">
        <v>39</v>
      </c>
      <c r="C10956" s="2">
        <f>HYPERLINK("https://cao.dolgi.msk.ru/account/1080322505/", 1080322505)</f>
        <v>1080322505</v>
      </c>
      <c r="D10956" t="s">
        <v>9003</v>
      </c>
      <c r="E10956">
        <v>-9723.02</v>
      </c>
      <c r="G10956" t="s">
        <v>14</v>
      </c>
      <c r="I10956" t="s">
        <v>230</v>
      </c>
    </row>
    <row r="10957" spans="1:9" hidden="1" x14ac:dyDescent="0.25">
      <c r="A10957" t="s">
        <v>8994</v>
      </c>
      <c r="B10957" t="s">
        <v>40</v>
      </c>
      <c r="C10957" s="2">
        <f>HYPERLINK("https://cao.dolgi.msk.ru/account/1080092105/", 1080092105)</f>
        <v>1080092105</v>
      </c>
      <c r="D10957" t="s">
        <v>9004</v>
      </c>
      <c r="E10957">
        <v>7468.96</v>
      </c>
      <c r="F10957">
        <v>0.99</v>
      </c>
      <c r="G10957" t="s">
        <v>12</v>
      </c>
      <c r="I10957" t="s">
        <v>230</v>
      </c>
    </row>
    <row r="10958" spans="1:9" hidden="1" x14ac:dyDescent="0.25">
      <c r="A10958" t="s">
        <v>8994</v>
      </c>
      <c r="B10958" t="s">
        <v>41</v>
      </c>
      <c r="C10958" s="2">
        <f>HYPERLINK("https://cao.dolgi.msk.ru/account/1080092113/", 1080092113)</f>
        <v>1080092113</v>
      </c>
      <c r="D10958" t="s">
        <v>9005</v>
      </c>
      <c r="E10958">
        <v>-4536.1400000000003</v>
      </c>
      <c r="F10958">
        <v>-1.01</v>
      </c>
      <c r="G10958" t="s">
        <v>12</v>
      </c>
      <c r="I10958" t="s">
        <v>230</v>
      </c>
    </row>
    <row r="10959" spans="1:9" hidden="1" x14ac:dyDescent="0.25">
      <c r="A10959" t="s">
        <v>9006</v>
      </c>
      <c r="B10959" t="s">
        <v>10</v>
      </c>
      <c r="C10959" s="2">
        <f>HYPERLINK("https://cao.dolgi.msk.ru/account/1089119319/", 1089119319)</f>
        <v>1089119319</v>
      </c>
      <c r="D10959" t="s">
        <v>9007</v>
      </c>
      <c r="E10959">
        <v>-6767.82</v>
      </c>
      <c r="F10959">
        <v>-1.29</v>
      </c>
      <c r="G10959" t="s">
        <v>12</v>
      </c>
      <c r="I10959" t="s">
        <v>230</v>
      </c>
    </row>
    <row r="10960" spans="1:9" hidden="1" x14ac:dyDescent="0.25">
      <c r="A10960" t="s">
        <v>9006</v>
      </c>
      <c r="B10960" t="s">
        <v>16</v>
      </c>
      <c r="C10960" s="2">
        <f>HYPERLINK("https://cao.dolgi.msk.ru/account/1089119335/", 1089119335)</f>
        <v>1089119335</v>
      </c>
      <c r="D10960" t="s">
        <v>9008</v>
      </c>
      <c r="E10960">
        <v>-51.92</v>
      </c>
      <c r="F10960">
        <v>-0.01</v>
      </c>
      <c r="G10960" t="s">
        <v>12</v>
      </c>
      <c r="I10960" t="s">
        <v>230</v>
      </c>
    </row>
    <row r="10961" spans="1:9" hidden="1" x14ac:dyDescent="0.25">
      <c r="A10961" t="s">
        <v>9006</v>
      </c>
      <c r="B10961" t="s">
        <v>18</v>
      </c>
      <c r="C10961" s="2">
        <f>HYPERLINK("https://cao.dolgi.msk.ru/account/1089119343/", 1089119343)</f>
        <v>1089119343</v>
      </c>
      <c r="D10961" t="s">
        <v>9009</v>
      </c>
      <c r="E10961">
        <v>-7590.38</v>
      </c>
      <c r="F10961">
        <v>-1.1200000000000001</v>
      </c>
      <c r="G10961" t="s">
        <v>12</v>
      </c>
      <c r="I10961" t="s">
        <v>230</v>
      </c>
    </row>
    <row r="10962" spans="1:9" hidden="1" x14ac:dyDescent="0.25">
      <c r="A10962" t="s">
        <v>9006</v>
      </c>
      <c r="B10962" t="s">
        <v>20</v>
      </c>
      <c r="C10962" s="2">
        <f>HYPERLINK("https://cao.dolgi.msk.ru/account/1089119351/", 1089119351)</f>
        <v>1089119351</v>
      </c>
      <c r="D10962" t="s">
        <v>9010</v>
      </c>
      <c r="E10962">
        <v>-10573.63</v>
      </c>
      <c r="F10962">
        <v>-1.0900000000000001</v>
      </c>
      <c r="G10962" t="s">
        <v>12</v>
      </c>
      <c r="I10962" t="s">
        <v>230</v>
      </c>
    </row>
    <row r="10963" spans="1:9" hidden="1" x14ac:dyDescent="0.25">
      <c r="A10963" t="s">
        <v>9006</v>
      </c>
      <c r="B10963" t="s">
        <v>21</v>
      </c>
      <c r="C10963" s="2">
        <f>HYPERLINK("https://cao.dolgi.msk.ru/account/1089119378/", 1089119378)</f>
        <v>1089119378</v>
      </c>
      <c r="D10963" t="s">
        <v>9011</v>
      </c>
      <c r="E10963">
        <v>-4595.59</v>
      </c>
      <c r="F10963">
        <v>-1.17</v>
      </c>
      <c r="G10963" t="s">
        <v>12</v>
      </c>
      <c r="I10963" t="s">
        <v>230</v>
      </c>
    </row>
    <row r="10964" spans="1:9" hidden="1" x14ac:dyDescent="0.25">
      <c r="A10964" t="s">
        <v>9006</v>
      </c>
      <c r="B10964" t="s">
        <v>22</v>
      </c>
      <c r="C10964" s="2">
        <f>HYPERLINK("https://cao.dolgi.msk.ru/account/1089119386/", 1089119386)</f>
        <v>1089119386</v>
      </c>
      <c r="D10964" t="s">
        <v>9012</v>
      </c>
      <c r="E10964">
        <v>-10025.36</v>
      </c>
      <c r="F10964">
        <v>-1.0900000000000001</v>
      </c>
      <c r="G10964" t="s">
        <v>12</v>
      </c>
      <c r="I10964" t="s">
        <v>230</v>
      </c>
    </row>
    <row r="10965" spans="1:9" hidden="1" x14ac:dyDescent="0.25">
      <c r="A10965" t="s">
        <v>9006</v>
      </c>
      <c r="B10965" t="s">
        <v>23</v>
      </c>
      <c r="C10965" s="2">
        <f>HYPERLINK("https://cao.dolgi.msk.ru/account/1089119394/", 1089119394)</f>
        <v>1089119394</v>
      </c>
      <c r="D10965" t="s">
        <v>9013</v>
      </c>
      <c r="E10965">
        <v>-3711.57</v>
      </c>
      <c r="F10965">
        <v>-1.21</v>
      </c>
      <c r="G10965" t="s">
        <v>12</v>
      </c>
      <c r="I10965" t="s">
        <v>230</v>
      </c>
    </row>
    <row r="10966" spans="1:9" hidden="1" x14ac:dyDescent="0.25">
      <c r="A10966" t="s">
        <v>9006</v>
      </c>
      <c r="B10966" t="s">
        <v>24</v>
      </c>
      <c r="C10966" s="2">
        <f>HYPERLINK("https://cao.dolgi.msk.ru/account/1083269068/", 1083269068)</f>
        <v>1083269068</v>
      </c>
      <c r="D10966" t="s">
        <v>15</v>
      </c>
      <c r="E10966">
        <v>0</v>
      </c>
      <c r="G10966" t="s">
        <v>14</v>
      </c>
      <c r="I10966" t="s">
        <v>230</v>
      </c>
    </row>
    <row r="10967" spans="1:9" hidden="1" x14ac:dyDescent="0.25">
      <c r="A10967" t="s">
        <v>9006</v>
      </c>
      <c r="B10967" t="s">
        <v>24</v>
      </c>
      <c r="C10967" s="2">
        <f>HYPERLINK("https://cao.dolgi.msk.ru/account/1089119431/", 1089119431)</f>
        <v>1089119431</v>
      </c>
      <c r="D10967" t="s">
        <v>9014</v>
      </c>
      <c r="E10967">
        <v>-8101.01</v>
      </c>
      <c r="F10967">
        <v>-1.01</v>
      </c>
      <c r="G10967" t="s">
        <v>12</v>
      </c>
      <c r="I10967" t="s">
        <v>230</v>
      </c>
    </row>
    <row r="10968" spans="1:9" hidden="1" x14ac:dyDescent="0.25">
      <c r="A10968" t="s">
        <v>9006</v>
      </c>
      <c r="B10968" t="s">
        <v>27</v>
      </c>
      <c r="C10968" s="2">
        <f>HYPERLINK("https://cao.dolgi.msk.ru/account/1089122083/", 1089122083)</f>
        <v>1089122083</v>
      </c>
      <c r="D10968" t="s">
        <v>9015</v>
      </c>
      <c r="E10968">
        <v>-5066.37</v>
      </c>
      <c r="F10968">
        <v>-0.84</v>
      </c>
      <c r="G10968" t="s">
        <v>12</v>
      </c>
      <c r="I10968" t="s">
        <v>230</v>
      </c>
    </row>
    <row r="10969" spans="1:9" hidden="1" x14ac:dyDescent="0.25">
      <c r="A10969" t="s">
        <v>9006</v>
      </c>
      <c r="B10969" t="s">
        <v>29</v>
      </c>
      <c r="C10969" s="2">
        <f>HYPERLINK("https://cao.dolgi.msk.ru/account/1089119482/", 1089119482)</f>
        <v>1089119482</v>
      </c>
      <c r="D10969" t="s">
        <v>9016</v>
      </c>
      <c r="E10969">
        <v>-10.130000000000001</v>
      </c>
      <c r="F10969">
        <v>0</v>
      </c>
      <c r="G10969" t="s">
        <v>12</v>
      </c>
      <c r="I10969" t="s">
        <v>230</v>
      </c>
    </row>
    <row r="10970" spans="1:9" hidden="1" x14ac:dyDescent="0.25">
      <c r="A10970" t="s">
        <v>9006</v>
      </c>
      <c r="B10970" t="s">
        <v>31</v>
      </c>
      <c r="C10970" s="2">
        <f>HYPERLINK("https://cao.dolgi.msk.ru/account/1089119511/", 1089119511)</f>
        <v>1089119511</v>
      </c>
      <c r="D10970" t="s">
        <v>15</v>
      </c>
      <c r="E10970">
        <v>-6200.72</v>
      </c>
      <c r="F10970">
        <v>-1.18</v>
      </c>
      <c r="G10970" t="s">
        <v>12</v>
      </c>
      <c r="I10970" t="s">
        <v>230</v>
      </c>
    </row>
    <row r="10971" spans="1:9" hidden="1" x14ac:dyDescent="0.25">
      <c r="A10971" t="s">
        <v>9006</v>
      </c>
      <c r="B10971" t="s">
        <v>33</v>
      </c>
      <c r="C10971" s="2">
        <f>HYPERLINK("https://cao.dolgi.msk.ru/account/1089119538/", 1089119538)</f>
        <v>1089119538</v>
      </c>
      <c r="D10971" t="s">
        <v>9017</v>
      </c>
      <c r="E10971">
        <v>-8293.86</v>
      </c>
      <c r="F10971">
        <v>-1.2</v>
      </c>
      <c r="G10971" t="s">
        <v>12</v>
      </c>
      <c r="I10971" t="s">
        <v>230</v>
      </c>
    </row>
    <row r="10972" spans="1:9" hidden="1" x14ac:dyDescent="0.25">
      <c r="A10972" t="s">
        <v>9006</v>
      </c>
      <c r="B10972" t="s">
        <v>34</v>
      </c>
      <c r="C10972" s="2">
        <f>HYPERLINK("https://cao.dolgi.msk.ru/account/1089119562/", 1089119562)</f>
        <v>1089119562</v>
      </c>
      <c r="D10972" t="s">
        <v>9018</v>
      </c>
      <c r="E10972">
        <v>-3988.81</v>
      </c>
      <c r="F10972">
        <v>-1.38</v>
      </c>
      <c r="G10972" t="s">
        <v>12</v>
      </c>
      <c r="H10972" t="s">
        <v>7</v>
      </c>
      <c r="I10972" t="s">
        <v>230</v>
      </c>
    </row>
    <row r="10973" spans="1:9" hidden="1" x14ac:dyDescent="0.25">
      <c r="A10973" t="s">
        <v>9006</v>
      </c>
      <c r="B10973" t="s">
        <v>34</v>
      </c>
      <c r="C10973" s="2">
        <f>HYPERLINK("https://cao.dolgi.msk.ru/account/1089119757/", 1089119757)</f>
        <v>1089119757</v>
      </c>
      <c r="D10973" t="s">
        <v>9019</v>
      </c>
      <c r="E10973">
        <v>-7293.81</v>
      </c>
      <c r="F10973">
        <v>-1.9</v>
      </c>
      <c r="G10973" t="s">
        <v>12</v>
      </c>
      <c r="H10973" t="s">
        <v>7</v>
      </c>
      <c r="I10973" t="s">
        <v>230</v>
      </c>
    </row>
    <row r="10974" spans="1:9" hidden="1" x14ac:dyDescent="0.25">
      <c r="A10974" t="s">
        <v>9006</v>
      </c>
      <c r="B10974" t="s">
        <v>36</v>
      </c>
      <c r="C10974" s="2">
        <f>HYPERLINK("https://cao.dolgi.msk.ru/account/1089119845/", 1089119845)</f>
        <v>1089119845</v>
      </c>
      <c r="D10974" t="s">
        <v>9020</v>
      </c>
      <c r="E10974">
        <v>-6355.19</v>
      </c>
      <c r="F10974">
        <v>-1.17</v>
      </c>
      <c r="G10974" t="s">
        <v>12</v>
      </c>
      <c r="I10974" t="s">
        <v>230</v>
      </c>
    </row>
    <row r="10975" spans="1:9" hidden="1" x14ac:dyDescent="0.25">
      <c r="A10975" t="s">
        <v>9006</v>
      </c>
      <c r="B10975" t="s">
        <v>38</v>
      </c>
      <c r="C10975" s="2">
        <f>HYPERLINK("https://cao.dolgi.msk.ru/account/1089119888/", 1089119888)</f>
        <v>1089119888</v>
      </c>
      <c r="D10975" t="s">
        <v>9021</v>
      </c>
      <c r="E10975">
        <v>-755.74</v>
      </c>
      <c r="F10975">
        <v>-0.11</v>
      </c>
      <c r="G10975" t="s">
        <v>12</v>
      </c>
      <c r="I10975" t="s">
        <v>230</v>
      </c>
    </row>
    <row r="10976" spans="1:9" hidden="1" x14ac:dyDescent="0.25">
      <c r="A10976" t="s">
        <v>9006</v>
      </c>
      <c r="B10976" t="s">
        <v>39</v>
      </c>
      <c r="C10976" s="2">
        <f>HYPERLINK("https://cao.dolgi.msk.ru/account/1089119896/", 1089119896)</f>
        <v>1089119896</v>
      </c>
      <c r="D10976" t="s">
        <v>9022</v>
      </c>
      <c r="E10976">
        <v>-1017.19</v>
      </c>
      <c r="F10976">
        <v>-0.13</v>
      </c>
      <c r="G10976" t="s">
        <v>12</v>
      </c>
      <c r="I10976" t="s">
        <v>230</v>
      </c>
    </row>
    <row r="10977" spans="1:9" hidden="1" x14ac:dyDescent="0.25">
      <c r="A10977" t="s">
        <v>9006</v>
      </c>
      <c r="B10977" t="s">
        <v>40</v>
      </c>
      <c r="C10977" s="2">
        <f>HYPERLINK("https://cao.dolgi.msk.ru/account/1089119909/", 1089119909)</f>
        <v>1089119909</v>
      </c>
      <c r="D10977" t="s">
        <v>9023</v>
      </c>
      <c r="E10977">
        <v>-5790.84</v>
      </c>
      <c r="F10977">
        <v>-1.0900000000000001</v>
      </c>
      <c r="G10977" t="s">
        <v>12</v>
      </c>
      <c r="I10977" t="s">
        <v>230</v>
      </c>
    </row>
    <row r="10978" spans="1:9" hidden="1" x14ac:dyDescent="0.25">
      <c r="A10978" t="s">
        <v>9006</v>
      </c>
      <c r="B10978" t="s">
        <v>40</v>
      </c>
      <c r="C10978" s="2">
        <f>HYPERLINK("https://cao.dolgi.msk.ru/account/1089122104/", 1089122104)</f>
        <v>1089122104</v>
      </c>
      <c r="D10978" t="s">
        <v>9024</v>
      </c>
      <c r="E10978">
        <v>-1369.89</v>
      </c>
      <c r="F10978">
        <v>-1.19</v>
      </c>
      <c r="G10978" t="s">
        <v>12</v>
      </c>
      <c r="I10978" t="s">
        <v>230</v>
      </c>
    </row>
    <row r="10979" spans="1:9" hidden="1" x14ac:dyDescent="0.25">
      <c r="A10979" t="s">
        <v>9006</v>
      </c>
      <c r="B10979" t="s">
        <v>41</v>
      </c>
      <c r="C10979" s="2">
        <f>HYPERLINK("https://cao.dolgi.msk.ru/account/1089119917/", 1089119917)</f>
        <v>1089119917</v>
      </c>
      <c r="D10979" t="s">
        <v>9025</v>
      </c>
      <c r="E10979">
        <v>-6580.6</v>
      </c>
      <c r="F10979">
        <v>-0.99</v>
      </c>
      <c r="G10979" t="s">
        <v>12</v>
      </c>
      <c r="I10979" t="s">
        <v>230</v>
      </c>
    </row>
    <row r="10980" spans="1:9" hidden="1" x14ac:dyDescent="0.25">
      <c r="A10980" t="s">
        <v>9006</v>
      </c>
      <c r="B10980" t="s">
        <v>42</v>
      </c>
      <c r="C10980" s="2">
        <f>HYPERLINK("https://cao.dolgi.msk.ru/account/1089119925/", 1089119925)</f>
        <v>1089119925</v>
      </c>
      <c r="D10980" t="s">
        <v>9026</v>
      </c>
      <c r="E10980">
        <v>-6148.01</v>
      </c>
      <c r="F10980">
        <v>-1.1499999999999999</v>
      </c>
      <c r="G10980" t="s">
        <v>12</v>
      </c>
      <c r="I10980" t="s">
        <v>230</v>
      </c>
    </row>
    <row r="10981" spans="1:9" hidden="1" x14ac:dyDescent="0.25">
      <c r="A10981" t="s">
        <v>9006</v>
      </c>
      <c r="B10981" t="s">
        <v>44</v>
      </c>
      <c r="C10981" s="2">
        <f>HYPERLINK("https://cao.dolgi.msk.ru/account/1089119933/", 1089119933)</f>
        <v>1089119933</v>
      </c>
      <c r="D10981" t="s">
        <v>9027</v>
      </c>
      <c r="E10981">
        <v>-6653.6</v>
      </c>
      <c r="F10981">
        <v>-1.1200000000000001</v>
      </c>
      <c r="G10981" t="s">
        <v>12</v>
      </c>
      <c r="I10981" t="s">
        <v>230</v>
      </c>
    </row>
    <row r="10982" spans="1:9" hidden="1" x14ac:dyDescent="0.25">
      <c r="A10982" t="s">
        <v>9006</v>
      </c>
      <c r="B10982" t="s">
        <v>66</v>
      </c>
      <c r="C10982" s="2">
        <f>HYPERLINK("https://cao.dolgi.msk.ru/account/1089119941/", 1089119941)</f>
        <v>1089119941</v>
      </c>
      <c r="D10982" t="s">
        <v>9028</v>
      </c>
      <c r="E10982">
        <v>-602.74</v>
      </c>
      <c r="F10982">
        <v>-0.09</v>
      </c>
      <c r="G10982" t="s">
        <v>12</v>
      </c>
      <c r="I10982" t="s">
        <v>230</v>
      </c>
    </row>
    <row r="10983" spans="1:9" hidden="1" x14ac:dyDescent="0.25">
      <c r="A10983" t="s">
        <v>9006</v>
      </c>
      <c r="B10983" t="s">
        <v>68</v>
      </c>
      <c r="C10983" s="2">
        <f>HYPERLINK("https://cao.dolgi.msk.ru/account/1089119968/", 1089119968)</f>
        <v>1089119968</v>
      </c>
      <c r="D10983" t="s">
        <v>9029</v>
      </c>
      <c r="E10983">
        <v>-8026.75</v>
      </c>
      <c r="F10983">
        <v>-1.03</v>
      </c>
      <c r="G10983" t="s">
        <v>12</v>
      </c>
      <c r="I10983" t="s">
        <v>230</v>
      </c>
    </row>
    <row r="10984" spans="1:9" hidden="1" x14ac:dyDescent="0.25">
      <c r="A10984" t="s">
        <v>9006</v>
      </c>
      <c r="B10984" t="s">
        <v>9030</v>
      </c>
      <c r="C10984" s="2">
        <f>HYPERLINK("https://cao.dolgi.msk.ru/account/1089119976/", 1089119976)</f>
        <v>1089119976</v>
      </c>
      <c r="D10984" t="s">
        <v>9031</v>
      </c>
      <c r="E10984">
        <v>-13939.51</v>
      </c>
      <c r="F10984">
        <v>-1.1599999999999999</v>
      </c>
      <c r="G10984" t="s">
        <v>12</v>
      </c>
      <c r="I10984" t="s">
        <v>230</v>
      </c>
    </row>
    <row r="10985" spans="1:9" hidden="1" x14ac:dyDescent="0.25">
      <c r="A10985" t="s">
        <v>9006</v>
      </c>
      <c r="B10985" t="s">
        <v>74</v>
      </c>
      <c r="C10985" s="2">
        <f>HYPERLINK("https://cao.dolgi.msk.ru/account/1089119984/", 1089119984)</f>
        <v>1089119984</v>
      </c>
      <c r="D10985" t="s">
        <v>9032</v>
      </c>
      <c r="E10985">
        <v>-4307.7</v>
      </c>
      <c r="F10985">
        <v>-0.89</v>
      </c>
      <c r="G10985" t="s">
        <v>12</v>
      </c>
      <c r="I10985" t="s">
        <v>230</v>
      </c>
    </row>
    <row r="10986" spans="1:9" hidden="1" x14ac:dyDescent="0.25">
      <c r="A10986" t="s">
        <v>9006</v>
      </c>
      <c r="B10986" t="s">
        <v>76</v>
      </c>
      <c r="C10986" s="2">
        <f>HYPERLINK("https://cao.dolgi.msk.ru/account/1089119992/", 1089119992)</f>
        <v>1089119992</v>
      </c>
      <c r="D10986" t="s">
        <v>9033</v>
      </c>
      <c r="E10986">
        <v>-4569.68</v>
      </c>
      <c r="F10986">
        <v>-1.33</v>
      </c>
      <c r="G10986" t="s">
        <v>12</v>
      </c>
      <c r="I10986" t="s">
        <v>230</v>
      </c>
    </row>
    <row r="10987" spans="1:9" hidden="1" x14ac:dyDescent="0.25">
      <c r="A10987" t="s">
        <v>9006</v>
      </c>
      <c r="B10987" t="s">
        <v>78</v>
      </c>
      <c r="C10987" s="2">
        <f>HYPERLINK("https://cao.dolgi.msk.ru/account/1089120002/", 1089120002)</f>
        <v>1089120002</v>
      </c>
      <c r="D10987" t="s">
        <v>9034</v>
      </c>
      <c r="E10987">
        <v>-3685.53</v>
      </c>
      <c r="F10987">
        <v>-1.08</v>
      </c>
      <c r="G10987" t="s">
        <v>12</v>
      </c>
      <c r="I10987" t="s">
        <v>230</v>
      </c>
    </row>
    <row r="10988" spans="1:9" hidden="1" x14ac:dyDescent="0.25">
      <c r="A10988" t="s">
        <v>9006</v>
      </c>
      <c r="B10988" t="s">
        <v>80</v>
      </c>
      <c r="C10988" s="2">
        <f>HYPERLINK("https://cao.dolgi.msk.ru/account/1089120029/", 1089120029)</f>
        <v>1089120029</v>
      </c>
      <c r="D10988" t="s">
        <v>15</v>
      </c>
      <c r="E10988">
        <v>-7088.48</v>
      </c>
      <c r="F10988">
        <v>-1.19</v>
      </c>
      <c r="G10988" t="s">
        <v>12</v>
      </c>
      <c r="I10988" t="s">
        <v>230</v>
      </c>
    </row>
    <row r="10989" spans="1:9" hidden="1" x14ac:dyDescent="0.25">
      <c r="A10989" t="s">
        <v>9006</v>
      </c>
      <c r="B10989" t="s">
        <v>82</v>
      </c>
      <c r="C10989" s="2">
        <f>HYPERLINK("https://cao.dolgi.msk.ru/account/1089120037/", 1089120037)</f>
        <v>1089120037</v>
      </c>
      <c r="D10989" t="s">
        <v>9035</v>
      </c>
      <c r="E10989">
        <v>-16605.95</v>
      </c>
      <c r="F10989">
        <v>-1.1200000000000001</v>
      </c>
      <c r="G10989" t="s">
        <v>12</v>
      </c>
      <c r="I10989" t="s">
        <v>230</v>
      </c>
    </row>
    <row r="10990" spans="1:9" hidden="1" x14ac:dyDescent="0.25">
      <c r="A10990" t="s">
        <v>9006</v>
      </c>
      <c r="B10990" t="s">
        <v>84</v>
      </c>
      <c r="C10990" s="2">
        <f>HYPERLINK("https://cao.dolgi.msk.ru/account/1089120045/", 1089120045)</f>
        <v>1089120045</v>
      </c>
      <c r="D10990" t="s">
        <v>9036</v>
      </c>
      <c r="E10990">
        <v>-14648.51</v>
      </c>
      <c r="F10990">
        <v>-1.08</v>
      </c>
      <c r="G10990" t="s">
        <v>12</v>
      </c>
      <c r="I10990" t="s">
        <v>230</v>
      </c>
    </row>
    <row r="10991" spans="1:9" x14ac:dyDescent="0.25">
      <c r="A10991" t="s">
        <v>9006</v>
      </c>
      <c r="B10991" t="s">
        <v>86</v>
      </c>
      <c r="C10991" s="2">
        <f>HYPERLINK("https://cao.dolgi.msk.ru/account/1089120053/", 1089120053)</f>
        <v>1089120053</v>
      </c>
      <c r="D10991" t="s">
        <v>9037</v>
      </c>
      <c r="E10991">
        <v>8025.09</v>
      </c>
      <c r="F10991">
        <v>1.01</v>
      </c>
      <c r="G10991" t="s">
        <v>12</v>
      </c>
      <c r="I10991" t="s">
        <v>230</v>
      </c>
    </row>
    <row r="10992" spans="1:9" hidden="1" x14ac:dyDescent="0.25">
      <c r="A10992" t="s">
        <v>9006</v>
      </c>
      <c r="B10992" t="s">
        <v>88</v>
      </c>
      <c r="C10992" s="2">
        <f>HYPERLINK("https://cao.dolgi.msk.ru/account/1089120061/", 1089120061)</f>
        <v>1089120061</v>
      </c>
      <c r="D10992" t="s">
        <v>9038</v>
      </c>
      <c r="E10992">
        <v>0</v>
      </c>
      <c r="F10992">
        <v>0</v>
      </c>
      <c r="G10992" t="s">
        <v>12</v>
      </c>
      <c r="I10992" t="s">
        <v>230</v>
      </c>
    </row>
    <row r="10993" spans="1:9" hidden="1" x14ac:dyDescent="0.25">
      <c r="A10993" t="s">
        <v>9006</v>
      </c>
      <c r="B10993" t="s">
        <v>90</v>
      </c>
      <c r="C10993" s="2">
        <f>HYPERLINK("https://cao.dolgi.msk.ru/account/1089120088/", 1089120088)</f>
        <v>1089120088</v>
      </c>
      <c r="D10993" t="s">
        <v>9039</v>
      </c>
      <c r="E10993">
        <v>-70.41</v>
      </c>
      <c r="F10993">
        <v>-0.02</v>
      </c>
      <c r="G10993" t="s">
        <v>12</v>
      </c>
      <c r="I10993" t="s">
        <v>230</v>
      </c>
    </row>
    <row r="10994" spans="1:9" hidden="1" x14ac:dyDescent="0.25">
      <c r="A10994" t="s">
        <v>9006</v>
      </c>
      <c r="B10994" t="s">
        <v>92</v>
      </c>
      <c r="C10994" s="2">
        <f>HYPERLINK("https://cao.dolgi.msk.ru/account/1089120096/", 1089120096)</f>
        <v>1089120096</v>
      </c>
      <c r="D10994" t="s">
        <v>9040</v>
      </c>
      <c r="E10994">
        <v>-5957.29</v>
      </c>
      <c r="F10994">
        <v>-0.97</v>
      </c>
      <c r="G10994" t="s">
        <v>12</v>
      </c>
      <c r="I10994" t="s">
        <v>230</v>
      </c>
    </row>
    <row r="10995" spans="1:9" hidden="1" x14ac:dyDescent="0.25">
      <c r="A10995" t="s">
        <v>9006</v>
      </c>
      <c r="B10995" t="s">
        <v>94</v>
      </c>
      <c r="C10995" s="2">
        <f>HYPERLINK("https://cao.dolgi.msk.ru/account/1089120109/", 1089120109)</f>
        <v>1089120109</v>
      </c>
      <c r="D10995" t="s">
        <v>9041</v>
      </c>
      <c r="E10995">
        <v>6369.82</v>
      </c>
      <c r="F10995">
        <v>0.83</v>
      </c>
      <c r="G10995" t="s">
        <v>12</v>
      </c>
      <c r="I10995" t="s">
        <v>230</v>
      </c>
    </row>
    <row r="10996" spans="1:9" hidden="1" x14ac:dyDescent="0.25">
      <c r="A10996" t="s">
        <v>9006</v>
      </c>
      <c r="B10996" t="s">
        <v>96</v>
      </c>
      <c r="C10996" s="2">
        <f>HYPERLINK("https://cao.dolgi.msk.ru/account/1089120117/", 1089120117)</f>
        <v>1089120117</v>
      </c>
      <c r="D10996" t="s">
        <v>9042</v>
      </c>
      <c r="E10996">
        <v>-7422.37</v>
      </c>
      <c r="F10996">
        <v>-1.1200000000000001</v>
      </c>
      <c r="G10996" t="s">
        <v>12</v>
      </c>
      <c r="I10996" t="s">
        <v>230</v>
      </c>
    </row>
    <row r="10997" spans="1:9" hidden="1" x14ac:dyDescent="0.25">
      <c r="A10997" t="s">
        <v>9006</v>
      </c>
      <c r="B10997" t="s">
        <v>98</v>
      </c>
      <c r="C10997" s="2">
        <f>HYPERLINK("https://cao.dolgi.msk.ru/account/1089120125/", 1089120125)</f>
        <v>1089120125</v>
      </c>
      <c r="D10997" t="s">
        <v>9043</v>
      </c>
      <c r="E10997">
        <v>-6935.64</v>
      </c>
      <c r="F10997">
        <v>-1.47</v>
      </c>
      <c r="G10997" t="s">
        <v>12</v>
      </c>
      <c r="I10997" t="s">
        <v>230</v>
      </c>
    </row>
    <row r="10998" spans="1:9" hidden="1" x14ac:dyDescent="0.25">
      <c r="A10998" t="s">
        <v>9006</v>
      </c>
      <c r="B10998" t="s">
        <v>100</v>
      </c>
      <c r="C10998" s="2">
        <f>HYPERLINK("https://cao.dolgi.msk.ru/account/1089120133/", 1089120133)</f>
        <v>1089120133</v>
      </c>
      <c r="D10998" t="s">
        <v>9044</v>
      </c>
      <c r="E10998">
        <v>-8105.82</v>
      </c>
      <c r="F10998">
        <v>-1.05</v>
      </c>
      <c r="G10998" t="s">
        <v>12</v>
      </c>
      <c r="I10998" t="s">
        <v>230</v>
      </c>
    </row>
    <row r="10999" spans="1:9" hidden="1" x14ac:dyDescent="0.25">
      <c r="A10999" t="s">
        <v>9006</v>
      </c>
      <c r="B10999" t="s">
        <v>102</v>
      </c>
      <c r="C10999" s="2">
        <f>HYPERLINK("https://cao.dolgi.msk.ru/account/1089120141/", 1089120141)</f>
        <v>1089120141</v>
      </c>
      <c r="D10999" t="s">
        <v>9045</v>
      </c>
      <c r="E10999">
        <v>-46.92</v>
      </c>
      <c r="F10999">
        <v>-0.01</v>
      </c>
      <c r="G10999" t="s">
        <v>12</v>
      </c>
      <c r="I10999" t="s">
        <v>230</v>
      </c>
    </row>
    <row r="11000" spans="1:9" hidden="1" x14ac:dyDescent="0.25">
      <c r="A11000" t="s">
        <v>9006</v>
      </c>
      <c r="B11000" t="s">
        <v>104</v>
      </c>
      <c r="C11000" s="2">
        <f>HYPERLINK("https://cao.dolgi.msk.ru/account/1089120168/", 1089120168)</f>
        <v>1089120168</v>
      </c>
      <c r="D11000" t="s">
        <v>9046</v>
      </c>
      <c r="E11000">
        <v>-6532.94</v>
      </c>
      <c r="F11000">
        <v>-1.06</v>
      </c>
      <c r="G11000" t="s">
        <v>12</v>
      </c>
      <c r="I11000" t="s">
        <v>230</v>
      </c>
    </row>
    <row r="11001" spans="1:9" hidden="1" x14ac:dyDescent="0.25">
      <c r="A11001" t="s">
        <v>9006</v>
      </c>
      <c r="B11001" t="s">
        <v>106</v>
      </c>
      <c r="C11001" s="2">
        <f>HYPERLINK("https://cao.dolgi.msk.ru/account/1089120176/", 1089120176)</f>
        <v>1089120176</v>
      </c>
      <c r="D11001" t="s">
        <v>9047</v>
      </c>
      <c r="E11001">
        <v>-15.17</v>
      </c>
      <c r="F11001">
        <v>0</v>
      </c>
      <c r="G11001" t="s">
        <v>12</v>
      </c>
      <c r="I11001" t="s">
        <v>230</v>
      </c>
    </row>
    <row r="11002" spans="1:9" hidden="1" x14ac:dyDescent="0.25">
      <c r="A11002" t="s">
        <v>9006</v>
      </c>
      <c r="B11002" t="s">
        <v>108</v>
      </c>
      <c r="C11002" s="2">
        <f>HYPERLINK("https://cao.dolgi.msk.ru/account/1089120184/", 1089120184)</f>
        <v>1089120184</v>
      </c>
      <c r="D11002" t="s">
        <v>9048</v>
      </c>
      <c r="E11002">
        <v>-5062.99</v>
      </c>
      <c r="F11002">
        <v>-1.23</v>
      </c>
      <c r="G11002" t="s">
        <v>12</v>
      </c>
      <c r="I11002" t="s">
        <v>230</v>
      </c>
    </row>
    <row r="11003" spans="1:9" hidden="1" x14ac:dyDescent="0.25">
      <c r="A11003" t="s">
        <v>9006</v>
      </c>
      <c r="B11003" t="s">
        <v>110</v>
      </c>
      <c r="C11003" s="2">
        <f>HYPERLINK("https://cao.dolgi.msk.ru/account/1089120192/", 1089120192)</f>
        <v>1089120192</v>
      </c>
      <c r="D11003" t="s">
        <v>9049</v>
      </c>
      <c r="E11003">
        <v>38.799999999999997</v>
      </c>
      <c r="F11003">
        <v>0.01</v>
      </c>
      <c r="G11003" t="s">
        <v>12</v>
      </c>
      <c r="I11003" t="s">
        <v>230</v>
      </c>
    </row>
    <row r="11004" spans="1:9" hidden="1" x14ac:dyDescent="0.25">
      <c r="A11004" t="s">
        <v>9006</v>
      </c>
      <c r="B11004" t="s">
        <v>112</v>
      </c>
      <c r="C11004" s="2">
        <f>HYPERLINK("https://cao.dolgi.msk.ru/account/1089120205/", 1089120205)</f>
        <v>1089120205</v>
      </c>
      <c r="D11004" t="s">
        <v>9050</v>
      </c>
      <c r="E11004">
        <v>0</v>
      </c>
      <c r="F11004">
        <v>0</v>
      </c>
      <c r="G11004" t="s">
        <v>12</v>
      </c>
      <c r="I11004" t="s">
        <v>230</v>
      </c>
    </row>
    <row r="11005" spans="1:9" hidden="1" x14ac:dyDescent="0.25">
      <c r="A11005" t="s">
        <v>9006</v>
      </c>
      <c r="B11005" t="s">
        <v>114</v>
      </c>
      <c r="C11005" s="2">
        <f>HYPERLINK("https://cao.dolgi.msk.ru/account/1089120213/", 1089120213)</f>
        <v>1089120213</v>
      </c>
      <c r="D11005" t="s">
        <v>9051</v>
      </c>
      <c r="E11005">
        <v>-16030.43</v>
      </c>
      <c r="F11005">
        <v>-1.03</v>
      </c>
      <c r="G11005" t="s">
        <v>12</v>
      </c>
      <c r="I11005" t="s">
        <v>230</v>
      </c>
    </row>
    <row r="11006" spans="1:9" hidden="1" x14ac:dyDescent="0.25">
      <c r="A11006" t="s">
        <v>9006</v>
      </c>
      <c r="B11006" t="s">
        <v>116</v>
      </c>
      <c r="C11006" s="2">
        <f>HYPERLINK("https://cao.dolgi.msk.ru/account/1089120221/", 1089120221)</f>
        <v>1089120221</v>
      </c>
      <c r="D11006" t="s">
        <v>9052</v>
      </c>
      <c r="E11006">
        <v>-6643.12</v>
      </c>
      <c r="F11006">
        <v>-1.01</v>
      </c>
      <c r="G11006" t="s">
        <v>12</v>
      </c>
      <c r="I11006" t="s">
        <v>230</v>
      </c>
    </row>
    <row r="11007" spans="1:9" hidden="1" x14ac:dyDescent="0.25">
      <c r="A11007" t="s">
        <v>9006</v>
      </c>
      <c r="B11007" t="s">
        <v>118</v>
      </c>
      <c r="C11007" s="2">
        <f>HYPERLINK("https://cao.dolgi.msk.ru/account/1089120248/", 1089120248)</f>
        <v>1089120248</v>
      </c>
      <c r="D11007" t="s">
        <v>9053</v>
      </c>
      <c r="E11007">
        <v>-5385.29</v>
      </c>
      <c r="F11007">
        <v>-1.1399999999999999</v>
      </c>
      <c r="G11007" t="s">
        <v>12</v>
      </c>
      <c r="I11007" t="s">
        <v>230</v>
      </c>
    </row>
    <row r="11008" spans="1:9" hidden="1" x14ac:dyDescent="0.25">
      <c r="A11008" t="s">
        <v>9006</v>
      </c>
      <c r="B11008" t="s">
        <v>120</v>
      </c>
      <c r="C11008" s="2">
        <f>HYPERLINK("https://cao.dolgi.msk.ru/account/1089120256/", 1089120256)</f>
        <v>1089120256</v>
      </c>
      <c r="D11008" t="s">
        <v>9054</v>
      </c>
      <c r="E11008">
        <v>-7316.49</v>
      </c>
      <c r="F11008">
        <v>-1.1000000000000001</v>
      </c>
      <c r="G11008" t="s">
        <v>12</v>
      </c>
      <c r="I11008" t="s">
        <v>230</v>
      </c>
    </row>
    <row r="11009" spans="1:9" hidden="1" x14ac:dyDescent="0.25">
      <c r="A11009" t="s">
        <v>9006</v>
      </c>
      <c r="B11009" t="s">
        <v>122</v>
      </c>
      <c r="C11009" s="2">
        <f>HYPERLINK("https://cao.dolgi.msk.ru/account/1089120264/", 1089120264)</f>
        <v>1089120264</v>
      </c>
      <c r="D11009" t="s">
        <v>9055</v>
      </c>
      <c r="E11009">
        <v>-6129.88</v>
      </c>
      <c r="F11009">
        <v>-1.18</v>
      </c>
      <c r="G11009" t="s">
        <v>12</v>
      </c>
      <c r="I11009" t="s">
        <v>230</v>
      </c>
    </row>
    <row r="11010" spans="1:9" hidden="1" x14ac:dyDescent="0.25">
      <c r="A11010" t="s">
        <v>9006</v>
      </c>
      <c r="B11010" t="s">
        <v>124</v>
      </c>
      <c r="C11010" s="2">
        <f>HYPERLINK("https://cao.dolgi.msk.ru/account/1089120272/", 1089120272)</f>
        <v>1089120272</v>
      </c>
      <c r="D11010" t="s">
        <v>9056</v>
      </c>
      <c r="E11010">
        <v>-6005.63</v>
      </c>
      <c r="F11010">
        <v>-1.1499999999999999</v>
      </c>
      <c r="G11010" t="s">
        <v>12</v>
      </c>
      <c r="I11010" t="s">
        <v>230</v>
      </c>
    </row>
    <row r="11011" spans="1:9" hidden="1" x14ac:dyDescent="0.25">
      <c r="A11011" t="s">
        <v>9006</v>
      </c>
      <c r="B11011" t="s">
        <v>126</v>
      </c>
      <c r="C11011" s="2">
        <f>HYPERLINK("https://cao.dolgi.msk.ru/account/1089120299/", 1089120299)</f>
        <v>1089120299</v>
      </c>
      <c r="D11011" t="s">
        <v>9057</v>
      </c>
      <c r="E11011">
        <v>-9453.07</v>
      </c>
      <c r="F11011">
        <v>-1.05</v>
      </c>
      <c r="G11011" t="s">
        <v>12</v>
      </c>
      <c r="I11011" t="s">
        <v>230</v>
      </c>
    </row>
    <row r="11012" spans="1:9" hidden="1" x14ac:dyDescent="0.25">
      <c r="A11012" t="s">
        <v>9006</v>
      </c>
      <c r="B11012" t="s">
        <v>128</v>
      </c>
      <c r="C11012" s="2">
        <f>HYPERLINK("https://cao.dolgi.msk.ru/account/1089120301/", 1089120301)</f>
        <v>1089120301</v>
      </c>
      <c r="D11012" t="s">
        <v>9058</v>
      </c>
      <c r="E11012">
        <v>-9033.11</v>
      </c>
      <c r="F11012">
        <v>-1.34</v>
      </c>
      <c r="G11012" t="s">
        <v>12</v>
      </c>
      <c r="I11012" t="s">
        <v>230</v>
      </c>
    </row>
    <row r="11013" spans="1:9" hidden="1" x14ac:dyDescent="0.25">
      <c r="A11013" t="s">
        <v>9006</v>
      </c>
      <c r="B11013" t="s">
        <v>130</v>
      </c>
      <c r="C11013" s="2">
        <f>HYPERLINK("https://cao.dolgi.msk.ru/account/1089120328/", 1089120328)</f>
        <v>1089120328</v>
      </c>
      <c r="D11013" t="s">
        <v>9059</v>
      </c>
      <c r="E11013">
        <v>0</v>
      </c>
      <c r="F11013">
        <v>0</v>
      </c>
      <c r="G11013" t="s">
        <v>12</v>
      </c>
      <c r="I11013" t="s">
        <v>230</v>
      </c>
    </row>
    <row r="11014" spans="1:9" hidden="1" x14ac:dyDescent="0.25">
      <c r="A11014" t="s">
        <v>9006</v>
      </c>
      <c r="B11014" t="s">
        <v>132</v>
      </c>
      <c r="C11014" s="2">
        <f>HYPERLINK("https://cao.dolgi.msk.ru/account/1089120336/", 1089120336)</f>
        <v>1089120336</v>
      </c>
      <c r="D11014" t="s">
        <v>15</v>
      </c>
      <c r="G11014" t="s">
        <v>14</v>
      </c>
      <c r="I11014" t="s">
        <v>230</v>
      </c>
    </row>
    <row r="11015" spans="1:9" hidden="1" x14ac:dyDescent="0.25">
      <c r="A11015" t="s">
        <v>9006</v>
      </c>
      <c r="B11015" t="s">
        <v>132</v>
      </c>
      <c r="C11015" s="2">
        <f>HYPERLINK("https://cao.dolgi.msk.ru/account/1089120344/", 1089120344)</f>
        <v>1089120344</v>
      </c>
      <c r="D11015" t="s">
        <v>9060</v>
      </c>
      <c r="E11015">
        <v>-8432.73</v>
      </c>
      <c r="F11015">
        <v>-1.1000000000000001</v>
      </c>
      <c r="G11015" t="s">
        <v>12</v>
      </c>
      <c r="I11015" t="s">
        <v>230</v>
      </c>
    </row>
    <row r="11016" spans="1:9" hidden="1" x14ac:dyDescent="0.25">
      <c r="A11016" t="s">
        <v>9006</v>
      </c>
      <c r="B11016" t="s">
        <v>133</v>
      </c>
      <c r="C11016" s="2">
        <f>HYPERLINK("https://cao.dolgi.msk.ru/account/1089120352/", 1089120352)</f>
        <v>1089120352</v>
      </c>
      <c r="D11016" t="s">
        <v>9061</v>
      </c>
      <c r="E11016">
        <v>-6095.28</v>
      </c>
      <c r="F11016">
        <v>-1.1100000000000001</v>
      </c>
      <c r="G11016" t="s">
        <v>12</v>
      </c>
      <c r="I11016" t="s">
        <v>230</v>
      </c>
    </row>
    <row r="11017" spans="1:9" hidden="1" x14ac:dyDescent="0.25">
      <c r="A11017" t="s">
        <v>9006</v>
      </c>
      <c r="B11017" t="s">
        <v>135</v>
      </c>
      <c r="C11017" s="2">
        <f>HYPERLINK("https://cao.dolgi.msk.ru/account/1089120379/", 1089120379)</f>
        <v>1089120379</v>
      </c>
      <c r="D11017" t="s">
        <v>9062</v>
      </c>
      <c r="E11017">
        <v>-25.96</v>
      </c>
      <c r="F11017">
        <v>0</v>
      </c>
      <c r="G11017" t="s">
        <v>12</v>
      </c>
      <c r="I11017" t="s">
        <v>230</v>
      </c>
    </row>
    <row r="11018" spans="1:9" hidden="1" x14ac:dyDescent="0.25">
      <c r="A11018" t="s">
        <v>9006</v>
      </c>
      <c r="B11018" t="s">
        <v>137</v>
      </c>
      <c r="C11018" s="2">
        <f>HYPERLINK("https://cao.dolgi.msk.ru/account/1089120387/", 1089120387)</f>
        <v>1089120387</v>
      </c>
      <c r="D11018" t="s">
        <v>9063</v>
      </c>
      <c r="E11018">
        <v>0</v>
      </c>
      <c r="F11018">
        <v>0</v>
      </c>
      <c r="G11018" t="s">
        <v>12</v>
      </c>
      <c r="I11018" t="s">
        <v>230</v>
      </c>
    </row>
    <row r="11019" spans="1:9" hidden="1" x14ac:dyDescent="0.25">
      <c r="A11019" t="s">
        <v>9006</v>
      </c>
      <c r="B11019" t="s">
        <v>139</v>
      </c>
      <c r="C11019" s="2">
        <f>HYPERLINK("https://cao.dolgi.msk.ru/account/1089120395/", 1089120395)</f>
        <v>1089120395</v>
      </c>
      <c r="D11019" t="s">
        <v>9064</v>
      </c>
      <c r="E11019">
        <v>77.599999999999994</v>
      </c>
      <c r="F11019">
        <v>0.01</v>
      </c>
      <c r="G11019" t="s">
        <v>12</v>
      </c>
      <c r="I11019" t="s">
        <v>230</v>
      </c>
    </row>
    <row r="11020" spans="1:9" hidden="1" x14ac:dyDescent="0.25">
      <c r="A11020" t="s">
        <v>9006</v>
      </c>
      <c r="B11020" t="s">
        <v>141</v>
      </c>
      <c r="C11020" s="2">
        <f>HYPERLINK("https://cao.dolgi.msk.ru/account/1089120408/", 1089120408)</f>
        <v>1089120408</v>
      </c>
      <c r="D11020" t="s">
        <v>9065</v>
      </c>
      <c r="E11020">
        <v>8671.5499999999993</v>
      </c>
      <c r="F11020">
        <v>0.36</v>
      </c>
      <c r="G11020" t="s">
        <v>12</v>
      </c>
      <c r="I11020" t="s">
        <v>230</v>
      </c>
    </row>
    <row r="11021" spans="1:9" hidden="1" x14ac:dyDescent="0.25">
      <c r="A11021" t="s">
        <v>9006</v>
      </c>
      <c r="B11021" t="s">
        <v>143</v>
      </c>
      <c r="C11021" s="2">
        <f>HYPERLINK("https://cao.dolgi.msk.ru/account/1089120416/", 1089120416)</f>
        <v>1089120416</v>
      </c>
      <c r="D11021" t="s">
        <v>9066</v>
      </c>
      <c r="E11021">
        <v>0</v>
      </c>
      <c r="F11021">
        <v>0</v>
      </c>
      <c r="G11021" t="s">
        <v>12</v>
      </c>
      <c r="I11021" t="s">
        <v>230</v>
      </c>
    </row>
    <row r="11022" spans="1:9" hidden="1" x14ac:dyDescent="0.25">
      <c r="A11022" t="s">
        <v>9006</v>
      </c>
      <c r="B11022" t="s">
        <v>145</v>
      </c>
      <c r="C11022" s="2">
        <f>HYPERLINK("https://cao.dolgi.msk.ru/account/1089120424/", 1089120424)</f>
        <v>1089120424</v>
      </c>
      <c r="D11022" t="s">
        <v>9067</v>
      </c>
      <c r="E11022">
        <v>-181.05</v>
      </c>
      <c r="G11022" t="s">
        <v>14</v>
      </c>
      <c r="I11022" t="s">
        <v>230</v>
      </c>
    </row>
    <row r="11023" spans="1:9" hidden="1" x14ac:dyDescent="0.25">
      <c r="A11023" t="s">
        <v>9006</v>
      </c>
      <c r="B11023" t="s">
        <v>147</v>
      </c>
      <c r="C11023" s="2">
        <f>HYPERLINK("https://cao.dolgi.msk.ru/account/1089120432/", 1089120432)</f>
        <v>1089120432</v>
      </c>
      <c r="D11023" t="s">
        <v>9068</v>
      </c>
      <c r="E11023">
        <v>2240.87</v>
      </c>
      <c r="F11023">
        <v>0.73</v>
      </c>
      <c r="G11023" t="s">
        <v>12</v>
      </c>
      <c r="I11023" t="s">
        <v>230</v>
      </c>
    </row>
    <row r="11024" spans="1:9" hidden="1" x14ac:dyDescent="0.25">
      <c r="A11024" t="s">
        <v>9006</v>
      </c>
      <c r="B11024" t="s">
        <v>149</v>
      </c>
      <c r="C11024" s="2">
        <f>HYPERLINK("https://cao.dolgi.msk.ru/account/1089120459/", 1089120459)</f>
        <v>1089120459</v>
      </c>
      <c r="D11024" t="s">
        <v>9069</v>
      </c>
      <c r="E11024">
        <v>-4781.22</v>
      </c>
      <c r="F11024">
        <v>-1.19</v>
      </c>
      <c r="G11024" t="s">
        <v>12</v>
      </c>
      <c r="I11024" t="s">
        <v>230</v>
      </c>
    </row>
    <row r="11025" spans="1:9" hidden="1" x14ac:dyDescent="0.25">
      <c r="A11025" t="s">
        <v>9006</v>
      </c>
      <c r="B11025" t="s">
        <v>151</v>
      </c>
      <c r="C11025" s="2">
        <f>HYPERLINK("https://cao.dolgi.msk.ru/account/1089120467/", 1089120467)</f>
        <v>1089120467</v>
      </c>
      <c r="D11025" t="s">
        <v>9070</v>
      </c>
      <c r="E11025">
        <v>-3666.41</v>
      </c>
      <c r="F11025">
        <v>-1.22</v>
      </c>
      <c r="G11025" t="s">
        <v>12</v>
      </c>
      <c r="I11025" t="s">
        <v>230</v>
      </c>
    </row>
    <row r="11026" spans="1:9" hidden="1" x14ac:dyDescent="0.25">
      <c r="A11026" t="s">
        <v>9006</v>
      </c>
      <c r="B11026" t="s">
        <v>153</v>
      </c>
      <c r="C11026" s="2">
        <f>HYPERLINK("https://cao.dolgi.msk.ru/account/1089120475/", 1089120475)</f>
        <v>1089120475</v>
      </c>
      <c r="D11026" t="s">
        <v>9071</v>
      </c>
      <c r="E11026">
        <v>-3472.03</v>
      </c>
      <c r="F11026">
        <v>-2.02</v>
      </c>
      <c r="G11026" t="s">
        <v>12</v>
      </c>
      <c r="I11026" t="s">
        <v>230</v>
      </c>
    </row>
    <row r="11027" spans="1:9" hidden="1" x14ac:dyDescent="0.25">
      <c r="A11027" t="s">
        <v>9006</v>
      </c>
      <c r="B11027" t="s">
        <v>153</v>
      </c>
      <c r="C11027" s="2">
        <f>HYPERLINK("https://cao.dolgi.msk.ru/account/1089123895/", 1089123895)</f>
        <v>1089123895</v>
      </c>
      <c r="D11027" t="s">
        <v>9071</v>
      </c>
      <c r="E11027">
        <v>-5413.79</v>
      </c>
      <c r="F11027">
        <v>-3.04</v>
      </c>
      <c r="G11027" t="s">
        <v>12</v>
      </c>
      <c r="I11027" t="s">
        <v>230</v>
      </c>
    </row>
    <row r="11028" spans="1:9" hidden="1" x14ac:dyDescent="0.25">
      <c r="A11028" t="s">
        <v>9006</v>
      </c>
      <c r="B11028" t="s">
        <v>155</v>
      </c>
      <c r="C11028" s="2">
        <f>HYPERLINK("https://cao.dolgi.msk.ru/account/1089120483/", 1089120483)</f>
        <v>1089120483</v>
      </c>
      <c r="D11028" t="s">
        <v>9072</v>
      </c>
      <c r="E11028">
        <v>-9676.02</v>
      </c>
      <c r="F11028">
        <v>-1.08</v>
      </c>
      <c r="G11028" t="s">
        <v>12</v>
      </c>
      <c r="I11028" t="s">
        <v>230</v>
      </c>
    </row>
    <row r="11029" spans="1:9" hidden="1" x14ac:dyDescent="0.25">
      <c r="A11029" t="s">
        <v>9006</v>
      </c>
      <c r="B11029" t="s">
        <v>157</v>
      </c>
      <c r="C11029" s="2">
        <f>HYPERLINK("https://cao.dolgi.msk.ru/account/1089120491/", 1089120491)</f>
        <v>1089120491</v>
      </c>
      <c r="D11029" t="s">
        <v>9073</v>
      </c>
      <c r="E11029">
        <v>-6264.95</v>
      </c>
      <c r="F11029">
        <v>-1.17</v>
      </c>
      <c r="G11029" t="s">
        <v>12</v>
      </c>
      <c r="I11029" t="s">
        <v>230</v>
      </c>
    </row>
    <row r="11030" spans="1:9" hidden="1" x14ac:dyDescent="0.25">
      <c r="A11030" t="s">
        <v>9006</v>
      </c>
      <c r="B11030" t="s">
        <v>159</v>
      </c>
      <c r="C11030" s="2">
        <f>HYPERLINK("https://cao.dolgi.msk.ru/account/1089120504/", 1089120504)</f>
        <v>1089120504</v>
      </c>
      <c r="D11030" t="s">
        <v>9074</v>
      </c>
      <c r="E11030">
        <v>-14356.13</v>
      </c>
      <c r="F11030">
        <v>-1.07</v>
      </c>
      <c r="G11030" t="s">
        <v>12</v>
      </c>
      <c r="I11030" t="s">
        <v>230</v>
      </c>
    </row>
    <row r="11031" spans="1:9" hidden="1" x14ac:dyDescent="0.25">
      <c r="A11031" t="s">
        <v>9006</v>
      </c>
      <c r="B11031" t="s">
        <v>161</v>
      </c>
      <c r="C11031" s="2">
        <f>HYPERLINK("https://cao.dolgi.msk.ru/account/1089120512/", 1089120512)</f>
        <v>1089120512</v>
      </c>
      <c r="D11031" t="s">
        <v>9075</v>
      </c>
      <c r="E11031">
        <v>97</v>
      </c>
      <c r="F11031">
        <v>0.01</v>
      </c>
      <c r="G11031" t="s">
        <v>12</v>
      </c>
      <c r="I11031" t="s">
        <v>230</v>
      </c>
    </row>
    <row r="11032" spans="1:9" hidden="1" x14ac:dyDescent="0.25">
      <c r="A11032" t="s">
        <v>9006</v>
      </c>
      <c r="B11032" t="s">
        <v>163</v>
      </c>
      <c r="C11032" s="2">
        <f>HYPERLINK("https://cao.dolgi.msk.ru/account/1089120539/", 1089120539)</f>
        <v>1089120539</v>
      </c>
      <c r="D11032" t="s">
        <v>9076</v>
      </c>
      <c r="E11032">
        <v>-5675.35</v>
      </c>
      <c r="F11032">
        <v>-1.19</v>
      </c>
      <c r="G11032" t="s">
        <v>12</v>
      </c>
      <c r="I11032" t="s">
        <v>230</v>
      </c>
    </row>
    <row r="11033" spans="1:9" hidden="1" x14ac:dyDescent="0.25">
      <c r="A11033" t="s">
        <v>9006</v>
      </c>
      <c r="B11033" t="s">
        <v>571</v>
      </c>
      <c r="C11033" s="2">
        <f>HYPERLINK("https://cao.dolgi.msk.ru/account/1089120547/", 1089120547)</f>
        <v>1089120547</v>
      </c>
      <c r="D11033" t="s">
        <v>9077</v>
      </c>
      <c r="E11033">
        <v>-5131.53</v>
      </c>
      <c r="F11033">
        <v>-1.07</v>
      </c>
      <c r="G11033" t="s">
        <v>12</v>
      </c>
      <c r="I11033" t="s">
        <v>230</v>
      </c>
    </row>
    <row r="11034" spans="1:9" hidden="1" x14ac:dyDescent="0.25">
      <c r="A11034" t="s">
        <v>9006</v>
      </c>
      <c r="B11034" t="s">
        <v>682</v>
      </c>
      <c r="C11034" s="2">
        <f>HYPERLINK("https://cao.dolgi.msk.ru/account/1089120555/", 1089120555)</f>
        <v>1089120555</v>
      </c>
      <c r="D11034" t="s">
        <v>9078</v>
      </c>
      <c r="E11034">
        <v>-230</v>
      </c>
      <c r="F11034">
        <v>-0.05</v>
      </c>
      <c r="G11034" t="s">
        <v>12</v>
      </c>
      <c r="I11034" t="s">
        <v>230</v>
      </c>
    </row>
    <row r="11035" spans="1:9" hidden="1" x14ac:dyDescent="0.25">
      <c r="A11035" t="s">
        <v>9006</v>
      </c>
      <c r="B11035" t="s">
        <v>578</v>
      </c>
      <c r="C11035" s="2">
        <f>HYPERLINK("https://cao.dolgi.msk.ru/account/1089120563/", 1089120563)</f>
        <v>1089120563</v>
      </c>
      <c r="D11035" t="s">
        <v>9079</v>
      </c>
      <c r="E11035">
        <v>-6166.34</v>
      </c>
      <c r="F11035">
        <v>-1.1499999999999999</v>
      </c>
      <c r="G11035" t="s">
        <v>12</v>
      </c>
      <c r="I11035" t="s">
        <v>230</v>
      </c>
    </row>
    <row r="11036" spans="1:9" hidden="1" x14ac:dyDescent="0.25">
      <c r="A11036" t="s">
        <v>9006</v>
      </c>
      <c r="B11036" t="s">
        <v>580</v>
      </c>
      <c r="C11036" s="2">
        <f>HYPERLINK("https://cao.dolgi.msk.ru/account/1089120571/", 1089120571)</f>
        <v>1089120571</v>
      </c>
      <c r="D11036" t="s">
        <v>9080</v>
      </c>
      <c r="E11036">
        <v>-6722.31</v>
      </c>
      <c r="F11036">
        <v>-1.1200000000000001</v>
      </c>
      <c r="G11036" t="s">
        <v>12</v>
      </c>
      <c r="I11036" t="s">
        <v>230</v>
      </c>
    </row>
    <row r="11037" spans="1:9" hidden="1" x14ac:dyDescent="0.25">
      <c r="A11037" t="s">
        <v>9006</v>
      </c>
      <c r="B11037" t="s">
        <v>686</v>
      </c>
      <c r="C11037" s="2">
        <f>HYPERLINK("https://cao.dolgi.msk.ru/account/1089120598/", 1089120598)</f>
        <v>1089120598</v>
      </c>
      <c r="D11037" t="s">
        <v>9081</v>
      </c>
      <c r="E11037">
        <v>-9550.83</v>
      </c>
      <c r="F11037">
        <v>-1.0900000000000001</v>
      </c>
      <c r="G11037" t="s">
        <v>12</v>
      </c>
      <c r="I11037" t="s">
        <v>230</v>
      </c>
    </row>
    <row r="11038" spans="1:9" x14ac:dyDescent="0.25">
      <c r="A11038" t="s">
        <v>9006</v>
      </c>
      <c r="B11038" t="s">
        <v>582</v>
      </c>
      <c r="C11038" s="2">
        <f>HYPERLINK("https://cao.dolgi.msk.ru/account/1089120619/", 1089120619)</f>
        <v>1089120619</v>
      </c>
      <c r="D11038" t="s">
        <v>9082</v>
      </c>
      <c r="E11038">
        <v>13066</v>
      </c>
      <c r="F11038">
        <v>1.83</v>
      </c>
      <c r="G11038" t="s">
        <v>12</v>
      </c>
      <c r="I11038" t="s">
        <v>230</v>
      </c>
    </row>
    <row r="11039" spans="1:9" hidden="1" x14ac:dyDescent="0.25">
      <c r="A11039" t="s">
        <v>9006</v>
      </c>
      <c r="B11039" t="s">
        <v>584</v>
      </c>
      <c r="C11039" s="2">
        <f>HYPERLINK("https://cao.dolgi.msk.ru/account/1089120627/", 1089120627)</f>
        <v>1089120627</v>
      </c>
      <c r="D11039" t="s">
        <v>9083</v>
      </c>
      <c r="E11039">
        <v>-5416.97</v>
      </c>
      <c r="F11039">
        <v>-1.08</v>
      </c>
      <c r="G11039" t="s">
        <v>12</v>
      </c>
      <c r="I11039" t="s">
        <v>230</v>
      </c>
    </row>
    <row r="11040" spans="1:9" hidden="1" x14ac:dyDescent="0.25">
      <c r="A11040" t="s">
        <v>9006</v>
      </c>
      <c r="B11040" t="s">
        <v>584</v>
      </c>
      <c r="C11040" s="2">
        <f>HYPERLINK("https://cao.dolgi.msk.ru/account/1089120635/", 1089120635)</f>
        <v>1089120635</v>
      </c>
      <c r="D11040" t="s">
        <v>9084</v>
      </c>
      <c r="E11040">
        <v>0</v>
      </c>
      <c r="G11040" t="s">
        <v>14</v>
      </c>
      <c r="I11040" t="s">
        <v>230</v>
      </c>
    </row>
    <row r="11041" spans="1:9" hidden="1" x14ac:dyDescent="0.25">
      <c r="A11041" t="s">
        <v>9006</v>
      </c>
      <c r="B11041" t="s">
        <v>586</v>
      </c>
      <c r="C11041" s="2">
        <f>HYPERLINK("https://cao.dolgi.msk.ru/account/1089120643/", 1089120643)</f>
        <v>1089120643</v>
      </c>
      <c r="D11041" t="s">
        <v>9085</v>
      </c>
      <c r="E11041">
        <v>-5986.98</v>
      </c>
      <c r="F11041">
        <v>-1.1599999999999999</v>
      </c>
      <c r="G11041" t="s">
        <v>12</v>
      </c>
      <c r="I11041" t="s">
        <v>230</v>
      </c>
    </row>
    <row r="11042" spans="1:9" hidden="1" x14ac:dyDescent="0.25">
      <c r="A11042" t="s">
        <v>9006</v>
      </c>
      <c r="B11042" t="s">
        <v>588</v>
      </c>
      <c r="C11042" s="2">
        <f>HYPERLINK("https://cao.dolgi.msk.ru/account/1089120651/", 1089120651)</f>
        <v>1089120651</v>
      </c>
      <c r="D11042" t="s">
        <v>9086</v>
      </c>
      <c r="E11042">
        <v>0</v>
      </c>
      <c r="F11042">
        <v>0</v>
      </c>
      <c r="G11042" t="s">
        <v>12</v>
      </c>
      <c r="I11042" t="s">
        <v>230</v>
      </c>
    </row>
    <row r="11043" spans="1:9" hidden="1" x14ac:dyDescent="0.25">
      <c r="A11043" t="s">
        <v>9006</v>
      </c>
      <c r="B11043" t="s">
        <v>590</v>
      </c>
      <c r="C11043" s="2">
        <f>HYPERLINK("https://cao.dolgi.msk.ru/account/1089120678/", 1089120678)</f>
        <v>1089120678</v>
      </c>
      <c r="D11043" t="s">
        <v>9087</v>
      </c>
      <c r="E11043">
        <v>-6404.24</v>
      </c>
      <c r="F11043">
        <v>-1.21</v>
      </c>
      <c r="G11043" t="s">
        <v>12</v>
      </c>
      <c r="I11043" t="s">
        <v>230</v>
      </c>
    </row>
    <row r="11044" spans="1:9" hidden="1" x14ac:dyDescent="0.25">
      <c r="A11044" t="s">
        <v>9006</v>
      </c>
      <c r="B11044" t="s">
        <v>693</v>
      </c>
      <c r="C11044" s="2">
        <f>HYPERLINK("https://cao.dolgi.msk.ru/account/1089120686/", 1089120686)</f>
        <v>1089120686</v>
      </c>
      <c r="D11044" t="s">
        <v>9088</v>
      </c>
      <c r="E11044">
        <v>0</v>
      </c>
      <c r="F11044">
        <v>0</v>
      </c>
      <c r="G11044" t="s">
        <v>12</v>
      </c>
      <c r="I11044" t="s">
        <v>230</v>
      </c>
    </row>
    <row r="11045" spans="1:9" hidden="1" x14ac:dyDescent="0.25">
      <c r="A11045" t="s">
        <v>9006</v>
      </c>
      <c r="B11045" t="s">
        <v>694</v>
      </c>
      <c r="C11045" s="2">
        <f>HYPERLINK("https://cao.dolgi.msk.ru/account/1089120694/", 1089120694)</f>
        <v>1089120694</v>
      </c>
      <c r="D11045" t="s">
        <v>9089</v>
      </c>
      <c r="E11045">
        <v>-8588.08</v>
      </c>
      <c r="F11045">
        <v>-1.1200000000000001</v>
      </c>
      <c r="G11045" t="s">
        <v>12</v>
      </c>
      <c r="I11045" t="s">
        <v>230</v>
      </c>
    </row>
    <row r="11046" spans="1:9" hidden="1" x14ac:dyDescent="0.25">
      <c r="A11046" t="s">
        <v>9006</v>
      </c>
      <c r="B11046" t="s">
        <v>696</v>
      </c>
      <c r="C11046" s="2">
        <f>HYPERLINK("https://cao.dolgi.msk.ru/account/1089120707/", 1089120707)</f>
        <v>1089120707</v>
      </c>
      <c r="D11046" t="s">
        <v>9090</v>
      </c>
      <c r="E11046">
        <v>-9426.99</v>
      </c>
      <c r="F11046">
        <v>-1.1000000000000001</v>
      </c>
      <c r="G11046" t="s">
        <v>12</v>
      </c>
      <c r="I11046" t="s">
        <v>230</v>
      </c>
    </row>
    <row r="11047" spans="1:9" hidden="1" x14ac:dyDescent="0.25">
      <c r="A11047" t="s">
        <v>9006</v>
      </c>
      <c r="B11047" t="s">
        <v>698</v>
      </c>
      <c r="C11047" s="2">
        <f>HYPERLINK("https://cao.dolgi.msk.ru/account/1089120715/", 1089120715)</f>
        <v>1089120715</v>
      </c>
      <c r="D11047" t="s">
        <v>9091</v>
      </c>
      <c r="E11047">
        <v>0</v>
      </c>
      <c r="F11047">
        <v>0</v>
      </c>
      <c r="G11047" t="s">
        <v>12</v>
      </c>
      <c r="I11047" t="s">
        <v>230</v>
      </c>
    </row>
    <row r="11048" spans="1:9" hidden="1" x14ac:dyDescent="0.25">
      <c r="A11048" t="s">
        <v>9006</v>
      </c>
      <c r="B11048" t="s">
        <v>700</v>
      </c>
      <c r="C11048" s="2">
        <f>HYPERLINK("https://cao.dolgi.msk.ru/account/1089120723/", 1089120723)</f>
        <v>1089120723</v>
      </c>
      <c r="D11048" t="s">
        <v>9092</v>
      </c>
      <c r="E11048">
        <v>-7447.04</v>
      </c>
      <c r="F11048">
        <v>-1.1100000000000001</v>
      </c>
      <c r="G11048" t="s">
        <v>12</v>
      </c>
      <c r="I11048" t="s">
        <v>230</v>
      </c>
    </row>
    <row r="11049" spans="1:9" hidden="1" x14ac:dyDescent="0.25">
      <c r="A11049" t="s">
        <v>9006</v>
      </c>
      <c r="B11049" t="s">
        <v>702</v>
      </c>
      <c r="C11049" s="2">
        <f>HYPERLINK("https://cao.dolgi.msk.ru/account/1089120731/", 1089120731)</f>
        <v>1089120731</v>
      </c>
      <c r="D11049" t="s">
        <v>9093</v>
      </c>
      <c r="E11049">
        <v>-816.59</v>
      </c>
      <c r="F11049">
        <v>-0.14000000000000001</v>
      </c>
      <c r="G11049" t="s">
        <v>12</v>
      </c>
      <c r="I11049" t="s">
        <v>230</v>
      </c>
    </row>
    <row r="11050" spans="1:9" hidden="1" x14ac:dyDescent="0.25">
      <c r="A11050" t="s">
        <v>9006</v>
      </c>
      <c r="B11050" t="s">
        <v>703</v>
      </c>
      <c r="C11050" s="2">
        <f>HYPERLINK("https://cao.dolgi.msk.ru/account/1089120758/", 1089120758)</f>
        <v>1089120758</v>
      </c>
      <c r="D11050" t="s">
        <v>9094</v>
      </c>
      <c r="E11050">
        <v>6558.45</v>
      </c>
      <c r="F11050">
        <v>1</v>
      </c>
      <c r="G11050" t="s">
        <v>12</v>
      </c>
      <c r="I11050" t="s">
        <v>230</v>
      </c>
    </row>
    <row r="11051" spans="1:9" hidden="1" x14ac:dyDescent="0.25">
      <c r="A11051" t="s">
        <v>9006</v>
      </c>
      <c r="B11051" t="s">
        <v>705</v>
      </c>
      <c r="C11051" s="2">
        <f>HYPERLINK("https://cao.dolgi.msk.ru/account/1089120766/", 1089120766)</f>
        <v>1089120766</v>
      </c>
      <c r="D11051" t="s">
        <v>9095</v>
      </c>
      <c r="E11051">
        <v>-38.799999999999997</v>
      </c>
      <c r="F11051">
        <v>-0.01</v>
      </c>
      <c r="G11051" t="s">
        <v>12</v>
      </c>
      <c r="I11051" t="s">
        <v>230</v>
      </c>
    </row>
    <row r="11052" spans="1:9" hidden="1" x14ac:dyDescent="0.25">
      <c r="A11052" t="s">
        <v>9006</v>
      </c>
      <c r="B11052" t="s">
        <v>707</v>
      </c>
      <c r="C11052" s="2">
        <f>HYPERLINK("https://cao.dolgi.msk.ru/account/1089120774/", 1089120774)</f>
        <v>1089120774</v>
      </c>
      <c r="D11052" t="s">
        <v>9096</v>
      </c>
      <c r="E11052">
        <v>-7484.26</v>
      </c>
      <c r="F11052">
        <v>-1.1200000000000001</v>
      </c>
      <c r="G11052" t="s">
        <v>12</v>
      </c>
      <c r="I11052" t="s">
        <v>230</v>
      </c>
    </row>
    <row r="11053" spans="1:9" hidden="1" x14ac:dyDescent="0.25">
      <c r="A11053" t="s">
        <v>9006</v>
      </c>
      <c r="B11053" t="s">
        <v>709</v>
      </c>
      <c r="C11053" s="2">
        <f>HYPERLINK("https://cao.dolgi.msk.ru/account/1089120782/", 1089120782)</f>
        <v>1089120782</v>
      </c>
      <c r="D11053" t="s">
        <v>9097</v>
      </c>
      <c r="E11053">
        <v>-9102.35</v>
      </c>
      <c r="F11053">
        <v>-1.1399999999999999</v>
      </c>
      <c r="G11053" t="s">
        <v>12</v>
      </c>
      <c r="I11053" t="s">
        <v>230</v>
      </c>
    </row>
    <row r="11054" spans="1:9" hidden="1" x14ac:dyDescent="0.25">
      <c r="A11054" t="s">
        <v>9006</v>
      </c>
      <c r="B11054" t="s">
        <v>711</v>
      </c>
      <c r="C11054" s="2">
        <f>HYPERLINK("https://cao.dolgi.msk.ru/account/1089120803/", 1089120803)</f>
        <v>1089120803</v>
      </c>
      <c r="D11054" t="s">
        <v>9098</v>
      </c>
      <c r="E11054">
        <v>-8535.9699999999993</v>
      </c>
      <c r="F11054">
        <v>-0.89</v>
      </c>
      <c r="G11054" t="s">
        <v>12</v>
      </c>
      <c r="I11054" t="s">
        <v>230</v>
      </c>
    </row>
    <row r="11055" spans="1:9" hidden="1" x14ac:dyDescent="0.25">
      <c r="A11055" t="s">
        <v>9006</v>
      </c>
      <c r="B11055" t="s">
        <v>713</v>
      </c>
      <c r="C11055" s="2">
        <f>HYPERLINK("https://cao.dolgi.msk.ru/account/1089120811/", 1089120811)</f>
        <v>1089120811</v>
      </c>
      <c r="D11055" t="s">
        <v>9099</v>
      </c>
      <c r="E11055">
        <v>-12595.06</v>
      </c>
      <c r="F11055">
        <v>-1.1499999999999999</v>
      </c>
      <c r="G11055" t="s">
        <v>12</v>
      </c>
      <c r="I11055" t="s">
        <v>230</v>
      </c>
    </row>
    <row r="11056" spans="1:9" hidden="1" x14ac:dyDescent="0.25">
      <c r="A11056" t="s">
        <v>9006</v>
      </c>
      <c r="B11056" t="s">
        <v>9100</v>
      </c>
      <c r="C11056" s="2">
        <f>HYPERLINK("https://cao.dolgi.msk.ru/account/1089120838/", 1089120838)</f>
        <v>1089120838</v>
      </c>
      <c r="D11056" t="s">
        <v>736</v>
      </c>
      <c r="E11056">
        <v>0</v>
      </c>
      <c r="F11056">
        <v>0</v>
      </c>
      <c r="G11056" t="s">
        <v>12</v>
      </c>
      <c r="I11056" t="s">
        <v>230</v>
      </c>
    </row>
    <row r="11057" spans="1:9" hidden="1" x14ac:dyDescent="0.25">
      <c r="A11057" t="s">
        <v>9006</v>
      </c>
      <c r="B11057" t="s">
        <v>528</v>
      </c>
      <c r="C11057" s="2">
        <f>HYPERLINK("https://cao.dolgi.msk.ru/account/1089120846/", 1089120846)</f>
        <v>1089120846</v>
      </c>
      <c r="D11057" t="s">
        <v>9101</v>
      </c>
      <c r="E11057">
        <v>-3054.67</v>
      </c>
      <c r="F11057">
        <v>-1.1399999999999999</v>
      </c>
      <c r="G11057" t="s">
        <v>12</v>
      </c>
      <c r="I11057" t="s">
        <v>230</v>
      </c>
    </row>
    <row r="11058" spans="1:9" hidden="1" x14ac:dyDescent="0.25">
      <c r="A11058" t="s">
        <v>9006</v>
      </c>
      <c r="B11058" t="s">
        <v>530</v>
      </c>
      <c r="C11058" s="2">
        <f>HYPERLINK("https://cao.dolgi.msk.ru/account/1089120854/", 1089120854)</f>
        <v>1089120854</v>
      </c>
      <c r="D11058" t="s">
        <v>9102</v>
      </c>
      <c r="E11058">
        <v>-5404.61</v>
      </c>
      <c r="F11058">
        <v>-1.67</v>
      </c>
      <c r="G11058" t="s">
        <v>12</v>
      </c>
      <c r="I11058" t="s">
        <v>230</v>
      </c>
    </row>
    <row r="11059" spans="1:9" hidden="1" x14ac:dyDescent="0.25">
      <c r="A11059" t="s">
        <v>9006</v>
      </c>
      <c r="B11059" t="s">
        <v>532</v>
      </c>
      <c r="C11059" s="2">
        <f>HYPERLINK("https://cao.dolgi.msk.ru/account/1089120862/", 1089120862)</f>
        <v>1089120862</v>
      </c>
      <c r="D11059" t="s">
        <v>9103</v>
      </c>
      <c r="E11059">
        <v>-3748.8</v>
      </c>
      <c r="F11059">
        <v>-1.17</v>
      </c>
      <c r="G11059" t="s">
        <v>12</v>
      </c>
      <c r="I11059" t="s">
        <v>230</v>
      </c>
    </row>
    <row r="11060" spans="1:9" hidden="1" x14ac:dyDescent="0.25">
      <c r="A11060" t="s">
        <v>9006</v>
      </c>
      <c r="B11060" t="s">
        <v>534</v>
      </c>
      <c r="C11060" s="2">
        <f>HYPERLINK("https://cao.dolgi.msk.ru/account/1089120889/", 1089120889)</f>
        <v>1089120889</v>
      </c>
      <c r="D11060" t="s">
        <v>9104</v>
      </c>
      <c r="E11060">
        <v>-2642.02</v>
      </c>
      <c r="F11060">
        <v>-1.1599999999999999</v>
      </c>
      <c r="G11060" t="s">
        <v>12</v>
      </c>
      <c r="I11060" t="s">
        <v>230</v>
      </c>
    </row>
    <row r="11061" spans="1:9" hidden="1" x14ac:dyDescent="0.25">
      <c r="A11061" t="s">
        <v>9006</v>
      </c>
      <c r="B11061" t="s">
        <v>536</v>
      </c>
      <c r="C11061" s="2">
        <f>HYPERLINK("https://cao.dolgi.msk.ru/account/1089120897/", 1089120897)</f>
        <v>1089120897</v>
      </c>
      <c r="D11061" t="s">
        <v>9105</v>
      </c>
      <c r="E11061">
        <v>-11466.6</v>
      </c>
      <c r="F11061">
        <v>-1.08</v>
      </c>
      <c r="G11061" t="s">
        <v>12</v>
      </c>
      <c r="I11061" t="s">
        <v>230</v>
      </c>
    </row>
    <row r="11062" spans="1:9" hidden="1" x14ac:dyDescent="0.25">
      <c r="A11062" t="s">
        <v>9006</v>
      </c>
      <c r="B11062" t="s">
        <v>538</v>
      </c>
      <c r="C11062" s="2">
        <f>HYPERLINK("https://cao.dolgi.msk.ru/account/1089120918/", 1089120918)</f>
        <v>1089120918</v>
      </c>
      <c r="D11062" t="s">
        <v>9106</v>
      </c>
      <c r="E11062">
        <v>-10365.99</v>
      </c>
      <c r="F11062">
        <v>-1.1100000000000001</v>
      </c>
      <c r="G11062" t="s">
        <v>12</v>
      </c>
      <c r="I11062" t="s">
        <v>230</v>
      </c>
    </row>
    <row r="11063" spans="1:9" hidden="1" x14ac:dyDescent="0.25">
      <c r="A11063" t="s">
        <v>9006</v>
      </c>
      <c r="B11063" t="s">
        <v>539</v>
      </c>
      <c r="C11063" s="2">
        <f>HYPERLINK("https://cao.dolgi.msk.ru/account/1089120926/", 1089120926)</f>
        <v>1089120926</v>
      </c>
      <c r="D11063" t="s">
        <v>9107</v>
      </c>
      <c r="E11063">
        <v>-25.96</v>
      </c>
      <c r="F11063">
        <v>-0.01</v>
      </c>
      <c r="G11063" t="s">
        <v>12</v>
      </c>
      <c r="I11063" t="s">
        <v>230</v>
      </c>
    </row>
    <row r="11064" spans="1:9" hidden="1" x14ac:dyDescent="0.25">
      <c r="A11064" t="s">
        <v>9006</v>
      </c>
      <c r="B11064" t="s">
        <v>541</v>
      </c>
      <c r="C11064" s="2">
        <f>HYPERLINK("https://cao.dolgi.msk.ru/account/1089120934/", 1089120934)</f>
        <v>1089120934</v>
      </c>
      <c r="D11064" t="s">
        <v>9108</v>
      </c>
      <c r="E11064">
        <v>0</v>
      </c>
      <c r="F11064">
        <v>0</v>
      </c>
      <c r="G11064" t="s">
        <v>12</v>
      </c>
      <c r="I11064" t="s">
        <v>230</v>
      </c>
    </row>
    <row r="11065" spans="1:9" hidden="1" x14ac:dyDescent="0.25">
      <c r="A11065" t="s">
        <v>9006</v>
      </c>
      <c r="B11065" t="s">
        <v>543</v>
      </c>
      <c r="C11065" s="2">
        <f>HYPERLINK("https://cao.dolgi.msk.ru/account/1089120942/", 1089120942)</f>
        <v>1089120942</v>
      </c>
      <c r="D11065" t="s">
        <v>9109</v>
      </c>
      <c r="E11065">
        <v>-21958.37</v>
      </c>
      <c r="F11065">
        <v>-3.39</v>
      </c>
      <c r="G11065" t="s">
        <v>12</v>
      </c>
      <c r="I11065" t="s">
        <v>230</v>
      </c>
    </row>
    <row r="11066" spans="1:9" hidden="1" x14ac:dyDescent="0.25">
      <c r="A11066" t="s">
        <v>9006</v>
      </c>
      <c r="B11066" t="s">
        <v>545</v>
      </c>
      <c r="C11066" s="2">
        <f>HYPERLINK("https://cao.dolgi.msk.ru/account/1089120969/", 1089120969)</f>
        <v>1089120969</v>
      </c>
      <c r="D11066" t="s">
        <v>9110</v>
      </c>
      <c r="E11066">
        <v>-8568.39</v>
      </c>
      <c r="F11066">
        <v>-1.26</v>
      </c>
      <c r="G11066" t="s">
        <v>12</v>
      </c>
      <c r="I11066" t="s">
        <v>230</v>
      </c>
    </row>
    <row r="11067" spans="1:9" hidden="1" x14ac:dyDescent="0.25">
      <c r="A11067" t="s">
        <v>9006</v>
      </c>
      <c r="B11067" t="s">
        <v>546</v>
      </c>
      <c r="C11067" s="2">
        <f>HYPERLINK("https://cao.dolgi.msk.ru/account/1089120977/", 1089120977)</f>
        <v>1089120977</v>
      </c>
      <c r="D11067" t="s">
        <v>9111</v>
      </c>
      <c r="E11067">
        <v>-5490.93</v>
      </c>
      <c r="F11067">
        <v>-0.99</v>
      </c>
      <c r="G11067" t="s">
        <v>12</v>
      </c>
      <c r="I11067" t="s">
        <v>230</v>
      </c>
    </row>
    <row r="11068" spans="1:9" hidden="1" x14ac:dyDescent="0.25">
      <c r="A11068" t="s">
        <v>9006</v>
      </c>
      <c r="B11068" t="s">
        <v>548</v>
      </c>
      <c r="C11068" s="2">
        <f>HYPERLINK("https://cao.dolgi.msk.ru/account/1089120985/", 1089120985)</f>
        <v>1089120985</v>
      </c>
      <c r="D11068" t="s">
        <v>9112</v>
      </c>
      <c r="E11068">
        <v>-4804.13</v>
      </c>
      <c r="F11068">
        <v>-1.1100000000000001</v>
      </c>
      <c r="G11068" t="s">
        <v>12</v>
      </c>
      <c r="I11068" t="s">
        <v>230</v>
      </c>
    </row>
    <row r="11069" spans="1:9" hidden="1" x14ac:dyDescent="0.25">
      <c r="A11069" t="s">
        <v>9006</v>
      </c>
      <c r="B11069" t="s">
        <v>727</v>
      </c>
      <c r="C11069" s="2">
        <f>HYPERLINK("https://cao.dolgi.msk.ru/account/1089120993/", 1089120993)</f>
        <v>1089120993</v>
      </c>
      <c r="D11069" t="s">
        <v>9113</v>
      </c>
      <c r="E11069">
        <v>-13.29</v>
      </c>
      <c r="F11069">
        <v>0</v>
      </c>
      <c r="G11069" t="s">
        <v>12</v>
      </c>
      <c r="I11069" t="s">
        <v>230</v>
      </c>
    </row>
    <row r="11070" spans="1:9" hidden="1" x14ac:dyDescent="0.25">
      <c r="A11070" t="s">
        <v>9006</v>
      </c>
      <c r="B11070" t="s">
        <v>551</v>
      </c>
      <c r="C11070" s="2">
        <f>HYPERLINK("https://cao.dolgi.msk.ru/account/1089121005/", 1089121005)</f>
        <v>1089121005</v>
      </c>
      <c r="D11070" t="s">
        <v>9114</v>
      </c>
      <c r="E11070">
        <v>-7893.54</v>
      </c>
      <c r="F11070">
        <v>-1.1499999999999999</v>
      </c>
      <c r="G11070" t="s">
        <v>12</v>
      </c>
      <c r="I11070" t="s">
        <v>230</v>
      </c>
    </row>
    <row r="11071" spans="1:9" hidden="1" x14ac:dyDescent="0.25">
      <c r="A11071" t="s">
        <v>9006</v>
      </c>
      <c r="B11071" t="s">
        <v>730</v>
      </c>
      <c r="C11071" s="2">
        <f>HYPERLINK("https://cao.dolgi.msk.ru/account/1089121013/", 1089121013)</f>
        <v>1089121013</v>
      </c>
      <c r="D11071" t="s">
        <v>9115</v>
      </c>
      <c r="E11071">
        <v>-295.45</v>
      </c>
      <c r="F11071">
        <v>-0.06</v>
      </c>
      <c r="G11071" t="s">
        <v>12</v>
      </c>
      <c r="I11071" t="s">
        <v>230</v>
      </c>
    </row>
    <row r="11072" spans="1:9" hidden="1" x14ac:dyDescent="0.25">
      <c r="A11072" t="s">
        <v>9006</v>
      </c>
      <c r="B11072" t="s">
        <v>732</v>
      </c>
      <c r="C11072" s="2">
        <f>HYPERLINK("https://cao.dolgi.msk.ru/account/1089121021/", 1089121021)</f>
        <v>1089121021</v>
      </c>
      <c r="D11072" t="s">
        <v>9116</v>
      </c>
      <c r="E11072">
        <v>-8865.24</v>
      </c>
      <c r="F11072">
        <v>-1.01</v>
      </c>
      <c r="G11072" t="s">
        <v>12</v>
      </c>
      <c r="I11072" t="s">
        <v>230</v>
      </c>
    </row>
    <row r="11073" spans="1:9" hidden="1" x14ac:dyDescent="0.25">
      <c r="A11073" t="s">
        <v>9006</v>
      </c>
      <c r="B11073" t="s">
        <v>553</v>
      </c>
      <c r="C11073" s="2">
        <f>HYPERLINK("https://cao.dolgi.msk.ru/account/1089121048/", 1089121048)</f>
        <v>1089121048</v>
      </c>
      <c r="D11073" t="s">
        <v>9117</v>
      </c>
      <c r="E11073">
        <v>-4773.49</v>
      </c>
      <c r="F11073">
        <v>-0.55000000000000004</v>
      </c>
      <c r="G11073" t="s">
        <v>12</v>
      </c>
      <c r="I11073" t="s">
        <v>230</v>
      </c>
    </row>
    <row r="11074" spans="1:9" hidden="1" x14ac:dyDescent="0.25">
      <c r="A11074" t="s">
        <v>9006</v>
      </c>
      <c r="B11074" t="s">
        <v>555</v>
      </c>
      <c r="C11074" s="2">
        <f>HYPERLINK("https://cao.dolgi.msk.ru/account/1089121056/", 1089121056)</f>
        <v>1089121056</v>
      </c>
      <c r="D11074" t="s">
        <v>9118</v>
      </c>
      <c r="E11074">
        <v>-18406.810000000001</v>
      </c>
      <c r="F11074">
        <v>-2.36</v>
      </c>
      <c r="G11074" t="s">
        <v>12</v>
      </c>
      <c r="I11074" t="s">
        <v>230</v>
      </c>
    </row>
    <row r="11075" spans="1:9" hidden="1" x14ac:dyDescent="0.25">
      <c r="A11075" t="s">
        <v>9006</v>
      </c>
      <c r="B11075" t="s">
        <v>555</v>
      </c>
      <c r="C11075" s="2">
        <f>HYPERLINK("https://cao.dolgi.msk.ru/account/1089121072/", 1089121072)</f>
        <v>1089121072</v>
      </c>
      <c r="D11075" t="s">
        <v>9118</v>
      </c>
      <c r="E11075">
        <v>0</v>
      </c>
      <c r="G11075" t="s">
        <v>14</v>
      </c>
      <c r="I11075" t="s">
        <v>230</v>
      </c>
    </row>
    <row r="11076" spans="1:9" hidden="1" x14ac:dyDescent="0.25">
      <c r="A11076" t="s">
        <v>9006</v>
      </c>
      <c r="B11076" t="s">
        <v>736</v>
      </c>
      <c r="C11076" s="2">
        <f>HYPERLINK("https://cao.dolgi.msk.ru/account/1089121128/", 1089121128)</f>
        <v>1089121128</v>
      </c>
      <c r="D11076" t="s">
        <v>9119</v>
      </c>
      <c r="E11076">
        <v>-5775.85</v>
      </c>
      <c r="F11076">
        <v>-1.2</v>
      </c>
      <c r="G11076" t="s">
        <v>12</v>
      </c>
      <c r="I11076" t="s">
        <v>230</v>
      </c>
    </row>
    <row r="11077" spans="1:9" hidden="1" x14ac:dyDescent="0.25">
      <c r="A11077" t="s">
        <v>9006</v>
      </c>
      <c r="B11077" t="s">
        <v>738</v>
      </c>
      <c r="C11077" s="2">
        <f>HYPERLINK("https://cao.dolgi.msk.ru/account/1089121179/", 1089121179)</f>
        <v>1089121179</v>
      </c>
      <c r="D11077" t="s">
        <v>9120</v>
      </c>
      <c r="E11077">
        <v>0</v>
      </c>
      <c r="F11077">
        <v>0</v>
      </c>
      <c r="G11077" t="s">
        <v>12</v>
      </c>
      <c r="I11077" t="s">
        <v>230</v>
      </c>
    </row>
    <row r="11078" spans="1:9" hidden="1" x14ac:dyDescent="0.25">
      <c r="A11078" t="s">
        <v>9006</v>
      </c>
      <c r="B11078" t="s">
        <v>740</v>
      </c>
      <c r="C11078" s="2">
        <f>HYPERLINK("https://cao.dolgi.msk.ru/account/1089121187/", 1089121187)</f>
        <v>1089121187</v>
      </c>
      <c r="D11078" t="s">
        <v>9121</v>
      </c>
      <c r="E11078">
        <v>-7932.89</v>
      </c>
      <c r="F11078">
        <v>-1.19</v>
      </c>
      <c r="G11078" t="s">
        <v>12</v>
      </c>
      <c r="I11078" t="s">
        <v>230</v>
      </c>
    </row>
    <row r="11079" spans="1:9" hidden="1" x14ac:dyDescent="0.25">
      <c r="A11079" t="s">
        <v>9006</v>
      </c>
      <c r="B11079" t="s">
        <v>742</v>
      </c>
      <c r="C11079" s="2">
        <f>HYPERLINK("https://cao.dolgi.msk.ru/account/1089121195/", 1089121195)</f>
        <v>1089121195</v>
      </c>
      <c r="D11079" t="s">
        <v>9122</v>
      </c>
      <c r="E11079">
        <v>-11174.49</v>
      </c>
      <c r="F11079">
        <v>-1.1100000000000001</v>
      </c>
      <c r="G11079" t="s">
        <v>12</v>
      </c>
      <c r="I11079" t="s">
        <v>230</v>
      </c>
    </row>
    <row r="11080" spans="1:9" hidden="1" x14ac:dyDescent="0.25">
      <c r="A11080" t="s">
        <v>9006</v>
      </c>
      <c r="B11080" t="s">
        <v>557</v>
      </c>
      <c r="C11080" s="2">
        <f>HYPERLINK("https://cao.dolgi.msk.ru/account/1089121208/", 1089121208)</f>
        <v>1089121208</v>
      </c>
      <c r="D11080" t="s">
        <v>9123</v>
      </c>
      <c r="E11080">
        <v>6868.16</v>
      </c>
      <c r="F11080">
        <v>1</v>
      </c>
      <c r="G11080" t="s">
        <v>12</v>
      </c>
      <c r="I11080" t="s">
        <v>230</v>
      </c>
    </row>
    <row r="11081" spans="1:9" hidden="1" x14ac:dyDescent="0.25">
      <c r="A11081" t="s">
        <v>9006</v>
      </c>
      <c r="B11081" t="s">
        <v>558</v>
      </c>
      <c r="C11081" s="2">
        <f>HYPERLINK("https://cao.dolgi.msk.ru/account/1089121216/", 1089121216)</f>
        <v>1089121216</v>
      </c>
      <c r="D11081" t="s">
        <v>9124</v>
      </c>
      <c r="E11081">
        <v>-13918.67</v>
      </c>
      <c r="F11081">
        <v>-2.2799999999999998</v>
      </c>
      <c r="G11081" t="s">
        <v>12</v>
      </c>
      <c r="I11081" t="s">
        <v>230</v>
      </c>
    </row>
    <row r="11082" spans="1:9" hidden="1" x14ac:dyDescent="0.25">
      <c r="A11082" t="s">
        <v>9006</v>
      </c>
      <c r="B11082" t="s">
        <v>746</v>
      </c>
      <c r="C11082" s="2">
        <f>HYPERLINK("https://cao.dolgi.msk.ru/account/1089121224/", 1089121224)</f>
        <v>1089121224</v>
      </c>
      <c r="D11082" t="s">
        <v>9125</v>
      </c>
      <c r="E11082">
        <v>-31.59</v>
      </c>
      <c r="F11082">
        <v>0</v>
      </c>
      <c r="G11082" t="s">
        <v>12</v>
      </c>
      <c r="I11082" t="s">
        <v>230</v>
      </c>
    </row>
    <row r="11083" spans="1:9" hidden="1" x14ac:dyDescent="0.25">
      <c r="A11083" t="s">
        <v>9006</v>
      </c>
      <c r="B11083" t="s">
        <v>748</v>
      </c>
      <c r="C11083" s="2">
        <f>HYPERLINK("https://cao.dolgi.msk.ru/account/1089121232/", 1089121232)</f>
        <v>1089121232</v>
      </c>
      <c r="D11083" t="s">
        <v>15</v>
      </c>
      <c r="E11083">
        <v>0</v>
      </c>
      <c r="F11083">
        <v>0</v>
      </c>
      <c r="G11083" t="s">
        <v>12</v>
      </c>
      <c r="I11083" t="s">
        <v>230</v>
      </c>
    </row>
    <row r="11084" spans="1:9" hidden="1" x14ac:dyDescent="0.25">
      <c r="A11084" t="s">
        <v>9006</v>
      </c>
      <c r="B11084" t="s">
        <v>9126</v>
      </c>
      <c r="C11084" s="2">
        <f>HYPERLINK("https://cao.dolgi.msk.ru/account/1089121291/", 1089121291)</f>
        <v>1089121291</v>
      </c>
      <c r="D11084" t="s">
        <v>9127</v>
      </c>
      <c r="E11084">
        <v>-4550.13</v>
      </c>
      <c r="F11084">
        <v>-0.47</v>
      </c>
      <c r="G11084" t="s">
        <v>12</v>
      </c>
      <c r="I11084" t="s">
        <v>230</v>
      </c>
    </row>
    <row r="11085" spans="1:9" hidden="1" x14ac:dyDescent="0.25">
      <c r="A11085" t="s">
        <v>9006</v>
      </c>
      <c r="B11085" t="s">
        <v>754</v>
      </c>
      <c r="C11085" s="2">
        <f>HYPERLINK("https://cao.dolgi.msk.ru/account/1089121304/", 1089121304)</f>
        <v>1089121304</v>
      </c>
      <c r="D11085" t="s">
        <v>9128</v>
      </c>
      <c r="E11085">
        <v>-7478.5</v>
      </c>
      <c r="F11085">
        <v>-1.0900000000000001</v>
      </c>
      <c r="G11085" t="s">
        <v>12</v>
      </c>
      <c r="I11085" t="s">
        <v>230</v>
      </c>
    </row>
    <row r="11086" spans="1:9" hidden="1" x14ac:dyDescent="0.25">
      <c r="A11086" t="s">
        <v>9006</v>
      </c>
      <c r="B11086" t="s">
        <v>756</v>
      </c>
      <c r="C11086" s="2">
        <f>HYPERLINK("https://cao.dolgi.msk.ru/account/1089121312/", 1089121312)</f>
        <v>1089121312</v>
      </c>
      <c r="D11086" t="s">
        <v>9129</v>
      </c>
      <c r="E11086">
        <v>0</v>
      </c>
      <c r="F11086">
        <v>0</v>
      </c>
      <c r="G11086" t="s">
        <v>12</v>
      </c>
      <c r="I11086" t="s">
        <v>230</v>
      </c>
    </row>
    <row r="11087" spans="1:9" hidden="1" x14ac:dyDescent="0.25">
      <c r="A11087" t="s">
        <v>9006</v>
      </c>
      <c r="B11087" t="s">
        <v>758</v>
      </c>
      <c r="C11087" s="2">
        <f>HYPERLINK("https://cao.dolgi.msk.ru/account/1089121355/", 1089121355)</f>
        <v>1089121355</v>
      </c>
      <c r="D11087" t="s">
        <v>9130</v>
      </c>
      <c r="E11087">
        <v>-6966.85</v>
      </c>
      <c r="F11087">
        <v>-1.0900000000000001</v>
      </c>
      <c r="G11087" t="s">
        <v>12</v>
      </c>
      <c r="I11087" t="s">
        <v>230</v>
      </c>
    </row>
    <row r="11088" spans="1:9" hidden="1" x14ac:dyDescent="0.25">
      <c r="A11088" t="s">
        <v>9006</v>
      </c>
      <c r="B11088" t="s">
        <v>760</v>
      </c>
      <c r="C11088" s="2">
        <f>HYPERLINK("https://cao.dolgi.msk.ru/account/1089121398/", 1089121398)</f>
        <v>1089121398</v>
      </c>
      <c r="D11088" t="s">
        <v>9131</v>
      </c>
      <c r="E11088">
        <v>19.329999999999998</v>
      </c>
      <c r="F11088">
        <v>0</v>
      </c>
      <c r="G11088" t="s">
        <v>12</v>
      </c>
      <c r="I11088" t="s">
        <v>230</v>
      </c>
    </row>
    <row r="11089" spans="1:9" hidden="1" x14ac:dyDescent="0.25">
      <c r="A11089" t="s">
        <v>9006</v>
      </c>
      <c r="B11089" t="s">
        <v>762</v>
      </c>
      <c r="C11089" s="2">
        <f>HYPERLINK("https://cao.dolgi.msk.ru/account/1089119407/", 1089119407)</f>
        <v>1089119407</v>
      </c>
      <c r="D11089" t="s">
        <v>9132</v>
      </c>
      <c r="E11089">
        <v>-9383.75</v>
      </c>
      <c r="F11089">
        <v>-1.1299999999999999</v>
      </c>
      <c r="G11089" t="s">
        <v>12</v>
      </c>
      <c r="I11089" t="s">
        <v>230</v>
      </c>
    </row>
    <row r="11090" spans="1:9" hidden="1" x14ac:dyDescent="0.25">
      <c r="A11090" t="s">
        <v>9006</v>
      </c>
      <c r="B11090" t="s">
        <v>764</v>
      </c>
      <c r="C11090" s="2">
        <f>HYPERLINK("https://cao.dolgi.msk.ru/account/1089119415/", 1089119415)</f>
        <v>1089119415</v>
      </c>
      <c r="D11090" t="s">
        <v>9133</v>
      </c>
      <c r="E11090">
        <v>-6602.43</v>
      </c>
      <c r="F11090">
        <v>-0.99</v>
      </c>
      <c r="G11090" t="s">
        <v>12</v>
      </c>
      <c r="I11090" t="s">
        <v>230</v>
      </c>
    </row>
    <row r="11091" spans="1:9" hidden="1" x14ac:dyDescent="0.25">
      <c r="A11091" t="s">
        <v>9006</v>
      </c>
      <c r="B11091" t="s">
        <v>766</v>
      </c>
      <c r="C11091" s="2">
        <f>HYPERLINK("https://cao.dolgi.msk.ru/account/1089119423/", 1089119423)</f>
        <v>1089119423</v>
      </c>
      <c r="D11091" t="s">
        <v>9134</v>
      </c>
      <c r="E11091">
        <v>-6359.28</v>
      </c>
      <c r="F11091">
        <v>-1.22</v>
      </c>
      <c r="G11091" t="s">
        <v>12</v>
      </c>
      <c r="I11091" t="s">
        <v>230</v>
      </c>
    </row>
    <row r="11092" spans="1:9" x14ac:dyDescent="0.25">
      <c r="A11092" t="s">
        <v>9006</v>
      </c>
      <c r="B11092" t="s">
        <v>768</v>
      </c>
      <c r="C11092" s="2">
        <f>HYPERLINK("https://cao.dolgi.msk.ru/account/1089119618/", 1089119618)</f>
        <v>1089119618</v>
      </c>
      <c r="D11092" t="s">
        <v>9135</v>
      </c>
      <c r="E11092">
        <v>17002.93</v>
      </c>
      <c r="F11092">
        <v>2.83</v>
      </c>
      <c r="G11092" t="s">
        <v>12</v>
      </c>
      <c r="I11092" t="s">
        <v>230</v>
      </c>
    </row>
    <row r="11093" spans="1:9" hidden="1" x14ac:dyDescent="0.25">
      <c r="A11093" t="s">
        <v>9006</v>
      </c>
      <c r="B11093" t="s">
        <v>770</v>
      </c>
      <c r="C11093" s="2">
        <f>HYPERLINK("https://cao.dolgi.msk.ru/account/1089119474/", 1089119474)</f>
        <v>1089119474</v>
      </c>
      <c r="D11093" t="s">
        <v>9136</v>
      </c>
      <c r="E11093">
        <v>-4039.57</v>
      </c>
      <c r="F11093">
        <v>-0.95</v>
      </c>
      <c r="G11093" t="s">
        <v>12</v>
      </c>
      <c r="I11093" t="s">
        <v>230</v>
      </c>
    </row>
    <row r="11094" spans="1:9" hidden="1" x14ac:dyDescent="0.25">
      <c r="A11094" t="s">
        <v>9006</v>
      </c>
      <c r="B11094" t="s">
        <v>772</v>
      </c>
      <c r="C11094" s="2">
        <f>HYPERLINK("https://cao.dolgi.msk.ru/account/1089119503/", 1089119503)</f>
        <v>1089119503</v>
      </c>
      <c r="D11094" t="s">
        <v>9137</v>
      </c>
      <c r="E11094">
        <v>-1047.72</v>
      </c>
      <c r="F11094">
        <v>-0.21</v>
      </c>
      <c r="G11094" t="s">
        <v>12</v>
      </c>
      <c r="I11094" t="s">
        <v>230</v>
      </c>
    </row>
    <row r="11095" spans="1:9" hidden="1" x14ac:dyDescent="0.25">
      <c r="A11095" t="s">
        <v>9006</v>
      </c>
      <c r="B11095" t="s">
        <v>774</v>
      </c>
      <c r="C11095" s="2">
        <f>HYPERLINK("https://cao.dolgi.msk.ru/account/1089119554/", 1089119554)</f>
        <v>1089119554</v>
      </c>
      <c r="D11095" t="s">
        <v>9138</v>
      </c>
      <c r="E11095">
        <v>-5026.8</v>
      </c>
      <c r="F11095">
        <v>-0.99</v>
      </c>
      <c r="G11095" t="s">
        <v>12</v>
      </c>
      <c r="I11095" t="s">
        <v>230</v>
      </c>
    </row>
    <row r="11096" spans="1:9" hidden="1" x14ac:dyDescent="0.25">
      <c r="A11096" t="s">
        <v>9006</v>
      </c>
      <c r="B11096" t="s">
        <v>776</v>
      </c>
      <c r="C11096" s="2">
        <f>HYPERLINK("https://cao.dolgi.msk.ru/account/1089119749/", 1089119749)</f>
        <v>1089119749</v>
      </c>
      <c r="D11096" t="s">
        <v>9139</v>
      </c>
      <c r="E11096">
        <v>-6008.33</v>
      </c>
      <c r="F11096">
        <v>-1.1399999999999999</v>
      </c>
      <c r="G11096" t="s">
        <v>12</v>
      </c>
      <c r="I11096" t="s">
        <v>230</v>
      </c>
    </row>
    <row r="11097" spans="1:9" hidden="1" x14ac:dyDescent="0.25">
      <c r="A11097" t="s">
        <v>9006</v>
      </c>
      <c r="B11097" t="s">
        <v>778</v>
      </c>
      <c r="C11097" s="2">
        <f>HYPERLINK("https://cao.dolgi.msk.ru/account/1089119765/", 1089119765)</f>
        <v>1089119765</v>
      </c>
      <c r="D11097" t="s">
        <v>9140</v>
      </c>
      <c r="E11097">
        <v>-4046.63</v>
      </c>
      <c r="F11097">
        <v>-0.74</v>
      </c>
      <c r="G11097" t="s">
        <v>12</v>
      </c>
      <c r="I11097" t="s">
        <v>230</v>
      </c>
    </row>
    <row r="11098" spans="1:9" x14ac:dyDescent="0.25">
      <c r="A11098" t="s">
        <v>9006</v>
      </c>
      <c r="B11098" t="s">
        <v>780</v>
      </c>
      <c r="C11098" s="2">
        <f>HYPERLINK("https://cao.dolgi.msk.ru/account/1089119773/", 1089119773)</f>
        <v>1089119773</v>
      </c>
      <c r="D11098" t="s">
        <v>9141</v>
      </c>
      <c r="E11098">
        <v>91947.7</v>
      </c>
      <c r="F11098">
        <v>6</v>
      </c>
      <c r="G11098" t="s">
        <v>12</v>
      </c>
      <c r="I11098" t="s">
        <v>230</v>
      </c>
    </row>
    <row r="11099" spans="1:9" hidden="1" x14ac:dyDescent="0.25">
      <c r="A11099" t="s">
        <v>9006</v>
      </c>
      <c r="B11099" t="s">
        <v>781</v>
      </c>
      <c r="C11099" s="2">
        <f>HYPERLINK("https://cao.dolgi.msk.ru/account/1089119781/", 1089119781)</f>
        <v>1089119781</v>
      </c>
      <c r="D11099" t="s">
        <v>9141</v>
      </c>
      <c r="E11099">
        <v>-14992.57</v>
      </c>
      <c r="G11099" t="s">
        <v>14</v>
      </c>
      <c r="I11099" t="s">
        <v>230</v>
      </c>
    </row>
    <row r="11100" spans="1:9" hidden="1" x14ac:dyDescent="0.25">
      <c r="A11100" t="s">
        <v>9006</v>
      </c>
      <c r="B11100" t="s">
        <v>782</v>
      </c>
      <c r="C11100" s="2">
        <f>HYPERLINK("https://cao.dolgi.msk.ru/account/1089119802/", 1089119802)</f>
        <v>1089119802</v>
      </c>
      <c r="D11100" t="s">
        <v>9142</v>
      </c>
      <c r="E11100">
        <v>-7171.76</v>
      </c>
      <c r="F11100">
        <v>-1.1200000000000001</v>
      </c>
      <c r="G11100" t="s">
        <v>12</v>
      </c>
      <c r="I11100" t="s">
        <v>230</v>
      </c>
    </row>
    <row r="11101" spans="1:9" hidden="1" x14ac:dyDescent="0.25">
      <c r="A11101" t="s">
        <v>9006</v>
      </c>
      <c r="B11101" t="s">
        <v>784</v>
      </c>
      <c r="C11101" s="2">
        <f>HYPERLINK("https://cao.dolgi.msk.ru/account/1089119829/", 1089119829)</f>
        <v>1089119829</v>
      </c>
      <c r="D11101" t="s">
        <v>9143</v>
      </c>
      <c r="E11101">
        <v>-8309.6200000000008</v>
      </c>
      <c r="F11101">
        <v>-1.05</v>
      </c>
      <c r="G11101" t="s">
        <v>12</v>
      </c>
      <c r="I11101" t="s">
        <v>230</v>
      </c>
    </row>
    <row r="11102" spans="1:9" hidden="1" x14ac:dyDescent="0.25">
      <c r="A11102" t="s">
        <v>9006</v>
      </c>
      <c r="B11102" t="s">
        <v>786</v>
      </c>
      <c r="C11102" s="2">
        <f>HYPERLINK("https://cao.dolgi.msk.ru/account/1089119837/", 1089119837)</f>
        <v>1089119837</v>
      </c>
      <c r="D11102" t="s">
        <v>9144</v>
      </c>
      <c r="E11102">
        <v>-271.94</v>
      </c>
      <c r="F11102">
        <v>-7.0000000000000007E-2</v>
      </c>
      <c r="G11102" t="s">
        <v>12</v>
      </c>
      <c r="I11102" t="s">
        <v>230</v>
      </c>
    </row>
    <row r="11103" spans="1:9" hidden="1" x14ac:dyDescent="0.25">
      <c r="A11103" t="s">
        <v>9006</v>
      </c>
      <c r="B11103" t="s">
        <v>788</v>
      </c>
      <c r="C11103" s="2">
        <f>HYPERLINK("https://cao.dolgi.msk.ru/account/1089122008/", 1089122008)</f>
        <v>1089122008</v>
      </c>
      <c r="D11103" t="s">
        <v>9145</v>
      </c>
      <c r="E11103">
        <v>-7279.73</v>
      </c>
      <c r="F11103">
        <v>-1.08</v>
      </c>
      <c r="G11103" t="s">
        <v>12</v>
      </c>
      <c r="I11103" t="s">
        <v>230</v>
      </c>
    </row>
    <row r="11104" spans="1:9" hidden="1" x14ac:dyDescent="0.25">
      <c r="A11104" t="s">
        <v>9006</v>
      </c>
      <c r="B11104" t="s">
        <v>789</v>
      </c>
      <c r="C11104" s="2">
        <f>HYPERLINK("https://cao.dolgi.msk.ru/account/1089122075/", 1089122075)</f>
        <v>1089122075</v>
      </c>
      <c r="D11104" t="s">
        <v>9146</v>
      </c>
      <c r="E11104">
        <v>-10909.27</v>
      </c>
      <c r="F11104">
        <v>-1.04</v>
      </c>
      <c r="G11104" t="s">
        <v>12</v>
      </c>
      <c r="I11104" t="s">
        <v>230</v>
      </c>
    </row>
    <row r="11105" spans="1:9" hidden="1" x14ac:dyDescent="0.25">
      <c r="A11105" t="s">
        <v>9006</v>
      </c>
      <c r="B11105" t="s">
        <v>790</v>
      </c>
      <c r="C11105" s="2">
        <f>HYPERLINK("https://cao.dolgi.msk.ru/account/1089121427/", 1089121427)</f>
        <v>1089121427</v>
      </c>
      <c r="D11105" t="s">
        <v>9147</v>
      </c>
      <c r="E11105">
        <v>-213.19</v>
      </c>
      <c r="F11105">
        <v>-0.02</v>
      </c>
      <c r="G11105" t="s">
        <v>12</v>
      </c>
      <c r="I11105" t="s">
        <v>230</v>
      </c>
    </row>
    <row r="11106" spans="1:9" hidden="1" x14ac:dyDescent="0.25">
      <c r="A11106" t="s">
        <v>9006</v>
      </c>
      <c r="B11106" t="s">
        <v>792</v>
      </c>
      <c r="C11106" s="2">
        <f>HYPERLINK("https://cao.dolgi.msk.ru/account/1089121435/", 1089121435)</f>
        <v>1089121435</v>
      </c>
      <c r="D11106" t="s">
        <v>9148</v>
      </c>
      <c r="E11106">
        <v>11.53</v>
      </c>
      <c r="F11106">
        <v>0</v>
      </c>
      <c r="G11106" t="s">
        <v>12</v>
      </c>
      <c r="I11106" t="s">
        <v>230</v>
      </c>
    </row>
    <row r="11107" spans="1:9" hidden="1" x14ac:dyDescent="0.25">
      <c r="A11107" t="s">
        <v>9006</v>
      </c>
      <c r="B11107" t="s">
        <v>794</v>
      </c>
      <c r="C11107" s="2">
        <f>HYPERLINK("https://cao.dolgi.msk.ru/account/1089121443/", 1089121443)</f>
        <v>1089121443</v>
      </c>
      <c r="D11107" t="s">
        <v>9149</v>
      </c>
      <c r="E11107">
        <v>-14524.79</v>
      </c>
      <c r="F11107">
        <v>-2.13</v>
      </c>
      <c r="G11107" t="s">
        <v>12</v>
      </c>
      <c r="I11107" t="s">
        <v>230</v>
      </c>
    </row>
    <row r="11108" spans="1:9" hidden="1" x14ac:dyDescent="0.25">
      <c r="A11108" t="s">
        <v>9006</v>
      </c>
      <c r="B11108" t="s">
        <v>796</v>
      </c>
      <c r="C11108" s="2">
        <f>HYPERLINK("https://cao.dolgi.msk.ru/account/1089121451/", 1089121451)</f>
        <v>1089121451</v>
      </c>
      <c r="D11108" t="s">
        <v>9150</v>
      </c>
      <c r="E11108">
        <v>-3604.98</v>
      </c>
      <c r="F11108">
        <v>-1.23</v>
      </c>
      <c r="G11108" t="s">
        <v>12</v>
      </c>
      <c r="I11108" t="s">
        <v>230</v>
      </c>
    </row>
    <row r="11109" spans="1:9" hidden="1" x14ac:dyDescent="0.25">
      <c r="A11109" t="s">
        <v>9006</v>
      </c>
      <c r="B11109" t="s">
        <v>798</v>
      </c>
      <c r="C11109" s="2">
        <f>HYPERLINK("https://cao.dolgi.msk.ru/account/1089121478/", 1089121478)</f>
        <v>1089121478</v>
      </c>
      <c r="D11109" t="s">
        <v>9151</v>
      </c>
      <c r="E11109">
        <v>155.19999999999999</v>
      </c>
      <c r="F11109">
        <v>0.01</v>
      </c>
      <c r="G11109" t="s">
        <v>12</v>
      </c>
      <c r="I11109" t="s">
        <v>230</v>
      </c>
    </row>
    <row r="11110" spans="1:9" hidden="1" x14ac:dyDescent="0.25">
      <c r="A11110" t="s">
        <v>9006</v>
      </c>
      <c r="B11110" t="s">
        <v>800</v>
      </c>
      <c r="C11110" s="2">
        <f>HYPERLINK("https://cao.dolgi.msk.ru/account/1089122067/", 1089122067)</f>
        <v>1089122067</v>
      </c>
      <c r="D11110" t="s">
        <v>9152</v>
      </c>
      <c r="E11110">
        <v>-5035.34</v>
      </c>
      <c r="F11110">
        <v>-1.22</v>
      </c>
      <c r="G11110" t="s">
        <v>12</v>
      </c>
      <c r="I11110" t="s">
        <v>230</v>
      </c>
    </row>
    <row r="11111" spans="1:9" hidden="1" x14ac:dyDescent="0.25">
      <c r="A11111" t="s">
        <v>9006</v>
      </c>
      <c r="B11111" t="s">
        <v>802</v>
      </c>
      <c r="C11111" s="2">
        <f>HYPERLINK("https://cao.dolgi.msk.ru/account/1089121507/", 1089121507)</f>
        <v>1089121507</v>
      </c>
      <c r="D11111" t="s">
        <v>9153</v>
      </c>
      <c r="E11111">
        <v>-2790.98</v>
      </c>
      <c r="F11111">
        <v>-1.1499999999999999</v>
      </c>
      <c r="G11111" t="s">
        <v>12</v>
      </c>
      <c r="I11111" t="s">
        <v>230</v>
      </c>
    </row>
    <row r="11112" spans="1:9" hidden="1" x14ac:dyDescent="0.25">
      <c r="A11112" t="s">
        <v>9006</v>
      </c>
      <c r="B11112" t="s">
        <v>802</v>
      </c>
      <c r="C11112" s="2">
        <f>HYPERLINK("https://cao.dolgi.msk.ru/account/1089123756/", 1089123756)</f>
        <v>1089123756</v>
      </c>
      <c r="D11112" t="s">
        <v>15</v>
      </c>
      <c r="E11112">
        <v>-4801.53</v>
      </c>
      <c r="F11112">
        <v>-3.67</v>
      </c>
      <c r="G11112" t="s">
        <v>12</v>
      </c>
      <c r="I11112" t="s">
        <v>230</v>
      </c>
    </row>
    <row r="11113" spans="1:9" hidden="1" x14ac:dyDescent="0.25">
      <c r="A11113" t="s">
        <v>9006</v>
      </c>
      <c r="B11113" t="s">
        <v>804</v>
      </c>
      <c r="C11113" s="2">
        <f>HYPERLINK("https://cao.dolgi.msk.ru/account/1089121523/", 1089121523)</f>
        <v>1089121523</v>
      </c>
      <c r="D11113" t="s">
        <v>9154</v>
      </c>
      <c r="E11113">
        <v>-7730.09</v>
      </c>
      <c r="F11113">
        <v>-1.06</v>
      </c>
      <c r="G11113" t="s">
        <v>12</v>
      </c>
      <c r="I11113" t="s">
        <v>230</v>
      </c>
    </row>
    <row r="11114" spans="1:9" hidden="1" x14ac:dyDescent="0.25">
      <c r="A11114" t="s">
        <v>9006</v>
      </c>
      <c r="B11114" t="s">
        <v>806</v>
      </c>
      <c r="C11114" s="2">
        <f>HYPERLINK("https://cao.dolgi.msk.ru/account/1089121603/", 1089121603)</f>
        <v>1089121603</v>
      </c>
      <c r="D11114" t="s">
        <v>9155</v>
      </c>
      <c r="E11114">
        <v>-9749.57</v>
      </c>
      <c r="F11114">
        <v>-0.93</v>
      </c>
      <c r="G11114" t="s">
        <v>12</v>
      </c>
      <c r="I11114" t="s">
        <v>230</v>
      </c>
    </row>
    <row r="11115" spans="1:9" hidden="1" x14ac:dyDescent="0.25">
      <c r="A11115" t="s">
        <v>9006</v>
      </c>
      <c r="B11115" t="s">
        <v>808</v>
      </c>
      <c r="C11115" s="2">
        <f>HYPERLINK("https://cao.dolgi.msk.ru/account/1089121611/", 1089121611)</f>
        <v>1089121611</v>
      </c>
      <c r="D11115" t="s">
        <v>9156</v>
      </c>
      <c r="E11115">
        <v>-6788.01</v>
      </c>
      <c r="F11115">
        <v>-1.0900000000000001</v>
      </c>
      <c r="G11115" t="s">
        <v>12</v>
      </c>
      <c r="I11115" t="s">
        <v>230</v>
      </c>
    </row>
    <row r="11116" spans="1:9" hidden="1" x14ac:dyDescent="0.25">
      <c r="A11116" t="s">
        <v>9006</v>
      </c>
      <c r="B11116" t="s">
        <v>810</v>
      </c>
      <c r="C11116" s="2">
        <f>HYPERLINK("https://cao.dolgi.msk.ru/account/1089121638/", 1089121638)</f>
        <v>1089121638</v>
      </c>
      <c r="D11116" t="s">
        <v>9157</v>
      </c>
      <c r="E11116">
        <v>-7764.24</v>
      </c>
      <c r="F11116">
        <v>-1.1299999999999999</v>
      </c>
      <c r="G11116" t="s">
        <v>12</v>
      </c>
      <c r="I11116" t="s">
        <v>230</v>
      </c>
    </row>
    <row r="11117" spans="1:9" hidden="1" x14ac:dyDescent="0.25">
      <c r="A11117" t="s">
        <v>9006</v>
      </c>
      <c r="B11117" t="s">
        <v>812</v>
      </c>
      <c r="C11117" s="2">
        <f>HYPERLINK("https://cao.dolgi.msk.ru/account/1089121646/", 1089121646)</f>
        <v>1089121646</v>
      </c>
      <c r="D11117" t="s">
        <v>9158</v>
      </c>
      <c r="E11117">
        <v>-2961.89</v>
      </c>
      <c r="F11117">
        <v>-1.1399999999999999</v>
      </c>
      <c r="G11117" t="s">
        <v>12</v>
      </c>
      <c r="I11117" t="s">
        <v>230</v>
      </c>
    </row>
    <row r="11118" spans="1:9" hidden="1" x14ac:dyDescent="0.25">
      <c r="A11118" t="s">
        <v>9006</v>
      </c>
      <c r="B11118" t="s">
        <v>814</v>
      </c>
      <c r="C11118" s="2">
        <f>HYPERLINK("https://cao.dolgi.msk.ru/account/1089121654/", 1089121654)</f>
        <v>1089121654</v>
      </c>
      <c r="D11118" t="s">
        <v>9159</v>
      </c>
      <c r="E11118">
        <v>-23168.51</v>
      </c>
      <c r="F11118">
        <v>-1.18</v>
      </c>
      <c r="G11118" t="s">
        <v>12</v>
      </c>
      <c r="I11118" t="s">
        <v>230</v>
      </c>
    </row>
    <row r="11119" spans="1:9" hidden="1" x14ac:dyDescent="0.25">
      <c r="A11119" t="s">
        <v>9006</v>
      </c>
      <c r="B11119" t="s">
        <v>816</v>
      </c>
      <c r="C11119" s="2">
        <f>HYPERLINK("https://cao.dolgi.msk.ru/account/1089121662/", 1089121662)</f>
        <v>1089121662</v>
      </c>
      <c r="D11119" t="s">
        <v>9160</v>
      </c>
      <c r="E11119">
        <v>-0.81</v>
      </c>
      <c r="F11119">
        <v>0</v>
      </c>
      <c r="G11119" t="s">
        <v>12</v>
      </c>
      <c r="I11119" t="s">
        <v>230</v>
      </c>
    </row>
    <row r="11120" spans="1:9" hidden="1" x14ac:dyDescent="0.25">
      <c r="A11120" t="s">
        <v>9006</v>
      </c>
      <c r="B11120" t="s">
        <v>818</v>
      </c>
      <c r="C11120" s="2">
        <f>HYPERLINK("https://cao.dolgi.msk.ru/account/1089121697/", 1089121697)</f>
        <v>1089121697</v>
      </c>
      <c r="D11120" t="s">
        <v>9161</v>
      </c>
      <c r="E11120">
        <v>-4616.28</v>
      </c>
      <c r="F11120">
        <v>-1.1599999999999999</v>
      </c>
      <c r="G11120" t="s">
        <v>12</v>
      </c>
      <c r="I11120" t="s">
        <v>230</v>
      </c>
    </row>
    <row r="11121" spans="1:9" hidden="1" x14ac:dyDescent="0.25">
      <c r="A11121" t="s">
        <v>9006</v>
      </c>
      <c r="B11121" t="s">
        <v>820</v>
      </c>
      <c r="C11121" s="2">
        <f>HYPERLINK("https://cao.dolgi.msk.ru/account/1089121742/", 1089121742)</f>
        <v>1089121742</v>
      </c>
      <c r="D11121" t="s">
        <v>9162</v>
      </c>
      <c r="E11121">
        <v>-7802.61</v>
      </c>
      <c r="F11121">
        <v>-1.1200000000000001</v>
      </c>
      <c r="G11121" t="s">
        <v>12</v>
      </c>
      <c r="I11121" t="s">
        <v>230</v>
      </c>
    </row>
    <row r="11122" spans="1:9" hidden="1" x14ac:dyDescent="0.25">
      <c r="A11122" t="s">
        <v>9006</v>
      </c>
      <c r="B11122" t="s">
        <v>822</v>
      </c>
      <c r="C11122" s="2">
        <f>HYPERLINK("https://cao.dolgi.msk.ru/account/1089121777/", 1089121777)</f>
        <v>1089121777</v>
      </c>
      <c r="D11122" t="s">
        <v>9163</v>
      </c>
      <c r="E11122">
        <v>-5509.37</v>
      </c>
      <c r="F11122">
        <v>-1.1599999999999999</v>
      </c>
      <c r="G11122" t="s">
        <v>12</v>
      </c>
      <c r="I11122" t="s">
        <v>230</v>
      </c>
    </row>
    <row r="11123" spans="1:9" hidden="1" x14ac:dyDescent="0.25">
      <c r="A11123" t="s">
        <v>9006</v>
      </c>
      <c r="B11123" t="s">
        <v>824</v>
      </c>
      <c r="C11123" s="2">
        <f>HYPERLINK("https://cao.dolgi.msk.ru/account/1089121806/", 1089121806)</f>
        <v>1089121806</v>
      </c>
      <c r="D11123" t="s">
        <v>9164</v>
      </c>
      <c r="E11123">
        <v>-9122.0300000000007</v>
      </c>
      <c r="F11123">
        <v>-1.1200000000000001</v>
      </c>
      <c r="G11123" t="s">
        <v>12</v>
      </c>
      <c r="I11123" t="s">
        <v>230</v>
      </c>
    </row>
    <row r="11124" spans="1:9" hidden="1" x14ac:dyDescent="0.25">
      <c r="A11124" t="s">
        <v>9006</v>
      </c>
      <c r="B11124" t="s">
        <v>826</v>
      </c>
      <c r="C11124" s="2">
        <f>HYPERLINK("https://cao.dolgi.msk.ru/account/1089121822/", 1089121822)</f>
        <v>1089121822</v>
      </c>
      <c r="D11124" t="s">
        <v>9165</v>
      </c>
      <c r="E11124">
        <v>0</v>
      </c>
      <c r="F11124">
        <v>0</v>
      </c>
      <c r="G11124" t="s">
        <v>12</v>
      </c>
      <c r="I11124" t="s">
        <v>230</v>
      </c>
    </row>
    <row r="11125" spans="1:9" hidden="1" x14ac:dyDescent="0.25">
      <c r="A11125" t="s">
        <v>9006</v>
      </c>
      <c r="B11125" t="s">
        <v>828</v>
      </c>
      <c r="C11125" s="2">
        <f>HYPERLINK("https://cao.dolgi.msk.ru/account/1089122059/", 1089122059)</f>
        <v>1089122059</v>
      </c>
      <c r="D11125" t="s">
        <v>9166</v>
      </c>
      <c r="E11125">
        <v>-5448.69</v>
      </c>
      <c r="F11125">
        <v>-1.21</v>
      </c>
      <c r="G11125" t="s">
        <v>12</v>
      </c>
      <c r="I11125" t="s">
        <v>230</v>
      </c>
    </row>
    <row r="11126" spans="1:9" hidden="1" x14ac:dyDescent="0.25">
      <c r="A11126" t="s">
        <v>9006</v>
      </c>
      <c r="B11126" t="s">
        <v>830</v>
      </c>
      <c r="C11126" s="2">
        <f>HYPERLINK("https://cao.dolgi.msk.ru/account/1089121996/", 1089121996)</f>
        <v>1089121996</v>
      </c>
      <c r="D11126" t="s">
        <v>9167</v>
      </c>
      <c r="E11126">
        <v>-1248.1500000000001</v>
      </c>
      <c r="F11126">
        <v>-0.19</v>
      </c>
      <c r="G11126" t="s">
        <v>12</v>
      </c>
      <c r="I11126" t="s">
        <v>230</v>
      </c>
    </row>
    <row r="11127" spans="1:9" hidden="1" x14ac:dyDescent="0.25">
      <c r="A11127" t="s">
        <v>9006</v>
      </c>
      <c r="B11127" t="s">
        <v>831</v>
      </c>
      <c r="C11127" s="2">
        <f>HYPERLINK("https://cao.dolgi.msk.ru/account/1089121494/", 1089121494)</f>
        <v>1089121494</v>
      </c>
      <c r="D11127" t="s">
        <v>9168</v>
      </c>
      <c r="E11127">
        <v>-8736.35</v>
      </c>
      <c r="F11127">
        <v>-1.1399999999999999</v>
      </c>
      <c r="G11127" t="s">
        <v>12</v>
      </c>
      <c r="I11127" t="s">
        <v>230</v>
      </c>
    </row>
    <row r="11128" spans="1:9" hidden="1" x14ac:dyDescent="0.25">
      <c r="A11128" t="s">
        <v>9006</v>
      </c>
      <c r="B11128" t="s">
        <v>833</v>
      </c>
      <c r="C11128" s="2">
        <f>HYPERLINK("https://cao.dolgi.msk.ru/account/1089121515/", 1089121515)</f>
        <v>1089121515</v>
      </c>
      <c r="D11128" t="s">
        <v>9169</v>
      </c>
      <c r="E11128">
        <v>-6034.14</v>
      </c>
      <c r="F11128">
        <v>-1.08</v>
      </c>
      <c r="G11128" t="s">
        <v>12</v>
      </c>
      <c r="I11128" t="s">
        <v>230</v>
      </c>
    </row>
    <row r="11129" spans="1:9" hidden="1" x14ac:dyDescent="0.25">
      <c r="A11129" t="s">
        <v>9006</v>
      </c>
      <c r="B11129" t="s">
        <v>835</v>
      </c>
      <c r="C11129" s="2">
        <f>HYPERLINK("https://cao.dolgi.msk.ru/account/1089121531/", 1089121531)</f>
        <v>1089121531</v>
      </c>
      <c r="D11129" t="s">
        <v>9170</v>
      </c>
      <c r="E11129">
        <v>-7681.44</v>
      </c>
      <c r="F11129">
        <v>-1.19</v>
      </c>
      <c r="G11129" t="s">
        <v>12</v>
      </c>
      <c r="I11129" t="s">
        <v>230</v>
      </c>
    </row>
    <row r="11130" spans="1:9" hidden="1" x14ac:dyDescent="0.25">
      <c r="A11130" t="s">
        <v>9006</v>
      </c>
      <c r="B11130" t="s">
        <v>837</v>
      </c>
      <c r="C11130" s="2">
        <f>HYPERLINK("https://cao.dolgi.msk.ru/account/1089121558/", 1089121558)</f>
        <v>1089121558</v>
      </c>
      <c r="D11130" t="s">
        <v>9171</v>
      </c>
      <c r="E11130">
        <v>-2473.77</v>
      </c>
      <c r="F11130">
        <v>-0.91</v>
      </c>
      <c r="G11130" t="s">
        <v>12</v>
      </c>
      <c r="I11130" t="s">
        <v>230</v>
      </c>
    </row>
    <row r="11131" spans="1:9" hidden="1" x14ac:dyDescent="0.25">
      <c r="A11131" t="s">
        <v>9006</v>
      </c>
      <c r="B11131" t="s">
        <v>838</v>
      </c>
      <c r="C11131" s="2">
        <f>HYPERLINK("https://cao.dolgi.msk.ru/account/1089121566/", 1089121566)</f>
        <v>1089121566</v>
      </c>
      <c r="D11131" t="s">
        <v>9172</v>
      </c>
      <c r="E11131">
        <v>0</v>
      </c>
      <c r="F11131">
        <v>0</v>
      </c>
      <c r="G11131" t="s">
        <v>12</v>
      </c>
      <c r="I11131" t="s">
        <v>230</v>
      </c>
    </row>
    <row r="11132" spans="1:9" hidden="1" x14ac:dyDescent="0.25">
      <c r="A11132" t="s">
        <v>9006</v>
      </c>
      <c r="B11132" t="s">
        <v>840</v>
      </c>
      <c r="C11132" s="2">
        <f>HYPERLINK("https://cao.dolgi.msk.ru/account/1089121574/", 1089121574)</f>
        <v>1089121574</v>
      </c>
      <c r="D11132" t="s">
        <v>9173</v>
      </c>
      <c r="E11132">
        <v>-7086.05</v>
      </c>
      <c r="F11132">
        <v>-2.4700000000000002</v>
      </c>
      <c r="G11132" t="s">
        <v>12</v>
      </c>
      <c r="I11132" t="s">
        <v>230</v>
      </c>
    </row>
    <row r="11133" spans="1:9" hidden="1" x14ac:dyDescent="0.25">
      <c r="A11133" t="s">
        <v>9006</v>
      </c>
      <c r="B11133" t="s">
        <v>840</v>
      </c>
      <c r="C11133" s="2">
        <f>HYPERLINK("https://cao.dolgi.msk.ru/account/1089123262/", 1089123262)</f>
        <v>1089123262</v>
      </c>
      <c r="D11133" t="s">
        <v>9173</v>
      </c>
      <c r="E11133">
        <v>-1097.47</v>
      </c>
      <c r="F11133">
        <v>-0.83</v>
      </c>
      <c r="G11133" t="s">
        <v>12</v>
      </c>
      <c r="I11133" t="s">
        <v>230</v>
      </c>
    </row>
    <row r="11134" spans="1:9" hidden="1" x14ac:dyDescent="0.25">
      <c r="A11134" t="s">
        <v>9006</v>
      </c>
      <c r="B11134" t="s">
        <v>842</v>
      </c>
      <c r="C11134" s="2">
        <f>HYPERLINK("https://cao.dolgi.msk.ru/account/1089121582/", 1089121582)</f>
        <v>1089121582</v>
      </c>
      <c r="D11134" t="s">
        <v>9174</v>
      </c>
      <c r="E11134">
        <v>-4344.3900000000003</v>
      </c>
      <c r="F11134">
        <v>-1.05</v>
      </c>
      <c r="G11134" t="s">
        <v>12</v>
      </c>
      <c r="I11134" t="s">
        <v>230</v>
      </c>
    </row>
    <row r="11135" spans="1:9" hidden="1" x14ac:dyDescent="0.25">
      <c r="A11135" t="s">
        <v>9006</v>
      </c>
      <c r="B11135" t="s">
        <v>844</v>
      </c>
      <c r="C11135" s="2">
        <f>HYPERLINK("https://cao.dolgi.msk.ru/account/1089121689/", 1089121689)</f>
        <v>1089121689</v>
      </c>
      <c r="D11135" t="s">
        <v>9175</v>
      </c>
      <c r="E11135">
        <v>4947.68</v>
      </c>
      <c r="F11135">
        <v>0.96</v>
      </c>
      <c r="G11135" t="s">
        <v>12</v>
      </c>
      <c r="I11135" t="s">
        <v>230</v>
      </c>
    </row>
    <row r="11136" spans="1:9" x14ac:dyDescent="0.25">
      <c r="A11136" t="s">
        <v>9006</v>
      </c>
      <c r="B11136" t="s">
        <v>846</v>
      </c>
      <c r="C11136" s="2">
        <f>HYPERLINK("https://cao.dolgi.msk.ru/account/1089121718/", 1089121718)</f>
        <v>1089121718</v>
      </c>
      <c r="D11136" t="s">
        <v>9176</v>
      </c>
      <c r="E11136">
        <v>35765.4</v>
      </c>
      <c r="F11136">
        <v>6.46</v>
      </c>
      <c r="G11136" t="s">
        <v>12</v>
      </c>
      <c r="I11136" t="s">
        <v>230</v>
      </c>
    </row>
    <row r="11137" spans="1:9" hidden="1" x14ac:dyDescent="0.25">
      <c r="A11137" t="s">
        <v>9006</v>
      </c>
      <c r="B11137" t="s">
        <v>848</v>
      </c>
      <c r="C11137" s="2">
        <f>HYPERLINK("https://cao.dolgi.msk.ru/account/1089121726/", 1089121726)</f>
        <v>1089121726</v>
      </c>
      <c r="D11137" t="s">
        <v>9177</v>
      </c>
      <c r="E11137">
        <v>5917.27</v>
      </c>
      <c r="F11137">
        <v>0.89</v>
      </c>
      <c r="G11137" t="s">
        <v>12</v>
      </c>
      <c r="I11137" t="s">
        <v>230</v>
      </c>
    </row>
    <row r="11138" spans="1:9" hidden="1" x14ac:dyDescent="0.25">
      <c r="A11138" t="s">
        <v>9006</v>
      </c>
      <c r="B11138" t="s">
        <v>850</v>
      </c>
      <c r="C11138" s="2">
        <f>HYPERLINK("https://cao.dolgi.msk.ru/account/1089121734/", 1089121734)</f>
        <v>1089121734</v>
      </c>
      <c r="D11138" t="s">
        <v>9178</v>
      </c>
      <c r="E11138">
        <v>-7718.88</v>
      </c>
      <c r="F11138">
        <v>-1.1299999999999999</v>
      </c>
      <c r="G11138" t="s">
        <v>12</v>
      </c>
      <c r="I11138" t="s">
        <v>230</v>
      </c>
    </row>
    <row r="11139" spans="1:9" hidden="1" x14ac:dyDescent="0.25">
      <c r="A11139" t="s">
        <v>9006</v>
      </c>
      <c r="B11139" t="s">
        <v>852</v>
      </c>
      <c r="C11139" s="2">
        <f>HYPERLINK("https://cao.dolgi.msk.ru/account/1089121769/", 1089121769)</f>
        <v>1089121769</v>
      </c>
      <c r="D11139" t="s">
        <v>9179</v>
      </c>
      <c r="E11139">
        <v>-11.28</v>
      </c>
      <c r="F11139">
        <v>0</v>
      </c>
      <c r="G11139" t="s">
        <v>12</v>
      </c>
      <c r="I11139" t="s">
        <v>230</v>
      </c>
    </row>
    <row r="11140" spans="1:9" hidden="1" x14ac:dyDescent="0.25">
      <c r="A11140" t="s">
        <v>9006</v>
      </c>
      <c r="B11140" t="s">
        <v>854</v>
      </c>
      <c r="C11140" s="2">
        <f>HYPERLINK("https://cao.dolgi.msk.ru/account/1089121785/", 1089121785)</f>
        <v>1089121785</v>
      </c>
      <c r="D11140" t="s">
        <v>9180</v>
      </c>
      <c r="E11140">
        <v>0</v>
      </c>
      <c r="F11140">
        <v>0</v>
      </c>
      <c r="G11140" t="s">
        <v>12</v>
      </c>
      <c r="I11140" t="s">
        <v>230</v>
      </c>
    </row>
    <row r="11141" spans="1:9" hidden="1" x14ac:dyDescent="0.25">
      <c r="A11141" t="s">
        <v>9006</v>
      </c>
      <c r="B11141" t="s">
        <v>856</v>
      </c>
      <c r="C11141" s="2">
        <f>HYPERLINK("https://cao.dolgi.msk.ru/account/1089121793/", 1089121793)</f>
        <v>1089121793</v>
      </c>
      <c r="D11141" t="s">
        <v>9181</v>
      </c>
      <c r="E11141">
        <v>-45.43</v>
      </c>
      <c r="F11141">
        <v>-0.01</v>
      </c>
      <c r="G11141" t="s">
        <v>12</v>
      </c>
      <c r="I11141" t="s">
        <v>230</v>
      </c>
    </row>
    <row r="11142" spans="1:9" hidden="1" x14ac:dyDescent="0.25">
      <c r="A11142" t="s">
        <v>9006</v>
      </c>
      <c r="B11142" t="s">
        <v>858</v>
      </c>
      <c r="C11142" s="2">
        <f>HYPERLINK("https://cao.dolgi.msk.ru/account/1089121814/", 1089121814)</f>
        <v>1089121814</v>
      </c>
      <c r="D11142" t="s">
        <v>9182</v>
      </c>
      <c r="E11142">
        <v>-7400.17</v>
      </c>
      <c r="F11142">
        <v>-1.0900000000000001</v>
      </c>
      <c r="G11142" t="s">
        <v>12</v>
      </c>
      <c r="I11142" t="s">
        <v>230</v>
      </c>
    </row>
    <row r="11143" spans="1:9" hidden="1" x14ac:dyDescent="0.25">
      <c r="A11143" t="s">
        <v>9006</v>
      </c>
      <c r="B11143" t="s">
        <v>860</v>
      </c>
      <c r="C11143" s="2">
        <f>HYPERLINK("https://cao.dolgi.msk.ru/account/1089121849/", 1089121849)</f>
        <v>1089121849</v>
      </c>
      <c r="D11143" t="s">
        <v>9183</v>
      </c>
      <c r="E11143">
        <v>-4166.6499999999996</v>
      </c>
      <c r="F11143">
        <v>-0.76</v>
      </c>
      <c r="G11143" t="s">
        <v>12</v>
      </c>
      <c r="I11143" t="s">
        <v>230</v>
      </c>
    </row>
    <row r="11144" spans="1:9" hidden="1" x14ac:dyDescent="0.25">
      <c r="A11144" t="s">
        <v>9006</v>
      </c>
      <c r="B11144" t="s">
        <v>862</v>
      </c>
      <c r="C11144" s="2">
        <f>HYPERLINK("https://cao.dolgi.msk.ru/account/1089121865/", 1089121865)</f>
        <v>1089121865</v>
      </c>
      <c r="D11144" t="s">
        <v>9184</v>
      </c>
      <c r="E11144">
        <v>-15542.78</v>
      </c>
      <c r="F11144">
        <v>-1.08</v>
      </c>
      <c r="G11144" t="s">
        <v>12</v>
      </c>
      <c r="I11144" t="s">
        <v>230</v>
      </c>
    </row>
    <row r="11145" spans="1:9" hidden="1" x14ac:dyDescent="0.25">
      <c r="A11145" t="s">
        <v>9006</v>
      </c>
      <c r="B11145" t="s">
        <v>864</v>
      </c>
      <c r="C11145" s="2">
        <f>HYPERLINK("https://cao.dolgi.msk.ru/account/1089121873/", 1089121873)</f>
        <v>1089121873</v>
      </c>
      <c r="D11145" t="s">
        <v>9185</v>
      </c>
      <c r="E11145">
        <v>-5930.67</v>
      </c>
      <c r="F11145">
        <v>-1.28</v>
      </c>
      <c r="G11145" t="s">
        <v>12</v>
      </c>
      <c r="I11145" t="s">
        <v>230</v>
      </c>
    </row>
    <row r="11146" spans="1:9" hidden="1" x14ac:dyDescent="0.25">
      <c r="A11146" t="s">
        <v>9006</v>
      </c>
      <c r="B11146" t="s">
        <v>866</v>
      </c>
      <c r="C11146" s="2">
        <f>HYPERLINK("https://cao.dolgi.msk.ru/account/1089121902/", 1089121902)</f>
        <v>1089121902</v>
      </c>
      <c r="D11146" t="s">
        <v>9186</v>
      </c>
      <c r="E11146">
        <v>-10110.94</v>
      </c>
      <c r="F11146">
        <v>-1.1000000000000001</v>
      </c>
      <c r="G11146" t="s">
        <v>12</v>
      </c>
      <c r="I11146" t="s">
        <v>230</v>
      </c>
    </row>
    <row r="11147" spans="1:9" x14ac:dyDescent="0.25">
      <c r="A11147" t="s">
        <v>9006</v>
      </c>
      <c r="B11147" t="s">
        <v>868</v>
      </c>
      <c r="C11147" s="2">
        <f>HYPERLINK("https://cao.dolgi.msk.ru/account/1089121937/", 1089121937)</f>
        <v>1089121937</v>
      </c>
      <c r="D11147" t="s">
        <v>9187</v>
      </c>
      <c r="E11147">
        <v>13435.72</v>
      </c>
      <c r="F11147">
        <v>2.94</v>
      </c>
      <c r="G11147" t="s">
        <v>12</v>
      </c>
      <c r="I11147" t="s">
        <v>230</v>
      </c>
    </row>
    <row r="11148" spans="1:9" hidden="1" x14ac:dyDescent="0.25">
      <c r="A11148" t="s">
        <v>9006</v>
      </c>
      <c r="B11148" t="s">
        <v>870</v>
      </c>
      <c r="C11148" s="2">
        <f>HYPERLINK("https://cao.dolgi.msk.ru/account/1089121945/", 1089121945)</f>
        <v>1089121945</v>
      </c>
      <c r="D11148" t="s">
        <v>9188</v>
      </c>
      <c r="E11148">
        <v>-15726.17</v>
      </c>
      <c r="F11148">
        <v>-2.54</v>
      </c>
      <c r="G11148" t="s">
        <v>12</v>
      </c>
      <c r="I11148" t="s">
        <v>230</v>
      </c>
    </row>
    <row r="11149" spans="1:9" hidden="1" x14ac:dyDescent="0.25">
      <c r="A11149" t="s">
        <v>9006</v>
      </c>
      <c r="B11149" t="s">
        <v>872</v>
      </c>
      <c r="C11149" s="2">
        <f>HYPERLINK("https://cao.dolgi.msk.ru/account/1089121953/", 1089121953)</f>
        <v>1089121953</v>
      </c>
      <c r="D11149" t="s">
        <v>9189</v>
      </c>
      <c r="E11149">
        <v>-18286.259999999998</v>
      </c>
      <c r="F11149">
        <v>-0.72</v>
      </c>
      <c r="G11149" t="s">
        <v>12</v>
      </c>
      <c r="I11149" t="s">
        <v>230</v>
      </c>
    </row>
    <row r="11150" spans="1:9" hidden="1" x14ac:dyDescent="0.25">
      <c r="A11150" t="s">
        <v>9006</v>
      </c>
      <c r="B11150" t="s">
        <v>874</v>
      </c>
      <c r="C11150" s="2">
        <f>HYPERLINK("https://cao.dolgi.msk.ru/account/1089121961/", 1089121961)</f>
        <v>1089121961</v>
      </c>
      <c r="D11150" t="s">
        <v>9190</v>
      </c>
      <c r="E11150">
        <v>0</v>
      </c>
      <c r="F11150">
        <v>0</v>
      </c>
      <c r="G11150" t="s">
        <v>12</v>
      </c>
      <c r="I11150" t="s">
        <v>230</v>
      </c>
    </row>
    <row r="11151" spans="1:9" hidden="1" x14ac:dyDescent="0.25">
      <c r="A11151" t="s">
        <v>9191</v>
      </c>
      <c r="B11151" t="s">
        <v>10</v>
      </c>
      <c r="C11151" s="2">
        <f>HYPERLINK("https://cao.dolgi.msk.ru/account/1080104997/", 1080104997)</f>
        <v>1080104997</v>
      </c>
      <c r="D11151" t="s">
        <v>9192</v>
      </c>
      <c r="E11151">
        <v>-357.22</v>
      </c>
      <c r="F11151">
        <v>-0.04</v>
      </c>
      <c r="G11151" t="s">
        <v>12</v>
      </c>
      <c r="I11151" t="s">
        <v>230</v>
      </c>
    </row>
    <row r="11152" spans="1:9" hidden="1" x14ac:dyDescent="0.25">
      <c r="A11152" t="s">
        <v>9191</v>
      </c>
      <c r="B11152" t="s">
        <v>16</v>
      </c>
      <c r="C11152" s="2">
        <f>HYPERLINK("https://cao.dolgi.msk.ru/account/1080105009/", 1080105009)</f>
        <v>1080105009</v>
      </c>
      <c r="D11152" t="s">
        <v>62</v>
      </c>
      <c r="E11152">
        <v>-5655.98</v>
      </c>
      <c r="F11152">
        <v>-1.2</v>
      </c>
      <c r="G11152" t="s">
        <v>12</v>
      </c>
      <c r="I11152" t="s">
        <v>230</v>
      </c>
    </row>
    <row r="11153" spans="1:9" hidden="1" x14ac:dyDescent="0.25">
      <c r="A11153" t="s">
        <v>9191</v>
      </c>
      <c r="B11153" t="s">
        <v>18</v>
      </c>
      <c r="C11153" s="2">
        <f>HYPERLINK("https://cao.dolgi.msk.ru/account/1080105017/", 1080105017)</f>
        <v>1080105017</v>
      </c>
      <c r="D11153" t="s">
        <v>62</v>
      </c>
      <c r="E11153">
        <v>-15357.59</v>
      </c>
      <c r="F11153">
        <v>-2.14</v>
      </c>
      <c r="G11153" t="s">
        <v>12</v>
      </c>
      <c r="I11153" t="s">
        <v>230</v>
      </c>
    </row>
    <row r="11154" spans="1:9" hidden="1" x14ac:dyDescent="0.25">
      <c r="A11154" t="s">
        <v>9191</v>
      </c>
      <c r="B11154" t="s">
        <v>20</v>
      </c>
      <c r="C11154" s="2">
        <f>HYPERLINK("https://cao.dolgi.msk.ru/account/1080105025/", 1080105025)</f>
        <v>1080105025</v>
      </c>
      <c r="D11154" t="s">
        <v>9193</v>
      </c>
      <c r="E11154">
        <v>-7057.53</v>
      </c>
      <c r="F11154">
        <v>-1.04</v>
      </c>
      <c r="G11154" t="s">
        <v>12</v>
      </c>
      <c r="I11154" t="s">
        <v>230</v>
      </c>
    </row>
    <row r="11155" spans="1:9" x14ac:dyDescent="0.25">
      <c r="A11155" t="s">
        <v>9191</v>
      </c>
      <c r="B11155" t="s">
        <v>21</v>
      </c>
      <c r="C11155" s="2">
        <f>HYPERLINK("https://cao.dolgi.msk.ru/account/1080105033/", 1080105033)</f>
        <v>1080105033</v>
      </c>
      <c r="D11155" t="s">
        <v>15</v>
      </c>
      <c r="E11155">
        <v>597482.06000000006</v>
      </c>
      <c r="F11155">
        <v>18.100000000000001</v>
      </c>
      <c r="G11155" t="s">
        <v>12</v>
      </c>
      <c r="I11155" t="s">
        <v>230</v>
      </c>
    </row>
    <row r="11156" spans="1:9" x14ac:dyDescent="0.25">
      <c r="A11156" t="s">
        <v>9191</v>
      </c>
      <c r="B11156" t="s">
        <v>22</v>
      </c>
      <c r="C11156" s="2">
        <f>HYPERLINK("https://cao.dolgi.msk.ru/account/1080105041/", 1080105041)</f>
        <v>1080105041</v>
      </c>
      <c r="D11156" t="s">
        <v>9194</v>
      </c>
      <c r="E11156">
        <v>137387.35</v>
      </c>
      <c r="F11156">
        <v>18.82</v>
      </c>
      <c r="G11156" t="s">
        <v>12</v>
      </c>
      <c r="I11156" t="s">
        <v>230</v>
      </c>
    </row>
    <row r="11157" spans="1:9" hidden="1" x14ac:dyDescent="0.25">
      <c r="A11157" t="s">
        <v>9191</v>
      </c>
      <c r="B11157" t="s">
        <v>23</v>
      </c>
      <c r="C11157" s="2">
        <f>HYPERLINK("https://cao.dolgi.msk.ru/account/1080105068/", 1080105068)</f>
        <v>1080105068</v>
      </c>
      <c r="D11157" t="s">
        <v>9195</v>
      </c>
      <c r="E11157">
        <v>0</v>
      </c>
      <c r="G11157" t="s">
        <v>12</v>
      </c>
      <c r="I11157" t="s">
        <v>230</v>
      </c>
    </row>
    <row r="11158" spans="1:9" hidden="1" x14ac:dyDescent="0.25">
      <c r="A11158" t="s">
        <v>9191</v>
      </c>
      <c r="B11158" t="s">
        <v>24</v>
      </c>
      <c r="C11158" s="2">
        <f>HYPERLINK("https://cao.dolgi.msk.ru/account/1080105076/", 1080105076)</f>
        <v>1080105076</v>
      </c>
      <c r="D11158" t="s">
        <v>15</v>
      </c>
      <c r="G11158" t="s">
        <v>14</v>
      </c>
      <c r="I11158" t="s">
        <v>230</v>
      </c>
    </row>
    <row r="11159" spans="1:9" hidden="1" x14ac:dyDescent="0.25">
      <c r="A11159" t="s">
        <v>9191</v>
      </c>
      <c r="B11159" t="s">
        <v>27</v>
      </c>
      <c r="C11159" s="2">
        <f>HYPERLINK("https://cao.dolgi.msk.ru/account/1080105084/", 1080105084)</f>
        <v>1080105084</v>
      </c>
      <c r="D11159" t="s">
        <v>9196</v>
      </c>
      <c r="E11159">
        <v>-9769.02</v>
      </c>
      <c r="F11159">
        <v>-1.01</v>
      </c>
      <c r="G11159" t="s">
        <v>12</v>
      </c>
      <c r="I11159" t="s">
        <v>230</v>
      </c>
    </row>
    <row r="11160" spans="1:9" hidden="1" x14ac:dyDescent="0.25">
      <c r="A11160" t="s">
        <v>9191</v>
      </c>
      <c r="B11160" t="s">
        <v>29</v>
      </c>
      <c r="C11160" s="2">
        <f>HYPERLINK("https://cao.dolgi.msk.ru/account/1080105092/", 1080105092)</f>
        <v>1080105092</v>
      </c>
      <c r="D11160" t="s">
        <v>9197</v>
      </c>
      <c r="E11160">
        <v>-12883.17</v>
      </c>
      <c r="F11160">
        <v>-2.0099999999999998</v>
      </c>
      <c r="G11160" t="s">
        <v>12</v>
      </c>
      <c r="I11160" t="s">
        <v>230</v>
      </c>
    </row>
    <row r="11161" spans="1:9" hidden="1" x14ac:dyDescent="0.25">
      <c r="A11161" t="s">
        <v>9191</v>
      </c>
      <c r="B11161" t="s">
        <v>31</v>
      </c>
      <c r="C11161" s="2">
        <f>HYPERLINK("https://cao.dolgi.msk.ru/account/1080105105/", 1080105105)</f>
        <v>1080105105</v>
      </c>
      <c r="D11161" t="s">
        <v>9198</v>
      </c>
      <c r="E11161">
        <v>337.92</v>
      </c>
      <c r="F11161">
        <v>0.05</v>
      </c>
      <c r="G11161" t="s">
        <v>12</v>
      </c>
      <c r="I11161" t="s">
        <v>230</v>
      </c>
    </row>
    <row r="11162" spans="1:9" hidden="1" x14ac:dyDescent="0.25">
      <c r="A11162" t="s">
        <v>9191</v>
      </c>
      <c r="B11162" t="s">
        <v>33</v>
      </c>
      <c r="C11162" s="2">
        <f>HYPERLINK("https://cao.dolgi.msk.ru/account/1080105113/", 1080105113)</f>
        <v>1080105113</v>
      </c>
      <c r="D11162" t="s">
        <v>9199</v>
      </c>
      <c r="E11162">
        <v>-165.74</v>
      </c>
      <c r="F11162">
        <v>-0.03</v>
      </c>
      <c r="G11162" t="s">
        <v>12</v>
      </c>
      <c r="I11162" t="s">
        <v>230</v>
      </c>
    </row>
    <row r="11163" spans="1:9" hidden="1" x14ac:dyDescent="0.25">
      <c r="A11163" t="s">
        <v>9191</v>
      </c>
      <c r="B11163" t="s">
        <v>34</v>
      </c>
      <c r="C11163" s="2">
        <f>HYPERLINK("https://cao.dolgi.msk.ru/account/1080105121/", 1080105121)</f>
        <v>1080105121</v>
      </c>
      <c r="D11163" t="s">
        <v>9200</v>
      </c>
      <c r="E11163">
        <v>-13.63</v>
      </c>
      <c r="F11163">
        <v>0</v>
      </c>
      <c r="G11163" t="s">
        <v>12</v>
      </c>
      <c r="I11163" t="s">
        <v>230</v>
      </c>
    </row>
    <row r="11164" spans="1:9" hidden="1" x14ac:dyDescent="0.25">
      <c r="A11164" t="s">
        <v>9191</v>
      </c>
      <c r="B11164" t="s">
        <v>36</v>
      </c>
      <c r="C11164" s="2">
        <f>HYPERLINK("https://cao.dolgi.msk.ru/account/1080105148/", 1080105148)</f>
        <v>1080105148</v>
      </c>
      <c r="D11164" t="s">
        <v>9201</v>
      </c>
      <c r="E11164">
        <v>-8806.8700000000008</v>
      </c>
      <c r="F11164">
        <v>-1.0900000000000001</v>
      </c>
      <c r="G11164" t="s">
        <v>12</v>
      </c>
      <c r="I11164" t="s">
        <v>230</v>
      </c>
    </row>
    <row r="11165" spans="1:9" hidden="1" x14ac:dyDescent="0.25">
      <c r="A11165" t="s">
        <v>9191</v>
      </c>
      <c r="B11165" t="s">
        <v>38</v>
      </c>
      <c r="C11165" s="2">
        <f>HYPERLINK("https://cao.dolgi.msk.ru/account/1080105156/", 1080105156)</f>
        <v>1080105156</v>
      </c>
      <c r="D11165" t="s">
        <v>9202</v>
      </c>
      <c r="E11165">
        <v>-10982.32</v>
      </c>
      <c r="F11165">
        <v>-1.88</v>
      </c>
      <c r="G11165" t="s">
        <v>12</v>
      </c>
      <c r="I11165" t="s">
        <v>230</v>
      </c>
    </row>
    <row r="11166" spans="1:9" hidden="1" x14ac:dyDescent="0.25">
      <c r="A11166" t="s">
        <v>9191</v>
      </c>
      <c r="B11166" t="s">
        <v>39</v>
      </c>
      <c r="C11166" s="2">
        <f>HYPERLINK("https://cao.dolgi.msk.ru/account/1080105164/", 1080105164)</f>
        <v>1080105164</v>
      </c>
      <c r="D11166" t="s">
        <v>9203</v>
      </c>
      <c r="E11166">
        <v>-7717.08</v>
      </c>
      <c r="F11166">
        <v>-1.25</v>
      </c>
      <c r="G11166" t="s">
        <v>12</v>
      </c>
      <c r="I11166" t="s">
        <v>230</v>
      </c>
    </row>
    <row r="11167" spans="1:9" hidden="1" x14ac:dyDescent="0.25">
      <c r="A11167" t="s">
        <v>9191</v>
      </c>
      <c r="B11167" t="s">
        <v>40</v>
      </c>
      <c r="C11167" s="2">
        <f>HYPERLINK("https://cao.dolgi.msk.ru/account/1080105172/", 1080105172)</f>
        <v>1080105172</v>
      </c>
      <c r="D11167" t="s">
        <v>9204</v>
      </c>
      <c r="E11167">
        <v>-7381.19</v>
      </c>
      <c r="F11167">
        <v>-1.1200000000000001</v>
      </c>
      <c r="G11167" t="s">
        <v>12</v>
      </c>
      <c r="I11167" t="s">
        <v>230</v>
      </c>
    </row>
    <row r="11168" spans="1:9" hidden="1" x14ac:dyDescent="0.25">
      <c r="A11168" t="s">
        <v>9191</v>
      </c>
      <c r="B11168" t="s">
        <v>41</v>
      </c>
      <c r="C11168" s="2">
        <f>HYPERLINK("https://cao.dolgi.msk.ru/account/1080105199/", 1080105199)</f>
        <v>1080105199</v>
      </c>
      <c r="D11168" t="s">
        <v>9205</v>
      </c>
      <c r="E11168">
        <v>-8205.2999999999993</v>
      </c>
      <c r="F11168">
        <v>-1</v>
      </c>
      <c r="G11168" t="s">
        <v>12</v>
      </c>
      <c r="I11168" t="s">
        <v>230</v>
      </c>
    </row>
    <row r="11169" spans="1:9" hidden="1" x14ac:dyDescent="0.25">
      <c r="A11169" t="s">
        <v>9191</v>
      </c>
      <c r="B11169" t="s">
        <v>42</v>
      </c>
      <c r="C11169" s="2">
        <f>HYPERLINK("https://cao.dolgi.msk.ru/account/1080105201/", 1080105201)</f>
        <v>1080105201</v>
      </c>
      <c r="D11169" t="s">
        <v>15</v>
      </c>
      <c r="E11169">
        <v>-4543.37</v>
      </c>
      <c r="F11169">
        <v>-0.45</v>
      </c>
      <c r="G11169" t="s">
        <v>12</v>
      </c>
      <c r="I11169" t="s">
        <v>230</v>
      </c>
    </row>
    <row r="11170" spans="1:9" hidden="1" x14ac:dyDescent="0.25">
      <c r="A11170" t="s">
        <v>9191</v>
      </c>
      <c r="B11170" t="s">
        <v>44</v>
      </c>
      <c r="C11170" s="2">
        <f>HYPERLINK("https://cao.dolgi.msk.ru/account/1080105228/", 1080105228)</f>
        <v>1080105228</v>
      </c>
      <c r="D11170" t="s">
        <v>62</v>
      </c>
      <c r="E11170">
        <v>-6060.03</v>
      </c>
      <c r="F11170">
        <v>-1.06</v>
      </c>
      <c r="G11170" t="s">
        <v>12</v>
      </c>
      <c r="I11170" t="s">
        <v>230</v>
      </c>
    </row>
    <row r="11171" spans="1:9" hidden="1" x14ac:dyDescent="0.25">
      <c r="A11171" t="s">
        <v>9191</v>
      </c>
      <c r="B11171" t="s">
        <v>66</v>
      </c>
      <c r="C11171" s="2">
        <f>HYPERLINK("https://cao.dolgi.msk.ru/account/1080105236/", 1080105236)</f>
        <v>1080105236</v>
      </c>
      <c r="D11171" t="s">
        <v>9206</v>
      </c>
      <c r="E11171">
        <v>-7283.16</v>
      </c>
      <c r="F11171">
        <v>-0.93</v>
      </c>
      <c r="G11171" t="s">
        <v>12</v>
      </c>
      <c r="I11171" t="s">
        <v>230</v>
      </c>
    </row>
    <row r="11172" spans="1:9" hidden="1" x14ac:dyDescent="0.25">
      <c r="A11172" t="s">
        <v>9191</v>
      </c>
      <c r="B11172" t="s">
        <v>68</v>
      </c>
      <c r="C11172" s="2">
        <f>HYPERLINK("https://cao.dolgi.msk.ru/account/1080105244/", 1080105244)</f>
        <v>1080105244</v>
      </c>
      <c r="D11172" t="s">
        <v>15</v>
      </c>
      <c r="E11172">
        <v>-29168.46</v>
      </c>
      <c r="F11172">
        <v>-3.37</v>
      </c>
      <c r="G11172" t="s">
        <v>12</v>
      </c>
      <c r="I11172" t="s">
        <v>230</v>
      </c>
    </row>
    <row r="11173" spans="1:9" hidden="1" x14ac:dyDescent="0.25">
      <c r="A11173" t="s">
        <v>9191</v>
      </c>
      <c r="B11173" t="s">
        <v>70</v>
      </c>
      <c r="C11173" s="2">
        <f>HYPERLINK("https://cao.dolgi.msk.ru/account/1080105252/", 1080105252)</f>
        <v>1080105252</v>
      </c>
      <c r="D11173" t="s">
        <v>9207</v>
      </c>
      <c r="E11173">
        <v>-5448.83</v>
      </c>
      <c r="F11173">
        <v>-1.04</v>
      </c>
      <c r="G11173" t="s">
        <v>12</v>
      </c>
      <c r="I11173" t="s">
        <v>230</v>
      </c>
    </row>
    <row r="11174" spans="1:9" hidden="1" x14ac:dyDescent="0.25">
      <c r="A11174" t="s">
        <v>9191</v>
      </c>
      <c r="B11174" t="s">
        <v>72</v>
      </c>
      <c r="C11174" s="2">
        <f>HYPERLINK("https://cao.dolgi.msk.ru/account/1080105279/", 1080105279)</f>
        <v>1080105279</v>
      </c>
      <c r="D11174" t="s">
        <v>9208</v>
      </c>
      <c r="E11174">
        <v>-12542.68</v>
      </c>
      <c r="F11174">
        <v>-1.06</v>
      </c>
      <c r="G11174" t="s">
        <v>12</v>
      </c>
      <c r="I11174" t="s">
        <v>230</v>
      </c>
    </row>
    <row r="11175" spans="1:9" x14ac:dyDescent="0.25">
      <c r="A11175" t="s">
        <v>9191</v>
      </c>
      <c r="B11175" t="s">
        <v>74</v>
      </c>
      <c r="C11175" s="2">
        <f>HYPERLINK("https://cao.dolgi.msk.ru/account/1080105287/", 1080105287)</f>
        <v>1080105287</v>
      </c>
      <c r="D11175" t="s">
        <v>9209</v>
      </c>
      <c r="E11175">
        <v>11166.83</v>
      </c>
      <c r="F11175">
        <v>1.1000000000000001</v>
      </c>
      <c r="G11175" t="s">
        <v>12</v>
      </c>
      <c r="I11175" t="s">
        <v>230</v>
      </c>
    </row>
    <row r="11176" spans="1:9" hidden="1" x14ac:dyDescent="0.25">
      <c r="A11176" t="s">
        <v>9210</v>
      </c>
      <c r="B11176" t="s">
        <v>133</v>
      </c>
      <c r="C11176" s="2">
        <f>HYPERLINK("https://cao.dolgi.msk.ru/account/1080104137/", 1080104137)</f>
        <v>1080104137</v>
      </c>
      <c r="D11176" t="s">
        <v>9211</v>
      </c>
      <c r="E11176">
        <v>-3181.52</v>
      </c>
      <c r="F11176">
        <v>-0.6</v>
      </c>
      <c r="G11176" t="s">
        <v>12</v>
      </c>
      <c r="I11176" t="s">
        <v>230</v>
      </c>
    </row>
    <row r="11177" spans="1:9" hidden="1" x14ac:dyDescent="0.25">
      <c r="A11177" t="s">
        <v>9210</v>
      </c>
      <c r="B11177" t="s">
        <v>9212</v>
      </c>
      <c r="C11177" s="2">
        <f>HYPERLINK("https://cao.dolgi.msk.ru/account/1080104102/", 1080104102)</f>
        <v>1080104102</v>
      </c>
      <c r="D11177" t="s">
        <v>9213</v>
      </c>
      <c r="E11177">
        <v>-5492.57</v>
      </c>
      <c r="F11177">
        <v>-1.1399999999999999</v>
      </c>
      <c r="G11177" t="s">
        <v>12</v>
      </c>
      <c r="H11177" t="s">
        <v>7</v>
      </c>
      <c r="I11177" t="s">
        <v>230</v>
      </c>
    </row>
    <row r="11178" spans="1:9" hidden="1" x14ac:dyDescent="0.25">
      <c r="A11178" t="s">
        <v>9210</v>
      </c>
      <c r="B11178" t="s">
        <v>9212</v>
      </c>
      <c r="C11178" s="2">
        <f>HYPERLINK("https://cao.dolgi.msk.ru/account/1080104129/", 1080104129)</f>
        <v>1080104129</v>
      </c>
      <c r="D11178" t="s">
        <v>9214</v>
      </c>
      <c r="E11178">
        <v>-3396.87</v>
      </c>
      <c r="F11178">
        <v>-1.24</v>
      </c>
      <c r="G11178" t="s">
        <v>12</v>
      </c>
      <c r="H11178" t="s">
        <v>7</v>
      </c>
      <c r="I11178" t="s">
        <v>230</v>
      </c>
    </row>
    <row r="11179" spans="1:9" hidden="1" x14ac:dyDescent="0.25">
      <c r="A11179" t="s">
        <v>9210</v>
      </c>
      <c r="B11179" t="s">
        <v>135</v>
      </c>
      <c r="C11179" s="2">
        <f>HYPERLINK("https://cao.dolgi.msk.ru/account/1080104145/", 1080104145)</f>
        <v>1080104145</v>
      </c>
      <c r="D11179" t="s">
        <v>9215</v>
      </c>
      <c r="E11179">
        <v>-5744.1</v>
      </c>
      <c r="F11179">
        <v>-1.25</v>
      </c>
      <c r="G11179" t="s">
        <v>12</v>
      </c>
      <c r="I11179" t="s">
        <v>230</v>
      </c>
    </row>
    <row r="11180" spans="1:9" hidden="1" x14ac:dyDescent="0.25">
      <c r="A11180" t="s">
        <v>9210</v>
      </c>
      <c r="B11180" t="s">
        <v>137</v>
      </c>
      <c r="C11180" s="2">
        <f>HYPERLINK("https://cao.dolgi.msk.ru/account/1080104153/", 1080104153)</f>
        <v>1080104153</v>
      </c>
      <c r="D11180" t="s">
        <v>9216</v>
      </c>
      <c r="E11180">
        <v>-5190.47</v>
      </c>
      <c r="F11180">
        <v>-1.3</v>
      </c>
      <c r="G11180" t="s">
        <v>12</v>
      </c>
      <c r="I11180" t="s">
        <v>230</v>
      </c>
    </row>
    <row r="11181" spans="1:9" hidden="1" x14ac:dyDescent="0.25">
      <c r="A11181" t="s">
        <v>9210</v>
      </c>
      <c r="B11181" t="s">
        <v>139</v>
      </c>
      <c r="C11181" s="2">
        <f>HYPERLINK("https://cao.dolgi.msk.ru/account/1080104161/", 1080104161)</f>
        <v>1080104161</v>
      </c>
      <c r="D11181" t="s">
        <v>9217</v>
      </c>
      <c r="E11181">
        <v>-4782.8599999999997</v>
      </c>
      <c r="F11181">
        <v>-1.28</v>
      </c>
      <c r="G11181" t="s">
        <v>12</v>
      </c>
      <c r="I11181" t="s">
        <v>230</v>
      </c>
    </row>
    <row r="11182" spans="1:9" hidden="1" x14ac:dyDescent="0.25">
      <c r="A11182" t="s">
        <v>9210</v>
      </c>
      <c r="B11182" t="s">
        <v>141</v>
      </c>
      <c r="C11182" s="2">
        <f>HYPERLINK("https://cao.dolgi.msk.ru/account/1080104188/", 1080104188)</f>
        <v>1080104188</v>
      </c>
      <c r="D11182" t="s">
        <v>9218</v>
      </c>
      <c r="E11182">
        <v>44.72</v>
      </c>
      <c r="F11182">
        <v>0.01</v>
      </c>
      <c r="G11182" t="s">
        <v>12</v>
      </c>
      <c r="I11182" t="s">
        <v>230</v>
      </c>
    </row>
    <row r="11183" spans="1:9" hidden="1" x14ac:dyDescent="0.25">
      <c r="A11183" t="s">
        <v>9210</v>
      </c>
      <c r="B11183" t="s">
        <v>143</v>
      </c>
      <c r="C11183" s="2">
        <f>HYPERLINK("https://cao.dolgi.msk.ru/account/1080104196/", 1080104196)</f>
        <v>1080104196</v>
      </c>
      <c r="D11183" t="s">
        <v>9219</v>
      </c>
      <c r="E11183">
        <v>-839.11</v>
      </c>
      <c r="F11183">
        <v>-0.16</v>
      </c>
      <c r="G11183" t="s">
        <v>12</v>
      </c>
      <c r="I11183" t="s">
        <v>230</v>
      </c>
    </row>
    <row r="11184" spans="1:9" hidden="1" x14ac:dyDescent="0.25">
      <c r="A11184" t="s">
        <v>9210</v>
      </c>
      <c r="B11184" t="s">
        <v>145</v>
      </c>
      <c r="C11184" s="2">
        <f>HYPERLINK("https://cao.dolgi.msk.ru/account/1080104209/", 1080104209)</f>
        <v>1080104209</v>
      </c>
      <c r="D11184" t="s">
        <v>9220</v>
      </c>
      <c r="E11184">
        <v>-7694.33</v>
      </c>
      <c r="F11184">
        <v>-1.4</v>
      </c>
      <c r="G11184" t="s">
        <v>12</v>
      </c>
      <c r="I11184" t="s">
        <v>230</v>
      </c>
    </row>
    <row r="11185" spans="1:9" hidden="1" x14ac:dyDescent="0.25">
      <c r="A11185" t="s">
        <v>9210</v>
      </c>
      <c r="B11185" t="s">
        <v>147</v>
      </c>
      <c r="C11185" s="2">
        <f>HYPERLINK("https://cao.dolgi.msk.ru/account/1080104217/", 1080104217)</f>
        <v>1080104217</v>
      </c>
      <c r="D11185" t="s">
        <v>9221</v>
      </c>
      <c r="E11185">
        <v>-30.92</v>
      </c>
      <c r="F11185">
        <v>0</v>
      </c>
      <c r="G11185" t="s">
        <v>12</v>
      </c>
      <c r="I11185" t="s">
        <v>230</v>
      </c>
    </row>
    <row r="11186" spans="1:9" hidden="1" x14ac:dyDescent="0.25">
      <c r="A11186" t="s">
        <v>9210</v>
      </c>
      <c r="B11186" t="s">
        <v>149</v>
      </c>
      <c r="C11186" s="2">
        <f>HYPERLINK("https://cao.dolgi.msk.ru/account/1080104225/", 1080104225)</f>
        <v>1080104225</v>
      </c>
      <c r="D11186" t="s">
        <v>15</v>
      </c>
      <c r="G11186" t="s">
        <v>14</v>
      </c>
      <c r="I11186" t="s">
        <v>230</v>
      </c>
    </row>
    <row r="11187" spans="1:9" x14ac:dyDescent="0.25">
      <c r="A11187" t="s">
        <v>9210</v>
      </c>
      <c r="B11187" t="s">
        <v>149</v>
      </c>
      <c r="C11187" s="2">
        <f>HYPERLINK("https://cao.dolgi.msk.ru/account/1080104233/", 1080104233)</f>
        <v>1080104233</v>
      </c>
      <c r="D11187" t="s">
        <v>9222</v>
      </c>
      <c r="E11187">
        <v>75364.100000000006</v>
      </c>
      <c r="F11187">
        <v>13.55</v>
      </c>
      <c r="G11187" t="s">
        <v>12</v>
      </c>
      <c r="I11187" t="s">
        <v>230</v>
      </c>
    </row>
    <row r="11188" spans="1:9" x14ac:dyDescent="0.25">
      <c r="A11188" t="s">
        <v>9210</v>
      </c>
      <c r="B11188" t="s">
        <v>151</v>
      </c>
      <c r="C11188" s="2">
        <f>HYPERLINK("https://cao.dolgi.msk.ru/account/1080104241/", 1080104241)</f>
        <v>1080104241</v>
      </c>
      <c r="D11188" t="s">
        <v>9223</v>
      </c>
      <c r="E11188">
        <v>12134.1</v>
      </c>
      <c r="F11188">
        <v>1.96</v>
      </c>
      <c r="G11188" t="s">
        <v>12</v>
      </c>
      <c r="I11188" t="s">
        <v>230</v>
      </c>
    </row>
    <row r="11189" spans="1:9" hidden="1" x14ac:dyDescent="0.25">
      <c r="A11189" t="s">
        <v>9210</v>
      </c>
      <c r="B11189" t="s">
        <v>151</v>
      </c>
      <c r="C11189" s="2">
        <f>HYPERLINK("https://cao.dolgi.msk.ru/account/1083273139/", 1083273139)</f>
        <v>1083273139</v>
      </c>
      <c r="D11189" t="s">
        <v>9224</v>
      </c>
      <c r="E11189">
        <v>-8541.65</v>
      </c>
      <c r="G11189" t="s">
        <v>14</v>
      </c>
      <c r="I11189" t="s">
        <v>230</v>
      </c>
    </row>
    <row r="11190" spans="1:9" hidden="1" x14ac:dyDescent="0.25">
      <c r="A11190" t="s">
        <v>9210</v>
      </c>
      <c r="B11190" t="s">
        <v>153</v>
      </c>
      <c r="C11190" s="2">
        <f>HYPERLINK("https://cao.dolgi.msk.ru/account/1080104268/", 1080104268)</f>
        <v>1080104268</v>
      </c>
      <c r="D11190" t="s">
        <v>9225</v>
      </c>
      <c r="E11190">
        <v>-11.55</v>
      </c>
      <c r="F11190">
        <v>0</v>
      </c>
      <c r="G11190" t="s">
        <v>12</v>
      </c>
      <c r="I11190" t="s">
        <v>230</v>
      </c>
    </row>
    <row r="11191" spans="1:9" x14ac:dyDescent="0.25">
      <c r="A11191" t="s">
        <v>9210</v>
      </c>
      <c r="B11191" t="s">
        <v>155</v>
      </c>
      <c r="C11191" s="2">
        <f>HYPERLINK("https://cao.dolgi.msk.ru/account/1080104276/", 1080104276)</f>
        <v>1080104276</v>
      </c>
      <c r="D11191" t="s">
        <v>9226</v>
      </c>
      <c r="E11191">
        <v>17717.64</v>
      </c>
      <c r="F11191">
        <v>3.96</v>
      </c>
      <c r="G11191" t="s">
        <v>12</v>
      </c>
      <c r="I11191" t="s">
        <v>230</v>
      </c>
    </row>
    <row r="11192" spans="1:9" hidden="1" x14ac:dyDescent="0.25">
      <c r="A11192" t="s">
        <v>9210</v>
      </c>
      <c r="B11192" t="s">
        <v>157</v>
      </c>
      <c r="C11192" s="2">
        <f>HYPERLINK("https://cao.dolgi.msk.ru/account/1080104284/", 1080104284)</f>
        <v>1080104284</v>
      </c>
      <c r="D11192" t="s">
        <v>9227</v>
      </c>
      <c r="E11192">
        <v>-9220.23</v>
      </c>
      <c r="F11192">
        <v>-1.23</v>
      </c>
      <c r="G11192" t="s">
        <v>12</v>
      </c>
      <c r="I11192" t="s">
        <v>230</v>
      </c>
    </row>
    <row r="11193" spans="1:9" hidden="1" x14ac:dyDescent="0.25">
      <c r="A11193" t="s">
        <v>9210</v>
      </c>
      <c r="B11193" t="s">
        <v>159</v>
      </c>
      <c r="C11193" s="2">
        <f>HYPERLINK("https://cao.dolgi.msk.ru/account/1080104292/", 1080104292)</f>
        <v>1080104292</v>
      </c>
      <c r="D11193" t="s">
        <v>9228</v>
      </c>
      <c r="E11193">
        <v>-9018.15</v>
      </c>
      <c r="F11193">
        <v>-1.1200000000000001</v>
      </c>
      <c r="G11193" t="s">
        <v>12</v>
      </c>
      <c r="I11193" t="s">
        <v>230</v>
      </c>
    </row>
    <row r="11194" spans="1:9" hidden="1" x14ac:dyDescent="0.25">
      <c r="A11194" t="s">
        <v>9210</v>
      </c>
      <c r="B11194" t="s">
        <v>161</v>
      </c>
      <c r="C11194" s="2">
        <f>HYPERLINK("https://cao.dolgi.msk.ru/account/1080104305/", 1080104305)</f>
        <v>1080104305</v>
      </c>
      <c r="D11194" t="s">
        <v>9229</v>
      </c>
      <c r="E11194">
        <v>-10049.459999999999</v>
      </c>
      <c r="F11194">
        <v>-1.1200000000000001</v>
      </c>
      <c r="G11194" t="s">
        <v>12</v>
      </c>
      <c r="I11194" t="s">
        <v>230</v>
      </c>
    </row>
    <row r="11195" spans="1:9" hidden="1" x14ac:dyDescent="0.25">
      <c r="A11195" t="s">
        <v>9210</v>
      </c>
      <c r="B11195" t="s">
        <v>163</v>
      </c>
      <c r="C11195" s="2">
        <f>HYPERLINK("https://cao.dolgi.msk.ru/account/1080104313/", 1080104313)</f>
        <v>1080104313</v>
      </c>
      <c r="D11195" t="s">
        <v>9230</v>
      </c>
      <c r="E11195">
        <v>134.97</v>
      </c>
      <c r="F11195">
        <v>0.03</v>
      </c>
      <c r="G11195" t="s">
        <v>12</v>
      </c>
      <c r="I11195" t="s">
        <v>230</v>
      </c>
    </row>
    <row r="11196" spans="1:9" hidden="1" x14ac:dyDescent="0.25">
      <c r="A11196" t="s">
        <v>9210</v>
      </c>
      <c r="B11196" t="s">
        <v>571</v>
      </c>
      <c r="C11196" s="2">
        <f>HYPERLINK("https://cao.dolgi.msk.ru/account/1080104321/", 1080104321)</f>
        <v>1080104321</v>
      </c>
      <c r="D11196" t="s">
        <v>9231</v>
      </c>
      <c r="E11196">
        <v>-7479.76</v>
      </c>
      <c r="F11196">
        <v>-1.1499999999999999</v>
      </c>
      <c r="G11196" t="s">
        <v>12</v>
      </c>
      <c r="I11196" t="s">
        <v>230</v>
      </c>
    </row>
    <row r="11197" spans="1:9" hidden="1" x14ac:dyDescent="0.25">
      <c r="A11197" t="s">
        <v>9210</v>
      </c>
      <c r="B11197" t="s">
        <v>682</v>
      </c>
      <c r="C11197" s="2">
        <f>HYPERLINK("https://cao.dolgi.msk.ru/account/1080104348/", 1080104348)</f>
        <v>1080104348</v>
      </c>
      <c r="D11197" t="s">
        <v>9232</v>
      </c>
      <c r="E11197">
        <v>-6328.13</v>
      </c>
      <c r="F11197">
        <v>-1.1399999999999999</v>
      </c>
      <c r="G11197" t="s">
        <v>12</v>
      </c>
      <c r="I11197" t="s">
        <v>230</v>
      </c>
    </row>
    <row r="11198" spans="1:9" hidden="1" x14ac:dyDescent="0.25">
      <c r="A11198" t="s">
        <v>9210</v>
      </c>
      <c r="B11198" t="s">
        <v>578</v>
      </c>
      <c r="C11198" s="2">
        <f>HYPERLINK("https://cao.dolgi.msk.ru/account/1080104356/", 1080104356)</f>
        <v>1080104356</v>
      </c>
      <c r="D11198" t="s">
        <v>9233</v>
      </c>
      <c r="E11198">
        <v>-13407.69</v>
      </c>
      <c r="F11198">
        <v>-1.0900000000000001</v>
      </c>
      <c r="G11198" t="s">
        <v>12</v>
      </c>
      <c r="I11198" t="s">
        <v>230</v>
      </c>
    </row>
    <row r="11199" spans="1:9" hidden="1" x14ac:dyDescent="0.25">
      <c r="A11199" t="s">
        <v>9210</v>
      </c>
      <c r="B11199" t="s">
        <v>578</v>
      </c>
      <c r="C11199" s="2">
        <f>HYPERLINK("https://cao.dolgi.msk.ru/account/1080104364/", 1080104364)</f>
        <v>1080104364</v>
      </c>
      <c r="D11199" t="s">
        <v>15</v>
      </c>
      <c r="G11199" t="s">
        <v>14</v>
      </c>
      <c r="I11199" t="s">
        <v>230</v>
      </c>
    </row>
    <row r="11200" spans="1:9" x14ac:dyDescent="0.25">
      <c r="A11200" t="s">
        <v>9210</v>
      </c>
      <c r="B11200" t="s">
        <v>580</v>
      </c>
      <c r="C11200" s="2">
        <f>HYPERLINK("https://cao.dolgi.msk.ru/account/1080104372/", 1080104372)</f>
        <v>1080104372</v>
      </c>
      <c r="D11200" t="s">
        <v>9234</v>
      </c>
      <c r="E11200">
        <v>11793.68</v>
      </c>
      <c r="F11200">
        <v>2.0499999999999998</v>
      </c>
      <c r="G11200" t="s">
        <v>12</v>
      </c>
      <c r="I11200" t="s">
        <v>230</v>
      </c>
    </row>
    <row r="11201" spans="1:9" hidden="1" x14ac:dyDescent="0.25">
      <c r="A11201" t="s">
        <v>9210</v>
      </c>
      <c r="B11201" t="s">
        <v>686</v>
      </c>
      <c r="C11201" s="2">
        <f>HYPERLINK("https://cao.dolgi.msk.ru/account/1080104399/", 1080104399)</f>
        <v>1080104399</v>
      </c>
      <c r="D11201" t="s">
        <v>9235</v>
      </c>
      <c r="E11201">
        <v>-8916.3799999999992</v>
      </c>
      <c r="F11201">
        <v>-1.36</v>
      </c>
      <c r="G11201" t="s">
        <v>12</v>
      </c>
      <c r="I11201" t="s">
        <v>230</v>
      </c>
    </row>
    <row r="11202" spans="1:9" hidden="1" x14ac:dyDescent="0.25">
      <c r="A11202" t="s">
        <v>9210</v>
      </c>
      <c r="B11202" t="s">
        <v>582</v>
      </c>
      <c r="C11202" s="2">
        <f>HYPERLINK("https://cao.dolgi.msk.ru/account/1080104401/", 1080104401)</f>
        <v>1080104401</v>
      </c>
      <c r="D11202" t="s">
        <v>9236</v>
      </c>
      <c r="E11202">
        <v>-493.11</v>
      </c>
      <c r="F11202">
        <v>-0.09</v>
      </c>
      <c r="G11202" t="s">
        <v>12</v>
      </c>
      <c r="I11202" t="s">
        <v>230</v>
      </c>
    </row>
    <row r="11203" spans="1:9" hidden="1" x14ac:dyDescent="0.25">
      <c r="A11203" t="s">
        <v>9210</v>
      </c>
      <c r="B11203" t="s">
        <v>584</v>
      </c>
      <c r="C11203" s="2">
        <f>HYPERLINK("https://cao.dolgi.msk.ru/account/1080104428/", 1080104428)</f>
        <v>1080104428</v>
      </c>
      <c r="D11203" t="s">
        <v>9237</v>
      </c>
      <c r="E11203">
        <v>-10057.52</v>
      </c>
      <c r="F11203">
        <v>-1.1200000000000001</v>
      </c>
      <c r="G11203" t="s">
        <v>12</v>
      </c>
      <c r="I11203" t="s">
        <v>230</v>
      </c>
    </row>
    <row r="11204" spans="1:9" hidden="1" x14ac:dyDescent="0.25">
      <c r="A11204" t="s">
        <v>9210</v>
      </c>
      <c r="B11204" t="s">
        <v>586</v>
      </c>
      <c r="C11204" s="2">
        <f>HYPERLINK("https://cao.dolgi.msk.ru/account/1080104436/", 1080104436)</f>
        <v>1080104436</v>
      </c>
      <c r="D11204" t="s">
        <v>9238</v>
      </c>
      <c r="E11204">
        <v>-8221.58</v>
      </c>
      <c r="F11204">
        <v>-1.1000000000000001</v>
      </c>
      <c r="G11204" t="s">
        <v>12</v>
      </c>
      <c r="I11204" t="s">
        <v>230</v>
      </c>
    </row>
    <row r="11205" spans="1:9" hidden="1" x14ac:dyDescent="0.25">
      <c r="A11205" t="s">
        <v>9210</v>
      </c>
      <c r="B11205" t="s">
        <v>588</v>
      </c>
      <c r="C11205" s="2">
        <f>HYPERLINK("https://cao.dolgi.msk.ru/account/1080104444/", 1080104444)</f>
        <v>1080104444</v>
      </c>
      <c r="D11205" t="s">
        <v>9239</v>
      </c>
      <c r="E11205">
        <v>-1381.31</v>
      </c>
      <c r="F11205">
        <v>-0.26</v>
      </c>
      <c r="G11205" t="s">
        <v>12</v>
      </c>
      <c r="I11205" t="s">
        <v>230</v>
      </c>
    </row>
    <row r="11206" spans="1:9" hidden="1" x14ac:dyDescent="0.25">
      <c r="A11206" t="s">
        <v>9210</v>
      </c>
      <c r="B11206" t="s">
        <v>590</v>
      </c>
      <c r="C11206" s="2">
        <f>HYPERLINK("https://cao.dolgi.msk.ru/account/1080104452/", 1080104452)</f>
        <v>1080104452</v>
      </c>
      <c r="D11206" t="s">
        <v>62</v>
      </c>
      <c r="G11206" t="s">
        <v>14</v>
      </c>
      <c r="I11206" t="s">
        <v>230</v>
      </c>
    </row>
    <row r="11207" spans="1:9" hidden="1" x14ac:dyDescent="0.25">
      <c r="A11207" t="s">
        <v>9210</v>
      </c>
      <c r="B11207" t="s">
        <v>693</v>
      </c>
      <c r="C11207" s="2">
        <f>HYPERLINK("https://cao.dolgi.msk.ru/account/1080104479/", 1080104479)</f>
        <v>1080104479</v>
      </c>
      <c r="D11207" t="s">
        <v>9240</v>
      </c>
      <c r="E11207">
        <v>-3379.51</v>
      </c>
      <c r="F11207">
        <v>-1</v>
      </c>
      <c r="G11207" t="s">
        <v>12</v>
      </c>
      <c r="I11207" t="s">
        <v>230</v>
      </c>
    </row>
    <row r="11208" spans="1:9" hidden="1" x14ac:dyDescent="0.25">
      <c r="A11208" t="s">
        <v>9210</v>
      </c>
      <c r="B11208" t="s">
        <v>694</v>
      </c>
      <c r="C11208" s="2">
        <f>HYPERLINK("https://cao.dolgi.msk.ru/account/1080104487/", 1080104487)</f>
        <v>1080104487</v>
      </c>
      <c r="D11208" t="s">
        <v>9241</v>
      </c>
      <c r="E11208">
        <v>-84288.71</v>
      </c>
      <c r="F11208">
        <v>-14.89</v>
      </c>
      <c r="G11208" t="s">
        <v>12</v>
      </c>
      <c r="I11208" t="s">
        <v>230</v>
      </c>
    </row>
    <row r="11209" spans="1:9" hidden="1" x14ac:dyDescent="0.25">
      <c r="A11209" t="s">
        <v>9210</v>
      </c>
      <c r="B11209" t="s">
        <v>696</v>
      </c>
      <c r="C11209" s="2">
        <f>HYPERLINK("https://cao.dolgi.msk.ru/account/1080104495/", 1080104495)</f>
        <v>1080104495</v>
      </c>
      <c r="D11209" t="s">
        <v>9242</v>
      </c>
      <c r="E11209">
        <v>-39286.65</v>
      </c>
      <c r="F11209">
        <v>-3.36</v>
      </c>
      <c r="G11209" t="s">
        <v>12</v>
      </c>
      <c r="I11209" t="s">
        <v>230</v>
      </c>
    </row>
    <row r="11210" spans="1:9" hidden="1" x14ac:dyDescent="0.25">
      <c r="A11210" t="s">
        <v>9210</v>
      </c>
      <c r="B11210" t="s">
        <v>696</v>
      </c>
      <c r="C11210" s="2">
        <f>HYPERLINK("https://cao.dolgi.msk.ru/account/1080104508/", 1080104508)</f>
        <v>1080104508</v>
      </c>
      <c r="D11210" t="s">
        <v>9242</v>
      </c>
      <c r="E11210">
        <v>7009.49</v>
      </c>
      <c r="G11210" t="s">
        <v>14</v>
      </c>
      <c r="I11210" t="s">
        <v>230</v>
      </c>
    </row>
    <row r="11211" spans="1:9" hidden="1" x14ac:dyDescent="0.25">
      <c r="A11211" t="s">
        <v>9210</v>
      </c>
      <c r="B11211" t="s">
        <v>696</v>
      </c>
      <c r="C11211" s="2">
        <f>HYPERLINK("https://cao.dolgi.msk.ru/account/1080104516/", 1080104516)</f>
        <v>1080104516</v>
      </c>
      <c r="D11211" t="s">
        <v>9243</v>
      </c>
      <c r="E11211">
        <v>-5113.96</v>
      </c>
      <c r="G11211" t="s">
        <v>14</v>
      </c>
      <c r="I11211" t="s">
        <v>230</v>
      </c>
    </row>
    <row r="11212" spans="1:9" hidden="1" x14ac:dyDescent="0.25">
      <c r="A11212" t="s">
        <v>9210</v>
      </c>
      <c r="B11212" t="s">
        <v>698</v>
      </c>
      <c r="C11212" s="2">
        <f>HYPERLINK("https://cao.dolgi.msk.ru/account/1080104524/", 1080104524)</f>
        <v>1080104524</v>
      </c>
      <c r="D11212" t="s">
        <v>9244</v>
      </c>
      <c r="E11212">
        <v>-3441.64</v>
      </c>
      <c r="F11212">
        <v>-1.07</v>
      </c>
      <c r="G11212" t="s">
        <v>12</v>
      </c>
      <c r="H11212" t="s">
        <v>7</v>
      </c>
      <c r="I11212" t="s">
        <v>230</v>
      </c>
    </row>
    <row r="11213" spans="1:9" hidden="1" x14ac:dyDescent="0.25">
      <c r="A11213" t="s">
        <v>9210</v>
      </c>
      <c r="B11213" t="s">
        <v>698</v>
      </c>
      <c r="C11213" s="2">
        <f>HYPERLINK("https://cao.dolgi.msk.ru/account/1080104532/", 1080104532)</f>
        <v>1080104532</v>
      </c>
      <c r="D11213" t="s">
        <v>15</v>
      </c>
      <c r="E11213">
        <v>3.5</v>
      </c>
      <c r="F11213">
        <v>0</v>
      </c>
      <c r="G11213" t="s">
        <v>12</v>
      </c>
      <c r="H11213" t="s">
        <v>7</v>
      </c>
      <c r="I11213" t="s">
        <v>230</v>
      </c>
    </row>
    <row r="11214" spans="1:9" x14ac:dyDescent="0.25">
      <c r="A11214" t="s">
        <v>9210</v>
      </c>
      <c r="B11214" t="s">
        <v>698</v>
      </c>
      <c r="C11214" s="2">
        <f>HYPERLINK("https://cao.dolgi.msk.ru/account/1080104559/", 1080104559)</f>
        <v>1080104559</v>
      </c>
      <c r="D11214" t="s">
        <v>9244</v>
      </c>
      <c r="E11214">
        <v>5765.86</v>
      </c>
      <c r="F11214">
        <v>2.98</v>
      </c>
      <c r="G11214" t="s">
        <v>12</v>
      </c>
      <c r="H11214" t="s">
        <v>7</v>
      </c>
      <c r="I11214" t="s">
        <v>230</v>
      </c>
    </row>
    <row r="11215" spans="1:9" hidden="1" x14ac:dyDescent="0.25">
      <c r="A11215" t="s">
        <v>9210</v>
      </c>
      <c r="B11215" t="s">
        <v>700</v>
      </c>
      <c r="C11215" s="2">
        <f>HYPERLINK("https://cao.dolgi.msk.ru/account/1080104567/", 1080104567)</f>
        <v>1080104567</v>
      </c>
      <c r="D11215" t="s">
        <v>9245</v>
      </c>
      <c r="E11215">
        <v>-8648.75</v>
      </c>
      <c r="F11215">
        <v>-1.1100000000000001</v>
      </c>
      <c r="G11215" t="s">
        <v>12</v>
      </c>
      <c r="I11215" t="s">
        <v>230</v>
      </c>
    </row>
    <row r="11216" spans="1:9" hidden="1" x14ac:dyDescent="0.25">
      <c r="A11216" t="s">
        <v>9210</v>
      </c>
      <c r="B11216" t="s">
        <v>702</v>
      </c>
      <c r="C11216" s="2">
        <f>HYPERLINK("https://cao.dolgi.msk.ru/account/1080104575/", 1080104575)</f>
        <v>1080104575</v>
      </c>
      <c r="D11216" t="s">
        <v>9246</v>
      </c>
      <c r="E11216">
        <v>-1454.61</v>
      </c>
      <c r="F11216">
        <v>-0.31</v>
      </c>
      <c r="G11216" t="s">
        <v>12</v>
      </c>
      <c r="I11216" t="s">
        <v>230</v>
      </c>
    </row>
    <row r="11217" spans="1:9" hidden="1" x14ac:dyDescent="0.25">
      <c r="A11217" t="s">
        <v>9210</v>
      </c>
      <c r="B11217" t="s">
        <v>703</v>
      </c>
      <c r="C11217" s="2">
        <f>HYPERLINK("https://cao.dolgi.msk.ru/account/1080104583/", 1080104583)</f>
        <v>1080104583</v>
      </c>
      <c r="D11217" t="s">
        <v>9247</v>
      </c>
      <c r="E11217">
        <v>-11739.27</v>
      </c>
      <c r="F11217">
        <v>-1.97</v>
      </c>
      <c r="G11217" t="s">
        <v>12</v>
      </c>
      <c r="I11217" t="s">
        <v>230</v>
      </c>
    </row>
    <row r="11218" spans="1:9" hidden="1" x14ac:dyDescent="0.25">
      <c r="A11218" t="s">
        <v>9210</v>
      </c>
      <c r="B11218" t="s">
        <v>703</v>
      </c>
      <c r="C11218" s="2">
        <f>HYPERLINK("https://cao.dolgi.msk.ru/account/1080104591/", 1080104591)</f>
        <v>1080104591</v>
      </c>
      <c r="D11218" t="s">
        <v>9248</v>
      </c>
      <c r="E11218">
        <v>18.97</v>
      </c>
      <c r="G11218" t="s">
        <v>14</v>
      </c>
      <c r="I11218" t="s">
        <v>230</v>
      </c>
    </row>
    <row r="11219" spans="1:9" hidden="1" x14ac:dyDescent="0.25">
      <c r="A11219" t="s">
        <v>9210</v>
      </c>
      <c r="B11219" t="s">
        <v>703</v>
      </c>
      <c r="C11219" s="2">
        <f>HYPERLINK("https://cao.dolgi.msk.ru/account/1080104604/", 1080104604)</f>
        <v>1080104604</v>
      </c>
      <c r="D11219" t="s">
        <v>9249</v>
      </c>
      <c r="E11219">
        <v>0</v>
      </c>
      <c r="G11219" t="s">
        <v>14</v>
      </c>
      <c r="I11219" t="s">
        <v>230</v>
      </c>
    </row>
    <row r="11220" spans="1:9" hidden="1" x14ac:dyDescent="0.25">
      <c r="A11220" t="s">
        <v>9210</v>
      </c>
      <c r="B11220" t="s">
        <v>705</v>
      </c>
      <c r="C11220" s="2">
        <f>HYPERLINK("https://cao.dolgi.msk.ru/account/1080104612/", 1080104612)</f>
        <v>1080104612</v>
      </c>
      <c r="D11220" t="s">
        <v>9250</v>
      </c>
      <c r="E11220">
        <v>0</v>
      </c>
      <c r="F11220">
        <v>0</v>
      </c>
      <c r="G11220" t="s">
        <v>12</v>
      </c>
      <c r="I11220" t="s">
        <v>230</v>
      </c>
    </row>
    <row r="11221" spans="1:9" hidden="1" x14ac:dyDescent="0.25">
      <c r="A11221" t="s">
        <v>9210</v>
      </c>
      <c r="B11221" t="s">
        <v>707</v>
      </c>
      <c r="C11221" s="2">
        <f>HYPERLINK("https://cao.dolgi.msk.ru/account/1080104663/", 1080104663)</f>
        <v>1080104663</v>
      </c>
      <c r="D11221" t="s">
        <v>9251</v>
      </c>
      <c r="E11221">
        <v>-7103.03</v>
      </c>
      <c r="F11221">
        <v>-1.0900000000000001</v>
      </c>
      <c r="G11221" t="s">
        <v>12</v>
      </c>
      <c r="I11221" t="s">
        <v>230</v>
      </c>
    </row>
    <row r="11222" spans="1:9" hidden="1" x14ac:dyDescent="0.25">
      <c r="A11222" t="s">
        <v>9210</v>
      </c>
      <c r="B11222" t="s">
        <v>709</v>
      </c>
      <c r="C11222" s="2">
        <f>HYPERLINK("https://cao.dolgi.msk.ru/account/1080104671/", 1080104671)</f>
        <v>1080104671</v>
      </c>
      <c r="D11222" t="s">
        <v>9252</v>
      </c>
      <c r="E11222">
        <v>-9998.5300000000007</v>
      </c>
      <c r="F11222">
        <v>-1.04</v>
      </c>
      <c r="G11222" t="s">
        <v>12</v>
      </c>
      <c r="I11222" t="s">
        <v>230</v>
      </c>
    </row>
    <row r="11223" spans="1:9" hidden="1" x14ac:dyDescent="0.25">
      <c r="A11223" t="s">
        <v>9210</v>
      </c>
      <c r="B11223" t="s">
        <v>711</v>
      </c>
      <c r="C11223" s="2">
        <f>HYPERLINK("https://cao.dolgi.msk.ru/account/1080104698/", 1080104698)</f>
        <v>1080104698</v>
      </c>
      <c r="D11223" t="s">
        <v>9253</v>
      </c>
      <c r="E11223">
        <v>0</v>
      </c>
      <c r="F11223">
        <v>0</v>
      </c>
      <c r="G11223" t="s">
        <v>12</v>
      </c>
      <c r="I11223" t="s">
        <v>230</v>
      </c>
    </row>
    <row r="11224" spans="1:9" hidden="1" x14ac:dyDescent="0.25">
      <c r="A11224" t="s">
        <v>9210</v>
      </c>
      <c r="B11224" t="s">
        <v>713</v>
      </c>
      <c r="C11224" s="2">
        <f>HYPERLINK("https://cao.dolgi.msk.ru/account/1080104735/", 1080104735)</f>
        <v>1080104735</v>
      </c>
      <c r="D11224" t="s">
        <v>9254</v>
      </c>
      <c r="E11224">
        <v>-6002.01</v>
      </c>
      <c r="F11224">
        <v>-1.1200000000000001</v>
      </c>
      <c r="G11224" t="s">
        <v>12</v>
      </c>
      <c r="I11224" t="s">
        <v>230</v>
      </c>
    </row>
    <row r="11225" spans="1:9" hidden="1" x14ac:dyDescent="0.25">
      <c r="A11225" t="s">
        <v>9210</v>
      </c>
      <c r="B11225" t="s">
        <v>528</v>
      </c>
      <c r="C11225" s="2">
        <f>HYPERLINK("https://cao.dolgi.msk.ru/account/1080104751/", 1080104751)</f>
        <v>1080104751</v>
      </c>
      <c r="D11225" t="s">
        <v>9255</v>
      </c>
      <c r="E11225">
        <v>0</v>
      </c>
      <c r="G11225" t="s">
        <v>14</v>
      </c>
      <c r="I11225" t="s">
        <v>230</v>
      </c>
    </row>
    <row r="11226" spans="1:9" hidden="1" x14ac:dyDescent="0.25">
      <c r="A11226" t="s">
        <v>9210</v>
      </c>
      <c r="B11226" t="s">
        <v>528</v>
      </c>
      <c r="C11226" s="2">
        <f>HYPERLINK("https://cao.dolgi.msk.ru/account/1080104778/", 1080104778)</f>
        <v>1080104778</v>
      </c>
      <c r="D11226" t="s">
        <v>9256</v>
      </c>
      <c r="E11226">
        <v>-5966.6</v>
      </c>
      <c r="F11226">
        <v>-1.05</v>
      </c>
      <c r="G11226" t="s">
        <v>12</v>
      </c>
      <c r="I11226" t="s">
        <v>230</v>
      </c>
    </row>
    <row r="11227" spans="1:9" hidden="1" x14ac:dyDescent="0.25">
      <c r="A11227" t="s">
        <v>9210</v>
      </c>
      <c r="B11227" t="s">
        <v>530</v>
      </c>
      <c r="C11227" s="2">
        <f>HYPERLINK("https://cao.dolgi.msk.ru/account/1080104786/", 1080104786)</f>
        <v>1080104786</v>
      </c>
      <c r="D11227" t="s">
        <v>9257</v>
      </c>
      <c r="E11227">
        <v>-4101.71</v>
      </c>
      <c r="F11227">
        <v>-1.1599999999999999</v>
      </c>
      <c r="G11227" t="s">
        <v>12</v>
      </c>
      <c r="I11227" t="s">
        <v>230</v>
      </c>
    </row>
    <row r="11228" spans="1:9" hidden="1" x14ac:dyDescent="0.25">
      <c r="A11228" t="s">
        <v>9210</v>
      </c>
      <c r="B11228" t="s">
        <v>532</v>
      </c>
      <c r="C11228" s="2">
        <f>HYPERLINK("https://cao.dolgi.msk.ru/account/1080104794/", 1080104794)</f>
        <v>1080104794</v>
      </c>
      <c r="D11228" t="s">
        <v>9258</v>
      </c>
      <c r="E11228">
        <v>323.85000000000002</v>
      </c>
      <c r="F11228">
        <v>0.04</v>
      </c>
      <c r="G11228" t="s">
        <v>12</v>
      </c>
      <c r="I11228" t="s">
        <v>230</v>
      </c>
    </row>
    <row r="11229" spans="1:9" hidden="1" x14ac:dyDescent="0.25">
      <c r="A11229" t="s">
        <v>9210</v>
      </c>
      <c r="B11229" t="s">
        <v>534</v>
      </c>
      <c r="C11229" s="2">
        <f>HYPERLINK("https://cao.dolgi.msk.ru/account/1080104823/", 1080104823)</f>
        <v>1080104823</v>
      </c>
      <c r="D11229" t="s">
        <v>15</v>
      </c>
      <c r="E11229">
        <v>0</v>
      </c>
      <c r="F11229">
        <v>0</v>
      </c>
      <c r="G11229" t="s">
        <v>12</v>
      </c>
      <c r="I11229" t="s">
        <v>230</v>
      </c>
    </row>
    <row r="11230" spans="1:9" hidden="1" x14ac:dyDescent="0.25">
      <c r="A11230" t="s">
        <v>9210</v>
      </c>
      <c r="B11230" t="s">
        <v>536</v>
      </c>
      <c r="C11230" s="2">
        <f>HYPERLINK("https://cao.dolgi.msk.ru/account/1080104831/", 1080104831)</f>
        <v>1080104831</v>
      </c>
      <c r="D11230" t="s">
        <v>9259</v>
      </c>
      <c r="E11230">
        <v>-3978.99</v>
      </c>
      <c r="F11230">
        <v>-1.33</v>
      </c>
      <c r="G11230" t="s">
        <v>12</v>
      </c>
      <c r="I11230" t="s">
        <v>230</v>
      </c>
    </row>
    <row r="11231" spans="1:9" hidden="1" x14ac:dyDescent="0.25">
      <c r="A11231" t="s">
        <v>9210</v>
      </c>
      <c r="B11231" t="s">
        <v>538</v>
      </c>
      <c r="C11231" s="2">
        <f>HYPERLINK("https://cao.dolgi.msk.ru/account/1080104858/", 1080104858)</f>
        <v>1080104858</v>
      </c>
      <c r="D11231" t="s">
        <v>9260</v>
      </c>
      <c r="E11231">
        <v>-46972.17</v>
      </c>
      <c r="F11231">
        <v>-4.6100000000000003</v>
      </c>
      <c r="G11231" t="s">
        <v>12</v>
      </c>
      <c r="I11231" t="s">
        <v>230</v>
      </c>
    </row>
    <row r="11232" spans="1:9" hidden="1" x14ac:dyDescent="0.25">
      <c r="A11232" t="s">
        <v>9210</v>
      </c>
      <c r="B11232" t="s">
        <v>539</v>
      </c>
      <c r="C11232" s="2">
        <f>HYPERLINK("https://cao.dolgi.msk.ru/account/1080104866/", 1080104866)</f>
        <v>1080104866</v>
      </c>
      <c r="D11232" t="s">
        <v>9261</v>
      </c>
      <c r="E11232">
        <v>-8681.8799999999992</v>
      </c>
      <c r="F11232">
        <v>-1.3</v>
      </c>
      <c r="G11232" t="s">
        <v>12</v>
      </c>
      <c r="I11232" t="s">
        <v>230</v>
      </c>
    </row>
    <row r="11233" spans="1:9" hidden="1" x14ac:dyDescent="0.25">
      <c r="A11233" t="s">
        <v>9210</v>
      </c>
      <c r="B11233" t="s">
        <v>541</v>
      </c>
      <c r="C11233" s="2">
        <f>HYPERLINK("https://cao.dolgi.msk.ru/account/1080104874/", 1080104874)</f>
        <v>1080104874</v>
      </c>
      <c r="D11233" t="s">
        <v>9262</v>
      </c>
      <c r="E11233">
        <v>-5992.35</v>
      </c>
      <c r="F11233">
        <v>-1.1599999999999999</v>
      </c>
      <c r="G11233" t="s">
        <v>12</v>
      </c>
      <c r="H11233" t="s">
        <v>7</v>
      </c>
      <c r="I11233" t="s">
        <v>230</v>
      </c>
    </row>
    <row r="11234" spans="1:9" hidden="1" x14ac:dyDescent="0.25">
      <c r="A11234" t="s">
        <v>9210</v>
      </c>
      <c r="B11234" t="s">
        <v>541</v>
      </c>
      <c r="C11234" s="2">
        <f>HYPERLINK("https://cao.dolgi.msk.ru/account/1080104882/", 1080104882)</f>
        <v>1080104882</v>
      </c>
      <c r="D11234" t="s">
        <v>9262</v>
      </c>
      <c r="E11234">
        <v>416.12</v>
      </c>
      <c r="F11234">
        <v>0.19</v>
      </c>
      <c r="G11234" t="s">
        <v>12</v>
      </c>
      <c r="H11234" t="s">
        <v>7</v>
      </c>
      <c r="I11234" t="s">
        <v>230</v>
      </c>
    </row>
    <row r="11235" spans="1:9" hidden="1" x14ac:dyDescent="0.25">
      <c r="A11235" t="s">
        <v>9210</v>
      </c>
      <c r="B11235" t="s">
        <v>543</v>
      </c>
      <c r="C11235" s="2">
        <f>HYPERLINK("https://cao.dolgi.msk.ru/account/1080104903/", 1080104903)</f>
        <v>1080104903</v>
      </c>
      <c r="D11235" t="s">
        <v>9263</v>
      </c>
      <c r="E11235">
        <v>-6037.68</v>
      </c>
      <c r="F11235">
        <v>-1.1599999999999999</v>
      </c>
      <c r="G11235" t="s">
        <v>12</v>
      </c>
      <c r="I11235" t="s">
        <v>230</v>
      </c>
    </row>
    <row r="11236" spans="1:9" hidden="1" x14ac:dyDescent="0.25">
      <c r="A11236" t="s">
        <v>9210</v>
      </c>
      <c r="B11236" t="s">
        <v>545</v>
      </c>
      <c r="C11236" s="2">
        <f>HYPERLINK("https://cao.dolgi.msk.ru/account/1080104911/", 1080104911)</f>
        <v>1080104911</v>
      </c>
      <c r="D11236" t="s">
        <v>9264</v>
      </c>
      <c r="E11236">
        <v>-9006.32</v>
      </c>
      <c r="F11236">
        <v>-1.8</v>
      </c>
      <c r="G11236" t="s">
        <v>12</v>
      </c>
      <c r="I11236" t="s">
        <v>230</v>
      </c>
    </row>
    <row r="11237" spans="1:9" hidden="1" x14ac:dyDescent="0.25">
      <c r="A11237" t="s">
        <v>9210</v>
      </c>
      <c r="B11237" t="s">
        <v>546</v>
      </c>
      <c r="C11237" s="2">
        <f>HYPERLINK("https://cao.dolgi.msk.ru/account/1080104954/", 1080104954)</f>
        <v>1080104954</v>
      </c>
      <c r="D11237" t="s">
        <v>9265</v>
      </c>
      <c r="E11237">
        <v>-9561.77</v>
      </c>
      <c r="F11237">
        <v>-1.24</v>
      </c>
      <c r="G11237" t="s">
        <v>12</v>
      </c>
      <c r="I11237" t="s">
        <v>230</v>
      </c>
    </row>
    <row r="11238" spans="1:9" hidden="1" x14ac:dyDescent="0.25">
      <c r="A11238" t="s">
        <v>9210</v>
      </c>
      <c r="B11238" t="s">
        <v>548</v>
      </c>
      <c r="C11238" s="2">
        <f>HYPERLINK("https://cao.dolgi.msk.ru/account/1080104962/", 1080104962)</f>
        <v>1080104962</v>
      </c>
      <c r="D11238" t="s">
        <v>9266</v>
      </c>
      <c r="E11238">
        <v>-146.58000000000001</v>
      </c>
      <c r="F11238">
        <v>-0.02</v>
      </c>
      <c r="G11238" t="s">
        <v>12</v>
      </c>
      <c r="I11238" t="s">
        <v>230</v>
      </c>
    </row>
    <row r="11239" spans="1:9" hidden="1" x14ac:dyDescent="0.25">
      <c r="A11239" t="s">
        <v>9210</v>
      </c>
      <c r="B11239" t="s">
        <v>727</v>
      </c>
      <c r="C11239" s="2">
        <f>HYPERLINK("https://cao.dolgi.msk.ru/account/1080104989/", 1080104989)</f>
        <v>1080104989</v>
      </c>
      <c r="D11239" t="s">
        <v>9267</v>
      </c>
      <c r="E11239">
        <v>-6046.12</v>
      </c>
      <c r="F11239">
        <v>-1.05</v>
      </c>
      <c r="G11239" t="s">
        <v>12</v>
      </c>
      <c r="I11239" t="s">
        <v>230</v>
      </c>
    </row>
    <row r="11240" spans="1:9" hidden="1" x14ac:dyDescent="0.25">
      <c r="A11240" t="s">
        <v>9268</v>
      </c>
      <c r="B11240" t="s">
        <v>10</v>
      </c>
      <c r="C11240" s="2">
        <f>HYPERLINK("https://cao.dolgi.msk.ru/account/1080097598/", 1080097598)</f>
        <v>1080097598</v>
      </c>
      <c r="D11240" t="s">
        <v>9269</v>
      </c>
      <c r="E11240">
        <v>-5986.86</v>
      </c>
      <c r="F11240">
        <v>-1.1599999999999999</v>
      </c>
      <c r="G11240" t="s">
        <v>12</v>
      </c>
      <c r="I11240" t="s">
        <v>230</v>
      </c>
    </row>
    <row r="11241" spans="1:9" hidden="1" x14ac:dyDescent="0.25">
      <c r="A11241" t="s">
        <v>9268</v>
      </c>
      <c r="B11241" t="s">
        <v>16</v>
      </c>
      <c r="C11241" s="2">
        <f>HYPERLINK("https://cao.dolgi.msk.ru/account/1080097619/", 1080097619)</f>
        <v>1080097619</v>
      </c>
      <c r="D11241" t="s">
        <v>9270</v>
      </c>
      <c r="E11241">
        <v>-7926.97</v>
      </c>
      <c r="F11241">
        <v>-1.51</v>
      </c>
      <c r="G11241" t="s">
        <v>12</v>
      </c>
      <c r="I11241" t="s">
        <v>230</v>
      </c>
    </row>
    <row r="11242" spans="1:9" hidden="1" x14ac:dyDescent="0.25">
      <c r="A11242" t="s">
        <v>9268</v>
      </c>
      <c r="B11242" t="s">
        <v>18</v>
      </c>
      <c r="C11242" s="2">
        <f>HYPERLINK("https://cao.dolgi.msk.ru/account/1080097627/", 1080097627)</f>
        <v>1080097627</v>
      </c>
      <c r="D11242" t="s">
        <v>9271</v>
      </c>
      <c r="E11242">
        <v>-4637.82</v>
      </c>
      <c r="F11242">
        <v>-0.94</v>
      </c>
      <c r="G11242" t="s">
        <v>12</v>
      </c>
      <c r="I11242" t="s">
        <v>230</v>
      </c>
    </row>
    <row r="11243" spans="1:9" hidden="1" x14ac:dyDescent="0.25">
      <c r="A11243" t="s">
        <v>9268</v>
      </c>
      <c r="B11243" t="s">
        <v>20</v>
      </c>
      <c r="C11243" s="2">
        <f>HYPERLINK("https://cao.dolgi.msk.ru/account/1080097635/", 1080097635)</f>
        <v>1080097635</v>
      </c>
      <c r="D11243" t="s">
        <v>9272</v>
      </c>
      <c r="E11243">
        <v>-7757.77</v>
      </c>
      <c r="F11243">
        <v>-1.06</v>
      </c>
      <c r="G11243" t="s">
        <v>12</v>
      </c>
      <c r="I11243" t="s">
        <v>230</v>
      </c>
    </row>
    <row r="11244" spans="1:9" hidden="1" x14ac:dyDescent="0.25">
      <c r="A11244" t="s">
        <v>9268</v>
      </c>
      <c r="B11244" t="s">
        <v>21</v>
      </c>
      <c r="C11244" s="2">
        <f>HYPERLINK("https://cao.dolgi.msk.ru/account/1080097643/", 1080097643)</f>
        <v>1080097643</v>
      </c>
      <c r="D11244" t="s">
        <v>9273</v>
      </c>
      <c r="E11244">
        <v>35.950000000000003</v>
      </c>
      <c r="F11244">
        <v>0</v>
      </c>
      <c r="G11244" t="s">
        <v>12</v>
      </c>
      <c r="I11244" t="s">
        <v>230</v>
      </c>
    </row>
    <row r="11245" spans="1:9" hidden="1" x14ac:dyDescent="0.25">
      <c r="A11245" t="s">
        <v>9268</v>
      </c>
      <c r="B11245" t="s">
        <v>22</v>
      </c>
      <c r="C11245" s="2">
        <f>HYPERLINK("https://cao.dolgi.msk.ru/account/1080097651/", 1080097651)</f>
        <v>1080097651</v>
      </c>
      <c r="D11245" t="s">
        <v>9274</v>
      </c>
      <c r="E11245">
        <v>-6172.13</v>
      </c>
      <c r="F11245">
        <v>-1.1299999999999999</v>
      </c>
      <c r="G11245" t="s">
        <v>12</v>
      </c>
      <c r="I11245" t="s">
        <v>230</v>
      </c>
    </row>
    <row r="11246" spans="1:9" hidden="1" x14ac:dyDescent="0.25">
      <c r="A11246" t="s">
        <v>9268</v>
      </c>
      <c r="B11246" t="s">
        <v>23</v>
      </c>
      <c r="C11246" s="2">
        <f>HYPERLINK("https://cao.dolgi.msk.ru/account/1080097678/", 1080097678)</f>
        <v>1080097678</v>
      </c>
      <c r="D11246" t="s">
        <v>9275</v>
      </c>
      <c r="E11246">
        <v>5.81</v>
      </c>
      <c r="F11246">
        <v>0</v>
      </c>
      <c r="G11246" t="s">
        <v>12</v>
      </c>
      <c r="I11246" t="s">
        <v>230</v>
      </c>
    </row>
    <row r="11247" spans="1:9" hidden="1" x14ac:dyDescent="0.25">
      <c r="A11247" t="s">
        <v>9268</v>
      </c>
      <c r="B11247" t="s">
        <v>24</v>
      </c>
      <c r="C11247" s="2">
        <f>HYPERLINK("https://cao.dolgi.msk.ru/account/1080097686/", 1080097686)</f>
        <v>1080097686</v>
      </c>
      <c r="D11247" t="s">
        <v>9276</v>
      </c>
      <c r="E11247">
        <v>-697.66</v>
      </c>
      <c r="F11247">
        <v>-0.08</v>
      </c>
      <c r="G11247" t="s">
        <v>12</v>
      </c>
      <c r="I11247" t="s">
        <v>230</v>
      </c>
    </row>
    <row r="11248" spans="1:9" hidden="1" x14ac:dyDescent="0.25">
      <c r="A11248" t="s">
        <v>9268</v>
      </c>
      <c r="B11248" t="s">
        <v>27</v>
      </c>
      <c r="C11248" s="2">
        <f>HYPERLINK("https://cao.dolgi.msk.ru/account/1080097707/", 1080097707)</f>
        <v>1080097707</v>
      </c>
      <c r="D11248" t="s">
        <v>9277</v>
      </c>
      <c r="E11248">
        <v>-15035.4</v>
      </c>
      <c r="F11248">
        <v>-1.1100000000000001</v>
      </c>
      <c r="G11248" t="s">
        <v>12</v>
      </c>
      <c r="I11248" t="s">
        <v>230</v>
      </c>
    </row>
    <row r="11249" spans="1:9" hidden="1" x14ac:dyDescent="0.25">
      <c r="A11249" t="s">
        <v>9268</v>
      </c>
      <c r="B11249" t="s">
        <v>29</v>
      </c>
      <c r="C11249" s="2">
        <f>HYPERLINK("https://cao.dolgi.msk.ru/account/1080097715/", 1080097715)</f>
        <v>1080097715</v>
      </c>
      <c r="D11249" t="s">
        <v>9278</v>
      </c>
      <c r="E11249">
        <v>-2956.49</v>
      </c>
      <c r="F11249">
        <v>-0.37</v>
      </c>
      <c r="G11249" t="s">
        <v>12</v>
      </c>
      <c r="I11249" t="s">
        <v>230</v>
      </c>
    </row>
    <row r="11250" spans="1:9" hidden="1" x14ac:dyDescent="0.25">
      <c r="A11250" t="s">
        <v>9268</v>
      </c>
      <c r="B11250" t="s">
        <v>31</v>
      </c>
      <c r="C11250" s="2">
        <f>HYPERLINK("https://cao.dolgi.msk.ru/account/1080097723/", 1080097723)</f>
        <v>1080097723</v>
      </c>
      <c r="D11250" t="s">
        <v>9279</v>
      </c>
      <c r="E11250">
        <v>-4664.3599999999997</v>
      </c>
      <c r="F11250">
        <v>-1.1599999999999999</v>
      </c>
      <c r="G11250" t="s">
        <v>12</v>
      </c>
      <c r="I11250" t="s">
        <v>230</v>
      </c>
    </row>
    <row r="11251" spans="1:9" hidden="1" x14ac:dyDescent="0.25">
      <c r="A11251" t="s">
        <v>9268</v>
      </c>
      <c r="B11251" t="s">
        <v>33</v>
      </c>
      <c r="C11251" s="2">
        <f>HYPERLINK("https://cao.dolgi.msk.ru/account/1080097731/", 1080097731)</f>
        <v>1080097731</v>
      </c>
      <c r="D11251" t="s">
        <v>9280</v>
      </c>
      <c r="E11251">
        <v>-7585.04</v>
      </c>
      <c r="F11251">
        <v>-1.1100000000000001</v>
      </c>
      <c r="G11251" t="s">
        <v>12</v>
      </c>
      <c r="I11251" t="s">
        <v>230</v>
      </c>
    </row>
    <row r="11252" spans="1:9" hidden="1" x14ac:dyDescent="0.25">
      <c r="A11252" t="s">
        <v>9268</v>
      </c>
      <c r="B11252" t="s">
        <v>34</v>
      </c>
      <c r="C11252" s="2">
        <f>HYPERLINK("https://cao.dolgi.msk.ru/account/1080097758/", 1080097758)</f>
        <v>1080097758</v>
      </c>
      <c r="D11252" t="s">
        <v>9281</v>
      </c>
      <c r="E11252">
        <v>147.84</v>
      </c>
      <c r="F11252">
        <v>0.02</v>
      </c>
      <c r="G11252" t="s">
        <v>12</v>
      </c>
      <c r="H11252" t="s">
        <v>7</v>
      </c>
      <c r="I11252" t="s">
        <v>230</v>
      </c>
    </row>
    <row r="11253" spans="1:9" hidden="1" x14ac:dyDescent="0.25">
      <c r="A11253" t="s">
        <v>9268</v>
      </c>
      <c r="B11253" t="s">
        <v>34</v>
      </c>
      <c r="C11253" s="2">
        <f>HYPERLINK("https://cao.dolgi.msk.ru/account/1080097766/", 1080097766)</f>
        <v>1080097766</v>
      </c>
      <c r="D11253" t="s">
        <v>15</v>
      </c>
      <c r="E11253">
        <v>0</v>
      </c>
      <c r="F11253">
        <v>0</v>
      </c>
      <c r="G11253" t="s">
        <v>12</v>
      </c>
      <c r="H11253" t="s">
        <v>7</v>
      </c>
      <c r="I11253" t="s">
        <v>230</v>
      </c>
    </row>
    <row r="11254" spans="1:9" hidden="1" x14ac:dyDescent="0.25">
      <c r="A11254" t="s">
        <v>9268</v>
      </c>
      <c r="B11254" t="s">
        <v>36</v>
      </c>
      <c r="C11254" s="2">
        <f>HYPERLINK("https://cao.dolgi.msk.ru/account/1080097774/", 1080097774)</f>
        <v>1080097774</v>
      </c>
      <c r="D11254" t="s">
        <v>9282</v>
      </c>
      <c r="E11254">
        <v>0</v>
      </c>
      <c r="F11254">
        <v>0</v>
      </c>
      <c r="G11254" t="s">
        <v>12</v>
      </c>
      <c r="I11254" t="s">
        <v>230</v>
      </c>
    </row>
    <row r="11255" spans="1:9" hidden="1" x14ac:dyDescent="0.25">
      <c r="A11255" t="s">
        <v>9268</v>
      </c>
      <c r="B11255" t="s">
        <v>38</v>
      </c>
      <c r="C11255" s="2">
        <f>HYPERLINK("https://cao.dolgi.msk.ru/account/1080097782/", 1080097782)</f>
        <v>1080097782</v>
      </c>
      <c r="D11255" t="s">
        <v>15</v>
      </c>
      <c r="G11255" t="s">
        <v>14</v>
      </c>
      <c r="I11255" t="s">
        <v>230</v>
      </c>
    </row>
    <row r="11256" spans="1:9" hidden="1" x14ac:dyDescent="0.25">
      <c r="A11256" t="s">
        <v>9268</v>
      </c>
      <c r="B11256" t="s">
        <v>38</v>
      </c>
      <c r="C11256" s="2">
        <f>HYPERLINK("https://cao.dolgi.msk.ru/account/1089125145/", 1089125145)</f>
        <v>1089125145</v>
      </c>
      <c r="D11256" t="s">
        <v>9283</v>
      </c>
      <c r="E11256">
        <v>8535.57</v>
      </c>
      <c r="F11256">
        <v>1</v>
      </c>
      <c r="G11256" t="s">
        <v>12</v>
      </c>
      <c r="I11256" t="s">
        <v>230</v>
      </c>
    </row>
    <row r="11257" spans="1:9" hidden="1" x14ac:dyDescent="0.25">
      <c r="A11257" t="s">
        <v>9268</v>
      </c>
      <c r="B11257" t="s">
        <v>39</v>
      </c>
      <c r="C11257" s="2">
        <f>HYPERLINK("https://cao.dolgi.msk.ru/account/1080097803/", 1080097803)</f>
        <v>1080097803</v>
      </c>
      <c r="D11257" t="s">
        <v>15</v>
      </c>
      <c r="E11257">
        <v>-5194.49</v>
      </c>
      <c r="F11257">
        <v>-0.7</v>
      </c>
      <c r="G11257" t="s">
        <v>12</v>
      </c>
      <c r="I11257" t="s">
        <v>230</v>
      </c>
    </row>
    <row r="11258" spans="1:9" hidden="1" x14ac:dyDescent="0.25">
      <c r="A11258" t="s">
        <v>9268</v>
      </c>
      <c r="B11258" t="s">
        <v>40</v>
      </c>
      <c r="C11258" s="2">
        <f>HYPERLINK("https://cao.dolgi.msk.ru/account/1080097811/", 1080097811)</f>
        <v>1080097811</v>
      </c>
      <c r="D11258" t="s">
        <v>9284</v>
      </c>
      <c r="E11258">
        <v>-6189.61</v>
      </c>
      <c r="F11258">
        <v>-1.1100000000000001</v>
      </c>
      <c r="G11258" t="s">
        <v>12</v>
      </c>
      <c r="I11258" t="s">
        <v>230</v>
      </c>
    </row>
    <row r="11259" spans="1:9" hidden="1" x14ac:dyDescent="0.25">
      <c r="A11259" t="s">
        <v>9268</v>
      </c>
      <c r="B11259" t="s">
        <v>41</v>
      </c>
      <c r="C11259" s="2">
        <f>HYPERLINK("https://cao.dolgi.msk.ru/account/1080097838/", 1080097838)</f>
        <v>1080097838</v>
      </c>
      <c r="D11259" t="s">
        <v>9285</v>
      </c>
      <c r="E11259">
        <v>-9712.8700000000008</v>
      </c>
      <c r="F11259">
        <v>-1.23</v>
      </c>
      <c r="G11259" t="s">
        <v>12</v>
      </c>
      <c r="I11259" t="s">
        <v>230</v>
      </c>
    </row>
    <row r="11260" spans="1:9" hidden="1" x14ac:dyDescent="0.25">
      <c r="A11260" t="s">
        <v>9268</v>
      </c>
      <c r="B11260" t="s">
        <v>42</v>
      </c>
      <c r="C11260" s="2">
        <f>HYPERLINK("https://cao.dolgi.msk.ru/account/1080097846/", 1080097846)</f>
        <v>1080097846</v>
      </c>
      <c r="D11260" t="s">
        <v>9286</v>
      </c>
      <c r="E11260">
        <v>8689.66</v>
      </c>
      <c r="F11260">
        <v>1</v>
      </c>
      <c r="G11260" t="s">
        <v>12</v>
      </c>
      <c r="I11260" t="s">
        <v>230</v>
      </c>
    </row>
    <row r="11261" spans="1:9" hidden="1" x14ac:dyDescent="0.25">
      <c r="A11261" t="s">
        <v>9268</v>
      </c>
      <c r="B11261" t="s">
        <v>44</v>
      </c>
      <c r="C11261" s="2">
        <f>HYPERLINK("https://cao.dolgi.msk.ru/account/1080097854/", 1080097854)</f>
        <v>1080097854</v>
      </c>
      <c r="D11261" t="s">
        <v>9287</v>
      </c>
      <c r="E11261">
        <v>-8890.24</v>
      </c>
      <c r="F11261">
        <v>-1.1200000000000001</v>
      </c>
      <c r="G11261" t="s">
        <v>12</v>
      </c>
      <c r="I11261" t="s">
        <v>230</v>
      </c>
    </row>
    <row r="11262" spans="1:9" hidden="1" x14ac:dyDescent="0.25">
      <c r="A11262" t="s">
        <v>9268</v>
      </c>
      <c r="B11262" t="s">
        <v>66</v>
      </c>
      <c r="C11262" s="2">
        <f>HYPERLINK("https://cao.dolgi.msk.ru/account/1080097862/", 1080097862)</f>
        <v>1080097862</v>
      </c>
      <c r="D11262" t="s">
        <v>9288</v>
      </c>
      <c r="E11262">
        <v>-9972.43</v>
      </c>
      <c r="F11262">
        <v>-1.47</v>
      </c>
      <c r="G11262" t="s">
        <v>12</v>
      </c>
      <c r="I11262" t="s">
        <v>230</v>
      </c>
    </row>
    <row r="11263" spans="1:9" hidden="1" x14ac:dyDescent="0.25">
      <c r="A11263" t="s">
        <v>9268</v>
      </c>
      <c r="B11263" t="s">
        <v>68</v>
      </c>
      <c r="C11263" s="2">
        <f>HYPERLINK("https://cao.dolgi.msk.ru/account/1080097889/", 1080097889)</f>
        <v>1080097889</v>
      </c>
      <c r="D11263" t="s">
        <v>9289</v>
      </c>
      <c r="E11263">
        <v>-6322.02</v>
      </c>
      <c r="F11263">
        <v>-1.21</v>
      </c>
      <c r="G11263" t="s">
        <v>12</v>
      </c>
      <c r="I11263" t="s">
        <v>230</v>
      </c>
    </row>
    <row r="11264" spans="1:9" hidden="1" x14ac:dyDescent="0.25">
      <c r="A11264" t="s">
        <v>9268</v>
      </c>
      <c r="B11264" t="s">
        <v>70</v>
      </c>
      <c r="C11264" s="2">
        <f>HYPERLINK("https://cao.dolgi.msk.ru/account/1089119298/", 1089119298)</f>
        <v>1089119298</v>
      </c>
      <c r="D11264" t="s">
        <v>15</v>
      </c>
      <c r="E11264">
        <v>5699.97</v>
      </c>
      <c r="F11264">
        <v>0.97</v>
      </c>
      <c r="G11264" t="s">
        <v>12</v>
      </c>
      <c r="I11264" t="s">
        <v>230</v>
      </c>
    </row>
    <row r="11265" spans="1:9" hidden="1" x14ac:dyDescent="0.25">
      <c r="A11265" t="s">
        <v>9268</v>
      </c>
      <c r="B11265" t="s">
        <v>72</v>
      </c>
      <c r="C11265" s="2">
        <f>HYPERLINK("https://cao.dolgi.msk.ru/account/1080097918/", 1080097918)</f>
        <v>1080097918</v>
      </c>
      <c r="D11265" t="s">
        <v>9290</v>
      </c>
      <c r="E11265">
        <v>-5315.58</v>
      </c>
      <c r="F11265">
        <v>-1.1399999999999999</v>
      </c>
      <c r="G11265" t="s">
        <v>12</v>
      </c>
      <c r="I11265" t="s">
        <v>230</v>
      </c>
    </row>
    <row r="11266" spans="1:9" x14ac:dyDescent="0.25">
      <c r="A11266" t="s">
        <v>9268</v>
      </c>
      <c r="B11266" t="s">
        <v>74</v>
      </c>
      <c r="C11266" s="2">
        <f>HYPERLINK("https://cao.dolgi.msk.ru/account/1080097926/", 1080097926)</f>
        <v>1080097926</v>
      </c>
      <c r="D11266" t="s">
        <v>9291</v>
      </c>
      <c r="E11266">
        <v>5706.44</v>
      </c>
      <c r="F11266">
        <v>1.56</v>
      </c>
      <c r="G11266" t="s">
        <v>12</v>
      </c>
      <c r="I11266" t="s">
        <v>230</v>
      </c>
    </row>
    <row r="11267" spans="1:9" hidden="1" x14ac:dyDescent="0.25">
      <c r="A11267" t="s">
        <v>9268</v>
      </c>
      <c r="B11267" t="s">
        <v>74</v>
      </c>
      <c r="C11267" s="2">
        <f>HYPERLINK("https://cao.dolgi.msk.ru/account/1080097934/", 1080097934)</f>
        <v>1080097934</v>
      </c>
      <c r="D11267" t="s">
        <v>9292</v>
      </c>
      <c r="E11267">
        <v>-4996.93</v>
      </c>
      <c r="F11267">
        <v>-1.1000000000000001</v>
      </c>
      <c r="G11267" t="s">
        <v>12</v>
      </c>
      <c r="I11267" t="s">
        <v>230</v>
      </c>
    </row>
    <row r="11268" spans="1:9" hidden="1" x14ac:dyDescent="0.25">
      <c r="A11268" t="s">
        <v>9268</v>
      </c>
      <c r="B11268" t="s">
        <v>76</v>
      </c>
      <c r="C11268" s="2">
        <f>HYPERLINK("https://cao.dolgi.msk.ru/account/1080097942/", 1080097942)</f>
        <v>1080097942</v>
      </c>
      <c r="D11268" t="s">
        <v>15</v>
      </c>
      <c r="E11268">
        <v>-5213.91</v>
      </c>
      <c r="F11268">
        <v>-0.69</v>
      </c>
      <c r="G11268" t="s">
        <v>12</v>
      </c>
      <c r="I11268" t="s">
        <v>230</v>
      </c>
    </row>
    <row r="11269" spans="1:9" hidden="1" x14ac:dyDescent="0.25">
      <c r="A11269" t="s">
        <v>9268</v>
      </c>
      <c r="B11269" t="s">
        <v>78</v>
      </c>
      <c r="C11269" s="2">
        <f>HYPERLINK("https://cao.dolgi.msk.ru/account/1080097977/", 1080097977)</f>
        <v>1080097977</v>
      </c>
      <c r="D11269" t="s">
        <v>9293</v>
      </c>
      <c r="E11269">
        <v>-11253.46</v>
      </c>
      <c r="F11269">
        <v>-0.99</v>
      </c>
      <c r="G11269" t="s">
        <v>12</v>
      </c>
      <c r="I11269" t="s">
        <v>230</v>
      </c>
    </row>
    <row r="11270" spans="1:9" hidden="1" x14ac:dyDescent="0.25">
      <c r="A11270" t="s">
        <v>9268</v>
      </c>
      <c r="B11270" t="s">
        <v>80</v>
      </c>
      <c r="C11270" s="2">
        <f>HYPERLINK("https://cao.dolgi.msk.ru/account/1080097985/", 1080097985)</f>
        <v>1080097985</v>
      </c>
      <c r="D11270" t="s">
        <v>9294</v>
      </c>
      <c r="E11270">
        <v>-3524.82</v>
      </c>
      <c r="F11270">
        <v>-1.1599999999999999</v>
      </c>
      <c r="G11270" t="s">
        <v>12</v>
      </c>
      <c r="I11270" t="s">
        <v>230</v>
      </c>
    </row>
    <row r="11271" spans="1:9" hidden="1" x14ac:dyDescent="0.25">
      <c r="A11271" t="s">
        <v>9268</v>
      </c>
      <c r="B11271" t="s">
        <v>82</v>
      </c>
      <c r="C11271" s="2">
        <f>HYPERLINK("https://cao.dolgi.msk.ru/account/1080097993/", 1080097993)</f>
        <v>1080097993</v>
      </c>
      <c r="D11271" t="s">
        <v>9295</v>
      </c>
      <c r="E11271">
        <v>14018.79</v>
      </c>
      <c r="F11271">
        <v>1</v>
      </c>
      <c r="G11271" t="s">
        <v>12</v>
      </c>
      <c r="I11271" t="s">
        <v>230</v>
      </c>
    </row>
    <row r="11272" spans="1:9" hidden="1" x14ac:dyDescent="0.25">
      <c r="A11272" t="s">
        <v>9268</v>
      </c>
      <c r="B11272" t="s">
        <v>84</v>
      </c>
      <c r="C11272" s="2">
        <f>HYPERLINK("https://cao.dolgi.msk.ru/account/1080098013/", 1080098013)</f>
        <v>1080098013</v>
      </c>
      <c r="D11272" t="s">
        <v>9296</v>
      </c>
      <c r="E11272">
        <v>-7514</v>
      </c>
      <c r="F11272">
        <v>-1.1399999999999999</v>
      </c>
      <c r="G11272" t="s">
        <v>12</v>
      </c>
      <c r="I11272" t="s">
        <v>230</v>
      </c>
    </row>
    <row r="11273" spans="1:9" hidden="1" x14ac:dyDescent="0.25">
      <c r="A11273" t="s">
        <v>9268</v>
      </c>
      <c r="B11273" t="s">
        <v>86</v>
      </c>
      <c r="C11273" s="2">
        <f>HYPERLINK("https://cao.dolgi.msk.ru/account/1080098021/", 1080098021)</f>
        <v>1080098021</v>
      </c>
      <c r="D11273" t="s">
        <v>9297</v>
      </c>
      <c r="E11273">
        <v>-6624.09</v>
      </c>
      <c r="F11273">
        <v>-1.1100000000000001</v>
      </c>
      <c r="G11273" t="s">
        <v>12</v>
      </c>
      <c r="I11273" t="s">
        <v>230</v>
      </c>
    </row>
    <row r="11274" spans="1:9" hidden="1" x14ac:dyDescent="0.25">
      <c r="A11274" t="s">
        <v>9268</v>
      </c>
      <c r="B11274" t="s">
        <v>88</v>
      </c>
      <c r="C11274" s="2">
        <f>HYPERLINK("https://cao.dolgi.msk.ru/account/1080098048/", 1080098048)</f>
        <v>1080098048</v>
      </c>
      <c r="D11274" t="s">
        <v>9298</v>
      </c>
      <c r="E11274">
        <v>-4827.99</v>
      </c>
      <c r="F11274">
        <v>-1.22</v>
      </c>
      <c r="G11274" t="s">
        <v>12</v>
      </c>
      <c r="I11274" t="s">
        <v>230</v>
      </c>
    </row>
    <row r="11275" spans="1:9" hidden="1" x14ac:dyDescent="0.25">
      <c r="A11275" t="s">
        <v>9268</v>
      </c>
      <c r="B11275" t="s">
        <v>90</v>
      </c>
      <c r="C11275" s="2">
        <f>HYPERLINK("https://cao.dolgi.msk.ru/account/1080098056/", 1080098056)</f>
        <v>1080098056</v>
      </c>
      <c r="D11275" t="s">
        <v>9299</v>
      </c>
      <c r="E11275">
        <v>-6674.42</v>
      </c>
      <c r="F11275">
        <v>-1.24</v>
      </c>
      <c r="G11275" t="s">
        <v>12</v>
      </c>
      <c r="I11275" t="s">
        <v>230</v>
      </c>
    </row>
    <row r="11276" spans="1:9" hidden="1" x14ac:dyDescent="0.25">
      <c r="A11276" t="s">
        <v>9268</v>
      </c>
      <c r="B11276" t="s">
        <v>92</v>
      </c>
      <c r="C11276" s="2">
        <f>HYPERLINK("https://cao.dolgi.msk.ru/account/1080098064/", 1080098064)</f>
        <v>1080098064</v>
      </c>
      <c r="D11276" t="s">
        <v>9300</v>
      </c>
      <c r="E11276">
        <v>-6629.67</v>
      </c>
      <c r="F11276">
        <v>-1.08</v>
      </c>
      <c r="G11276" t="s">
        <v>12</v>
      </c>
      <c r="I11276" t="s">
        <v>230</v>
      </c>
    </row>
    <row r="11277" spans="1:9" hidden="1" x14ac:dyDescent="0.25">
      <c r="A11277" t="s">
        <v>9268</v>
      </c>
      <c r="B11277" t="s">
        <v>94</v>
      </c>
      <c r="C11277" s="2">
        <f>HYPERLINK("https://cao.dolgi.msk.ru/account/1080098072/", 1080098072)</f>
        <v>1080098072</v>
      </c>
      <c r="D11277" t="s">
        <v>9301</v>
      </c>
      <c r="E11277">
        <v>31.12</v>
      </c>
      <c r="F11277">
        <v>0.01</v>
      </c>
      <c r="G11277" t="s">
        <v>12</v>
      </c>
      <c r="I11277" t="s">
        <v>230</v>
      </c>
    </row>
    <row r="11278" spans="1:9" hidden="1" x14ac:dyDescent="0.25">
      <c r="A11278" t="s">
        <v>9268</v>
      </c>
      <c r="B11278" t="s">
        <v>96</v>
      </c>
      <c r="C11278" s="2">
        <f>HYPERLINK("https://cao.dolgi.msk.ru/account/1080098099/", 1080098099)</f>
        <v>1080098099</v>
      </c>
      <c r="D11278" t="s">
        <v>9302</v>
      </c>
      <c r="E11278">
        <v>-8704.5</v>
      </c>
      <c r="F11278">
        <v>-1.67</v>
      </c>
      <c r="G11278" t="s">
        <v>12</v>
      </c>
      <c r="I11278" t="s">
        <v>230</v>
      </c>
    </row>
    <row r="11279" spans="1:9" hidden="1" x14ac:dyDescent="0.25">
      <c r="A11279" t="s">
        <v>9268</v>
      </c>
      <c r="B11279" t="s">
        <v>98</v>
      </c>
      <c r="C11279" s="2">
        <f>HYPERLINK("https://cao.dolgi.msk.ru/account/1080098101/", 1080098101)</f>
        <v>1080098101</v>
      </c>
      <c r="D11279" t="s">
        <v>15</v>
      </c>
      <c r="G11279" t="s">
        <v>14</v>
      </c>
      <c r="I11279" t="s">
        <v>230</v>
      </c>
    </row>
    <row r="11280" spans="1:9" hidden="1" x14ac:dyDescent="0.25">
      <c r="A11280" t="s">
        <v>9268</v>
      </c>
      <c r="B11280" t="s">
        <v>98</v>
      </c>
      <c r="C11280" s="2">
        <f>HYPERLINK("https://cao.dolgi.msk.ru/account/1080098128/", 1080098128)</f>
        <v>1080098128</v>
      </c>
      <c r="D11280" t="s">
        <v>9303</v>
      </c>
      <c r="E11280">
        <v>-8442.5400000000009</v>
      </c>
      <c r="F11280">
        <v>-1.07</v>
      </c>
      <c r="G11280" t="s">
        <v>12</v>
      </c>
      <c r="I11280" t="s">
        <v>230</v>
      </c>
    </row>
    <row r="11281" spans="1:9" x14ac:dyDescent="0.25">
      <c r="A11281" t="s">
        <v>9268</v>
      </c>
      <c r="B11281" t="s">
        <v>100</v>
      </c>
      <c r="C11281" s="2">
        <f>HYPERLINK("https://cao.dolgi.msk.ru/account/1080098136/", 1080098136)</f>
        <v>1080098136</v>
      </c>
      <c r="D11281" t="s">
        <v>15</v>
      </c>
      <c r="E11281">
        <v>67552.679999999993</v>
      </c>
      <c r="F11281">
        <v>4</v>
      </c>
      <c r="G11281" t="s">
        <v>12</v>
      </c>
      <c r="I11281" t="s">
        <v>230</v>
      </c>
    </row>
    <row r="11282" spans="1:9" hidden="1" x14ac:dyDescent="0.25">
      <c r="A11282" t="s">
        <v>9268</v>
      </c>
      <c r="B11282" t="s">
        <v>102</v>
      </c>
      <c r="C11282" s="2">
        <f>HYPERLINK("https://cao.dolgi.msk.ru/account/1080098144/", 1080098144)</f>
        <v>1080098144</v>
      </c>
      <c r="D11282" t="s">
        <v>9304</v>
      </c>
      <c r="E11282">
        <v>1656.39</v>
      </c>
      <c r="F11282">
        <v>0.21</v>
      </c>
      <c r="G11282" t="s">
        <v>12</v>
      </c>
      <c r="I11282" t="s">
        <v>230</v>
      </c>
    </row>
    <row r="11283" spans="1:9" hidden="1" x14ac:dyDescent="0.25">
      <c r="A11283" t="s">
        <v>9268</v>
      </c>
      <c r="B11283" t="s">
        <v>104</v>
      </c>
      <c r="C11283" s="2">
        <f>HYPERLINK("https://cao.dolgi.msk.ru/account/1080098152/", 1080098152)</f>
        <v>1080098152</v>
      </c>
      <c r="D11283" t="s">
        <v>9305</v>
      </c>
      <c r="E11283">
        <v>27.12</v>
      </c>
      <c r="F11283">
        <v>0</v>
      </c>
      <c r="G11283" t="s">
        <v>12</v>
      </c>
      <c r="I11283" t="s">
        <v>230</v>
      </c>
    </row>
    <row r="11284" spans="1:9" hidden="1" x14ac:dyDescent="0.25">
      <c r="A11284" t="s">
        <v>9268</v>
      </c>
      <c r="B11284" t="s">
        <v>106</v>
      </c>
      <c r="C11284" s="2">
        <f>HYPERLINK("https://cao.dolgi.msk.ru/account/1080098179/", 1080098179)</f>
        <v>1080098179</v>
      </c>
      <c r="D11284" t="s">
        <v>9306</v>
      </c>
      <c r="E11284">
        <v>-7077.58</v>
      </c>
      <c r="F11284">
        <v>-1.04</v>
      </c>
      <c r="G11284" t="s">
        <v>12</v>
      </c>
      <c r="I11284" t="s">
        <v>230</v>
      </c>
    </row>
    <row r="11285" spans="1:9" hidden="1" x14ac:dyDescent="0.25">
      <c r="A11285" t="s">
        <v>9268</v>
      </c>
      <c r="B11285" t="s">
        <v>108</v>
      </c>
      <c r="C11285" s="2">
        <f>HYPERLINK("https://cao.dolgi.msk.ru/account/1080098187/", 1080098187)</f>
        <v>1080098187</v>
      </c>
      <c r="D11285" t="s">
        <v>9307</v>
      </c>
      <c r="E11285">
        <v>-6803.87</v>
      </c>
      <c r="F11285">
        <v>-1.2</v>
      </c>
      <c r="G11285" t="s">
        <v>12</v>
      </c>
      <c r="I11285" t="s">
        <v>230</v>
      </c>
    </row>
    <row r="11286" spans="1:9" hidden="1" x14ac:dyDescent="0.25">
      <c r="A11286" t="s">
        <v>9268</v>
      </c>
      <c r="B11286" t="s">
        <v>110</v>
      </c>
      <c r="C11286" s="2">
        <f>HYPERLINK("https://cao.dolgi.msk.ru/account/1080098195/", 1080098195)</f>
        <v>1080098195</v>
      </c>
      <c r="D11286" t="s">
        <v>9308</v>
      </c>
      <c r="G11286" t="s">
        <v>14</v>
      </c>
      <c r="I11286" t="s">
        <v>230</v>
      </c>
    </row>
    <row r="11287" spans="1:9" hidden="1" x14ac:dyDescent="0.25">
      <c r="A11287" t="s">
        <v>9268</v>
      </c>
      <c r="B11287" t="s">
        <v>110</v>
      </c>
      <c r="C11287" s="2">
        <f>HYPERLINK("https://cao.dolgi.msk.ru/account/1080098208/", 1080098208)</f>
        <v>1080098208</v>
      </c>
      <c r="D11287" t="s">
        <v>9309</v>
      </c>
      <c r="E11287">
        <v>4472.1400000000003</v>
      </c>
      <c r="F11287">
        <v>0.53</v>
      </c>
      <c r="G11287" t="s">
        <v>12</v>
      </c>
      <c r="I11287" t="s">
        <v>230</v>
      </c>
    </row>
    <row r="11288" spans="1:9" hidden="1" x14ac:dyDescent="0.25">
      <c r="A11288" t="s">
        <v>9268</v>
      </c>
      <c r="B11288" t="s">
        <v>110</v>
      </c>
      <c r="C11288" s="2">
        <f>HYPERLINK("https://cao.dolgi.msk.ru/account/1080098216/", 1080098216)</f>
        <v>1080098216</v>
      </c>
      <c r="D11288" t="s">
        <v>62</v>
      </c>
      <c r="E11288">
        <v>14340.72</v>
      </c>
      <c r="F11288">
        <v>2.68</v>
      </c>
      <c r="G11288" t="s">
        <v>14</v>
      </c>
      <c r="I11288" t="s">
        <v>230</v>
      </c>
    </row>
    <row r="11289" spans="1:9" hidden="1" x14ac:dyDescent="0.25">
      <c r="A11289" t="s">
        <v>9268</v>
      </c>
      <c r="B11289" t="s">
        <v>112</v>
      </c>
      <c r="C11289" s="2">
        <f>HYPERLINK("https://cao.dolgi.msk.ru/account/1080098224/", 1080098224)</f>
        <v>1080098224</v>
      </c>
      <c r="D11289" t="s">
        <v>9310</v>
      </c>
      <c r="E11289">
        <v>-2694.8</v>
      </c>
      <c r="F11289">
        <v>-0.64</v>
      </c>
      <c r="G11289" t="s">
        <v>12</v>
      </c>
      <c r="I11289" t="s">
        <v>230</v>
      </c>
    </row>
    <row r="11290" spans="1:9" hidden="1" x14ac:dyDescent="0.25">
      <c r="A11290" t="s">
        <v>9268</v>
      </c>
      <c r="B11290" t="s">
        <v>114</v>
      </c>
      <c r="C11290" s="2">
        <f>HYPERLINK("https://cao.dolgi.msk.ru/account/1080098232/", 1080098232)</f>
        <v>1080098232</v>
      </c>
      <c r="D11290" t="s">
        <v>9311</v>
      </c>
      <c r="E11290">
        <v>-11034.33</v>
      </c>
      <c r="F11290">
        <v>-1.07</v>
      </c>
      <c r="G11290" t="s">
        <v>12</v>
      </c>
      <c r="I11290" t="s">
        <v>230</v>
      </c>
    </row>
    <row r="11291" spans="1:9" hidden="1" x14ac:dyDescent="0.25">
      <c r="A11291" t="s">
        <v>9268</v>
      </c>
      <c r="B11291" t="s">
        <v>116</v>
      </c>
      <c r="C11291" s="2">
        <f>HYPERLINK("https://cao.dolgi.msk.ru/account/1080098259/", 1080098259)</f>
        <v>1080098259</v>
      </c>
      <c r="D11291" t="s">
        <v>9312</v>
      </c>
      <c r="E11291">
        <v>-14327.96</v>
      </c>
      <c r="F11291">
        <v>-1.94</v>
      </c>
      <c r="G11291" t="s">
        <v>12</v>
      </c>
      <c r="I11291" t="s">
        <v>230</v>
      </c>
    </row>
    <row r="11292" spans="1:9" hidden="1" x14ac:dyDescent="0.25">
      <c r="A11292" t="s">
        <v>9268</v>
      </c>
      <c r="B11292" t="s">
        <v>118</v>
      </c>
      <c r="C11292" s="2">
        <f>HYPERLINK("https://cao.dolgi.msk.ru/account/1080098267/", 1080098267)</f>
        <v>1080098267</v>
      </c>
      <c r="D11292" t="s">
        <v>9313</v>
      </c>
      <c r="E11292">
        <v>-5024.32</v>
      </c>
      <c r="F11292">
        <v>-1.19</v>
      </c>
      <c r="G11292" t="s">
        <v>12</v>
      </c>
      <c r="I11292" t="s">
        <v>230</v>
      </c>
    </row>
    <row r="11293" spans="1:9" hidden="1" x14ac:dyDescent="0.25">
      <c r="A11293" t="s">
        <v>9268</v>
      </c>
      <c r="B11293" t="s">
        <v>120</v>
      </c>
      <c r="C11293" s="2">
        <f>HYPERLINK("https://cao.dolgi.msk.ru/account/1080098275/", 1080098275)</f>
        <v>1080098275</v>
      </c>
      <c r="D11293" t="s">
        <v>9314</v>
      </c>
      <c r="E11293">
        <v>-12147.18</v>
      </c>
      <c r="F11293">
        <v>-0.99</v>
      </c>
      <c r="G11293" t="s">
        <v>12</v>
      </c>
      <c r="I11293" t="s">
        <v>230</v>
      </c>
    </row>
    <row r="11294" spans="1:9" hidden="1" x14ac:dyDescent="0.25">
      <c r="A11294" t="s">
        <v>9268</v>
      </c>
      <c r="B11294" t="s">
        <v>122</v>
      </c>
      <c r="C11294" s="2">
        <f>HYPERLINK("https://cao.dolgi.msk.ru/account/1080098283/", 1080098283)</f>
        <v>1080098283</v>
      </c>
      <c r="D11294" t="s">
        <v>9315</v>
      </c>
      <c r="E11294">
        <v>-22834.080000000002</v>
      </c>
      <c r="F11294">
        <v>-3.47</v>
      </c>
      <c r="G11294" t="s">
        <v>12</v>
      </c>
      <c r="I11294" t="s">
        <v>230</v>
      </c>
    </row>
    <row r="11295" spans="1:9" hidden="1" x14ac:dyDescent="0.25">
      <c r="A11295" t="s">
        <v>9268</v>
      </c>
      <c r="B11295" t="s">
        <v>124</v>
      </c>
      <c r="C11295" s="2">
        <f>HYPERLINK("https://cao.dolgi.msk.ru/account/1080098291/", 1080098291)</f>
        <v>1080098291</v>
      </c>
      <c r="D11295" t="s">
        <v>9316</v>
      </c>
      <c r="E11295">
        <v>8236.73</v>
      </c>
      <c r="F11295">
        <v>0.99</v>
      </c>
      <c r="G11295" t="s">
        <v>12</v>
      </c>
      <c r="I11295" t="s">
        <v>230</v>
      </c>
    </row>
    <row r="11296" spans="1:9" hidden="1" x14ac:dyDescent="0.25">
      <c r="A11296" t="s">
        <v>9268</v>
      </c>
      <c r="B11296" t="s">
        <v>126</v>
      </c>
      <c r="C11296" s="2">
        <f>HYPERLINK("https://cao.dolgi.msk.ru/account/1080098304/", 1080098304)</f>
        <v>1080098304</v>
      </c>
      <c r="D11296" t="s">
        <v>9317</v>
      </c>
      <c r="E11296">
        <v>-7588.31</v>
      </c>
      <c r="F11296">
        <v>-1.0900000000000001</v>
      </c>
      <c r="G11296" t="s">
        <v>12</v>
      </c>
      <c r="I11296" t="s">
        <v>230</v>
      </c>
    </row>
    <row r="11297" spans="1:9" hidden="1" x14ac:dyDescent="0.25">
      <c r="A11297" t="s">
        <v>9268</v>
      </c>
      <c r="B11297" t="s">
        <v>128</v>
      </c>
      <c r="C11297" s="2">
        <f>HYPERLINK("https://cao.dolgi.msk.ru/account/1080098312/", 1080098312)</f>
        <v>1080098312</v>
      </c>
      <c r="D11297" t="s">
        <v>9318</v>
      </c>
      <c r="E11297">
        <v>-5717.79</v>
      </c>
      <c r="F11297">
        <v>-0.97</v>
      </c>
      <c r="G11297" t="s">
        <v>12</v>
      </c>
      <c r="I11297" t="s">
        <v>230</v>
      </c>
    </row>
    <row r="11298" spans="1:9" hidden="1" x14ac:dyDescent="0.25">
      <c r="A11298" t="s">
        <v>9268</v>
      </c>
      <c r="B11298" t="s">
        <v>128</v>
      </c>
      <c r="C11298" s="2">
        <f>HYPERLINK("https://cao.dolgi.msk.ru/account/1089124396/", 1089124396)</f>
        <v>1089124396</v>
      </c>
      <c r="D11298" t="s">
        <v>15</v>
      </c>
      <c r="E11298">
        <v>-2372.4499999999998</v>
      </c>
      <c r="F11298">
        <v>-1.21</v>
      </c>
      <c r="G11298" t="s">
        <v>12</v>
      </c>
      <c r="I11298" t="s">
        <v>230</v>
      </c>
    </row>
    <row r="11299" spans="1:9" hidden="1" x14ac:dyDescent="0.25">
      <c r="A11299" t="s">
        <v>9268</v>
      </c>
      <c r="B11299" t="s">
        <v>130</v>
      </c>
      <c r="C11299" s="2">
        <f>HYPERLINK("https://cao.dolgi.msk.ru/account/1080098339/", 1080098339)</f>
        <v>1080098339</v>
      </c>
      <c r="D11299" t="s">
        <v>9319</v>
      </c>
      <c r="E11299">
        <v>-6444.8</v>
      </c>
      <c r="F11299">
        <v>-1.18</v>
      </c>
      <c r="G11299" t="s">
        <v>12</v>
      </c>
      <c r="I11299" t="s">
        <v>230</v>
      </c>
    </row>
    <row r="11300" spans="1:9" hidden="1" x14ac:dyDescent="0.25">
      <c r="A11300" t="s">
        <v>9268</v>
      </c>
      <c r="B11300" t="s">
        <v>132</v>
      </c>
      <c r="C11300" s="2">
        <f>HYPERLINK("https://cao.dolgi.msk.ru/account/1080098347/", 1080098347)</f>
        <v>1080098347</v>
      </c>
      <c r="D11300" t="s">
        <v>9320</v>
      </c>
      <c r="E11300">
        <v>-5553.46</v>
      </c>
      <c r="F11300">
        <v>-1.18</v>
      </c>
      <c r="G11300" t="s">
        <v>12</v>
      </c>
      <c r="I11300" t="s">
        <v>230</v>
      </c>
    </row>
    <row r="11301" spans="1:9" x14ac:dyDescent="0.25">
      <c r="A11301" t="s">
        <v>9321</v>
      </c>
      <c r="B11301" t="s">
        <v>10</v>
      </c>
      <c r="C11301" s="2">
        <f>HYPERLINK("https://cao.dolgi.msk.ru/account/1080092949/", 1080092949)</f>
        <v>1080092949</v>
      </c>
      <c r="D11301" t="s">
        <v>9322</v>
      </c>
      <c r="E11301">
        <v>14276.7</v>
      </c>
      <c r="F11301">
        <v>1.69</v>
      </c>
      <c r="G11301" t="s">
        <v>12</v>
      </c>
      <c r="I11301" t="s">
        <v>230</v>
      </c>
    </row>
    <row r="11302" spans="1:9" hidden="1" x14ac:dyDescent="0.25">
      <c r="A11302" t="s">
        <v>9321</v>
      </c>
      <c r="B11302" t="s">
        <v>16</v>
      </c>
      <c r="C11302" s="2">
        <f>HYPERLINK("https://cao.dolgi.msk.ru/account/1080092957/", 1080092957)</f>
        <v>1080092957</v>
      </c>
      <c r="D11302" t="s">
        <v>9323</v>
      </c>
      <c r="E11302">
        <v>-11277.28</v>
      </c>
      <c r="F11302">
        <v>-2.04</v>
      </c>
      <c r="G11302" t="s">
        <v>12</v>
      </c>
      <c r="I11302" t="s">
        <v>230</v>
      </c>
    </row>
    <row r="11303" spans="1:9" hidden="1" x14ac:dyDescent="0.25">
      <c r="A11303" t="s">
        <v>9321</v>
      </c>
      <c r="B11303" t="s">
        <v>18</v>
      </c>
      <c r="C11303" s="2">
        <f>HYPERLINK("https://cao.dolgi.msk.ru/account/1080092965/", 1080092965)</f>
        <v>1080092965</v>
      </c>
      <c r="D11303" t="s">
        <v>9324</v>
      </c>
      <c r="E11303">
        <v>1897.75</v>
      </c>
      <c r="F11303">
        <v>0.31</v>
      </c>
      <c r="G11303" t="s">
        <v>12</v>
      </c>
      <c r="I11303" t="s">
        <v>230</v>
      </c>
    </row>
    <row r="11304" spans="1:9" hidden="1" x14ac:dyDescent="0.25">
      <c r="A11304" t="s">
        <v>9321</v>
      </c>
      <c r="B11304" t="s">
        <v>20</v>
      </c>
      <c r="C11304" s="2">
        <f>HYPERLINK("https://cao.dolgi.msk.ru/account/1080092973/", 1080092973)</f>
        <v>1080092973</v>
      </c>
      <c r="D11304" t="s">
        <v>9325</v>
      </c>
      <c r="E11304">
        <v>-9448.15</v>
      </c>
      <c r="F11304">
        <v>-1</v>
      </c>
      <c r="G11304" t="s">
        <v>12</v>
      </c>
      <c r="I11304" t="s">
        <v>230</v>
      </c>
    </row>
    <row r="11305" spans="1:9" hidden="1" x14ac:dyDescent="0.25">
      <c r="A11305" t="s">
        <v>9321</v>
      </c>
      <c r="B11305" t="s">
        <v>21</v>
      </c>
      <c r="C11305" s="2">
        <f>HYPERLINK("https://cao.dolgi.msk.ru/account/1080092981/", 1080092981)</f>
        <v>1080092981</v>
      </c>
      <c r="D11305" t="s">
        <v>9326</v>
      </c>
      <c r="E11305">
        <v>-16459.349999999999</v>
      </c>
      <c r="F11305">
        <v>-2.4900000000000002</v>
      </c>
      <c r="G11305" t="s">
        <v>12</v>
      </c>
      <c r="I11305" t="s">
        <v>230</v>
      </c>
    </row>
    <row r="11306" spans="1:9" hidden="1" x14ac:dyDescent="0.25">
      <c r="A11306" t="s">
        <v>9321</v>
      </c>
      <c r="B11306" t="s">
        <v>22</v>
      </c>
      <c r="C11306" s="2">
        <f>HYPERLINK("https://cao.dolgi.msk.ru/account/1080093001/", 1080093001)</f>
        <v>1080093001</v>
      </c>
      <c r="D11306" t="s">
        <v>9327</v>
      </c>
      <c r="E11306">
        <v>-15899.09</v>
      </c>
      <c r="F11306">
        <v>-1</v>
      </c>
      <c r="G11306" t="s">
        <v>12</v>
      </c>
      <c r="I11306" t="s">
        <v>230</v>
      </c>
    </row>
    <row r="11307" spans="1:9" hidden="1" x14ac:dyDescent="0.25">
      <c r="A11307" t="s">
        <v>9321</v>
      </c>
      <c r="B11307" t="s">
        <v>23</v>
      </c>
      <c r="C11307" s="2">
        <f>HYPERLINK("https://cao.dolgi.msk.ru/account/1080093028/", 1080093028)</f>
        <v>1080093028</v>
      </c>
      <c r="D11307" t="s">
        <v>9328</v>
      </c>
      <c r="E11307">
        <v>-7474.02</v>
      </c>
      <c r="F11307">
        <v>-1</v>
      </c>
      <c r="G11307" t="s">
        <v>12</v>
      </c>
      <c r="I11307" t="s">
        <v>230</v>
      </c>
    </row>
    <row r="11308" spans="1:9" hidden="1" x14ac:dyDescent="0.25">
      <c r="A11308" t="s">
        <v>9321</v>
      </c>
      <c r="B11308" t="s">
        <v>24</v>
      </c>
      <c r="C11308" s="2">
        <f>HYPERLINK("https://cao.dolgi.msk.ru/account/1080093036/", 1080093036)</f>
        <v>1080093036</v>
      </c>
      <c r="D11308" t="s">
        <v>9329</v>
      </c>
      <c r="E11308">
        <v>-6352.49</v>
      </c>
      <c r="F11308">
        <v>-0.99</v>
      </c>
      <c r="G11308" t="s">
        <v>12</v>
      </c>
      <c r="I11308" t="s">
        <v>230</v>
      </c>
    </row>
    <row r="11309" spans="1:9" hidden="1" x14ac:dyDescent="0.25">
      <c r="A11309" t="s">
        <v>9321</v>
      </c>
      <c r="B11309" t="s">
        <v>27</v>
      </c>
      <c r="C11309" s="2">
        <f>HYPERLINK("https://cao.dolgi.msk.ru/account/1080093044/", 1080093044)</f>
        <v>1080093044</v>
      </c>
      <c r="D11309" t="s">
        <v>9330</v>
      </c>
      <c r="E11309">
        <v>-1667.51</v>
      </c>
      <c r="F11309">
        <v>-0.28000000000000003</v>
      </c>
      <c r="G11309" t="s">
        <v>12</v>
      </c>
      <c r="I11309" t="s">
        <v>230</v>
      </c>
    </row>
    <row r="11310" spans="1:9" hidden="1" x14ac:dyDescent="0.25">
      <c r="A11310" t="s">
        <v>9321</v>
      </c>
      <c r="B11310" t="s">
        <v>29</v>
      </c>
      <c r="C11310" s="2">
        <f>HYPERLINK("https://cao.dolgi.msk.ru/account/1080093052/", 1080093052)</f>
        <v>1080093052</v>
      </c>
      <c r="D11310" t="s">
        <v>9331</v>
      </c>
      <c r="E11310">
        <v>-44173.86</v>
      </c>
      <c r="F11310">
        <v>-4.28</v>
      </c>
      <c r="G11310" t="s">
        <v>12</v>
      </c>
      <c r="I11310" t="s">
        <v>230</v>
      </c>
    </row>
    <row r="11311" spans="1:9" x14ac:dyDescent="0.25">
      <c r="A11311" t="s">
        <v>9321</v>
      </c>
      <c r="B11311" t="s">
        <v>31</v>
      </c>
      <c r="C11311" s="2">
        <f>HYPERLINK("https://cao.dolgi.msk.ru/account/1080093079/", 1080093079)</f>
        <v>1080093079</v>
      </c>
      <c r="D11311" t="s">
        <v>9332</v>
      </c>
      <c r="E11311">
        <v>146217.84</v>
      </c>
      <c r="F11311">
        <v>13.94</v>
      </c>
      <c r="G11311" t="s">
        <v>12</v>
      </c>
      <c r="I11311" t="s">
        <v>230</v>
      </c>
    </row>
    <row r="11312" spans="1:9" x14ac:dyDescent="0.25">
      <c r="A11312" t="s">
        <v>9321</v>
      </c>
      <c r="B11312" t="s">
        <v>33</v>
      </c>
      <c r="C11312" s="2">
        <f>HYPERLINK("https://cao.dolgi.msk.ru/account/1080093087/", 1080093087)</f>
        <v>1080093087</v>
      </c>
      <c r="D11312" t="s">
        <v>9333</v>
      </c>
      <c r="E11312">
        <v>12511.94</v>
      </c>
      <c r="F11312">
        <v>2.0099999999999998</v>
      </c>
      <c r="G11312" t="s">
        <v>12</v>
      </c>
      <c r="I11312" t="s">
        <v>230</v>
      </c>
    </row>
    <row r="11313" spans="1:9" hidden="1" x14ac:dyDescent="0.25">
      <c r="A11313" t="s">
        <v>9321</v>
      </c>
      <c r="B11313" t="s">
        <v>34</v>
      </c>
      <c r="C11313" s="2">
        <f>HYPERLINK("https://cao.dolgi.msk.ru/account/1080093095/", 1080093095)</f>
        <v>1080093095</v>
      </c>
      <c r="D11313" t="s">
        <v>9334</v>
      </c>
      <c r="E11313">
        <v>-0.34</v>
      </c>
      <c r="F11313">
        <v>0</v>
      </c>
      <c r="G11313" t="s">
        <v>12</v>
      </c>
      <c r="I11313" t="s">
        <v>230</v>
      </c>
    </row>
    <row r="11314" spans="1:9" hidden="1" x14ac:dyDescent="0.25">
      <c r="A11314" t="s">
        <v>9321</v>
      </c>
      <c r="B11314" t="s">
        <v>36</v>
      </c>
      <c r="C11314" s="2">
        <f>HYPERLINK("https://cao.dolgi.msk.ru/account/1080093108/", 1080093108)</f>
        <v>1080093108</v>
      </c>
      <c r="D11314" t="s">
        <v>9335</v>
      </c>
      <c r="E11314">
        <v>0</v>
      </c>
      <c r="F11314">
        <v>0</v>
      </c>
      <c r="G11314" t="s">
        <v>12</v>
      </c>
      <c r="I11314" t="s">
        <v>230</v>
      </c>
    </row>
    <row r="11315" spans="1:9" hidden="1" x14ac:dyDescent="0.25">
      <c r="A11315" t="s">
        <v>9321</v>
      </c>
      <c r="B11315" t="s">
        <v>38</v>
      </c>
      <c r="C11315" s="2">
        <f>HYPERLINK("https://cao.dolgi.msk.ru/account/1080093116/", 1080093116)</f>
        <v>1080093116</v>
      </c>
      <c r="D11315" t="s">
        <v>9336</v>
      </c>
      <c r="E11315">
        <v>-2844.47</v>
      </c>
      <c r="F11315">
        <v>-0.46</v>
      </c>
      <c r="G11315" t="s">
        <v>12</v>
      </c>
      <c r="I11315" t="s">
        <v>230</v>
      </c>
    </row>
    <row r="11316" spans="1:9" hidden="1" x14ac:dyDescent="0.25">
      <c r="A11316" t="s">
        <v>9321</v>
      </c>
      <c r="B11316" t="s">
        <v>39</v>
      </c>
      <c r="C11316" s="2">
        <f>HYPERLINK("https://cao.dolgi.msk.ru/account/1080093124/", 1080093124)</f>
        <v>1080093124</v>
      </c>
      <c r="D11316" t="s">
        <v>9337</v>
      </c>
      <c r="E11316">
        <v>-7530.62</v>
      </c>
      <c r="F11316">
        <v>-1.04</v>
      </c>
      <c r="G11316" t="s">
        <v>12</v>
      </c>
      <c r="I11316" t="s">
        <v>230</v>
      </c>
    </row>
    <row r="11317" spans="1:9" hidden="1" x14ac:dyDescent="0.25">
      <c r="A11317" t="s">
        <v>9321</v>
      </c>
      <c r="B11317" t="s">
        <v>40</v>
      </c>
      <c r="C11317" s="2">
        <f>HYPERLINK("https://cao.dolgi.msk.ru/account/1080093132/", 1080093132)</f>
        <v>1080093132</v>
      </c>
      <c r="D11317" t="s">
        <v>9338</v>
      </c>
      <c r="E11317">
        <v>-9760.0300000000007</v>
      </c>
      <c r="F11317">
        <v>-1.08</v>
      </c>
      <c r="G11317" t="s">
        <v>12</v>
      </c>
      <c r="I11317" t="s">
        <v>230</v>
      </c>
    </row>
    <row r="11318" spans="1:9" hidden="1" x14ac:dyDescent="0.25">
      <c r="A11318" t="s">
        <v>9321</v>
      </c>
      <c r="B11318" t="s">
        <v>41</v>
      </c>
      <c r="C11318" s="2">
        <f>HYPERLINK("https://cao.dolgi.msk.ru/account/1080093159/", 1080093159)</f>
        <v>1080093159</v>
      </c>
      <c r="D11318" t="s">
        <v>9339</v>
      </c>
      <c r="E11318">
        <v>-5049.03</v>
      </c>
      <c r="F11318">
        <v>-1.02</v>
      </c>
      <c r="G11318" t="s">
        <v>12</v>
      </c>
      <c r="I11318" t="s">
        <v>230</v>
      </c>
    </row>
    <row r="11319" spans="1:9" hidden="1" x14ac:dyDescent="0.25">
      <c r="A11319" t="s">
        <v>9321</v>
      </c>
      <c r="B11319" t="s">
        <v>42</v>
      </c>
      <c r="C11319" s="2">
        <f>HYPERLINK("https://cao.dolgi.msk.ru/account/1080093167/", 1080093167)</f>
        <v>1080093167</v>
      </c>
      <c r="D11319" t="s">
        <v>9340</v>
      </c>
      <c r="E11319">
        <v>7743.23</v>
      </c>
      <c r="F11319">
        <v>1</v>
      </c>
      <c r="G11319" t="s">
        <v>12</v>
      </c>
      <c r="I11319" t="s">
        <v>230</v>
      </c>
    </row>
    <row r="11320" spans="1:9" hidden="1" x14ac:dyDescent="0.25">
      <c r="A11320" t="s">
        <v>9321</v>
      </c>
      <c r="B11320" t="s">
        <v>44</v>
      </c>
      <c r="C11320" s="2">
        <f>HYPERLINK("https://cao.dolgi.msk.ru/account/1080093175/", 1080093175)</f>
        <v>1080093175</v>
      </c>
      <c r="D11320" t="s">
        <v>9341</v>
      </c>
      <c r="E11320">
        <v>-5585.06</v>
      </c>
      <c r="F11320">
        <v>-1.29</v>
      </c>
      <c r="G11320" t="s">
        <v>12</v>
      </c>
      <c r="I11320" t="s">
        <v>230</v>
      </c>
    </row>
    <row r="11321" spans="1:9" hidden="1" x14ac:dyDescent="0.25">
      <c r="A11321" t="s">
        <v>9321</v>
      </c>
      <c r="B11321" t="s">
        <v>66</v>
      </c>
      <c r="C11321" s="2">
        <f>HYPERLINK("https://cao.dolgi.msk.ru/account/1080093183/", 1080093183)</f>
        <v>1080093183</v>
      </c>
      <c r="D11321" t="s">
        <v>9342</v>
      </c>
      <c r="E11321">
        <v>316.27999999999997</v>
      </c>
      <c r="F11321">
        <v>0.04</v>
      </c>
      <c r="G11321" t="s">
        <v>12</v>
      </c>
      <c r="I11321" t="s">
        <v>230</v>
      </c>
    </row>
    <row r="11322" spans="1:9" hidden="1" x14ac:dyDescent="0.25">
      <c r="A11322" t="s">
        <v>9321</v>
      </c>
      <c r="B11322" t="s">
        <v>68</v>
      </c>
      <c r="C11322" s="2">
        <f>HYPERLINK("https://cao.dolgi.msk.ru/account/1080093191/", 1080093191)</f>
        <v>1080093191</v>
      </c>
      <c r="D11322" t="s">
        <v>9343</v>
      </c>
      <c r="E11322">
        <v>-6757.94</v>
      </c>
      <c r="F11322">
        <v>-1</v>
      </c>
      <c r="G11322" t="s">
        <v>12</v>
      </c>
      <c r="I11322" t="s">
        <v>230</v>
      </c>
    </row>
    <row r="11323" spans="1:9" hidden="1" x14ac:dyDescent="0.25">
      <c r="A11323" t="s">
        <v>9321</v>
      </c>
      <c r="B11323" t="s">
        <v>70</v>
      </c>
      <c r="C11323" s="2">
        <f>HYPERLINK("https://cao.dolgi.msk.ru/account/1080093204/", 1080093204)</f>
        <v>1080093204</v>
      </c>
      <c r="D11323" t="s">
        <v>9344</v>
      </c>
      <c r="E11323">
        <v>0</v>
      </c>
      <c r="F11323">
        <v>0</v>
      </c>
      <c r="G11323" t="s">
        <v>12</v>
      </c>
      <c r="I11323" t="s">
        <v>230</v>
      </c>
    </row>
    <row r="11324" spans="1:9" hidden="1" x14ac:dyDescent="0.25">
      <c r="A11324" t="s">
        <v>9321</v>
      </c>
      <c r="B11324" t="s">
        <v>72</v>
      </c>
      <c r="C11324" s="2">
        <f>HYPERLINK("https://cao.dolgi.msk.ru/account/1080093212/", 1080093212)</f>
        <v>1080093212</v>
      </c>
      <c r="D11324" t="s">
        <v>9345</v>
      </c>
      <c r="E11324">
        <v>-15460.24</v>
      </c>
      <c r="F11324">
        <v>-3.35</v>
      </c>
      <c r="G11324" t="s">
        <v>12</v>
      </c>
      <c r="I11324" t="s">
        <v>230</v>
      </c>
    </row>
    <row r="11325" spans="1:9" hidden="1" x14ac:dyDescent="0.25">
      <c r="A11325" t="s">
        <v>9321</v>
      </c>
      <c r="B11325" t="s">
        <v>74</v>
      </c>
      <c r="C11325" s="2">
        <f>HYPERLINK("https://cao.dolgi.msk.ru/account/1080093239/", 1080093239)</f>
        <v>1080093239</v>
      </c>
      <c r="D11325" t="s">
        <v>9346</v>
      </c>
      <c r="E11325">
        <v>-5806.61</v>
      </c>
      <c r="F11325">
        <v>-1.02</v>
      </c>
      <c r="G11325" t="s">
        <v>12</v>
      </c>
      <c r="I11325" t="s">
        <v>230</v>
      </c>
    </row>
    <row r="11326" spans="1:9" hidden="1" x14ac:dyDescent="0.25">
      <c r="A11326" t="s">
        <v>9321</v>
      </c>
      <c r="B11326" t="s">
        <v>76</v>
      </c>
      <c r="C11326" s="2">
        <f>HYPERLINK("https://cao.dolgi.msk.ru/account/1080093247/", 1080093247)</f>
        <v>1080093247</v>
      </c>
      <c r="D11326" t="s">
        <v>9347</v>
      </c>
      <c r="E11326">
        <v>-104.86</v>
      </c>
      <c r="F11326">
        <v>-0.01</v>
      </c>
      <c r="G11326" t="s">
        <v>12</v>
      </c>
      <c r="I11326" t="s">
        <v>230</v>
      </c>
    </row>
    <row r="11327" spans="1:9" x14ac:dyDescent="0.25">
      <c r="A11327" t="s">
        <v>9321</v>
      </c>
      <c r="B11327" t="s">
        <v>78</v>
      </c>
      <c r="C11327" s="2">
        <f>HYPERLINK("https://cao.dolgi.msk.ru/account/1080093255/", 1080093255)</f>
        <v>1080093255</v>
      </c>
      <c r="D11327" t="s">
        <v>9348</v>
      </c>
      <c r="E11327">
        <v>115571.33</v>
      </c>
      <c r="F11327">
        <v>7.89</v>
      </c>
      <c r="G11327" t="s">
        <v>12</v>
      </c>
      <c r="I11327" t="s">
        <v>230</v>
      </c>
    </row>
    <row r="11328" spans="1:9" hidden="1" x14ac:dyDescent="0.25">
      <c r="A11328" t="s">
        <v>9321</v>
      </c>
      <c r="B11328" t="s">
        <v>80</v>
      </c>
      <c r="C11328" s="2">
        <f>HYPERLINK("https://cao.dolgi.msk.ru/account/1080093263/", 1080093263)</f>
        <v>1080093263</v>
      </c>
      <c r="D11328" t="s">
        <v>9349</v>
      </c>
      <c r="E11328">
        <v>-7683.54</v>
      </c>
      <c r="F11328">
        <v>-0.95</v>
      </c>
      <c r="G11328" t="s">
        <v>12</v>
      </c>
      <c r="I11328" t="s">
        <v>230</v>
      </c>
    </row>
    <row r="11329" spans="1:9" hidden="1" x14ac:dyDescent="0.25">
      <c r="A11329" t="s">
        <v>9321</v>
      </c>
      <c r="B11329" t="s">
        <v>82</v>
      </c>
      <c r="C11329" s="2">
        <f>HYPERLINK("https://cao.dolgi.msk.ru/account/1080093271/", 1080093271)</f>
        <v>1080093271</v>
      </c>
      <c r="D11329" t="s">
        <v>9350</v>
      </c>
      <c r="E11329">
        <v>-6712.75</v>
      </c>
      <c r="F11329">
        <v>-1.03</v>
      </c>
      <c r="G11329" t="s">
        <v>12</v>
      </c>
      <c r="I11329" t="s">
        <v>230</v>
      </c>
    </row>
    <row r="11330" spans="1:9" hidden="1" x14ac:dyDescent="0.25">
      <c r="A11330" t="s">
        <v>9321</v>
      </c>
      <c r="B11330" t="s">
        <v>84</v>
      </c>
      <c r="C11330" s="2">
        <f>HYPERLINK("https://cao.dolgi.msk.ru/account/1080093298/", 1080093298)</f>
        <v>1080093298</v>
      </c>
      <c r="D11330" t="s">
        <v>62</v>
      </c>
      <c r="E11330">
        <v>-10458.69</v>
      </c>
      <c r="F11330">
        <v>-1.94</v>
      </c>
      <c r="G11330" t="s">
        <v>12</v>
      </c>
      <c r="I11330" t="s">
        <v>230</v>
      </c>
    </row>
    <row r="11331" spans="1:9" hidden="1" x14ac:dyDescent="0.25">
      <c r="A11331" t="s">
        <v>9321</v>
      </c>
      <c r="B11331" t="s">
        <v>86</v>
      </c>
      <c r="C11331" s="2">
        <f>HYPERLINK("https://cao.dolgi.msk.ru/account/1080093319/", 1080093319)</f>
        <v>1080093319</v>
      </c>
      <c r="D11331" t="s">
        <v>9351</v>
      </c>
      <c r="E11331">
        <v>-4628.8100000000004</v>
      </c>
      <c r="F11331">
        <v>-1.04</v>
      </c>
      <c r="G11331" t="s">
        <v>12</v>
      </c>
      <c r="I11331" t="s">
        <v>230</v>
      </c>
    </row>
    <row r="11332" spans="1:9" hidden="1" x14ac:dyDescent="0.25">
      <c r="A11332" t="s">
        <v>9321</v>
      </c>
      <c r="B11332" t="s">
        <v>88</v>
      </c>
      <c r="C11332" s="2">
        <f>HYPERLINK("https://cao.dolgi.msk.ru/account/1080093327/", 1080093327)</f>
        <v>1080093327</v>
      </c>
      <c r="D11332" t="s">
        <v>9352</v>
      </c>
      <c r="E11332">
        <v>-6063.15</v>
      </c>
      <c r="F11332">
        <v>-1.0900000000000001</v>
      </c>
      <c r="G11332" t="s">
        <v>12</v>
      </c>
      <c r="I11332" t="s">
        <v>230</v>
      </c>
    </row>
    <row r="11333" spans="1:9" hidden="1" x14ac:dyDescent="0.25">
      <c r="A11333" t="s">
        <v>9321</v>
      </c>
      <c r="B11333" t="s">
        <v>90</v>
      </c>
      <c r="C11333" s="2">
        <f>HYPERLINK("https://cao.dolgi.msk.ru/account/1080093335/", 1080093335)</f>
        <v>1080093335</v>
      </c>
      <c r="D11333" t="s">
        <v>9353</v>
      </c>
      <c r="E11333">
        <v>4305.08</v>
      </c>
      <c r="F11333">
        <v>0.9</v>
      </c>
      <c r="G11333" t="s">
        <v>12</v>
      </c>
      <c r="I11333" t="s">
        <v>230</v>
      </c>
    </row>
    <row r="11334" spans="1:9" hidden="1" x14ac:dyDescent="0.25">
      <c r="A11334" t="s">
        <v>9321</v>
      </c>
      <c r="B11334" t="s">
        <v>92</v>
      </c>
      <c r="C11334" s="2">
        <f>HYPERLINK("https://cao.dolgi.msk.ru/account/1080093343/", 1080093343)</f>
        <v>1080093343</v>
      </c>
      <c r="D11334" t="s">
        <v>9354</v>
      </c>
      <c r="E11334">
        <v>-9358.73</v>
      </c>
      <c r="F11334">
        <v>-1.1200000000000001</v>
      </c>
      <c r="G11334" t="s">
        <v>12</v>
      </c>
      <c r="I11334" t="s">
        <v>230</v>
      </c>
    </row>
    <row r="11335" spans="1:9" hidden="1" x14ac:dyDescent="0.25">
      <c r="A11335" t="s">
        <v>9321</v>
      </c>
      <c r="B11335" t="s">
        <v>92</v>
      </c>
      <c r="C11335" s="2">
        <f>HYPERLINK("https://cao.dolgi.msk.ru/account/1083273374/", 1083273374)</f>
        <v>1083273374</v>
      </c>
      <c r="D11335" t="s">
        <v>9355</v>
      </c>
      <c r="E11335">
        <v>0</v>
      </c>
      <c r="G11335" t="s">
        <v>14</v>
      </c>
      <c r="I11335" t="s">
        <v>230</v>
      </c>
    </row>
    <row r="11336" spans="1:9" hidden="1" x14ac:dyDescent="0.25">
      <c r="A11336" t="s">
        <v>9321</v>
      </c>
      <c r="B11336" t="s">
        <v>94</v>
      </c>
      <c r="C11336" s="2">
        <f>HYPERLINK("https://cao.dolgi.msk.ru/account/1080093351/", 1080093351)</f>
        <v>1080093351</v>
      </c>
      <c r="D11336" t="s">
        <v>9356</v>
      </c>
      <c r="E11336">
        <v>-5210.55</v>
      </c>
      <c r="F11336">
        <v>-1.01</v>
      </c>
      <c r="G11336" t="s">
        <v>12</v>
      </c>
      <c r="I11336" t="s">
        <v>230</v>
      </c>
    </row>
    <row r="11337" spans="1:9" hidden="1" x14ac:dyDescent="0.25">
      <c r="A11337" t="s">
        <v>9321</v>
      </c>
      <c r="B11337" t="s">
        <v>96</v>
      </c>
      <c r="C11337" s="2">
        <f>HYPERLINK("https://cao.dolgi.msk.ru/account/1080093378/", 1080093378)</f>
        <v>1080093378</v>
      </c>
      <c r="D11337" t="s">
        <v>9357</v>
      </c>
      <c r="E11337">
        <v>-3953.65</v>
      </c>
      <c r="F11337">
        <v>-1.02</v>
      </c>
      <c r="G11337" t="s">
        <v>12</v>
      </c>
      <c r="I11337" t="s">
        <v>230</v>
      </c>
    </row>
    <row r="11338" spans="1:9" hidden="1" x14ac:dyDescent="0.25">
      <c r="A11338" t="s">
        <v>9321</v>
      </c>
      <c r="B11338" t="s">
        <v>98</v>
      </c>
      <c r="C11338" s="2">
        <f>HYPERLINK("https://cao.dolgi.msk.ru/account/1080093386/", 1080093386)</f>
        <v>1080093386</v>
      </c>
      <c r="D11338" t="s">
        <v>9358</v>
      </c>
      <c r="E11338">
        <v>-4789.1899999999996</v>
      </c>
      <c r="F11338">
        <v>-1.02</v>
      </c>
      <c r="G11338" t="s">
        <v>12</v>
      </c>
      <c r="I11338" t="s">
        <v>230</v>
      </c>
    </row>
    <row r="11339" spans="1:9" hidden="1" x14ac:dyDescent="0.25">
      <c r="A11339" t="s">
        <v>9321</v>
      </c>
      <c r="B11339" t="s">
        <v>100</v>
      </c>
      <c r="C11339" s="2">
        <f>HYPERLINK("https://cao.dolgi.msk.ru/account/1080093394/", 1080093394)</f>
        <v>1080093394</v>
      </c>
      <c r="D11339" t="s">
        <v>9359</v>
      </c>
      <c r="E11339">
        <v>-3660.84</v>
      </c>
      <c r="F11339">
        <v>-1.1100000000000001</v>
      </c>
      <c r="G11339" t="s">
        <v>12</v>
      </c>
      <c r="I11339" t="s">
        <v>230</v>
      </c>
    </row>
    <row r="11340" spans="1:9" hidden="1" x14ac:dyDescent="0.25">
      <c r="A11340" t="s">
        <v>9321</v>
      </c>
      <c r="B11340" t="s">
        <v>102</v>
      </c>
      <c r="C11340" s="2">
        <f>HYPERLINK("https://cao.dolgi.msk.ru/account/1080093407/", 1080093407)</f>
        <v>1080093407</v>
      </c>
      <c r="D11340" t="s">
        <v>9360</v>
      </c>
      <c r="E11340">
        <v>-10515.79</v>
      </c>
      <c r="F11340">
        <v>-2.2599999999999998</v>
      </c>
      <c r="G11340" t="s">
        <v>12</v>
      </c>
      <c r="I11340" t="s">
        <v>230</v>
      </c>
    </row>
    <row r="11341" spans="1:9" hidden="1" x14ac:dyDescent="0.25">
      <c r="A11341" t="s">
        <v>9321</v>
      </c>
      <c r="B11341" t="s">
        <v>104</v>
      </c>
      <c r="C11341" s="2">
        <f>HYPERLINK("https://cao.dolgi.msk.ru/account/1080093415/", 1080093415)</f>
        <v>1080093415</v>
      </c>
      <c r="D11341" t="s">
        <v>9361</v>
      </c>
      <c r="E11341">
        <v>-112.32</v>
      </c>
      <c r="F11341">
        <v>-0.02</v>
      </c>
      <c r="G11341" t="s">
        <v>12</v>
      </c>
      <c r="I11341" t="s">
        <v>230</v>
      </c>
    </row>
    <row r="11342" spans="1:9" hidden="1" x14ac:dyDescent="0.25">
      <c r="A11342" t="s">
        <v>9321</v>
      </c>
      <c r="B11342" t="s">
        <v>106</v>
      </c>
      <c r="C11342" s="2">
        <f>HYPERLINK("https://cao.dolgi.msk.ru/account/1080093423/", 1080093423)</f>
        <v>1080093423</v>
      </c>
      <c r="D11342" t="s">
        <v>9362</v>
      </c>
      <c r="E11342">
        <v>11890.45</v>
      </c>
      <c r="F11342">
        <v>1</v>
      </c>
      <c r="G11342" t="s">
        <v>12</v>
      </c>
      <c r="I11342" t="s">
        <v>230</v>
      </c>
    </row>
    <row r="11343" spans="1:9" hidden="1" x14ac:dyDescent="0.25">
      <c r="A11343" t="s">
        <v>9321</v>
      </c>
      <c r="B11343" t="s">
        <v>108</v>
      </c>
      <c r="C11343" s="2">
        <f>HYPERLINK("https://cao.dolgi.msk.ru/account/1080093431/", 1080093431)</f>
        <v>1080093431</v>
      </c>
      <c r="D11343" t="s">
        <v>9363</v>
      </c>
      <c r="E11343">
        <v>-5299.87</v>
      </c>
      <c r="F11343">
        <v>-1.1100000000000001</v>
      </c>
      <c r="G11343" t="s">
        <v>12</v>
      </c>
      <c r="I11343" t="s">
        <v>230</v>
      </c>
    </row>
    <row r="11344" spans="1:9" hidden="1" x14ac:dyDescent="0.25">
      <c r="A11344" t="s">
        <v>9321</v>
      </c>
      <c r="B11344" t="s">
        <v>110</v>
      </c>
      <c r="C11344" s="2">
        <f>HYPERLINK("https://cao.dolgi.msk.ru/account/1080093458/", 1080093458)</f>
        <v>1080093458</v>
      </c>
      <c r="D11344" t="s">
        <v>9364</v>
      </c>
      <c r="E11344">
        <v>-3505.52</v>
      </c>
      <c r="F11344">
        <v>-1.03</v>
      </c>
      <c r="G11344" t="s">
        <v>12</v>
      </c>
      <c r="I11344" t="s">
        <v>230</v>
      </c>
    </row>
    <row r="11345" spans="1:9" hidden="1" x14ac:dyDescent="0.25">
      <c r="A11345" t="s">
        <v>9321</v>
      </c>
      <c r="B11345" t="s">
        <v>112</v>
      </c>
      <c r="C11345" s="2">
        <f>HYPERLINK("https://cao.dolgi.msk.ru/account/1080093466/", 1080093466)</f>
        <v>1080093466</v>
      </c>
      <c r="D11345" t="s">
        <v>9365</v>
      </c>
      <c r="E11345">
        <v>865.78</v>
      </c>
      <c r="F11345">
        <v>0.14000000000000001</v>
      </c>
      <c r="G11345" t="s">
        <v>12</v>
      </c>
      <c r="I11345" t="s">
        <v>230</v>
      </c>
    </row>
    <row r="11346" spans="1:9" hidden="1" x14ac:dyDescent="0.25">
      <c r="A11346" t="s">
        <v>9321</v>
      </c>
      <c r="B11346" t="s">
        <v>114</v>
      </c>
      <c r="C11346" s="2">
        <f>HYPERLINK("https://cao.dolgi.msk.ru/account/1080093474/", 1080093474)</f>
        <v>1080093474</v>
      </c>
      <c r="D11346" t="s">
        <v>9366</v>
      </c>
      <c r="E11346">
        <v>-5320.68</v>
      </c>
      <c r="F11346">
        <v>-1.01</v>
      </c>
      <c r="G11346" t="s">
        <v>12</v>
      </c>
      <c r="I11346" t="s">
        <v>230</v>
      </c>
    </row>
    <row r="11347" spans="1:9" hidden="1" x14ac:dyDescent="0.25">
      <c r="A11347" t="s">
        <v>9321</v>
      </c>
      <c r="B11347" t="s">
        <v>116</v>
      </c>
      <c r="C11347" s="2">
        <f>HYPERLINK("https://cao.dolgi.msk.ru/account/1080093482/", 1080093482)</f>
        <v>1080093482</v>
      </c>
      <c r="D11347" t="s">
        <v>9367</v>
      </c>
      <c r="E11347">
        <v>-5889.17</v>
      </c>
      <c r="F11347">
        <v>-1.04</v>
      </c>
      <c r="G11347" t="s">
        <v>12</v>
      </c>
      <c r="I11347" t="s">
        <v>230</v>
      </c>
    </row>
    <row r="11348" spans="1:9" x14ac:dyDescent="0.25">
      <c r="A11348" t="s">
        <v>9321</v>
      </c>
      <c r="B11348" t="s">
        <v>118</v>
      </c>
      <c r="C11348" s="2">
        <f>HYPERLINK("https://cao.dolgi.msk.ru/account/1080093503/", 1080093503)</f>
        <v>1080093503</v>
      </c>
      <c r="D11348" t="s">
        <v>9368</v>
      </c>
      <c r="E11348">
        <v>30544.76</v>
      </c>
      <c r="F11348">
        <v>2.9</v>
      </c>
      <c r="G11348" t="s">
        <v>12</v>
      </c>
      <c r="I11348" t="s">
        <v>230</v>
      </c>
    </row>
    <row r="11349" spans="1:9" hidden="1" x14ac:dyDescent="0.25">
      <c r="A11349" t="s">
        <v>9321</v>
      </c>
      <c r="B11349" t="s">
        <v>120</v>
      </c>
      <c r="C11349" s="2">
        <f>HYPERLINK("https://cao.dolgi.msk.ru/account/1080093511/", 1080093511)</f>
        <v>1080093511</v>
      </c>
      <c r="D11349" t="s">
        <v>9369</v>
      </c>
      <c r="E11349">
        <v>-7708.21</v>
      </c>
      <c r="F11349">
        <v>-1.01</v>
      </c>
      <c r="G11349" t="s">
        <v>12</v>
      </c>
      <c r="I11349" t="s">
        <v>230</v>
      </c>
    </row>
    <row r="11350" spans="1:9" hidden="1" x14ac:dyDescent="0.25">
      <c r="A11350" t="s">
        <v>9321</v>
      </c>
      <c r="B11350" t="s">
        <v>122</v>
      </c>
      <c r="C11350" s="2">
        <f>HYPERLINK("https://cao.dolgi.msk.ru/account/1080093538/", 1080093538)</f>
        <v>1080093538</v>
      </c>
      <c r="D11350" t="s">
        <v>9370</v>
      </c>
      <c r="E11350">
        <v>-117.96</v>
      </c>
      <c r="F11350">
        <v>-0.02</v>
      </c>
      <c r="G11350" t="s">
        <v>12</v>
      </c>
      <c r="I11350" t="s">
        <v>230</v>
      </c>
    </row>
    <row r="11351" spans="1:9" hidden="1" x14ac:dyDescent="0.25">
      <c r="A11351" t="s">
        <v>9321</v>
      </c>
      <c r="B11351" t="s">
        <v>124</v>
      </c>
      <c r="C11351" s="2">
        <f>HYPERLINK("https://cao.dolgi.msk.ru/account/1080093546/", 1080093546)</f>
        <v>1080093546</v>
      </c>
      <c r="D11351" t="s">
        <v>9371</v>
      </c>
      <c r="E11351">
        <v>-6410.31</v>
      </c>
      <c r="F11351">
        <v>-1.1000000000000001</v>
      </c>
      <c r="G11351" t="s">
        <v>12</v>
      </c>
      <c r="I11351" t="s">
        <v>230</v>
      </c>
    </row>
    <row r="11352" spans="1:9" hidden="1" x14ac:dyDescent="0.25">
      <c r="A11352" t="s">
        <v>9321</v>
      </c>
      <c r="B11352" t="s">
        <v>126</v>
      </c>
      <c r="C11352" s="2">
        <f>HYPERLINK("https://cao.dolgi.msk.ru/account/1080093554/", 1080093554)</f>
        <v>1080093554</v>
      </c>
      <c r="D11352" t="s">
        <v>9372</v>
      </c>
      <c r="E11352">
        <v>-6211.97</v>
      </c>
      <c r="F11352">
        <v>-1</v>
      </c>
      <c r="G11352" t="s">
        <v>12</v>
      </c>
      <c r="I11352" t="s">
        <v>230</v>
      </c>
    </row>
    <row r="11353" spans="1:9" hidden="1" x14ac:dyDescent="0.25">
      <c r="A11353" t="s">
        <v>9321</v>
      </c>
      <c r="B11353" t="s">
        <v>128</v>
      </c>
      <c r="C11353" s="2">
        <f>HYPERLINK("https://cao.dolgi.msk.ru/account/1080093562/", 1080093562)</f>
        <v>1080093562</v>
      </c>
      <c r="D11353" t="s">
        <v>9373</v>
      </c>
      <c r="E11353">
        <v>124.1</v>
      </c>
      <c r="F11353">
        <v>0.02</v>
      </c>
      <c r="G11353" t="s">
        <v>12</v>
      </c>
      <c r="I11353" t="s">
        <v>230</v>
      </c>
    </row>
    <row r="11354" spans="1:9" hidden="1" x14ac:dyDescent="0.25">
      <c r="A11354" t="s">
        <v>9321</v>
      </c>
      <c r="B11354" t="s">
        <v>130</v>
      </c>
      <c r="C11354" s="2">
        <f>HYPERLINK("https://cao.dolgi.msk.ru/account/1080093589/", 1080093589)</f>
        <v>1080093589</v>
      </c>
      <c r="D11354" t="s">
        <v>9374</v>
      </c>
      <c r="E11354">
        <v>-6669.34</v>
      </c>
      <c r="F11354">
        <v>-1.41</v>
      </c>
      <c r="G11354" t="s">
        <v>12</v>
      </c>
      <c r="I11354" t="s">
        <v>230</v>
      </c>
    </row>
    <row r="11355" spans="1:9" hidden="1" x14ac:dyDescent="0.25">
      <c r="A11355" t="s">
        <v>9321</v>
      </c>
      <c r="B11355" t="s">
        <v>132</v>
      </c>
      <c r="C11355" s="2">
        <f>HYPERLINK("https://cao.dolgi.msk.ru/account/1080093597/", 1080093597)</f>
        <v>1080093597</v>
      </c>
      <c r="D11355" t="s">
        <v>9375</v>
      </c>
      <c r="E11355">
        <v>-6425.6</v>
      </c>
      <c r="F11355">
        <v>-1.01</v>
      </c>
      <c r="G11355" t="s">
        <v>12</v>
      </c>
      <c r="I11355" t="s">
        <v>230</v>
      </c>
    </row>
    <row r="11356" spans="1:9" hidden="1" x14ac:dyDescent="0.25">
      <c r="A11356" t="s">
        <v>9321</v>
      </c>
      <c r="B11356" t="s">
        <v>133</v>
      </c>
      <c r="C11356" s="2">
        <f>HYPERLINK("https://cao.dolgi.msk.ru/account/1080093618/", 1080093618)</f>
        <v>1080093618</v>
      </c>
      <c r="D11356" t="s">
        <v>9376</v>
      </c>
      <c r="E11356">
        <v>-16508.560000000001</v>
      </c>
      <c r="F11356">
        <v>-4.05</v>
      </c>
      <c r="G11356" t="s">
        <v>12</v>
      </c>
      <c r="I11356" t="s">
        <v>230</v>
      </c>
    </row>
    <row r="11357" spans="1:9" hidden="1" x14ac:dyDescent="0.25">
      <c r="A11357" t="s">
        <v>9321</v>
      </c>
      <c r="B11357" t="s">
        <v>135</v>
      </c>
      <c r="C11357" s="2">
        <f>HYPERLINK("https://cao.dolgi.msk.ru/account/1080093626/", 1080093626)</f>
        <v>1080093626</v>
      </c>
      <c r="D11357" t="s">
        <v>9377</v>
      </c>
      <c r="E11357">
        <v>-7269.58</v>
      </c>
      <c r="F11357">
        <v>-1.02</v>
      </c>
      <c r="G11357" t="s">
        <v>12</v>
      </c>
      <c r="I11357" t="s">
        <v>230</v>
      </c>
    </row>
    <row r="11358" spans="1:9" hidden="1" x14ac:dyDescent="0.25">
      <c r="A11358" t="s">
        <v>9321</v>
      </c>
      <c r="B11358" t="s">
        <v>137</v>
      </c>
      <c r="C11358" s="2">
        <f>HYPERLINK("https://cao.dolgi.msk.ru/account/1080093634/", 1080093634)</f>
        <v>1080093634</v>
      </c>
      <c r="D11358" t="s">
        <v>9378</v>
      </c>
      <c r="E11358">
        <v>-5894.78</v>
      </c>
      <c r="F11358">
        <v>-0.95</v>
      </c>
      <c r="G11358" t="s">
        <v>12</v>
      </c>
      <c r="I11358" t="s">
        <v>230</v>
      </c>
    </row>
    <row r="11359" spans="1:9" hidden="1" x14ac:dyDescent="0.25">
      <c r="A11359" t="s">
        <v>9321</v>
      </c>
      <c r="B11359" t="s">
        <v>139</v>
      </c>
      <c r="C11359" s="2">
        <f>HYPERLINK("https://cao.dolgi.msk.ru/account/1080093642/", 1080093642)</f>
        <v>1080093642</v>
      </c>
      <c r="D11359" t="s">
        <v>9379</v>
      </c>
      <c r="E11359">
        <v>-5575.07</v>
      </c>
      <c r="F11359">
        <v>-1.07</v>
      </c>
      <c r="G11359" t="s">
        <v>12</v>
      </c>
      <c r="I11359" t="s">
        <v>230</v>
      </c>
    </row>
    <row r="11360" spans="1:9" hidden="1" x14ac:dyDescent="0.25">
      <c r="A11360" t="s">
        <v>9321</v>
      </c>
      <c r="B11360" t="s">
        <v>141</v>
      </c>
      <c r="C11360" s="2">
        <f>HYPERLINK("https://cao.dolgi.msk.ru/account/1080093669/", 1080093669)</f>
        <v>1080093669</v>
      </c>
      <c r="D11360" t="s">
        <v>9380</v>
      </c>
      <c r="E11360">
        <v>0.03</v>
      </c>
      <c r="F11360">
        <v>0</v>
      </c>
      <c r="G11360" t="s">
        <v>12</v>
      </c>
      <c r="I11360" t="s">
        <v>230</v>
      </c>
    </row>
    <row r="11361" spans="1:9" hidden="1" x14ac:dyDescent="0.25">
      <c r="A11361" t="s">
        <v>9321</v>
      </c>
      <c r="B11361" t="s">
        <v>143</v>
      </c>
      <c r="C11361" s="2">
        <f>HYPERLINK("https://cao.dolgi.msk.ru/account/1080093677/", 1080093677)</f>
        <v>1080093677</v>
      </c>
      <c r="D11361" t="s">
        <v>9381</v>
      </c>
      <c r="E11361">
        <v>3246.83</v>
      </c>
      <c r="F11361">
        <v>1</v>
      </c>
      <c r="G11361" t="s">
        <v>12</v>
      </c>
      <c r="I11361" t="s">
        <v>230</v>
      </c>
    </row>
    <row r="11362" spans="1:9" hidden="1" x14ac:dyDescent="0.25">
      <c r="A11362" t="s">
        <v>9321</v>
      </c>
      <c r="B11362" t="s">
        <v>145</v>
      </c>
      <c r="C11362" s="2">
        <f>HYPERLINK("https://cao.dolgi.msk.ru/account/1080093685/", 1080093685)</f>
        <v>1080093685</v>
      </c>
      <c r="D11362" t="s">
        <v>9382</v>
      </c>
      <c r="E11362">
        <v>-5438.25</v>
      </c>
      <c r="F11362">
        <v>-1.08</v>
      </c>
      <c r="G11362" t="s">
        <v>12</v>
      </c>
      <c r="I11362" t="s">
        <v>230</v>
      </c>
    </row>
    <row r="11363" spans="1:9" hidden="1" x14ac:dyDescent="0.25">
      <c r="A11363" t="s">
        <v>9321</v>
      </c>
      <c r="B11363" t="s">
        <v>147</v>
      </c>
      <c r="C11363" s="2">
        <f>HYPERLINK("https://cao.dolgi.msk.ru/account/1080093693/", 1080093693)</f>
        <v>1080093693</v>
      </c>
      <c r="D11363" t="s">
        <v>9383</v>
      </c>
      <c r="E11363">
        <v>0</v>
      </c>
      <c r="F11363">
        <v>0</v>
      </c>
      <c r="G11363" t="s">
        <v>12</v>
      </c>
      <c r="I11363" t="s">
        <v>230</v>
      </c>
    </row>
    <row r="11364" spans="1:9" hidden="1" x14ac:dyDescent="0.25">
      <c r="A11364" t="s">
        <v>9321</v>
      </c>
      <c r="B11364" t="s">
        <v>149</v>
      </c>
      <c r="C11364" s="2">
        <f>HYPERLINK("https://cao.dolgi.msk.ru/account/1080093706/", 1080093706)</f>
        <v>1080093706</v>
      </c>
      <c r="D11364" t="s">
        <v>9384</v>
      </c>
      <c r="E11364">
        <v>6168.41</v>
      </c>
      <c r="F11364">
        <v>1</v>
      </c>
      <c r="G11364" t="s">
        <v>12</v>
      </c>
      <c r="I11364" t="s">
        <v>230</v>
      </c>
    </row>
    <row r="11365" spans="1:9" hidden="1" x14ac:dyDescent="0.25">
      <c r="A11365" t="s">
        <v>9321</v>
      </c>
      <c r="B11365" t="s">
        <v>151</v>
      </c>
      <c r="C11365" s="2">
        <f>HYPERLINK("https://cao.dolgi.msk.ru/account/1080093714/", 1080093714)</f>
        <v>1080093714</v>
      </c>
      <c r="D11365" t="s">
        <v>9385</v>
      </c>
      <c r="E11365">
        <v>-5827.76</v>
      </c>
      <c r="F11365">
        <v>-0.99</v>
      </c>
      <c r="G11365" t="s">
        <v>12</v>
      </c>
      <c r="I11365" t="s">
        <v>230</v>
      </c>
    </row>
    <row r="11366" spans="1:9" x14ac:dyDescent="0.25">
      <c r="A11366" t="s">
        <v>9321</v>
      </c>
      <c r="B11366" t="s">
        <v>153</v>
      </c>
      <c r="C11366" s="2">
        <f>HYPERLINK("https://cao.dolgi.msk.ru/account/1080093722/", 1080093722)</f>
        <v>1080093722</v>
      </c>
      <c r="D11366" t="s">
        <v>9386</v>
      </c>
      <c r="E11366">
        <v>9246.14</v>
      </c>
      <c r="F11366">
        <v>1.24</v>
      </c>
      <c r="G11366" t="s">
        <v>12</v>
      </c>
      <c r="I11366" t="s">
        <v>230</v>
      </c>
    </row>
    <row r="11367" spans="1:9" hidden="1" x14ac:dyDescent="0.25">
      <c r="A11367" t="s">
        <v>9321</v>
      </c>
      <c r="B11367" t="s">
        <v>155</v>
      </c>
      <c r="C11367" s="2">
        <f>HYPERLINK("https://cao.dolgi.msk.ru/account/1080093749/", 1080093749)</f>
        <v>1080093749</v>
      </c>
      <c r="D11367" t="s">
        <v>9387</v>
      </c>
      <c r="E11367">
        <v>0</v>
      </c>
      <c r="F11367">
        <v>0</v>
      </c>
      <c r="G11367" t="s">
        <v>12</v>
      </c>
      <c r="I11367" t="s">
        <v>230</v>
      </c>
    </row>
    <row r="11368" spans="1:9" hidden="1" x14ac:dyDescent="0.25">
      <c r="A11368" t="s">
        <v>9321</v>
      </c>
      <c r="B11368" t="s">
        <v>157</v>
      </c>
      <c r="C11368" s="2">
        <f>HYPERLINK("https://cao.dolgi.msk.ru/account/1080093757/", 1080093757)</f>
        <v>1080093757</v>
      </c>
      <c r="D11368" t="s">
        <v>9388</v>
      </c>
      <c r="E11368">
        <v>-5894.86</v>
      </c>
      <c r="F11368">
        <v>-1.0900000000000001</v>
      </c>
      <c r="G11368" t="s">
        <v>12</v>
      </c>
      <c r="I11368" t="s">
        <v>230</v>
      </c>
    </row>
    <row r="11369" spans="1:9" hidden="1" x14ac:dyDescent="0.25">
      <c r="A11369" t="s">
        <v>9321</v>
      </c>
      <c r="B11369" t="s">
        <v>159</v>
      </c>
      <c r="C11369" s="2">
        <f>HYPERLINK("https://cao.dolgi.msk.ru/account/1080093765/", 1080093765)</f>
        <v>1080093765</v>
      </c>
      <c r="D11369" t="s">
        <v>9389</v>
      </c>
      <c r="E11369">
        <v>-7008.43</v>
      </c>
      <c r="F11369">
        <v>-1.02</v>
      </c>
      <c r="G11369" t="s">
        <v>12</v>
      </c>
      <c r="I11369" t="s">
        <v>230</v>
      </c>
    </row>
    <row r="11370" spans="1:9" hidden="1" x14ac:dyDescent="0.25">
      <c r="A11370" t="s">
        <v>9321</v>
      </c>
      <c r="B11370" t="s">
        <v>161</v>
      </c>
      <c r="C11370" s="2">
        <f>HYPERLINK("https://cao.dolgi.msk.ru/account/1080093773/", 1080093773)</f>
        <v>1080093773</v>
      </c>
      <c r="D11370" t="s">
        <v>9390</v>
      </c>
      <c r="E11370">
        <v>-1021.67</v>
      </c>
      <c r="F11370">
        <v>-0.21</v>
      </c>
      <c r="G11370" t="s">
        <v>12</v>
      </c>
      <c r="I11370" t="s">
        <v>230</v>
      </c>
    </row>
    <row r="11371" spans="1:9" hidden="1" x14ac:dyDescent="0.25">
      <c r="A11371" t="s">
        <v>9321</v>
      </c>
      <c r="B11371" t="s">
        <v>163</v>
      </c>
      <c r="C11371" s="2">
        <f>HYPERLINK("https://cao.dolgi.msk.ru/account/1080093781/", 1080093781)</f>
        <v>1080093781</v>
      </c>
      <c r="D11371" t="s">
        <v>9391</v>
      </c>
      <c r="E11371">
        <v>-7739.43</v>
      </c>
      <c r="F11371">
        <v>-1.03</v>
      </c>
      <c r="G11371" t="s">
        <v>12</v>
      </c>
      <c r="I11371" t="s">
        <v>230</v>
      </c>
    </row>
    <row r="11372" spans="1:9" hidden="1" x14ac:dyDescent="0.25">
      <c r="A11372" t="s">
        <v>9321</v>
      </c>
      <c r="B11372" t="s">
        <v>163</v>
      </c>
      <c r="C11372" s="2">
        <f>HYPERLINK("https://cao.dolgi.msk.ru/account/1080325204/", 1080325204)</f>
        <v>1080325204</v>
      </c>
      <c r="D11372" t="s">
        <v>15</v>
      </c>
      <c r="G11372" t="s">
        <v>14</v>
      </c>
      <c r="I11372" t="s">
        <v>230</v>
      </c>
    </row>
    <row r="11373" spans="1:9" hidden="1" x14ac:dyDescent="0.25">
      <c r="A11373" t="s">
        <v>9321</v>
      </c>
      <c r="B11373" t="s">
        <v>571</v>
      </c>
      <c r="C11373" s="2">
        <f>HYPERLINK("https://cao.dolgi.msk.ru/account/1080093802/", 1080093802)</f>
        <v>1080093802</v>
      </c>
      <c r="D11373" t="s">
        <v>9392</v>
      </c>
      <c r="E11373">
        <v>-64.98</v>
      </c>
      <c r="F11373">
        <v>-0.01</v>
      </c>
      <c r="G11373" t="s">
        <v>12</v>
      </c>
      <c r="I11373" t="s">
        <v>230</v>
      </c>
    </row>
    <row r="11374" spans="1:9" hidden="1" x14ac:dyDescent="0.25">
      <c r="A11374" t="s">
        <v>9321</v>
      </c>
      <c r="B11374" t="s">
        <v>682</v>
      </c>
      <c r="C11374" s="2">
        <f>HYPERLINK("https://cao.dolgi.msk.ru/account/1080093829/", 1080093829)</f>
        <v>1080093829</v>
      </c>
      <c r="D11374" t="s">
        <v>9393</v>
      </c>
      <c r="E11374">
        <v>-4708.17</v>
      </c>
      <c r="F11374">
        <v>-1.02</v>
      </c>
      <c r="G11374" t="s">
        <v>12</v>
      </c>
      <c r="I11374" t="s">
        <v>230</v>
      </c>
    </row>
    <row r="11375" spans="1:9" hidden="1" x14ac:dyDescent="0.25">
      <c r="A11375" t="s">
        <v>9321</v>
      </c>
      <c r="B11375" t="s">
        <v>578</v>
      </c>
      <c r="C11375" s="2">
        <f>HYPERLINK("https://cao.dolgi.msk.ru/account/1080093837/", 1080093837)</f>
        <v>1080093837</v>
      </c>
      <c r="D11375" t="s">
        <v>9394</v>
      </c>
      <c r="E11375">
        <v>-5265.11</v>
      </c>
      <c r="F11375">
        <v>-0.97</v>
      </c>
      <c r="G11375" t="s">
        <v>12</v>
      </c>
      <c r="I11375" t="s">
        <v>230</v>
      </c>
    </row>
    <row r="11376" spans="1:9" hidden="1" x14ac:dyDescent="0.25">
      <c r="A11376" t="s">
        <v>9321</v>
      </c>
      <c r="B11376" t="s">
        <v>580</v>
      </c>
      <c r="C11376" s="2">
        <f>HYPERLINK("https://cao.dolgi.msk.ru/account/1080093845/", 1080093845)</f>
        <v>1080093845</v>
      </c>
      <c r="D11376" t="s">
        <v>9395</v>
      </c>
      <c r="E11376">
        <v>-5672.75</v>
      </c>
      <c r="F11376">
        <v>-0.45</v>
      </c>
      <c r="G11376" t="s">
        <v>12</v>
      </c>
      <c r="I11376" t="s">
        <v>230</v>
      </c>
    </row>
    <row r="11377" spans="1:9" hidden="1" x14ac:dyDescent="0.25">
      <c r="A11377" t="s">
        <v>9321</v>
      </c>
      <c r="B11377" t="s">
        <v>686</v>
      </c>
      <c r="C11377" s="2">
        <f>HYPERLINK("https://cao.dolgi.msk.ru/account/1080093853/", 1080093853)</f>
        <v>1080093853</v>
      </c>
      <c r="D11377" t="s">
        <v>9396</v>
      </c>
      <c r="E11377">
        <v>-6315.66</v>
      </c>
      <c r="F11377">
        <v>-1.02</v>
      </c>
      <c r="G11377" t="s">
        <v>12</v>
      </c>
      <c r="I11377" t="s">
        <v>230</v>
      </c>
    </row>
    <row r="11378" spans="1:9" x14ac:dyDescent="0.25">
      <c r="A11378" t="s">
        <v>9321</v>
      </c>
      <c r="B11378" t="s">
        <v>582</v>
      </c>
      <c r="C11378" s="2">
        <f>HYPERLINK("https://cao.dolgi.msk.ru/account/1080093861/", 1080093861)</f>
        <v>1080093861</v>
      </c>
      <c r="D11378" t="s">
        <v>15</v>
      </c>
      <c r="E11378">
        <v>7905.17</v>
      </c>
      <c r="F11378">
        <v>1.41</v>
      </c>
      <c r="G11378" t="s">
        <v>12</v>
      </c>
      <c r="I11378" t="s">
        <v>230</v>
      </c>
    </row>
    <row r="11379" spans="1:9" hidden="1" x14ac:dyDescent="0.25">
      <c r="A11379" t="s">
        <v>9321</v>
      </c>
      <c r="B11379" t="s">
        <v>584</v>
      </c>
      <c r="C11379" s="2">
        <f>HYPERLINK("https://cao.dolgi.msk.ru/account/1080093888/", 1080093888)</f>
        <v>1080093888</v>
      </c>
      <c r="D11379" t="s">
        <v>9397</v>
      </c>
      <c r="E11379">
        <v>-9078.59</v>
      </c>
      <c r="F11379">
        <v>-1.06</v>
      </c>
      <c r="G11379" t="s">
        <v>12</v>
      </c>
      <c r="I11379" t="s">
        <v>230</v>
      </c>
    </row>
    <row r="11380" spans="1:9" hidden="1" x14ac:dyDescent="0.25">
      <c r="A11380" t="s">
        <v>9321</v>
      </c>
      <c r="B11380" t="s">
        <v>586</v>
      </c>
      <c r="C11380" s="2">
        <f>HYPERLINK("https://cao.dolgi.msk.ru/account/1080093896/", 1080093896)</f>
        <v>1080093896</v>
      </c>
      <c r="D11380" t="s">
        <v>9398</v>
      </c>
      <c r="E11380">
        <v>-4584.3</v>
      </c>
      <c r="F11380">
        <v>-1.08</v>
      </c>
      <c r="G11380" t="s">
        <v>12</v>
      </c>
      <c r="I11380" t="s">
        <v>230</v>
      </c>
    </row>
    <row r="11381" spans="1:9" hidden="1" x14ac:dyDescent="0.25">
      <c r="A11381" t="s">
        <v>9321</v>
      </c>
      <c r="B11381" t="s">
        <v>588</v>
      </c>
      <c r="C11381" s="2">
        <f>HYPERLINK("https://cao.dolgi.msk.ru/account/1080093909/", 1080093909)</f>
        <v>1080093909</v>
      </c>
      <c r="D11381" t="s">
        <v>9399</v>
      </c>
      <c r="E11381">
        <v>-5931.07</v>
      </c>
      <c r="F11381">
        <v>-1.06</v>
      </c>
      <c r="G11381" t="s">
        <v>12</v>
      </c>
      <c r="I11381" t="s">
        <v>230</v>
      </c>
    </row>
    <row r="11382" spans="1:9" hidden="1" x14ac:dyDescent="0.25">
      <c r="A11382" t="s">
        <v>9321</v>
      </c>
      <c r="B11382" t="s">
        <v>590</v>
      </c>
      <c r="C11382" s="2">
        <f>HYPERLINK("https://cao.dolgi.msk.ru/account/1080093917/", 1080093917)</f>
        <v>1080093917</v>
      </c>
      <c r="D11382" t="s">
        <v>9400</v>
      </c>
      <c r="E11382">
        <v>-7211.07</v>
      </c>
      <c r="F11382">
        <v>-1.26</v>
      </c>
      <c r="G11382" t="s">
        <v>12</v>
      </c>
      <c r="I11382" t="s">
        <v>230</v>
      </c>
    </row>
    <row r="11383" spans="1:9" hidden="1" x14ac:dyDescent="0.25">
      <c r="A11383" t="s">
        <v>9321</v>
      </c>
      <c r="B11383" t="s">
        <v>693</v>
      </c>
      <c r="C11383" s="2">
        <f>HYPERLINK("https://cao.dolgi.msk.ru/account/1080093925/", 1080093925)</f>
        <v>1080093925</v>
      </c>
      <c r="D11383" t="s">
        <v>9401</v>
      </c>
      <c r="E11383">
        <v>-6478.45</v>
      </c>
      <c r="G11383" t="s">
        <v>14</v>
      </c>
      <c r="I11383" t="s">
        <v>230</v>
      </c>
    </row>
    <row r="11384" spans="1:9" hidden="1" x14ac:dyDescent="0.25">
      <c r="A11384" t="s">
        <v>9321</v>
      </c>
      <c r="B11384" t="s">
        <v>693</v>
      </c>
      <c r="C11384" s="2">
        <f>HYPERLINK("https://cao.dolgi.msk.ru/account/1083370887/", 1083370887)</f>
        <v>1083370887</v>
      </c>
      <c r="D11384" t="s">
        <v>15</v>
      </c>
      <c r="E11384">
        <v>-4631.5200000000004</v>
      </c>
      <c r="F11384">
        <v>-1.06</v>
      </c>
      <c r="G11384" t="s">
        <v>12</v>
      </c>
      <c r="I11384" t="s">
        <v>230</v>
      </c>
    </row>
    <row r="11385" spans="1:9" hidden="1" x14ac:dyDescent="0.25">
      <c r="A11385" t="s">
        <v>9321</v>
      </c>
      <c r="B11385" t="s">
        <v>694</v>
      </c>
      <c r="C11385" s="2">
        <f>HYPERLINK("https://cao.dolgi.msk.ru/account/1080093933/", 1080093933)</f>
        <v>1080093933</v>
      </c>
      <c r="D11385" t="s">
        <v>9402</v>
      </c>
      <c r="E11385">
        <v>0</v>
      </c>
      <c r="F11385">
        <v>0</v>
      </c>
      <c r="G11385" t="s">
        <v>12</v>
      </c>
      <c r="I11385" t="s">
        <v>230</v>
      </c>
    </row>
    <row r="11386" spans="1:9" hidden="1" x14ac:dyDescent="0.25">
      <c r="A11386" t="s">
        <v>9321</v>
      </c>
      <c r="B11386" t="s">
        <v>696</v>
      </c>
      <c r="C11386" s="2">
        <f>HYPERLINK("https://cao.dolgi.msk.ru/account/1080093941/", 1080093941)</f>
        <v>1080093941</v>
      </c>
      <c r="D11386" t="s">
        <v>9403</v>
      </c>
      <c r="E11386">
        <v>-8731.92</v>
      </c>
      <c r="F11386">
        <v>-1.1499999999999999</v>
      </c>
      <c r="G11386" t="s">
        <v>12</v>
      </c>
      <c r="I11386" t="s">
        <v>230</v>
      </c>
    </row>
    <row r="11387" spans="1:9" hidden="1" x14ac:dyDescent="0.25">
      <c r="A11387" t="s">
        <v>9321</v>
      </c>
      <c r="B11387" t="s">
        <v>698</v>
      </c>
      <c r="C11387" s="2">
        <f>HYPERLINK("https://cao.dolgi.msk.ru/account/1080093968/", 1080093968)</f>
        <v>1080093968</v>
      </c>
      <c r="D11387" t="s">
        <v>9404</v>
      </c>
      <c r="E11387">
        <v>-11117.37</v>
      </c>
      <c r="F11387">
        <v>-2.19</v>
      </c>
      <c r="G11387" t="s">
        <v>12</v>
      </c>
      <c r="I11387" t="s">
        <v>230</v>
      </c>
    </row>
    <row r="11388" spans="1:9" hidden="1" x14ac:dyDescent="0.25">
      <c r="A11388" t="s">
        <v>9321</v>
      </c>
      <c r="B11388" t="s">
        <v>700</v>
      </c>
      <c r="C11388" s="2">
        <f>HYPERLINK("https://cao.dolgi.msk.ru/account/1080093976/", 1080093976)</f>
        <v>1080093976</v>
      </c>
      <c r="D11388" t="s">
        <v>9405</v>
      </c>
      <c r="E11388">
        <v>-6285.21</v>
      </c>
      <c r="F11388">
        <v>-1.1100000000000001</v>
      </c>
      <c r="G11388" t="s">
        <v>12</v>
      </c>
      <c r="I11388" t="s">
        <v>230</v>
      </c>
    </row>
    <row r="11389" spans="1:9" hidden="1" x14ac:dyDescent="0.25">
      <c r="A11389" t="s">
        <v>9321</v>
      </c>
      <c r="B11389" t="s">
        <v>702</v>
      </c>
      <c r="C11389" s="2">
        <f>HYPERLINK("https://cao.dolgi.msk.ru/account/1080093984/", 1080093984)</f>
        <v>1080093984</v>
      </c>
      <c r="D11389" t="s">
        <v>9406</v>
      </c>
      <c r="E11389">
        <v>5931.49</v>
      </c>
      <c r="F11389">
        <v>0.85</v>
      </c>
      <c r="G11389" t="s">
        <v>12</v>
      </c>
      <c r="I11389" t="s">
        <v>230</v>
      </c>
    </row>
    <row r="11390" spans="1:9" hidden="1" x14ac:dyDescent="0.25">
      <c r="A11390" t="s">
        <v>9321</v>
      </c>
      <c r="B11390" t="s">
        <v>703</v>
      </c>
      <c r="C11390" s="2">
        <f>HYPERLINK("https://cao.dolgi.msk.ru/account/1080093992/", 1080093992)</f>
        <v>1080093992</v>
      </c>
      <c r="D11390" t="s">
        <v>9407</v>
      </c>
      <c r="E11390">
        <v>-3123.45</v>
      </c>
      <c r="F11390">
        <v>-1.02</v>
      </c>
      <c r="G11390" t="s">
        <v>12</v>
      </c>
      <c r="I11390" t="s">
        <v>230</v>
      </c>
    </row>
    <row r="11391" spans="1:9" hidden="1" x14ac:dyDescent="0.25">
      <c r="A11391" t="s">
        <v>9321</v>
      </c>
      <c r="B11391" t="s">
        <v>705</v>
      </c>
      <c r="C11391" s="2">
        <f>HYPERLINK("https://cao.dolgi.msk.ru/account/1080094004/", 1080094004)</f>
        <v>1080094004</v>
      </c>
      <c r="D11391" t="s">
        <v>9408</v>
      </c>
      <c r="E11391">
        <v>-5910.92</v>
      </c>
      <c r="F11391">
        <v>-0.79</v>
      </c>
      <c r="G11391" t="s">
        <v>12</v>
      </c>
      <c r="I11391" t="s">
        <v>230</v>
      </c>
    </row>
    <row r="11392" spans="1:9" hidden="1" x14ac:dyDescent="0.25">
      <c r="A11392" t="s">
        <v>9321</v>
      </c>
      <c r="B11392" t="s">
        <v>707</v>
      </c>
      <c r="C11392" s="2">
        <f>HYPERLINK("https://cao.dolgi.msk.ru/account/1080094012/", 1080094012)</f>
        <v>1080094012</v>
      </c>
      <c r="D11392" t="s">
        <v>9409</v>
      </c>
      <c r="E11392">
        <v>-6340.9</v>
      </c>
      <c r="F11392">
        <v>-1.03</v>
      </c>
      <c r="G11392" t="s">
        <v>12</v>
      </c>
      <c r="I11392" t="s">
        <v>230</v>
      </c>
    </row>
    <row r="11393" spans="1:9" hidden="1" x14ac:dyDescent="0.25">
      <c r="A11393" t="s">
        <v>9321</v>
      </c>
      <c r="B11393" t="s">
        <v>709</v>
      </c>
      <c r="C11393" s="2">
        <f>HYPERLINK("https://cao.dolgi.msk.ru/account/1080094039/", 1080094039)</f>
        <v>1080094039</v>
      </c>
      <c r="D11393" t="s">
        <v>9410</v>
      </c>
      <c r="E11393">
        <v>0</v>
      </c>
      <c r="F11393">
        <v>0</v>
      </c>
      <c r="G11393" t="s">
        <v>12</v>
      </c>
      <c r="I11393" t="s">
        <v>230</v>
      </c>
    </row>
    <row r="11394" spans="1:9" hidden="1" x14ac:dyDescent="0.25">
      <c r="A11394" t="s">
        <v>9321</v>
      </c>
      <c r="B11394" t="s">
        <v>711</v>
      </c>
      <c r="C11394" s="2">
        <f>HYPERLINK("https://cao.dolgi.msk.ru/account/1080094047/", 1080094047)</f>
        <v>1080094047</v>
      </c>
      <c r="D11394" t="s">
        <v>9411</v>
      </c>
      <c r="E11394">
        <v>-8321.01</v>
      </c>
      <c r="F11394">
        <v>-1.06</v>
      </c>
      <c r="G11394" t="s">
        <v>12</v>
      </c>
      <c r="I11394" t="s">
        <v>230</v>
      </c>
    </row>
    <row r="11395" spans="1:9" hidden="1" x14ac:dyDescent="0.25">
      <c r="A11395" t="s">
        <v>9412</v>
      </c>
      <c r="B11395" t="s">
        <v>10</v>
      </c>
      <c r="C11395" s="2">
        <f>HYPERLINK("https://cao.dolgi.msk.ru/account/1089133751/", 1089133751)</f>
        <v>1089133751</v>
      </c>
      <c r="D11395" t="s">
        <v>9413</v>
      </c>
      <c r="E11395">
        <v>-88.26</v>
      </c>
      <c r="F11395">
        <v>-0.05</v>
      </c>
      <c r="G11395" t="s">
        <v>12</v>
      </c>
      <c r="H11395" t="s">
        <v>7</v>
      </c>
      <c r="I11395" t="s">
        <v>230</v>
      </c>
    </row>
    <row r="11396" spans="1:9" hidden="1" x14ac:dyDescent="0.25">
      <c r="A11396" t="s">
        <v>9412</v>
      </c>
      <c r="B11396" t="s">
        <v>10</v>
      </c>
      <c r="C11396" s="2">
        <f>HYPERLINK("https://cao.dolgi.msk.ru/account/1089133778/", 1089133778)</f>
        <v>1089133778</v>
      </c>
      <c r="D11396" t="s">
        <v>9413</v>
      </c>
      <c r="E11396">
        <v>157.41</v>
      </c>
      <c r="F11396">
        <v>0.08</v>
      </c>
      <c r="G11396" t="s">
        <v>12</v>
      </c>
      <c r="H11396" t="s">
        <v>7</v>
      </c>
      <c r="I11396" t="s">
        <v>230</v>
      </c>
    </row>
    <row r="11397" spans="1:9" hidden="1" x14ac:dyDescent="0.25">
      <c r="A11397" t="s">
        <v>9412</v>
      </c>
      <c r="B11397" t="s">
        <v>16</v>
      </c>
      <c r="C11397" s="2">
        <f>HYPERLINK("https://cao.dolgi.msk.ru/account/1089133786/", 1089133786)</f>
        <v>1089133786</v>
      </c>
      <c r="D11397" t="s">
        <v>9414</v>
      </c>
      <c r="E11397">
        <v>-3588.85</v>
      </c>
      <c r="F11397">
        <v>-1.17</v>
      </c>
      <c r="G11397" t="s">
        <v>12</v>
      </c>
      <c r="I11397" t="s">
        <v>230</v>
      </c>
    </row>
    <row r="11398" spans="1:9" hidden="1" x14ac:dyDescent="0.25">
      <c r="A11398" t="s">
        <v>9412</v>
      </c>
      <c r="B11398" t="s">
        <v>18</v>
      </c>
      <c r="C11398" s="2">
        <f>HYPERLINK("https://cao.dolgi.msk.ru/account/1089133815/", 1089133815)</f>
        <v>1089133815</v>
      </c>
      <c r="D11398" t="s">
        <v>9415</v>
      </c>
      <c r="E11398">
        <v>-289.10000000000002</v>
      </c>
      <c r="F11398">
        <v>-0.08</v>
      </c>
      <c r="G11398" t="s">
        <v>12</v>
      </c>
      <c r="I11398" t="s">
        <v>230</v>
      </c>
    </row>
    <row r="11399" spans="1:9" hidden="1" x14ac:dyDescent="0.25">
      <c r="A11399" t="s">
        <v>9412</v>
      </c>
      <c r="B11399" t="s">
        <v>20</v>
      </c>
      <c r="C11399" s="2">
        <f>HYPERLINK("https://cao.dolgi.msk.ru/account/1089133823/", 1089133823)</f>
        <v>1089133823</v>
      </c>
      <c r="D11399" t="s">
        <v>9416</v>
      </c>
      <c r="E11399">
        <v>-4254.7299999999996</v>
      </c>
      <c r="F11399">
        <v>-1.1100000000000001</v>
      </c>
      <c r="G11399" t="s">
        <v>12</v>
      </c>
      <c r="I11399" t="s">
        <v>230</v>
      </c>
    </row>
    <row r="11400" spans="1:9" hidden="1" x14ac:dyDescent="0.25">
      <c r="A11400" t="s">
        <v>9412</v>
      </c>
      <c r="B11400" t="s">
        <v>21</v>
      </c>
      <c r="C11400" s="2">
        <f>HYPERLINK("https://cao.dolgi.msk.ru/account/1089133831/", 1089133831)</f>
        <v>1089133831</v>
      </c>
      <c r="D11400" t="s">
        <v>15</v>
      </c>
      <c r="E11400">
        <v>0</v>
      </c>
      <c r="F11400">
        <v>0</v>
      </c>
      <c r="G11400" t="s">
        <v>12</v>
      </c>
      <c r="I11400" t="s">
        <v>230</v>
      </c>
    </row>
    <row r="11401" spans="1:9" hidden="1" x14ac:dyDescent="0.25">
      <c r="A11401" t="s">
        <v>9412</v>
      </c>
      <c r="B11401" t="s">
        <v>22</v>
      </c>
      <c r="C11401" s="2">
        <f>HYPERLINK("https://cao.dolgi.msk.ru/account/1089133858/", 1089133858)</f>
        <v>1089133858</v>
      </c>
      <c r="D11401" t="s">
        <v>9417</v>
      </c>
      <c r="E11401">
        <v>-7030.84</v>
      </c>
      <c r="F11401">
        <v>-2.4700000000000002</v>
      </c>
      <c r="G11401" t="s">
        <v>12</v>
      </c>
      <c r="I11401" t="s">
        <v>230</v>
      </c>
    </row>
    <row r="11402" spans="1:9" hidden="1" x14ac:dyDescent="0.25">
      <c r="A11402" t="s">
        <v>9412</v>
      </c>
      <c r="B11402" t="s">
        <v>23</v>
      </c>
      <c r="C11402" s="2">
        <f>HYPERLINK("https://cao.dolgi.msk.ru/account/1089133866/", 1089133866)</f>
        <v>1089133866</v>
      </c>
      <c r="D11402" t="s">
        <v>9418</v>
      </c>
      <c r="E11402">
        <v>-3448.75</v>
      </c>
      <c r="F11402">
        <v>-0.95</v>
      </c>
      <c r="G11402" t="s">
        <v>12</v>
      </c>
      <c r="I11402" t="s">
        <v>230</v>
      </c>
    </row>
    <row r="11403" spans="1:9" hidden="1" x14ac:dyDescent="0.25">
      <c r="A11403" t="s">
        <v>9412</v>
      </c>
      <c r="B11403" t="s">
        <v>24</v>
      </c>
      <c r="C11403" s="2">
        <f>HYPERLINK("https://cao.dolgi.msk.ru/account/1089133874/", 1089133874)</f>
        <v>1089133874</v>
      </c>
      <c r="D11403" t="s">
        <v>9419</v>
      </c>
      <c r="E11403">
        <v>-6430.89</v>
      </c>
      <c r="F11403">
        <v>-1.8</v>
      </c>
      <c r="G11403" t="s">
        <v>12</v>
      </c>
      <c r="I11403" t="s">
        <v>230</v>
      </c>
    </row>
    <row r="11404" spans="1:9" hidden="1" x14ac:dyDescent="0.25">
      <c r="A11404" t="s">
        <v>9412</v>
      </c>
      <c r="B11404" t="s">
        <v>27</v>
      </c>
      <c r="C11404" s="2">
        <f>HYPERLINK("https://cao.dolgi.msk.ru/account/1089133882/", 1089133882)</f>
        <v>1089133882</v>
      </c>
      <c r="D11404" t="s">
        <v>9420</v>
      </c>
      <c r="E11404">
        <v>-4944.93</v>
      </c>
      <c r="F11404">
        <v>-1.02</v>
      </c>
      <c r="G11404" t="s">
        <v>12</v>
      </c>
      <c r="I11404" t="s">
        <v>230</v>
      </c>
    </row>
    <row r="11405" spans="1:9" hidden="1" x14ac:dyDescent="0.25">
      <c r="A11405" t="s">
        <v>9412</v>
      </c>
      <c r="B11405" t="s">
        <v>29</v>
      </c>
      <c r="C11405" s="2">
        <f>HYPERLINK("https://cao.dolgi.msk.ru/account/1089133903/", 1089133903)</f>
        <v>1089133903</v>
      </c>
      <c r="D11405" t="s">
        <v>9421</v>
      </c>
      <c r="E11405">
        <v>0</v>
      </c>
      <c r="F11405">
        <v>0</v>
      </c>
      <c r="G11405" t="s">
        <v>12</v>
      </c>
      <c r="I11405" t="s">
        <v>230</v>
      </c>
    </row>
    <row r="11406" spans="1:9" hidden="1" x14ac:dyDescent="0.25">
      <c r="A11406" t="s">
        <v>9412</v>
      </c>
      <c r="B11406" t="s">
        <v>31</v>
      </c>
      <c r="C11406" s="2">
        <f>HYPERLINK("https://cao.dolgi.msk.ru/account/1089133911/", 1089133911)</f>
        <v>1089133911</v>
      </c>
      <c r="D11406" t="s">
        <v>9422</v>
      </c>
      <c r="E11406">
        <v>-3997.56</v>
      </c>
      <c r="F11406">
        <v>-1.04</v>
      </c>
      <c r="G11406" t="s">
        <v>12</v>
      </c>
      <c r="I11406" t="s">
        <v>230</v>
      </c>
    </row>
    <row r="11407" spans="1:9" hidden="1" x14ac:dyDescent="0.25">
      <c r="A11407" t="s">
        <v>9412</v>
      </c>
      <c r="B11407" t="s">
        <v>33</v>
      </c>
      <c r="C11407" s="2">
        <f>HYPERLINK("https://cao.dolgi.msk.ru/account/1089133938/", 1089133938)</f>
        <v>1089133938</v>
      </c>
      <c r="D11407" t="s">
        <v>15</v>
      </c>
      <c r="E11407">
        <v>-4913.12</v>
      </c>
      <c r="F11407">
        <v>-1.06</v>
      </c>
      <c r="G11407" t="s">
        <v>12</v>
      </c>
      <c r="I11407" t="s">
        <v>230</v>
      </c>
    </row>
    <row r="11408" spans="1:9" hidden="1" x14ac:dyDescent="0.25">
      <c r="A11408" t="s">
        <v>9412</v>
      </c>
      <c r="B11408" t="s">
        <v>34</v>
      </c>
      <c r="C11408" s="2">
        <f>HYPERLINK("https://cao.dolgi.msk.ru/account/1089133946/", 1089133946)</f>
        <v>1089133946</v>
      </c>
      <c r="D11408" t="s">
        <v>9423</v>
      </c>
      <c r="E11408">
        <v>-2857.1</v>
      </c>
      <c r="F11408">
        <v>-1.1599999999999999</v>
      </c>
      <c r="G11408" t="s">
        <v>12</v>
      </c>
      <c r="I11408" t="s">
        <v>230</v>
      </c>
    </row>
    <row r="11409" spans="1:9" hidden="1" x14ac:dyDescent="0.25">
      <c r="A11409" t="s">
        <v>9412</v>
      </c>
      <c r="B11409" t="s">
        <v>36</v>
      </c>
      <c r="C11409" s="2">
        <f>HYPERLINK("https://cao.dolgi.msk.ru/account/1089133954/", 1089133954)</f>
        <v>1089133954</v>
      </c>
      <c r="D11409" t="s">
        <v>9424</v>
      </c>
      <c r="E11409">
        <v>-4860.7</v>
      </c>
      <c r="F11409">
        <v>-1.07</v>
      </c>
      <c r="G11409" t="s">
        <v>12</v>
      </c>
      <c r="I11409" t="s">
        <v>230</v>
      </c>
    </row>
    <row r="11410" spans="1:9" hidden="1" x14ac:dyDescent="0.25">
      <c r="A11410" t="s">
        <v>9412</v>
      </c>
      <c r="B11410" t="s">
        <v>38</v>
      </c>
      <c r="C11410" s="2">
        <f>HYPERLINK("https://cao.dolgi.msk.ru/account/1089133997/", 1089133997)</f>
        <v>1089133997</v>
      </c>
      <c r="D11410" t="s">
        <v>15</v>
      </c>
      <c r="E11410">
        <v>-5168.8500000000004</v>
      </c>
      <c r="F11410">
        <v>-1.02</v>
      </c>
      <c r="G11410" t="s">
        <v>12</v>
      </c>
      <c r="I11410" t="s">
        <v>230</v>
      </c>
    </row>
    <row r="11411" spans="1:9" hidden="1" x14ac:dyDescent="0.25">
      <c r="A11411" t="s">
        <v>9412</v>
      </c>
      <c r="B11411" t="s">
        <v>39</v>
      </c>
      <c r="C11411" s="2">
        <f>HYPERLINK("https://cao.dolgi.msk.ru/account/1089134009/", 1089134009)</f>
        <v>1089134009</v>
      </c>
      <c r="D11411" t="s">
        <v>9425</v>
      </c>
      <c r="E11411">
        <v>6761.4</v>
      </c>
      <c r="F11411">
        <v>1</v>
      </c>
      <c r="G11411" t="s">
        <v>12</v>
      </c>
      <c r="I11411" t="s">
        <v>230</v>
      </c>
    </row>
    <row r="11412" spans="1:9" hidden="1" x14ac:dyDescent="0.25">
      <c r="A11412" t="s">
        <v>9412</v>
      </c>
      <c r="B11412" t="s">
        <v>40</v>
      </c>
      <c r="C11412" s="2">
        <f>HYPERLINK("https://cao.dolgi.msk.ru/account/1089134017/", 1089134017)</f>
        <v>1089134017</v>
      </c>
      <c r="D11412" t="s">
        <v>9426</v>
      </c>
      <c r="E11412">
        <v>-1795.92</v>
      </c>
      <c r="F11412">
        <v>-1</v>
      </c>
      <c r="G11412" t="s">
        <v>12</v>
      </c>
      <c r="I11412" t="s">
        <v>230</v>
      </c>
    </row>
    <row r="11413" spans="1:9" hidden="1" x14ac:dyDescent="0.25">
      <c r="A11413" t="s">
        <v>9412</v>
      </c>
      <c r="B11413" t="s">
        <v>41</v>
      </c>
      <c r="C11413" s="2">
        <f>HYPERLINK("https://cao.dolgi.msk.ru/account/1089134025/", 1089134025)</f>
        <v>1089134025</v>
      </c>
      <c r="D11413" t="s">
        <v>9427</v>
      </c>
      <c r="E11413">
        <v>-7130.41</v>
      </c>
      <c r="F11413">
        <v>-1.44</v>
      </c>
      <c r="G11413" t="s">
        <v>12</v>
      </c>
      <c r="I11413" t="s">
        <v>230</v>
      </c>
    </row>
    <row r="11414" spans="1:9" hidden="1" x14ac:dyDescent="0.25">
      <c r="A11414" t="s">
        <v>9412</v>
      </c>
      <c r="B11414" t="s">
        <v>42</v>
      </c>
      <c r="C11414" s="2">
        <f>HYPERLINK("https://cao.dolgi.msk.ru/account/1089134033/", 1089134033)</f>
        <v>1089134033</v>
      </c>
      <c r="D11414" t="s">
        <v>9428</v>
      </c>
      <c r="E11414">
        <v>-865.29</v>
      </c>
      <c r="F11414">
        <v>-0.09</v>
      </c>
      <c r="G11414" t="s">
        <v>12</v>
      </c>
      <c r="I11414" t="s">
        <v>230</v>
      </c>
    </row>
    <row r="11415" spans="1:9" hidden="1" x14ac:dyDescent="0.25">
      <c r="A11415" t="s">
        <v>9412</v>
      </c>
      <c r="B11415" t="s">
        <v>44</v>
      </c>
      <c r="C11415" s="2">
        <f>HYPERLINK("https://cao.dolgi.msk.ru/account/1089134041/", 1089134041)</f>
        <v>1089134041</v>
      </c>
      <c r="D11415" t="s">
        <v>9429</v>
      </c>
      <c r="E11415">
        <v>0</v>
      </c>
      <c r="F11415">
        <v>0</v>
      </c>
      <c r="G11415" t="s">
        <v>12</v>
      </c>
      <c r="I11415" t="s">
        <v>230</v>
      </c>
    </row>
    <row r="11416" spans="1:9" hidden="1" x14ac:dyDescent="0.25">
      <c r="A11416" t="s">
        <v>9412</v>
      </c>
      <c r="B11416" t="s">
        <v>66</v>
      </c>
      <c r="C11416" s="2">
        <f>HYPERLINK("https://cao.dolgi.msk.ru/account/1089134068/", 1089134068)</f>
        <v>1089134068</v>
      </c>
      <c r="D11416" t="s">
        <v>9430</v>
      </c>
      <c r="E11416">
        <v>5256.55</v>
      </c>
      <c r="F11416">
        <v>0.93</v>
      </c>
      <c r="G11416" t="s">
        <v>12</v>
      </c>
      <c r="I11416" t="s">
        <v>230</v>
      </c>
    </row>
    <row r="11417" spans="1:9" hidden="1" x14ac:dyDescent="0.25">
      <c r="A11417" t="s">
        <v>9412</v>
      </c>
      <c r="B11417" t="s">
        <v>68</v>
      </c>
      <c r="C11417" s="2">
        <f>HYPERLINK("https://cao.dolgi.msk.ru/account/1089134076/", 1089134076)</f>
        <v>1089134076</v>
      </c>
      <c r="D11417" t="s">
        <v>9431</v>
      </c>
      <c r="E11417">
        <v>-99.12</v>
      </c>
      <c r="F11417">
        <v>-0.02</v>
      </c>
      <c r="G11417" t="s">
        <v>12</v>
      </c>
      <c r="I11417" t="s">
        <v>230</v>
      </c>
    </row>
    <row r="11418" spans="1:9" hidden="1" x14ac:dyDescent="0.25">
      <c r="A11418" t="s">
        <v>9412</v>
      </c>
      <c r="B11418" t="s">
        <v>70</v>
      </c>
      <c r="C11418" s="2">
        <f>HYPERLINK("https://cao.dolgi.msk.ru/account/1089134084/", 1089134084)</f>
        <v>1089134084</v>
      </c>
      <c r="D11418" t="s">
        <v>9432</v>
      </c>
      <c r="E11418">
        <v>-3329.6</v>
      </c>
      <c r="F11418">
        <v>-1.08</v>
      </c>
      <c r="G11418" t="s">
        <v>12</v>
      </c>
      <c r="I11418" t="s">
        <v>230</v>
      </c>
    </row>
    <row r="11419" spans="1:9" hidden="1" x14ac:dyDescent="0.25">
      <c r="A11419" t="s">
        <v>9412</v>
      </c>
      <c r="B11419" t="s">
        <v>72</v>
      </c>
      <c r="C11419" s="2">
        <f>HYPERLINK("https://cao.dolgi.msk.ru/account/1089134092/", 1089134092)</f>
        <v>1089134092</v>
      </c>
      <c r="D11419" t="s">
        <v>9433</v>
      </c>
      <c r="E11419">
        <v>-4732.6000000000004</v>
      </c>
      <c r="F11419">
        <v>-1.18</v>
      </c>
      <c r="G11419" t="s">
        <v>12</v>
      </c>
      <c r="I11419" t="s">
        <v>230</v>
      </c>
    </row>
    <row r="11420" spans="1:9" hidden="1" x14ac:dyDescent="0.25">
      <c r="A11420" t="s">
        <v>9412</v>
      </c>
      <c r="B11420" t="s">
        <v>74</v>
      </c>
      <c r="C11420" s="2">
        <f>HYPERLINK("https://cao.dolgi.msk.ru/account/1089134105/", 1089134105)</f>
        <v>1089134105</v>
      </c>
      <c r="D11420" t="s">
        <v>15</v>
      </c>
      <c r="E11420">
        <v>-5148.71</v>
      </c>
      <c r="F11420">
        <v>-1.1599999999999999</v>
      </c>
      <c r="G11420" t="s">
        <v>12</v>
      </c>
      <c r="I11420" t="s">
        <v>230</v>
      </c>
    </row>
    <row r="11421" spans="1:9" hidden="1" x14ac:dyDescent="0.25">
      <c r="A11421" t="s">
        <v>9412</v>
      </c>
      <c r="B11421" t="s">
        <v>76</v>
      </c>
      <c r="C11421" s="2">
        <f>HYPERLINK("https://cao.dolgi.msk.ru/account/1089134113/", 1089134113)</f>
        <v>1089134113</v>
      </c>
      <c r="D11421" t="s">
        <v>9434</v>
      </c>
      <c r="E11421">
        <v>-4467.18</v>
      </c>
      <c r="F11421">
        <v>-1.1499999999999999</v>
      </c>
      <c r="G11421" t="s">
        <v>12</v>
      </c>
      <c r="I11421" t="s">
        <v>230</v>
      </c>
    </row>
    <row r="11422" spans="1:9" hidden="1" x14ac:dyDescent="0.25">
      <c r="A11422" t="s">
        <v>9412</v>
      </c>
      <c r="B11422" t="s">
        <v>78</v>
      </c>
      <c r="C11422" s="2">
        <f>HYPERLINK("https://cao.dolgi.msk.ru/account/1089134121/", 1089134121)</f>
        <v>1089134121</v>
      </c>
      <c r="D11422" t="s">
        <v>9435</v>
      </c>
      <c r="E11422">
        <v>-4492.3100000000004</v>
      </c>
      <c r="F11422">
        <v>-1.06</v>
      </c>
      <c r="G11422" t="s">
        <v>12</v>
      </c>
      <c r="I11422" t="s">
        <v>230</v>
      </c>
    </row>
    <row r="11423" spans="1:9" hidden="1" x14ac:dyDescent="0.25">
      <c r="A11423" t="s">
        <v>9412</v>
      </c>
      <c r="B11423" t="s">
        <v>80</v>
      </c>
      <c r="C11423" s="2">
        <f>HYPERLINK("https://cao.dolgi.msk.ru/account/1089134148/", 1089134148)</f>
        <v>1089134148</v>
      </c>
      <c r="D11423" t="s">
        <v>9436</v>
      </c>
      <c r="E11423">
        <v>-3207</v>
      </c>
      <c r="F11423">
        <v>-0.94</v>
      </c>
      <c r="G11423" t="s">
        <v>12</v>
      </c>
      <c r="I11423" t="s">
        <v>230</v>
      </c>
    </row>
    <row r="11424" spans="1:9" hidden="1" x14ac:dyDescent="0.25">
      <c r="A11424" t="s">
        <v>9412</v>
      </c>
      <c r="B11424" t="s">
        <v>82</v>
      </c>
      <c r="C11424" s="2">
        <f>HYPERLINK("https://cao.dolgi.msk.ru/account/1089134156/", 1089134156)</f>
        <v>1089134156</v>
      </c>
      <c r="D11424" t="s">
        <v>15</v>
      </c>
      <c r="E11424">
        <v>-4631.7</v>
      </c>
      <c r="F11424">
        <v>-1.03</v>
      </c>
      <c r="G11424" t="s">
        <v>12</v>
      </c>
      <c r="I11424" t="s">
        <v>230</v>
      </c>
    </row>
    <row r="11425" spans="1:9" hidden="1" x14ac:dyDescent="0.25">
      <c r="A11425" t="s">
        <v>9412</v>
      </c>
      <c r="B11425" t="s">
        <v>84</v>
      </c>
      <c r="C11425" s="2">
        <f>HYPERLINK("https://cao.dolgi.msk.ru/account/1089134164/", 1089134164)</f>
        <v>1089134164</v>
      </c>
      <c r="D11425" t="s">
        <v>9437</v>
      </c>
      <c r="E11425">
        <v>-7015.93</v>
      </c>
      <c r="F11425">
        <v>-1.23</v>
      </c>
      <c r="G11425" t="s">
        <v>12</v>
      </c>
      <c r="I11425" t="s">
        <v>230</v>
      </c>
    </row>
    <row r="11426" spans="1:9" hidden="1" x14ac:dyDescent="0.25">
      <c r="A11426" t="s">
        <v>9412</v>
      </c>
      <c r="B11426" t="s">
        <v>86</v>
      </c>
      <c r="C11426" s="2">
        <f>HYPERLINK("https://cao.dolgi.msk.ru/account/1089134172/", 1089134172)</f>
        <v>1089134172</v>
      </c>
      <c r="D11426" t="s">
        <v>9438</v>
      </c>
      <c r="E11426">
        <v>-444.72</v>
      </c>
      <c r="F11426">
        <v>-0.09</v>
      </c>
      <c r="G11426" t="s">
        <v>12</v>
      </c>
      <c r="I11426" t="s">
        <v>230</v>
      </c>
    </row>
    <row r="11427" spans="1:9" hidden="1" x14ac:dyDescent="0.25">
      <c r="A11427" t="s">
        <v>9412</v>
      </c>
      <c r="B11427" t="s">
        <v>88</v>
      </c>
      <c r="C11427" s="2">
        <f>HYPERLINK("https://cao.dolgi.msk.ru/account/1089134199/", 1089134199)</f>
        <v>1089134199</v>
      </c>
      <c r="D11427" t="s">
        <v>15</v>
      </c>
      <c r="E11427">
        <v>-3805.51</v>
      </c>
      <c r="F11427">
        <v>-1.1599999999999999</v>
      </c>
      <c r="G11427" t="s">
        <v>12</v>
      </c>
      <c r="I11427" t="s">
        <v>230</v>
      </c>
    </row>
    <row r="11428" spans="1:9" hidden="1" x14ac:dyDescent="0.25">
      <c r="A11428" t="s">
        <v>9412</v>
      </c>
      <c r="B11428" t="s">
        <v>90</v>
      </c>
      <c r="C11428" s="2">
        <f>HYPERLINK("https://cao.dolgi.msk.ru/account/1089134201/", 1089134201)</f>
        <v>1089134201</v>
      </c>
      <c r="D11428" t="s">
        <v>9439</v>
      </c>
      <c r="E11428">
        <v>-5787.45</v>
      </c>
      <c r="F11428">
        <v>-0.76</v>
      </c>
      <c r="G11428" t="s">
        <v>12</v>
      </c>
      <c r="I11428" t="s">
        <v>230</v>
      </c>
    </row>
    <row r="11429" spans="1:9" hidden="1" x14ac:dyDescent="0.25">
      <c r="A11429" t="s">
        <v>9412</v>
      </c>
      <c r="B11429" t="s">
        <v>92</v>
      </c>
      <c r="C11429" s="2">
        <f>HYPERLINK("https://cao.dolgi.msk.ru/account/1089134228/", 1089134228)</f>
        <v>1089134228</v>
      </c>
      <c r="D11429" t="s">
        <v>9440</v>
      </c>
      <c r="E11429">
        <v>-8082.45</v>
      </c>
      <c r="F11429">
        <v>-1.05</v>
      </c>
      <c r="G11429" t="s">
        <v>12</v>
      </c>
      <c r="I11429" t="s">
        <v>230</v>
      </c>
    </row>
    <row r="11430" spans="1:9" hidden="1" x14ac:dyDescent="0.25">
      <c r="A11430" t="s">
        <v>9412</v>
      </c>
      <c r="B11430" t="s">
        <v>94</v>
      </c>
      <c r="C11430" s="2">
        <f>HYPERLINK("https://cao.dolgi.msk.ru/account/1089134236/", 1089134236)</f>
        <v>1089134236</v>
      </c>
      <c r="D11430" t="s">
        <v>9441</v>
      </c>
      <c r="E11430">
        <v>-244.19</v>
      </c>
      <c r="F11430">
        <v>-0.04</v>
      </c>
      <c r="G11430" t="s">
        <v>12</v>
      </c>
      <c r="I11430" t="s">
        <v>230</v>
      </c>
    </row>
    <row r="11431" spans="1:9" hidden="1" x14ac:dyDescent="0.25">
      <c r="A11431" t="s">
        <v>9412</v>
      </c>
      <c r="B11431" t="s">
        <v>96</v>
      </c>
      <c r="C11431" s="2">
        <f>HYPERLINK("https://cao.dolgi.msk.ru/account/1089134244/", 1089134244)</f>
        <v>1089134244</v>
      </c>
      <c r="D11431" t="s">
        <v>9442</v>
      </c>
      <c r="E11431">
        <v>-6320.85</v>
      </c>
      <c r="F11431">
        <v>-1.02</v>
      </c>
      <c r="G11431" t="s">
        <v>12</v>
      </c>
      <c r="I11431" t="s">
        <v>230</v>
      </c>
    </row>
    <row r="11432" spans="1:9" hidden="1" x14ac:dyDescent="0.25">
      <c r="A11432" t="s">
        <v>9412</v>
      </c>
      <c r="B11432" t="s">
        <v>98</v>
      </c>
      <c r="C11432" s="2">
        <f>HYPERLINK("https://cao.dolgi.msk.ru/account/1089134287/", 1089134287)</f>
        <v>1089134287</v>
      </c>
      <c r="D11432" t="s">
        <v>9443</v>
      </c>
      <c r="E11432">
        <v>-104.92</v>
      </c>
      <c r="F11432">
        <v>-0.02</v>
      </c>
      <c r="G11432" t="s">
        <v>12</v>
      </c>
      <c r="I11432" t="s">
        <v>230</v>
      </c>
    </row>
    <row r="11433" spans="1:9" hidden="1" x14ac:dyDescent="0.25">
      <c r="A11433" t="s">
        <v>9412</v>
      </c>
      <c r="B11433" t="s">
        <v>100</v>
      </c>
      <c r="C11433" s="2">
        <f>HYPERLINK("https://cao.dolgi.msk.ru/account/1089134295/", 1089134295)</f>
        <v>1089134295</v>
      </c>
      <c r="D11433" t="s">
        <v>9444</v>
      </c>
      <c r="E11433">
        <v>-4415.37</v>
      </c>
      <c r="F11433">
        <v>-1.1000000000000001</v>
      </c>
      <c r="G11433" t="s">
        <v>12</v>
      </c>
      <c r="I11433" t="s">
        <v>230</v>
      </c>
    </row>
    <row r="11434" spans="1:9" hidden="1" x14ac:dyDescent="0.25">
      <c r="A11434" t="s">
        <v>9412</v>
      </c>
      <c r="B11434" t="s">
        <v>102</v>
      </c>
      <c r="C11434" s="2">
        <f>HYPERLINK("https://cao.dolgi.msk.ru/account/1089134308/", 1089134308)</f>
        <v>1089134308</v>
      </c>
      <c r="D11434" t="s">
        <v>9445</v>
      </c>
      <c r="E11434">
        <v>0</v>
      </c>
      <c r="F11434">
        <v>0</v>
      </c>
      <c r="G11434" t="s">
        <v>12</v>
      </c>
      <c r="I11434" t="s">
        <v>230</v>
      </c>
    </row>
    <row r="11435" spans="1:9" hidden="1" x14ac:dyDescent="0.25">
      <c r="A11435" t="s">
        <v>9412</v>
      </c>
      <c r="B11435" t="s">
        <v>104</v>
      </c>
      <c r="C11435" s="2">
        <f>HYPERLINK("https://cao.dolgi.msk.ru/account/1089134316/", 1089134316)</f>
        <v>1089134316</v>
      </c>
      <c r="D11435" t="s">
        <v>9446</v>
      </c>
      <c r="E11435">
        <v>-4161.0600000000004</v>
      </c>
      <c r="F11435">
        <v>-1.03</v>
      </c>
      <c r="G11435" t="s">
        <v>12</v>
      </c>
      <c r="I11435" t="s">
        <v>230</v>
      </c>
    </row>
    <row r="11436" spans="1:9" hidden="1" x14ac:dyDescent="0.25">
      <c r="A11436" t="s">
        <v>9412</v>
      </c>
      <c r="B11436" t="s">
        <v>106</v>
      </c>
      <c r="C11436" s="2">
        <f>HYPERLINK("https://cao.dolgi.msk.ru/account/1089134324/", 1089134324)</f>
        <v>1089134324</v>
      </c>
      <c r="D11436" t="s">
        <v>9447</v>
      </c>
      <c r="E11436">
        <v>-6357.48</v>
      </c>
      <c r="F11436">
        <v>-1.02</v>
      </c>
      <c r="G11436" t="s">
        <v>12</v>
      </c>
      <c r="I11436" t="s">
        <v>230</v>
      </c>
    </row>
    <row r="11437" spans="1:9" hidden="1" x14ac:dyDescent="0.25">
      <c r="A11437" t="s">
        <v>9412</v>
      </c>
      <c r="B11437" t="s">
        <v>108</v>
      </c>
      <c r="C11437" s="2">
        <f>HYPERLINK("https://cao.dolgi.msk.ru/account/1089134332/", 1089134332)</f>
        <v>1089134332</v>
      </c>
      <c r="D11437" t="s">
        <v>9448</v>
      </c>
      <c r="E11437">
        <v>-3528.7</v>
      </c>
      <c r="F11437">
        <v>-1.2</v>
      </c>
      <c r="G11437" t="s">
        <v>12</v>
      </c>
      <c r="I11437" t="s">
        <v>230</v>
      </c>
    </row>
    <row r="11438" spans="1:9" hidden="1" x14ac:dyDescent="0.25">
      <c r="A11438" t="s">
        <v>9412</v>
      </c>
      <c r="B11438" t="s">
        <v>110</v>
      </c>
      <c r="C11438" s="2">
        <f>HYPERLINK("https://cao.dolgi.msk.ru/account/1089134359/", 1089134359)</f>
        <v>1089134359</v>
      </c>
      <c r="D11438" t="s">
        <v>15</v>
      </c>
      <c r="E11438">
        <v>-289.10000000000002</v>
      </c>
      <c r="F11438">
        <v>-0.08</v>
      </c>
      <c r="G11438" t="s">
        <v>12</v>
      </c>
      <c r="I11438" t="s">
        <v>230</v>
      </c>
    </row>
    <row r="11439" spans="1:9" hidden="1" x14ac:dyDescent="0.25">
      <c r="A11439" t="s">
        <v>9412</v>
      </c>
      <c r="B11439" t="s">
        <v>112</v>
      </c>
      <c r="C11439" s="2">
        <f>HYPERLINK("https://cao.dolgi.msk.ru/account/1089134367/", 1089134367)</f>
        <v>1089134367</v>
      </c>
      <c r="D11439" t="s">
        <v>9449</v>
      </c>
      <c r="E11439">
        <v>-6774.92</v>
      </c>
      <c r="F11439">
        <v>-0.93</v>
      </c>
      <c r="G11439" t="s">
        <v>12</v>
      </c>
      <c r="I11439" t="s">
        <v>230</v>
      </c>
    </row>
    <row r="11440" spans="1:9" hidden="1" x14ac:dyDescent="0.25">
      <c r="A11440" t="s">
        <v>9412</v>
      </c>
      <c r="B11440" t="s">
        <v>114</v>
      </c>
      <c r="C11440" s="2">
        <f>HYPERLINK("https://cao.dolgi.msk.ru/account/1089134375/", 1089134375)</f>
        <v>1089134375</v>
      </c>
      <c r="D11440" t="s">
        <v>9450</v>
      </c>
      <c r="E11440">
        <v>-3161.23</v>
      </c>
      <c r="F11440">
        <v>-1.0900000000000001</v>
      </c>
      <c r="G11440" t="s">
        <v>12</v>
      </c>
      <c r="I11440" t="s">
        <v>230</v>
      </c>
    </row>
    <row r="11441" spans="1:9" hidden="1" x14ac:dyDescent="0.25">
      <c r="A11441" t="s">
        <v>9412</v>
      </c>
      <c r="B11441" t="s">
        <v>116</v>
      </c>
      <c r="C11441" s="2">
        <f>HYPERLINK("https://cao.dolgi.msk.ru/account/1089134383/", 1089134383)</f>
        <v>1089134383</v>
      </c>
      <c r="D11441" t="s">
        <v>9451</v>
      </c>
      <c r="E11441">
        <v>5089.2</v>
      </c>
      <c r="F11441">
        <v>1</v>
      </c>
      <c r="G11441" t="s">
        <v>12</v>
      </c>
      <c r="I11441" t="s">
        <v>230</v>
      </c>
    </row>
    <row r="11442" spans="1:9" hidden="1" x14ac:dyDescent="0.25">
      <c r="A11442" t="s">
        <v>9412</v>
      </c>
      <c r="B11442" t="s">
        <v>118</v>
      </c>
      <c r="C11442" s="2">
        <f>HYPERLINK("https://cao.dolgi.msk.ru/account/1089134391/", 1089134391)</f>
        <v>1089134391</v>
      </c>
      <c r="D11442" t="s">
        <v>9452</v>
      </c>
      <c r="E11442">
        <v>-2187.11</v>
      </c>
      <c r="F11442">
        <v>-1.18</v>
      </c>
      <c r="G11442" t="s">
        <v>12</v>
      </c>
      <c r="I11442" t="s">
        <v>230</v>
      </c>
    </row>
    <row r="11443" spans="1:9" hidden="1" x14ac:dyDescent="0.25">
      <c r="A11443" t="s">
        <v>9412</v>
      </c>
      <c r="B11443" t="s">
        <v>120</v>
      </c>
      <c r="C11443" s="2">
        <f>HYPERLINK("https://cao.dolgi.msk.ru/account/1089134404/", 1089134404)</f>
        <v>1089134404</v>
      </c>
      <c r="D11443" t="s">
        <v>9453</v>
      </c>
      <c r="E11443">
        <v>-5624.5</v>
      </c>
      <c r="F11443">
        <v>-1.01</v>
      </c>
      <c r="G11443" t="s">
        <v>12</v>
      </c>
      <c r="I11443" t="s">
        <v>230</v>
      </c>
    </row>
    <row r="11444" spans="1:9" hidden="1" x14ac:dyDescent="0.25">
      <c r="A11444" t="s">
        <v>9412</v>
      </c>
      <c r="B11444" t="s">
        <v>122</v>
      </c>
      <c r="C11444" s="2">
        <f>HYPERLINK("https://cao.dolgi.msk.ru/account/1089134412/", 1089134412)</f>
        <v>1089134412</v>
      </c>
      <c r="D11444" t="s">
        <v>9454</v>
      </c>
      <c r="E11444">
        <v>-5818.35</v>
      </c>
      <c r="F11444">
        <v>-1.04</v>
      </c>
      <c r="G11444" t="s">
        <v>12</v>
      </c>
      <c r="I11444" t="s">
        <v>230</v>
      </c>
    </row>
    <row r="11445" spans="1:9" x14ac:dyDescent="0.25">
      <c r="A11445" t="s">
        <v>9412</v>
      </c>
      <c r="B11445" t="s">
        <v>124</v>
      </c>
      <c r="C11445" s="2">
        <f>HYPERLINK("https://cao.dolgi.msk.ru/account/1089134439/", 1089134439)</f>
        <v>1089134439</v>
      </c>
      <c r="D11445" t="s">
        <v>9455</v>
      </c>
      <c r="E11445">
        <v>148817.53</v>
      </c>
      <c r="F11445">
        <v>32.26</v>
      </c>
      <c r="G11445" t="s">
        <v>12</v>
      </c>
      <c r="I11445" t="s">
        <v>230</v>
      </c>
    </row>
    <row r="11446" spans="1:9" hidden="1" x14ac:dyDescent="0.25">
      <c r="A11446" t="s">
        <v>9412</v>
      </c>
      <c r="B11446" t="s">
        <v>126</v>
      </c>
      <c r="C11446" s="2">
        <f>HYPERLINK("https://cao.dolgi.msk.ru/account/1089134447/", 1089134447)</f>
        <v>1089134447</v>
      </c>
      <c r="D11446" t="s">
        <v>9456</v>
      </c>
      <c r="E11446">
        <v>-3338.57</v>
      </c>
      <c r="F11446">
        <v>-1.1499999999999999</v>
      </c>
      <c r="G11446" t="s">
        <v>12</v>
      </c>
      <c r="I11446" t="s">
        <v>230</v>
      </c>
    </row>
    <row r="11447" spans="1:9" hidden="1" x14ac:dyDescent="0.25">
      <c r="A11447" t="s">
        <v>9412</v>
      </c>
      <c r="B11447" t="s">
        <v>128</v>
      </c>
      <c r="C11447" s="2">
        <f>HYPERLINK("https://cao.dolgi.msk.ru/account/1089134455/", 1089134455)</f>
        <v>1089134455</v>
      </c>
      <c r="D11447" t="s">
        <v>9457</v>
      </c>
      <c r="E11447">
        <v>-4115.57</v>
      </c>
      <c r="F11447">
        <v>-1</v>
      </c>
      <c r="G11447" t="s">
        <v>12</v>
      </c>
      <c r="I11447" t="s">
        <v>230</v>
      </c>
    </row>
    <row r="11448" spans="1:9" hidden="1" x14ac:dyDescent="0.25">
      <c r="A11448" t="s">
        <v>9412</v>
      </c>
      <c r="B11448" t="s">
        <v>130</v>
      </c>
      <c r="C11448" s="2">
        <f>HYPERLINK("https://cao.dolgi.msk.ru/account/1089134463/", 1089134463)</f>
        <v>1089134463</v>
      </c>
      <c r="D11448" t="s">
        <v>15</v>
      </c>
      <c r="E11448">
        <v>-6024.54</v>
      </c>
      <c r="F11448">
        <v>-1.02</v>
      </c>
      <c r="G11448" t="s">
        <v>12</v>
      </c>
      <c r="I11448" t="s">
        <v>230</v>
      </c>
    </row>
    <row r="11449" spans="1:9" hidden="1" x14ac:dyDescent="0.25">
      <c r="A11449" t="s">
        <v>9412</v>
      </c>
      <c r="B11449" t="s">
        <v>132</v>
      </c>
      <c r="C11449" s="2">
        <f>HYPERLINK("https://cao.dolgi.msk.ru/account/1089134471/", 1089134471)</f>
        <v>1089134471</v>
      </c>
      <c r="D11449" t="s">
        <v>9458</v>
      </c>
      <c r="E11449">
        <v>-5574.5</v>
      </c>
      <c r="F11449">
        <v>-1.1399999999999999</v>
      </c>
      <c r="G11449" t="s">
        <v>12</v>
      </c>
      <c r="I11449" t="s">
        <v>230</v>
      </c>
    </row>
    <row r="11450" spans="1:9" hidden="1" x14ac:dyDescent="0.25">
      <c r="A11450" t="s">
        <v>9412</v>
      </c>
      <c r="B11450" t="s">
        <v>133</v>
      </c>
      <c r="C11450" s="2">
        <f>HYPERLINK("https://cao.dolgi.msk.ru/account/1083273841/", 1083273841)</f>
        <v>1083273841</v>
      </c>
      <c r="D11450" t="s">
        <v>15</v>
      </c>
      <c r="E11450">
        <v>0</v>
      </c>
      <c r="G11450" t="s">
        <v>14</v>
      </c>
      <c r="I11450" t="s">
        <v>230</v>
      </c>
    </row>
    <row r="11451" spans="1:9" hidden="1" x14ac:dyDescent="0.25">
      <c r="A11451" t="s">
        <v>9412</v>
      </c>
      <c r="B11451" t="s">
        <v>133</v>
      </c>
      <c r="C11451" s="2">
        <f>HYPERLINK("https://cao.dolgi.msk.ru/account/1089134498/", 1089134498)</f>
        <v>1089134498</v>
      </c>
      <c r="D11451" t="s">
        <v>9459</v>
      </c>
      <c r="E11451">
        <v>0</v>
      </c>
      <c r="F11451">
        <v>0</v>
      </c>
      <c r="G11451" t="s">
        <v>12</v>
      </c>
      <c r="I11451" t="s">
        <v>230</v>
      </c>
    </row>
    <row r="11452" spans="1:9" hidden="1" x14ac:dyDescent="0.25">
      <c r="A11452" t="s">
        <v>9412</v>
      </c>
      <c r="B11452" t="s">
        <v>135</v>
      </c>
      <c r="C11452" s="2">
        <f>HYPERLINK("https://cao.dolgi.msk.ru/account/1089134519/", 1089134519)</f>
        <v>1089134519</v>
      </c>
      <c r="D11452" t="s">
        <v>9460</v>
      </c>
      <c r="E11452">
        <v>-5618.25</v>
      </c>
      <c r="F11452">
        <v>-1.06</v>
      </c>
      <c r="G11452" t="s">
        <v>12</v>
      </c>
      <c r="I11452" t="s">
        <v>230</v>
      </c>
    </row>
    <row r="11453" spans="1:9" hidden="1" x14ac:dyDescent="0.25">
      <c r="A11453" t="s">
        <v>9412</v>
      </c>
      <c r="B11453" t="s">
        <v>137</v>
      </c>
      <c r="C11453" s="2">
        <f>HYPERLINK("https://cao.dolgi.msk.ru/account/1089134527/", 1089134527)</f>
        <v>1089134527</v>
      </c>
      <c r="D11453" t="s">
        <v>9461</v>
      </c>
      <c r="E11453">
        <v>-5449.07</v>
      </c>
      <c r="F11453">
        <v>-1.2</v>
      </c>
      <c r="G11453" t="s">
        <v>12</v>
      </c>
      <c r="I11453" t="s">
        <v>230</v>
      </c>
    </row>
    <row r="11454" spans="1:9" hidden="1" x14ac:dyDescent="0.25">
      <c r="A11454" t="s">
        <v>9412</v>
      </c>
      <c r="B11454" t="s">
        <v>139</v>
      </c>
      <c r="C11454" s="2">
        <f>HYPERLINK("https://cao.dolgi.msk.ru/account/1089134535/", 1089134535)</f>
        <v>1089134535</v>
      </c>
      <c r="D11454" t="s">
        <v>9462</v>
      </c>
      <c r="E11454">
        <v>-3647.92</v>
      </c>
      <c r="F11454">
        <v>-1.36</v>
      </c>
      <c r="G11454" t="s">
        <v>12</v>
      </c>
      <c r="I11454" t="s">
        <v>230</v>
      </c>
    </row>
    <row r="11455" spans="1:9" hidden="1" x14ac:dyDescent="0.25">
      <c r="A11455" t="s">
        <v>9412</v>
      </c>
      <c r="B11455" t="s">
        <v>141</v>
      </c>
      <c r="C11455" s="2">
        <f>HYPERLINK("https://cao.dolgi.msk.ru/account/1089134543/", 1089134543)</f>
        <v>1089134543</v>
      </c>
      <c r="D11455" t="s">
        <v>9463</v>
      </c>
      <c r="E11455">
        <v>-5047.6000000000004</v>
      </c>
      <c r="F11455">
        <v>-0.95</v>
      </c>
      <c r="G11455" t="s">
        <v>12</v>
      </c>
      <c r="I11455" t="s">
        <v>230</v>
      </c>
    </row>
    <row r="11456" spans="1:9" hidden="1" x14ac:dyDescent="0.25">
      <c r="A11456" t="s">
        <v>9464</v>
      </c>
      <c r="B11456" t="s">
        <v>10</v>
      </c>
      <c r="C11456" s="2">
        <f>HYPERLINK("https://cao.dolgi.msk.ru/account/1083269164/", 1083269164)</f>
        <v>1083269164</v>
      </c>
      <c r="D11456" t="s">
        <v>15</v>
      </c>
      <c r="E11456">
        <v>0</v>
      </c>
      <c r="G11456" t="s">
        <v>14</v>
      </c>
    </row>
    <row r="11457" spans="1:7" hidden="1" x14ac:dyDescent="0.25">
      <c r="A11457" t="s">
        <v>9464</v>
      </c>
      <c r="B11457" t="s">
        <v>10</v>
      </c>
      <c r="C11457" s="2">
        <f>HYPERLINK("https://cao.dolgi.msk.ru/account/1083269172/", 1083269172)</f>
        <v>1083269172</v>
      </c>
      <c r="D11457" t="s">
        <v>15</v>
      </c>
      <c r="E11457">
        <v>0</v>
      </c>
      <c r="G11457" t="s">
        <v>14</v>
      </c>
    </row>
    <row r="11458" spans="1:7" hidden="1" x14ac:dyDescent="0.25">
      <c r="A11458" t="s">
        <v>9464</v>
      </c>
      <c r="B11458" t="s">
        <v>16</v>
      </c>
      <c r="C11458" s="2">
        <f>HYPERLINK("https://cao.dolgi.msk.ru/account/1083269199/", 1083269199)</f>
        <v>1083269199</v>
      </c>
      <c r="D11458" t="s">
        <v>15</v>
      </c>
      <c r="E11458">
        <v>0</v>
      </c>
      <c r="G11458" t="s">
        <v>14</v>
      </c>
    </row>
    <row r="11459" spans="1:7" hidden="1" x14ac:dyDescent="0.25">
      <c r="A11459" t="s">
        <v>9464</v>
      </c>
      <c r="B11459" t="s">
        <v>16</v>
      </c>
      <c r="C11459" s="2">
        <f>HYPERLINK("https://cao.dolgi.msk.ru/account/1083269201/", 1083269201)</f>
        <v>1083269201</v>
      </c>
      <c r="D11459" t="s">
        <v>15</v>
      </c>
      <c r="E11459">
        <v>0</v>
      </c>
      <c r="G11459" t="s">
        <v>14</v>
      </c>
    </row>
    <row r="11460" spans="1:7" hidden="1" x14ac:dyDescent="0.25">
      <c r="A11460" t="s">
        <v>9464</v>
      </c>
      <c r="B11460" t="s">
        <v>16</v>
      </c>
      <c r="C11460" s="2">
        <f>HYPERLINK("https://cao.dolgi.msk.ru/account/1083269228/", 1083269228)</f>
        <v>1083269228</v>
      </c>
      <c r="D11460" t="s">
        <v>15</v>
      </c>
      <c r="E11460">
        <v>0</v>
      </c>
      <c r="G11460" t="s">
        <v>14</v>
      </c>
    </row>
    <row r="11461" spans="1:7" hidden="1" x14ac:dyDescent="0.25">
      <c r="A11461" t="s">
        <v>9464</v>
      </c>
      <c r="B11461" t="s">
        <v>18</v>
      </c>
      <c r="C11461" s="2">
        <f>HYPERLINK("https://cao.dolgi.msk.ru/account/1083269324/", 1083269324)</f>
        <v>1083269324</v>
      </c>
      <c r="D11461" t="s">
        <v>15</v>
      </c>
      <c r="E11461">
        <v>0</v>
      </c>
      <c r="G11461" t="s">
        <v>14</v>
      </c>
    </row>
    <row r="11462" spans="1:7" hidden="1" x14ac:dyDescent="0.25">
      <c r="A11462" t="s">
        <v>9464</v>
      </c>
      <c r="B11462" t="s">
        <v>18</v>
      </c>
      <c r="C11462" s="2">
        <f>HYPERLINK("https://cao.dolgi.msk.ru/account/1083269922/", 1083269922)</f>
        <v>1083269922</v>
      </c>
      <c r="D11462" t="s">
        <v>15</v>
      </c>
      <c r="E11462">
        <v>0</v>
      </c>
      <c r="G11462" t="s">
        <v>14</v>
      </c>
    </row>
    <row r="11463" spans="1:7" hidden="1" x14ac:dyDescent="0.25">
      <c r="A11463" t="s">
        <v>9464</v>
      </c>
      <c r="B11463" t="s">
        <v>20</v>
      </c>
      <c r="C11463" s="2">
        <f>HYPERLINK("https://cao.dolgi.msk.ru/account/1083269332/", 1083269332)</f>
        <v>1083269332</v>
      </c>
      <c r="D11463" t="s">
        <v>15</v>
      </c>
      <c r="E11463">
        <v>0</v>
      </c>
      <c r="G11463" t="s">
        <v>14</v>
      </c>
    </row>
    <row r="11464" spans="1:7" hidden="1" x14ac:dyDescent="0.25">
      <c r="A11464" t="s">
        <v>9464</v>
      </c>
      <c r="B11464" t="s">
        <v>20</v>
      </c>
      <c r="C11464" s="2">
        <f>HYPERLINK("https://cao.dolgi.msk.ru/account/1083269383/", 1083269383)</f>
        <v>1083269383</v>
      </c>
      <c r="D11464" t="s">
        <v>15</v>
      </c>
      <c r="E11464">
        <v>0</v>
      </c>
      <c r="G11464" t="s">
        <v>14</v>
      </c>
    </row>
    <row r="11465" spans="1:7" hidden="1" x14ac:dyDescent="0.25">
      <c r="A11465" t="s">
        <v>9464</v>
      </c>
      <c r="B11465" t="s">
        <v>20</v>
      </c>
      <c r="C11465" s="2">
        <f>HYPERLINK("https://cao.dolgi.msk.ru/account/1083269519/", 1083269519)</f>
        <v>1083269519</v>
      </c>
      <c r="D11465" t="s">
        <v>15</v>
      </c>
      <c r="E11465">
        <v>0</v>
      </c>
      <c r="G11465" t="s">
        <v>14</v>
      </c>
    </row>
    <row r="11466" spans="1:7" hidden="1" x14ac:dyDescent="0.25">
      <c r="A11466" t="s">
        <v>9464</v>
      </c>
      <c r="B11466" t="s">
        <v>21</v>
      </c>
      <c r="C11466" s="2">
        <f>HYPERLINK("https://cao.dolgi.msk.ru/account/1083269455/", 1083269455)</f>
        <v>1083269455</v>
      </c>
      <c r="D11466" t="s">
        <v>15</v>
      </c>
      <c r="E11466">
        <v>0</v>
      </c>
      <c r="G11466" t="s">
        <v>14</v>
      </c>
    </row>
    <row r="11467" spans="1:7" hidden="1" x14ac:dyDescent="0.25">
      <c r="A11467" t="s">
        <v>9464</v>
      </c>
      <c r="B11467" t="s">
        <v>22</v>
      </c>
      <c r="C11467" s="2">
        <f>HYPERLINK("https://cao.dolgi.msk.ru/account/1083269578/", 1083269578)</f>
        <v>1083269578</v>
      </c>
      <c r="D11467" t="s">
        <v>15</v>
      </c>
      <c r="E11467">
        <v>0</v>
      </c>
      <c r="G11467" t="s">
        <v>14</v>
      </c>
    </row>
    <row r="11468" spans="1:7" hidden="1" x14ac:dyDescent="0.25">
      <c r="A11468" t="s">
        <v>9464</v>
      </c>
      <c r="B11468" t="s">
        <v>22</v>
      </c>
      <c r="C11468" s="2">
        <f>HYPERLINK("https://cao.dolgi.msk.ru/account/1083269594/", 1083269594)</f>
        <v>1083269594</v>
      </c>
      <c r="D11468" t="s">
        <v>15</v>
      </c>
      <c r="E11468">
        <v>0</v>
      </c>
      <c r="G11468" t="s">
        <v>14</v>
      </c>
    </row>
    <row r="11469" spans="1:7" hidden="1" x14ac:dyDescent="0.25">
      <c r="A11469" t="s">
        <v>9464</v>
      </c>
      <c r="B11469" t="s">
        <v>22</v>
      </c>
      <c r="C11469" s="2">
        <f>HYPERLINK("https://cao.dolgi.msk.ru/account/1083269703/", 1083269703)</f>
        <v>1083269703</v>
      </c>
      <c r="D11469" t="s">
        <v>15</v>
      </c>
      <c r="E11469">
        <v>0</v>
      </c>
      <c r="G11469" t="s">
        <v>14</v>
      </c>
    </row>
    <row r="11470" spans="1:7" hidden="1" x14ac:dyDescent="0.25">
      <c r="A11470" t="s">
        <v>9464</v>
      </c>
      <c r="B11470" t="s">
        <v>23</v>
      </c>
      <c r="C11470" s="2">
        <f>HYPERLINK("https://cao.dolgi.msk.ru/account/1083269738/", 1083269738)</f>
        <v>1083269738</v>
      </c>
      <c r="D11470" t="s">
        <v>15</v>
      </c>
      <c r="E11470">
        <v>0</v>
      </c>
      <c r="G11470" t="s">
        <v>14</v>
      </c>
    </row>
    <row r="11471" spans="1:7" hidden="1" x14ac:dyDescent="0.25">
      <c r="A11471" t="s">
        <v>9464</v>
      </c>
      <c r="B11471" t="s">
        <v>23</v>
      </c>
      <c r="C11471" s="2">
        <f>HYPERLINK("https://cao.dolgi.msk.ru/account/1083269746/", 1083269746)</f>
        <v>1083269746</v>
      </c>
      <c r="D11471" t="s">
        <v>15</v>
      </c>
      <c r="E11471">
        <v>0</v>
      </c>
      <c r="G11471" t="s">
        <v>14</v>
      </c>
    </row>
    <row r="11472" spans="1:7" hidden="1" x14ac:dyDescent="0.25">
      <c r="A11472" t="s">
        <v>9464</v>
      </c>
      <c r="B11472" t="s">
        <v>23</v>
      </c>
      <c r="C11472" s="2">
        <f>HYPERLINK("https://cao.dolgi.msk.ru/account/1083269754/", 1083269754)</f>
        <v>1083269754</v>
      </c>
      <c r="D11472" t="s">
        <v>15</v>
      </c>
      <c r="E11472">
        <v>0</v>
      </c>
      <c r="G11472" t="s">
        <v>14</v>
      </c>
    </row>
    <row r="11473" spans="1:8" hidden="1" x14ac:dyDescent="0.25">
      <c r="A11473" t="s">
        <v>9464</v>
      </c>
      <c r="B11473" t="s">
        <v>24</v>
      </c>
      <c r="C11473" s="2">
        <f>HYPERLINK("https://cao.dolgi.msk.ru/account/1083269789/", 1083269789)</f>
        <v>1083269789</v>
      </c>
      <c r="D11473" t="s">
        <v>15</v>
      </c>
      <c r="E11473">
        <v>0</v>
      </c>
      <c r="G11473" t="s">
        <v>14</v>
      </c>
    </row>
    <row r="11474" spans="1:8" hidden="1" x14ac:dyDescent="0.25">
      <c r="A11474" t="s">
        <v>9464</v>
      </c>
      <c r="B11474" t="s">
        <v>24</v>
      </c>
      <c r="C11474" s="2">
        <f>HYPERLINK("https://cao.dolgi.msk.ru/account/1083269797/", 1083269797)</f>
        <v>1083269797</v>
      </c>
      <c r="D11474" t="s">
        <v>15</v>
      </c>
      <c r="E11474">
        <v>0</v>
      </c>
      <c r="G11474" t="s">
        <v>14</v>
      </c>
    </row>
    <row r="11475" spans="1:8" hidden="1" x14ac:dyDescent="0.25">
      <c r="A11475" t="s">
        <v>9464</v>
      </c>
      <c r="B11475" t="s">
        <v>27</v>
      </c>
      <c r="C11475" s="2">
        <f>HYPERLINK("https://cao.dolgi.msk.ru/account/1083269826/", 1083269826)</f>
        <v>1083269826</v>
      </c>
      <c r="D11475" t="s">
        <v>15</v>
      </c>
      <c r="E11475">
        <v>0</v>
      </c>
      <c r="G11475" t="s">
        <v>14</v>
      </c>
      <c r="H11475" t="s">
        <v>7</v>
      </c>
    </row>
    <row r="11476" spans="1:8" hidden="1" x14ac:dyDescent="0.25">
      <c r="A11476" t="s">
        <v>9464</v>
      </c>
      <c r="B11476" t="s">
        <v>27</v>
      </c>
      <c r="C11476" s="2">
        <f>HYPERLINK("https://cao.dolgi.msk.ru/account/1083269834/", 1083269834)</f>
        <v>1083269834</v>
      </c>
      <c r="D11476" t="s">
        <v>15</v>
      </c>
      <c r="E11476">
        <v>0</v>
      </c>
      <c r="G11476" t="s">
        <v>14</v>
      </c>
      <c r="H11476" t="s">
        <v>7</v>
      </c>
    </row>
    <row r="11477" spans="1:8" hidden="1" x14ac:dyDescent="0.25">
      <c r="A11477" t="s">
        <v>9464</v>
      </c>
      <c r="B11477" t="s">
        <v>27</v>
      </c>
      <c r="C11477" s="2">
        <f>HYPERLINK("https://cao.dolgi.msk.ru/account/1083269842/", 1083269842)</f>
        <v>1083269842</v>
      </c>
      <c r="D11477" t="s">
        <v>9465</v>
      </c>
      <c r="E11477">
        <v>0</v>
      </c>
      <c r="G11477" t="s">
        <v>14</v>
      </c>
      <c r="H11477" t="s">
        <v>7</v>
      </c>
    </row>
    <row r="11478" spans="1:8" hidden="1" x14ac:dyDescent="0.25">
      <c r="A11478" t="s">
        <v>9464</v>
      </c>
      <c r="B11478" t="s">
        <v>27</v>
      </c>
      <c r="C11478" s="2">
        <f>HYPERLINK("https://cao.dolgi.msk.ru/account/1083269869/", 1083269869)</f>
        <v>1083269869</v>
      </c>
      <c r="D11478" t="s">
        <v>15</v>
      </c>
      <c r="E11478">
        <v>0</v>
      </c>
      <c r="G11478" t="s">
        <v>14</v>
      </c>
      <c r="H11478" t="s">
        <v>7</v>
      </c>
    </row>
    <row r="11479" spans="1:8" hidden="1" x14ac:dyDescent="0.25">
      <c r="A11479" t="s">
        <v>9464</v>
      </c>
      <c r="B11479" t="s">
        <v>29</v>
      </c>
      <c r="C11479" s="2">
        <f>HYPERLINK("https://cao.dolgi.msk.ru/account/1083269885/", 1083269885)</f>
        <v>1083269885</v>
      </c>
      <c r="D11479" t="s">
        <v>15</v>
      </c>
      <c r="E11479">
        <v>0</v>
      </c>
      <c r="G11479" t="s">
        <v>14</v>
      </c>
      <c r="H11479" t="s">
        <v>7</v>
      </c>
    </row>
    <row r="11480" spans="1:8" hidden="1" x14ac:dyDescent="0.25">
      <c r="A11480" t="s">
        <v>9464</v>
      </c>
      <c r="B11480" t="s">
        <v>29</v>
      </c>
      <c r="C11480" s="2">
        <f>HYPERLINK("https://cao.dolgi.msk.ru/account/1083269893/", 1083269893)</f>
        <v>1083269893</v>
      </c>
      <c r="D11480" t="s">
        <v>15</v>
      </c>
      <c r="E11480">
        <v>0</v>
      </c>
      <c r="G11480" t="s">
        <v>14</v>
      </c>
      <c r="H11480" t="s">
        <v>7</v>
      </c>
    </row>
    <row r="11481" spans="1:8" hidden="1" x14ac:dyDescent="0.25">
      <c r="A11481" t="s">
        <v>9464</v>
      </c>
      <c r="B11481" t="s">
        <v>29</v>
      </c>
      <c r="C11481" s="2">
        <f>HYPERLINK("https://cao.dolgi.msk.ru/account/1083269906/", 1083269906)</f>
        <v>1083269906</v>
      </c>
      <c r="D11481" t="s">
        <v>15</v>
      </c>
      <c r="E11481">
        <v>0</v>
      </c>
      <c r="G11481" t="s">
        <v>14</v>
      </c>
      <c r="H11481" t="s">
        <v>7</v>
      </c>
    </row>
    <row r="11482" spans="1:8" hidden="1" x14ac:dyDescent="0.25">
      <c r="A11482" t="s">
        <v>9464</v>
      </c>
      <c r="B11482" t="s">
        <v>31</v>
      </c>
      <c r="C11482" s="2">
        <f>HYPERLINK("https://cao.dolgi.msk.ru/account/1083269236/", 1083269236)</f>
        <v>1083269236</v>
      </c>
      <c r="D11482" t="s">
        <v>15</v>
      </c>
      <c r="E11482">
        <v>0</v>
      </c>
      <c r="G11482" t="s">
        <v>14</v>
      </c>
    </row>
    <row r="11483" spans="1:8" hidden="1" x14ac:dyDescent="0.25">
      <c r="A11483" t="s">
        <v>9464</v>
      </c>
      <c r="B11483" t="s">
        <v>31</v>
      </c>
      <c r="C11483" s="2">
        <f>HYPERLINK("https://cao.dolgi.msk.ru/account/1083269252/", 1083269252)</f>
        <v>1083269252</v>
      </c>
      <c r="D11483" t="s">
        <v>15</v>
      </c>
      <c r="E11483">
        <v>0</v>
      </c>
      <c r="G11483" t="s">
        <v>14</v>
      </c>
    </row>
    <row r="11484" spans="1:8" hidden="1" x14ac:dyDescent="0.25">
      <c r="A11484" t="s">
        <v>9464</v>
      </c>
      <c r="B11484" t="s">
        <v>31</v>
      </c>
      <c r="C11484" s="2">
        <f>HYPERLINK("https://cao.dolgi.msk.ru/account/1083269279/", 1083269279)</f>
        <v>1083269279</v>
      </c>
      <c r="D11484" t="s">
        <v>15</v>
      </c>
      <c r="E11484">
        <v>0</v>
      </c>
      <c r="G11484" t="s">
        <v>14</v>
      </c>
    </row>
    <row r="11485" spans="1:8" hidden="1" x14ac:dyDescent="0.25">
      <c r="A11485" t="s">
        <v>9464</v>
      </c>
      <c r="B11485" t="s">
        <v>31</v>
      </c>
      <c r="C11485" s="2">
        <f>HYPERLINK("https://cao.dolgi.msk.ru/account/1083269287/", 1083269287)</f>
        <v>1083269287</v>
      </c>
      <c r="D11485" t="s">
        <v>15</v>
      </c>
      <c r="E11485">
        <v>0</v>
      </c>
      <c r="G11485" t="s">
        <v>14</v>
      </c>
    </row>
    <row r="11486" spans="1:8" hidden="1" x14ac:dyDescent="0.25">
      <c r="A11486" t="s">
        <v>9464</v>
      </c>
      <c r="B11486" t="s">
        <v>33</v>
      </c>
      <c r="C11486" s="2">
        <f>HYPERLINK("https://cao.dolgi.msk.ru/account/1083269527/", 1083269527)</f>
        <v>1083269527</v>
      </c>
      <c r="D11486" t="s">
        <v>15</v>
      </c>
      <c r="E11486">
        <v>0</v>
      </c>
      <c r="G11486" t="s">
        <v>14</v>
      </c>
      <c r="H11486" t="s">
        <v>7</v>
      </c>
    </row>
    <row r="11487" spans="1:8" hidden="1" x14ac:dyDescent="0.25">
      <c r="A11487" t="s">
        <v>9464</v>
      </c>
      <c r="B11487" t="s">
        <v>33</v>
      </c>
      <c r="C11487" s="2">
        <f>HYPERLINK("https://cao.dolgi.msk.ru/account/1083269535/", 1083269535)</f>
        <v>1083269535</v>
      </c>
      <c r="D11487" t="s">
        <v>15</v>
      </c>
      <c r="E11487">
        <v>0</v>
      </c>
      <c r="G11487" t="s">
        <v>14</v>
      </c>
      <c r="H11487" t="s">
        <v>7</v>
      </c>
    </row>
    <row r="11488" spans="1:8" hidden="1" x14ac:dyDescent="0.25">
      <c r="A11488" t="s">
        <v>9464</v>
      </c>
      <c r="B11488" t="s">
        <v>34</v>
      </c>
      <c r="C11488" s="2">
        <f>HYPERLINK("https://cao.dolgi.msk.ru/account/1083269631/", 1083269631)</f>
        <v>1083269631</v>
      </c>
      <c r="D11488" t="s">
        <v>15</v>
      </c>
      <c r="E11488">
        <v>0</v>
      </c>
      <c r="G11488" t="s">
        <v>14</v>
      </c>
    </row>
    <row r="11489" spans="1:9" hidden="1" x14ac:dyDescent="0.25">
      <c r="A11489" t="s">
        <v>9464</v>
      </c>
      <c r="B11489" t="s">
        <v>34</v>
      </c>
      <c r="C11489" s="2">
        <f>HYPERLINK("https://cao.dolgi.msk.ru/account/1083269658/", 1083269658)</f>
        <v>1083269658</v>
      </c>
      <c r="D11489" t="s">
        <v>15</v>
      </c>
      <c r="E11489">
        <v>0</v>
      </c>
      <c r="G11489" t="s">
        <v>14</v>
      </c>
    </row>
    <row r="11490" spans="1:9" hidden="1" x14ac:dyDescent="0.25">
      <c r="A11490" t="s">
        <v>9464</v>
      </c>
      <c r="B11490" t="s">
        <v>34</v>
      </c>
      <c r="C11490" s="2">
        <f>HYPERLINK("https://cao.dolgi.msk.ru/account/1083269666/", 1083269666)</f>
        <v>1083269666</v>
      </c>
      <c r="D11490" t="s">
        <v>9466</v>
      </c>
      <c r="E11490">
        <v>0</v>
      </c>
      <c r="G11490" t="s">
        <v>14</v>
      </c>
    </row>
    <row r="11491" spans="1:9" hidden="1" x14ac:dyDescent="0.25">
      <c r="A11491" t="s">
        <v>9464</v>
      </c>
      <c r="B11491" t="s">
        <v>36</v>
      </c>
      <c r="C11491" s="2">
        <f>HYPERLINK("https://cao.dolgi.msk.ru/account/1083269244/", 1083269244)</f>
        <v>1083269244</v>
      </c>
      <c r="D11491" t="s">
        <v>15</v>
      </c>
      <c r="G11491" t="s">
        <v>14</v>
      </c>
      <c r="H11491" t="s">
        <v>7</v>
      </c>
    </row>
    <row r="11492" spans="1:9" hidden="1" x14ac:dyDescent="0.25">
      <c r="A11492" t="s">
        <v>9464</v>
      </c>
      <c r="B11492" t="s">
        <v>36</v>
      </c>
      <c r="C11492" s="2">
        <f>HYPERLINK("https://cao.dolgi.msk.ru/account/1083269295/", 1083269295)</f>
        <v>1083269295</v>
      </c>
      <c r="D11492" t="s">
        <v>15</v>
      </c>
      <c r="E11492">
        <v>0</v>
      </c>
      <c r="G11492" t="s">
        <v>14</v>
      </c>
      <c r="H11492" t="s">
        <v>7</v>
      </c>
    </row>
    <row r="11493" spans="1:9" hidden="1" x14ac:dyDescent="0.25">
      <c r="A11493" t="s">
        <v>9464</v>
      </c>
      <c r="B11493" t="s">
        <v>36</v>
      </c>
      <c r="C11493" s="2">
        <f>HYPERLINK("https://cao.dolgi.msk.ru/account/1083269316/", 1083269316)</f>
        <v>1083269316</v>
      </c>
      <c r="D11493" t="s">
        <v>15</v>
      </c>
      <c r="E11493">
        <v>0</v>
      </c>
      <c r="G11493" t="s">
        <v>14</v>
      </c>
      <c r="H11493" t="s">
        <v>7</v>
      </c>
    </row>
    <row r="11494" spans="1:9" hidden="1" x14ac:dyDescent="0.25">
      <c r="A11494" t="s">
        <v>9464</v>
      </c>
      <c r="B11494" t="s">
        <v>36</v>
      </c>
      <c r="C11494" s="2">
        <f>HYPERLINK("https://cao.dolgi.msk.ru/account/1083269359/", 1083269359)</f>
        <v>1083269359</v>
      </c>
      <c r="D11494" t="s">
        <v>15</v>
      </c>
      <c r="E11494">
        <v>0</v>
      </c>
      <c r="G11494" t="s">
        <v>14</v>
      </c>
      <c r="H11494" t="s">
        <v>7</v>
      </c>
    </row>
    <row r="11495" spans="1:9" hidden="1" x14ac:dyDescent="0.25">
      <c r="A11495" t="s">
        <v>9464</v>
      </c>
      <c r="B11495" t="s">
        <v>36</v>
      </c>
      <c r="C11495" s="2">
        <f>HYPERLINK("https://cao.dolgi.msk.ru/account/1083269367/", 1083269367)</f>
        <v>1083269367</v>
      </c>
      <c r="D11495" t="s">
        <v>15</v>
      </c>
      <c r="E11495">
        <v>0</v>
      </c>
      <c r="G11495" t="s">
        <v>14</v>
      </c>
      <c r="H11495" t="s">
        <v>7</v>
      </c>
    </row>
    <row r="11496" spans="1:9" hidden="1" x14ac:dyDescent="0.25">
      <c r="A11496" t="s">
        <v>9464</v>
      </c>
      <c r="B11496" t="s">
        <v>39</v>
      </c>
      <c r="C11496" s="2">
        <f>HYPERLINK("https://cao.dolgi.msk.ru/account/1083269463/", 1083269463)</f>
        <v>1083269463</v>
      </c>
      <c r="D11496" t="s">
        <v>15</v>
      </c>
      <c r="E11496">
        <v>0</v>
      </c>
      <c r="G11496" t="s">
        <v>14</v>
      </c>
    </row>
    <row r="11497" spans="1:9" hidden="1" x14ac:dyDescent="0.25">
      <c r="A11497" t="s">
        <v>9464</v>
      </c>
      <c r="B11497" t="s">
        <v>39</v>
      </c>
      <c r="C11497" s="2">
        <f>HYPERLINK("https://cao.dolgi.msk.ru/account/1083269471/", 1083269471)</f>
        <v>1083269471</v>
      </c>
      <c r="D11497" t="s">
        <v>15</v>
      </c>
      <c r="E11497">
        <v>0</v>
      </c>
      <c r="G11497" t="s">
        <v>14</v>
      </c>
    </row>
    <row r="11498" spans="1:9" hidden="1" x14ac:dyDescent="0.25">
      <c r="A11498" t="s">
        <v>9464</v>
      </c>
      <c r="B11498" t="s">
        <v>39</v>
      </c>
      <c r="C11498" s="2">
        <f>HYPERLINK("https://cao.dolgi.msk.ru/account/1083269498/", 1083269498)</f>
        <v>1083269498</v>
      </c>
      <c r="D11498" t="s">
        <v>15</v>
      </c>
      <c r="G11498" t="s">
        <v>14</v>
      </c>
    </row>
    <row r="11499" spans="1:9" hidden="1" x14ac:dyDescent="0.25">
      <c r="A11499" t="s">
        <v>9464</v>
      </c>
      <c r="B11499" t="s">
        <v>39</v>
      </c>
      <c r="C11499" s="2">
        <f>HYPERLINK("https://cao.dolgi.msk.ru/account/1083269586/", 1083269586)</f>
        <v>1083269586</v>
      </c>
      <c r="D11499" t="s">
        <v>9467</v>
      </c>
      <c r="E11499">
        <v>0</v>
      </c>
      <c r="G11499" t="s">
        <v>14</v>
      </c>
    </row>
    <row r="11500" spans="1:9" hidden="1" x14ac:dyDescent="0.25">
      <c r="A11500" t="s">
        <v>9464</v>
      </c>
      <c r="B11500" t="s">
        <v>40</v>
      </c>
      <c r="C11500" s="2">
        <f>HYPERLINK("https://cao.dolgi.msk.ru/account/1083269607/", 1083269607)</f>
        <v>1083269607</v>
      </c>
      <c r="D11500" t="s">
        <v>15</v>
      </c>
      <c r="E11500">
        <v>0</v>
      </c>
      <c r="G11500" t="s">
        <v>14</v>
      </c>
    </row>
    <row r="11501" spans="1:9" hidden="1" x14ac:dyDescent="0.25">
      <c r="A11501" t="s">
        <v>9464</v>
      </c>
      <c r="B11501" t="s">
        <v>40</v>
      </c>
      <c r="C11501" s="2">
        <f>HYPERLINK("https://cao.dolgi.msk.ru/account/1083269615/", 1083269615)</f>
        <v>1083269615</v>
      </c>
      <c r="D11501" t="s">
        <v>15</v>
      </c>
      <c r="E11501">
        <v>0</v>
      </c>
      <c r="G11501" t="s">
        <v>14</v>
      </c>
    </row>
    <row r="11502" spans="1:9" hidden="1" x14ac:dyDescent="0.25">
      <c r="A11502" t="s">
        <v>9464</v>
      </c>
      <c r="B11502" t="s">
        <v>40</v>
      </c>
      <c r="C11502" s="2">
        <f>HYPERLINK("https://cao.dolgi.msk.ru/account/1083269623/", 1083269623)</f>
        <v>1083269623</v>
      </c>
      <c r="D11502" t="s">
        <v>15</v>
      </c>
      <c r="E11502">
        <v>0</v>
      </c>
      <c r="G11502" t="s">
        <v>14</v>
      </c>
    </row>
    <row r="11503" spans="1:9" hidden="1" x14ac:dyDescent="0.25">
      <c r="A11503" t="s">
        <v>9464</v>
      </c>
      <c r="B11503" t="s">
        <v>40</v>
      </c>
      <c r="C11503" s="2">
        <f>HYPERLINK("https://cao.dolgi.msk.ru/account/1083269674/", 1083269674)</f>
        <v>1083269674</v>
      </c>
      <c r="D11503" t="s">
        <v>15</v>
      </c>
      <c r="E11503">
        <v>0</v>
      </c>
      <c r="G11503" t="s">
        <v>14</v>
      </c>
    </row>
    <row r="11504" spans="1:9" hidden="1" x14ac:dyDescent="0.25">
      <c r="A11504" t="s">
        <v>9468</v>
      </c>
      <c r="B11504" t="s">
        <v>10</v>
      </c>
      <c r="C11504" s="2">
        <f>HYPERLINK("https://cao.dolgi.msk.ru/account/1080324172/", 1080324172)</f>
        <v>1080324172</v>
      </c>
      <c r="D11504" t="s">
        <v>9469</v>
      </c>
      <c r="E11504">
        <v>0</v>
      </c>
      <c r="F11504">
        <v>0</v>
      </c>
      <c r="G11504" t="s">
        <v>12</v>
      </c>
      <c r="I11504" t="s">
        <v>230</v>
      </c>
    </row>
    <row r="11505" spans="1:9" hidden="1" x14ac:dyDescent="0.25">
      <c r="A11505" t="s">
        <v>9468</v>
      </c>
      <c r="B11505" t="s">
        <v>16</v>
      </c>
      <c r="C11505" s="2">
        <f>HYPERLINK("https://cao.dolgi.msk.ru/account/1080326004/", 1080326004)</f>
        <v>1080326004</v>
      </c>
      <c r="D11505" t="s">
        <v>736</v>
      </c>
      <c r="E11505">
        <v>-4999.82</v>
      </c>
      <c r="F11505">
        <v>-1.17</v>
      </c>
      <c r="G11505" t="s">
        <v>12</v>
      </c>
      <c r="I11505" t="s">
        <v>230</v>
      </c>
    </row>
    <row r="11506" spans="1:9" hidden="1" x14ac:dyDescent="0.25">
      <c r="A11506" t="s">
        <v>9468</v>
      </c>
      <c r="B11506" t="s">
        <v>18</v>
      </c>
      <c r="C11506" s="2">
        <f>HYPERLINK("https://cao.dolgi.msk.ru/account/1080324164/", 1080324164)</f>
        <v>1080324164</v>
      </c>
      <c r="D11506" t="s">
        <v>9470</v>
      </c>
      <c r="E11506">
        <v>-5774.24</v>
      </c>
      <c r="F11506">
        <v>-1.1499999999999999</v>
      </c>
      <c r="G11506" t="s">
        <v>12</v>
      </c>
      <c r="I11506" t="s">
        <v>230</v>
      </c>
    </row>
    <row r="11507" spans="1:9" hidden="1" x14ac:dyDescent="0.25">
      <c r="A11507" t="s">
        <v>9468</v>
      </c>
      <c r="B11507" t="s">
        <v>20</v>
      </c>
      <c r="C11507" s="2">
        <f>HYPERLINK("https://cao.dolgi.msk.ru/account/1080323487/", 1080323487)</f>
        <v>1080323487</v>
      </c>
      <c r="D11507" t="s">
        <v>15</v>
      </c>
      <c r="E11507">
        <v>-8371.1299999999992</v>
      </c>
      <c r="F11507">
        <v>-1.54</v>
      </c>
      <c r="G11507" t="s">
        <v>12</v>
      </c>
      <c r="I11507" t="s">
        <v>230</v>
      </c>
    </row>
    <row r="11508" spans="1:9" hidden="1" x14ac:dyDescent="0.25">
      <c r="A11508" t="s">
        <v>9468</v>
      </c>
      <c r="B11508" t="s">
        <v>21</v>
      </c>
      <c r="C11508" s="2">
        <f>HYPERLINK("https://cao.dolgi.msk.ru/account/1080326207/", 1080326207)</f>
        <v>1080326207</v>
      </c>
      <c r="D11508" t="s">
        <v>9471</v>
      </c>
      <c r="E11508">
        <v>-1770.6</v>
      </c>
      <c r="F11508">
        <v>-0.67</v>
      </c>
      <c r="G11508" t="s">
        <v>12</v>
      </c>
      <c r="I11508" t="s">
        <v>230</v>
      </c>
    </row>
    <row r="11509" spans="1:9" hidden="1" x14ac:dyDescent="0.25">
      <c r="A11509" t="s">
        <v>9468</v>
      </c>
      <c r="B11509" t="s">
        <v>22</v>
      </c>
      <c r="C11509" s="2">
        <f>HYPERLINK("https://cao.dolgi.msk.ru/account/1080323241/", 1080323241)</f>
        <v>1080323241</v>
      </c>
      <c r="D11509" t="s">
        <v>9472</v>
      </c>
      <c r="E11509">
        <v>-4182.79</v>
      </c>
      <c r="F11509">
        <v>-1.3</v>
      </c>
      <c r="G11509" t="s">
        <v>12</v>
      </c>
      <c r="I11509" t="s">
        <v>230</v>
      </c>
    </row>
    <row r="11510" spans="1:9" hidden="1" x14ac:dyDescent="0.25">
      <c r="A11510" t="s">
        <v>9468</v>
      </c>
      <c r="B11510" t="s">
        <v>23</v>
      </c>
      <c r="C11510" s="2">
        <f>HYPERLINK("https://cao.dolgi.msk.ru/account/1080323815/", 1080323815)</f>
        <v>1080323815</v>
      </c>
      <c r="D11510" t="s">
        <v>15</v>
      </c>
      <c r="E11510">
        <v>-112.32</v>
      </c>
      <c r="F11510">
        <v>-0.01</v>
      </c>
      <c r="G11510" t="s">
        <v>12</v>
      </c>
      <c r="I11510" t="s">
        <v>230</v>
      </c>
    </row>
    <row r="11511" spans="1:9" hidden="1" x14ac:dyDescent="0.25">
      <c r="A11511" t="s">
        <v>9468</v>
      </c>
      <c r="B11511" t="s">
        <v>24</v>
      </c>
      <c r="C11511" s="2">
        <f>HYPERLINK("https://cao.dolgi.msk.ru/account/1080323831/", 1080323831)</f>
        <v>1080323831</v>
      </c>
      <c r="D11511" t="s">
        <v>9473</v>
      </c>
      <c r="E11511">
        <v>0</v>
      </c>
      <c r="F11511">
        <v>0</v>
      </c>
      <c r="G11511" t="s">
        <v>12</v>
      </c>
      <c r="I11511" t="s">
        <v>230</v>
      </c>
    </row>
    <row r="11512" spans="1:9" hidden="1" x14ac:dyDescent="0.25">
      <c r="A11512" t="s">
        <v>9468</v>
      </c>
      <c r="B11512" t="s">
        <v>27</v>
      </c>
      <c r="C11512" s="2">
        <f>HYPERLINK("https://cao.dolgi.msk.ru/account/1080323188/", 1080323188)</f>
        <v>1080323188</v>
      </c>
      <c r="D11512" t="s">
        <v>9474</v>
      </c>
      <c r="E11512">
        <v>-9602.23</v>
      </c>
      <c r="F11512">
        <v>-1.24</v>
      </c>
      <c r="G11512" t="s">
        <v>12</v>
      </c>
      <c r="I11512" t="s">
        <v>230</v>
      </c>
    </row>
    <row r="11513" spans="1:9" hidden="1" x14ac:dyDescent="0.25">
      <c r="A11513" t="s">
        <v>9468</v>
      </c>
      <c r="B11513" t="s">
        <v>29</v>
      </c>
      <c r="C11513" s="2">
        <f>HYPERLINK("https://cao.dolgi.msk.ru/account/1080323137/", 1080323137)</f>
        <v>1080323137</v>
      </c>
      <c r="D11513" t="s">
        <v>9475</v>
      </c>
      <c r="E11513">
        <v>343.32</v>
      </c>
      <c r="F11513">
        <v>0.11</v>
      </c>
      <c r="G11513" t="s">
        <v>12</v>
      </c>
      <c r="I11513" t="s">
        <v>230</v>
      </c>
    </row>
    <row r="11514" spans="1:9" x14ac:dyDescent="0.25">
      <c r="A11514" t="s">
        <v>9468</v>
      </c>
      <c r="B11514" t="s">
        <v>31</v>
      </c>
      <c r="C11514" s="2">
        <f>HYPERLINK("https://cao.dolgi.msk.ru/account/1080323479/", 1080323479)</f>
        <v>1080323479</v>
      </c>
      <c r="D11514" t="s">
        <v>9476</v>
      </c>
      <c r="E11514">
        <v>224697.73</v>
      </c>
      <c r="F11514">
        <v>68.56</v>
      </c>
      <c r="G11514" t="s">
        <v>12</v>
      </c>
      <c r="I11514" t="s">
        <v>230</v>
      </c>
    </row>
    <row r="11515" spans="1:9" hidden="1" x14ac:dyDescent="0.25">
      <c r="A11515" t="s">
        <v>9468</v>
      </c>
      <c r="B11515" t="s">
        <v>33</v>
      </c>
      <c r="C11515" s="2">
        <f>HYPERLINK("https://cao.dolgi.msk.ru/account/1080323444/", 1080323444)</f>
        <v>1080323444</v>
      </c>
      <c r="D11515" t="s">
        <v>9477</v>
      </c>
      <c r="E11515">
        <v>-501.01</v>
      </c>
      <c r="F11515">
        <v>-0.11</v>
      </c>
      <c r="G11515" t="s">
        <v>12</v>
      </c>
      <c r="I11515" t="s">
        <v>230</v>
      </c>
    </row>
    <row r="11516" spans="1:9" hidden="1" x14ac:dyDescent="0.25">
      <c r="A11516" t="s">
        <v>9468</v>
      </c>
      <c r="B11516" t="s">
        <v>34</v>
      </c>
      <c r="C11516" s="2">
        <f>HYPERLINK("https://cao.dolgi.msk.ru/account/1080325044/", 1080325044)</f>
        <v>1080325044</v>
      </c>
      <c r="D11516" t="s">
        <v>9478</v>
      </c>
      <c r="E11516">
        <v>447.28</v>
      </c>
      <c r="F11516">
        <v>0.05</v>
      </c>
      <c r="G11516" t="s">
        <v>12</v>
      </c>
      <c r="I11516" t="s">
        <v>230</v>
      </c>
    </row>
    <row r="11517" spans="1:9" hidden="1" x14ac:dyDescent="0.25">
      <c r="A11517" t="s">
        <v>9468</v>
      </c>
      <c r="B11517" t="s">
        <v>36</v>
      </c>
      <c r="C11517" s="2">
        <f>HYPERLINK("https://cao.dolgi.msk.ru/account/1080323284/", 1080323284)</f>
        <v>1080323284</v>
      </c>
      <c r="D11517" t="s">
        <v>9479</v>
      </c>
      <c r="E11517">
        <v>-5251.62</v>
      </c>
      <c r="F11517">
        <v>-1.81</v>
      </c>
      <c r="G11517" t="s">
        <v>12</v>
      </c>
      <c r="I11517" t="s">
        <v>230</v>
      </c>
    </row>
    <row r="11518" spans="1:9" hidden="1" x14ac:dyDescent="0.25">
      <c r="A11518" t="s">
        <v>9468</v>
      </c>
      <c r="B11518" t="s">
        <v>38</v>
      </c>
      <c r="C11518" s="2">
        <f>HYPERLINK("https://cao.dolgi.msk.ru/account/1080323399/", 1080323399)</f>
        <v>1080323399</v>
      </c>
      <c r="D11518" t="s">
        <v>15</v>
      </c>
      <c r="E11518">
        <v>-2162.91</v>
      </c>
      <c r="F11518">
        <v>-1.22</v>
      </c>
      <c r="G11518" t="s">
        <v>12</v>
      </c>
      <c r="I11518" t="s">
        <v>230</v>
      </c>
    </row>
    <row r="11519" spans="1:9" hidden="1" x14ac:dyDescent="0.25">
      <c r="A11519" t="s">
        <v>9468</v>
      </c>
      <c r="B11519" t="s">
        <v>39</v>
      </c>
      <c r="C11519" s="2">
        <f>HYPERLINK("https://cao.dolgi.msk.ru/account/1080323276/", 1080323276)</f>
        <v>1080323276</v>
      </c>
      <c r="D11519" t="s">
        <v>9480</v>
      </c>
      <c r="E11519">
        <v>-6971.75</v>
      </c>
      <c r="F11519">
        <v>-1.27</v>
      </c>
      <c r="G11519" t="s">
        <v>12</v>
      </c>
      <c r="I11519" t="s">
        <v>230</v>
      </c>
    </row>
    <row r="11520" spans="1:9" hidden="1" x14ac:dyDescent="0.25">
      <c r="A11520" t="s">
        <v>9468</v>
      </c>
      <c r="B11520" t="s">
        <v>40</v>
      </c>
      <c r="C11520" s="2">
        <f>HYPERLINK("https://cao.dolgi.msk.ru/account/1080323217/", 1080323217)</f>
        <v>1080323217</v>
      </c>
      <c r="D11520" t="s">
        <v>9481</v>
      </c>
      <c r="E11520">
        <v>-8608.36</v>
      </c>
      <c r="F11520">
        <v>-1.27</v>
      </c>
      <c r="G11520" t="s">
        <v>12</v>
      </c>
      <c r="I11520" t="s">
        <v>230</v>
      </c>
    </row>
    <row r="11521" spans="1:9" hidden="1" x14ac:dyDescent="0.25">
      <c r="A11521" t="s">
        <v>9468</v>
      </c>
      <c r="B11521" t="s">
        <v>41</v>
      </c>
      <c r="C11521" s="2">
        <f>HYPERLINK("https://cao.dolgi.msk.ru/account/1080323161/", 1080323161)</f>
        <v>1080323161</v>
      </c>
      <c r="D11521" t="s">
        <v>9482</v>
      </c>
      <c r="E11521">
        <v>-4553.97</v>
      </c>
      <c r="F11521">
        <v>-1.29</v>
      </c>
      <c r="G11521" t="s">
        <v>12</v>
      </c>
      <c r="I11521" t="s">
        <v>230</v>
      </c>
    </row>
    <row r="11522" spans="1:9" hidden="1" x14ac:dyDescent="0.25">
      <c r="A11522" t="s">
        <v>9468</v>
      </c>
      <c r="B11522" t="s">
        <v>42</v>
      </c>
      <c r="C11522" s="2">
        <f>HYPERLINK("https://cao.dolgi.msk.ru/account/1080325124/", 1080325124)</f>
        <v>1080325124</v>
      </c>
      <c r="D11522" t="s">
        <v>9483</v>
      </c>
      <c r="E11522">
        <v>-452.29</v>
      </c>
      <c r="F11522">
        <v>-0.11</v>
      </c>
      <c r="G11522" t="s">
        <v>12</v>
      </c>
      <c r="I11522" t="s">
        <v>230</v>
      </c>
    </row>
    <row r="11523" spans="1:9" hidden="1" x14ac:dyDescent="0.25">
      <c r="A11523" t="s">
        <v>9468</v>
      </c>
      <c r="B11523" t="s">
        <v>44</v>
      </c>
      <c r="C11523" s="2">
        <f>HYPERLINK("https://cao.dolgi.msk.ru/account/1080324594/", 1080324594)</f>
        <v>1080324594</v>
      </c>
      <c r="D11523" t="s">
        <v>9484</v>
      </c>
      <c r="E11523">
        <v>-7358.47</v>
      </c>
      <c r="F11523">
        <v>-1.25</v>
      </c>
      <c r="G11523" t="s">
        <v>12</v>
      </c>
      <c r="I11523" t="s">
        <v>230</v>
      </c>
    </row>
    <row r="11524" spans="1:9" x14ac:dyDescent="0.25">
      <c r="A11524" t="s">
        <v>9468</v>
      </c>
      <c r="B11524" t="s">
        <v>66</v>
      </c>
      <c r="C11524" s="2">
        <f>HYPERLINK("https://cao.dolgi.msk.ru/account/1080323559/", 1080323559)</f>
        <v>1080323559</v>
      </c>
      <c r="D11524" t="s">
        <v>9485</v>
      </c>
      <c r="E11524">
        <v>6374.53</v>
      </c>
      <c r="F11524">
        <v>1.04</v>
      </c>
      <c r="G11524" t="s">
        <v>12</v>
      </c>
      <c r="I11524" t="s">
        <v>230</v>
      </c>
    </row>
    <row r="11525" spans="1:9" hidden="1" x14ac:dyDescent="0.25">
      <c r="A11525" t="s">
        <v>9468</v>
      </c>
      <c r="B11525" t="s">
        <v>68</v>
      </c>
      <c r="C11525" s="2">
        <f>HYPERLINK("https://cao.dolgi.msk.ru/account/1080323313/", 1080323313)</f>
        <v>1080323313</v>
      </c>
      <c r="D11525" t="s">
        <v>9486</v>
      </c>
      <c r="E11525">
        <v>-2636.63</v>
      </c>
      <c r="F11525">
        <v>-0.53</v>
      </c>
      <c r="G11525" t="s">
        <v>12</v>
      </c>
      <c r="I11525" t="s">
        <v>230</v>
      </c>
    </row>
    <row r="11526" spans="1:9" hidden="1" x14ac:dyDescent="0.25">
      <c r="A11526" t="s">
        <v>9468</v>
      </c>
      <c r="B11526" t="s">
        <v>70</v>
      </c>
      <c r="C11526" s="2">
        <f>HYPERLINK("https://cao.dolgi.msk.ru/account/1080323233/", 1080323233)</f>
        <v>1080323233</v>
      </c>
      <c r="D11526" t="s">
        <v>736</v>
      </c>
      <c r="E11526">
        <v>-3964.91</v>
      </c>
      <c r="F11526">
        <v>-1.23</v>
      </c>
      <c r="G11526" t="s">
        <v>12</v>
      </c>
      <c r="I11526" t="s">
        <v>230</v>
      </c>
    </row>
    <row r="11527" spans="1:9" hidden="1" x14ac:dyDescent="0.25">
      <c r="A11527" t="s">
        <v>9468</v>
      </c>
      <c r="B11527" t="s">
        <v>72</v>
      </c>
      <c r="C11527" s="2">
        <f>HYPERLINK("https://cao.dolgi.msk.ru/account/1080323524/", 1080323524)</f>
        <v>1080323524</v>
      </c>
      <c r="D11527" t="s">
        <v>9487</v>
      </c>
      <c r="E11527">
        <v>-3769.05</v>
      </c>
      <c r="F11527">
        <v>-0.78</v>
      </c>
      <c r="G11527" t="s">
        <v>12</v>
      </c>
      <c r="I11527" t="s">
        <v>230</v>
      </c>
    </row>
    <row r="11528" spans="1:9" hidden="1" x14ac:dyDescent="0.25">
      <c r="A11528" t="s">
        <v>9468</v>
      </c>
      <c r="B11528" t="s">
        <v>74</v>
      </c>
      <c r="C11528" s="2">
        <f>HYPERLINK("https://cao.dolgi.msk.ru/account/1080323196/", 1080323196)</f>
        <v>1080323196</v>
      </c>
      <c r="D11528" t="s">
        <v>9488</v>
      </c>
      <c r="E11528">
        <v>-5034.0200000000004</v>
      </c>
      <c r="F11528">
        <v>-1.32</v>
      </c>
      <c r="G11528" t="s">
        <v>12</v>
      </c>
      <c r="I11528" t="s">
        <v>230</v>
      </c>
    </row>
    <row r="11529" spans="1:9" hidden="1" x14ac:dyDescent="0.25">
      <c r="A11529" t="s">
        <v>9468</v>
      </c>
      <c r="B11529" t="s">
        <v>76</v>
      </c>
      <c r="C11529" s="2">
        <f>HYPERLINK("https://cao.dolgi.msk.ru/account/1080325677/", 1080325677)</f>
        <v>1080325677</v>
      </c>
      <c r="D11529" t="s">
        <v>9489</v>
      </c>
      <c r="E11529">
        <v>-13517.74</v>
      </c>
      <c r="F11529">
        <v>-2.14</v>
      </c>
      <c r="G11529" t="s">
        <v>12</v>
      </c>
      <c r="I11529" t="s">
        <v>230</v>
      </c>
    </row>
    <row r="11530" spans="1:9" hidden="1" x14ac:dyDescent="0.25">
      <c r="A11530" t="s">
        <v>9468</v>
      </c>
      <c r="B11530" t="s">
        <v>78</v>
      </c>
      <c r="C11530" s="2">
        <f>HYPERLINK("https://cao.dolgi.msk.ru/account/1080323962/", 1080323962)</f>
        <v>1080323962</v>
      </c>
      <c r="D11530" t="s">
        <v>736</v>
      </c>
      <c r="E11530">
        <v>-5525.61</v>
      </c>
      <c r="F11530">
        <v>-1.1299999999999999</v>
      </c>
      <c r="G11530" t="s">
        <v>12</v>
      </c>
      <c r="I11530" t="s">
        <v>230</v>
      </c>
    </row>
    <row r="11531" spans="1:9" hidden="1" x14ac:dyDescent="0.25">
      <c r="A11531" t="s">
        <v>9468</v>
      </c>
      <c r="B11531" t="s">
        <v>80</v>
      </c>
      <c r="C11531" s="2">
        <f>HYPERLINK("https://cao.dolgi.msk.ru/account/1080325052/", 1080325052)</f>
        <v>1080325052</v>
      </c>
      <c r="D11531" t="s">
        <v>9490</v>
      </c>
      <c r="E11531">
        <v>-9478.7800000000007</v>
      </c>
      <c r="F11531">
        <v>-2.62</v>
      </c>
      <c r="G11531" t="s">
        <v>12</v>
      </c>
      <c r="I11531" t="s">
        <v>230</v>
      </c>
    </row>
    <row r="11532" spans="1:9" hidden="1" x14ac:dyDescent="0.25">
      <c r="A11532" t="s">
        <v>9468</v>
      </c>
      <c r="B11532" t="s">
        <v>82</v>
      </c>
      <c r="C11532" s="2">
        <f>HYPERLINK("https://cao.dolgi.msk.ru/account/1080323604/", 1080323604)</f>
        <v>1080323604</v>
      </c>
      <c r="D11532" t="s">
        <v>9491</v>
      </c>
      <c r="E11532">
        <v>-11825.49</v>
      </c>
      <c r="F11532">
        <v>-1.94</v>
      </c>
      <c r="G11532" t="s">
        <v>12</v>
      </c>
      <c r="I11532" t="s">
        <v>230</v>
      </c>
    </row>
    <row r="11533" spans="1:9" hidden="1" x14ac:dyDescent="0.25">
      <c r="A11533" t="s">
        <v>9468</v>
      </c>
      <c r="B11533" t="s">
        <v>82</v>
      </c>
      <c r="C11533" s="2">
        <f>HYPERLINK("https://cao.dolgi.msk.ru/account/1089130876/", 1089130876)</f>
        <v>1089130876</v>
      </c>
      <c r="D11533" t="s">
        <v>9492</v>
      </c>
      <c r="E11533">
        <v>-8.18</v>
      </c>
      <c r="G11533" t="s">
        <v>14</v>
      </c>
      <c r="I11533" t="s">
        <v>230</v>
      </c>
    </row>
    <row r="11534" spans="1:9" hidden="1" x14ac:dyDescent="0.25">
      <c r="A11534" t="s">
        <v>9468</v>
      </c>
      <c r="B11534" t="s">
        <v>84</v>
      </c>
      <c r="C11534" s="2">
        <f>HYPERLINK("https://cao.dolgi.msk.ru/account/1080323348/", 1080323348)</f>
        <v>1080323348</v>
      </c>
      <c r="D11534" t="s">
        <v>9493</v>
      </c>
      <c r="E11534">
        <v>-5528.23</v>
      </c>
      <c r="F11534">
        <v>-1.27</v>
      </c>
      <c r="G11534" t="s">
        <v>12</v>
      </c>
      <c r="I11534" t="s">
        <v>230</v>
      </c>
    </row>
    <row r="11535" spans="1:9" hidden="1" x14ac:dyDescent="0.25">
      <c r="A11535" t="s">
        <v>9468</v>
      </c>
      <c r="B11535" t="s">
        <v>86</v>
      </c>
      <c r="C11535" s="2">
        <f>HYPERLINK("https://cao.dolgi.msk.ru/account/1080324631/", 1080324631)</f>
        <v>1080324631</v>
      </c>
      <c r="D11535" t="s">
        <v>9494</v>
      </c>
      <c r="E11535">
        <v>-20720.79</v>
      </c>
      <c r="F11535">
        <v>-5.13</v>
      </c>
      <c r="G11535" t="s">
        <v>12</v>
      </c>
      <c r="I11535" t="s">
        <v>230</v>
      </c>
    </row>
    <row r="11536" spans="1:9" hidden="1" x14ac:dyDescent="0.25">
      <c r="A11536" t="s">
        <v>9468</v>
      </c>
      <c r="B11536" t="s">
        <v>88</v>
      </c>
      <c r="C11536" s="2">
        <f>HYPERLINK("https://cao.dolgi.msk.ru/account/1080324295/", 1080324295)</f>
        <v>1080324295</v>
      </c>
      <c r="D11536" t="s">
        <v>9495</v>
      </c>
      <c r="E11536">
        <v>0</v>
      </c>
      <c r="F11536">
        <v>0</v>
      </c>
      <c r="G11536" t="s">
        <v>12</v>
      </c>
      <c r="I11536" t="s">
        <v>230</v>
      </c>
    </row>
    <row r="11537" spans="1:9" hidden="1" x14ac:dyDescent="0.25">
      <c r="A11537" t="s">
        <v>9468</v>
      </c>
      <c r="B11537" t="s">
        <v>90</v>
      </c>
      <c r="C11537" s="2">
        <f>HYPERLINK("https://cao.dolgi.msk.ru/account/1080323356/", 1080323356)</f>
        <v>1080323356</v>
      </c>
      <c r="D11537" t="s">
        <v>9496</v>
      </c>
      <c r="E11537">
        <v>-7080.95</v>
      </c>
      <c r="F11537">
        <v>-1.2</v>
      </c>
      <c r="G11537" t="s">
        <v>12</v>
      </c>
      <c r="I11537" t="s">
        <v>230</v>
      </c>
    </row>
    <row r="11538" spans="1:9" hidden="1" x14ac:dyDescent="0.25">
      <c r="A11538" t="s">
        <v>9468</v>
      </c>
      <c r="B11538" t="s">
        <v>92</v>
      </c>
      <c r="C11538" s="2">
        <f>HYPERLINK("https://cao.dolgi.msk.ru/account/1080323938/", 1080323938)</f>
        <v>1080323938</v>
      </c>
      <c r="D11538" t="s">
        <v>9497</v>
      </c>
      <c r="E11538">
        <v>-5631.98</v>
      </c>
      <c r="F11538">
        <v>-1.17</v>
      </c>
      <c r="G11538" t="s">
        <v>12</v>
      </c>
      <c r="I11538" t="s">
        <v>230</v>
      </c>
    </row>
    <row r="11539" spans="1:9" hidden="1" x14ac:dyDescent="0.25">
      <c r="A11539" t="s">
        <v>9468</v>
      </c>
      <c r="B11539" t="s">
        <v>94</v>
      </c>
      <c r="C11539" s="2">
        <f>HYPERLINK("https://cao.dolgi.msk.ru/account/1080323364/", 1080323364)</f>
        <v>1080323364</v>
      </c>
      <c r="D11539" t="s">
        <v>9498</v>
      </c>
      <c r="E11539">
        <v>0</v>
      </c>
      <c r="F11539">
        <v>0</v>
      </c>
      <c r="G11539" t="s">
        <v>12</v>
      </c>
      <c r="I11539" t="s">
        <v>230</v>
      </c>
    </row>
    <row r="11540" spans="1:9" hidden="1" x14ac:dyDescent="0.25">
      <c r="A11540" t="s">
        <v>9468</v>
      </c>
      <c r="B11540" t="s">
        <v>96</v>
      </c>
      <c r="C11540" s="2">
        <f>HYPERLINK("https://cao.dolgi.msk.ru/account/1089118519/", 1089118519)</f>
        <v>1089118519</v>
      </c>
      <c r="D11540" t="s">
        <v>9499</v>
      </c>
      <c r="E11540">
        <v>-8325.64</v>
      </c>
      <c r="F11540">
        <v>-1.17</v>
      </c>
      <c r="G11540" t="s">
        <v>12</v>
      </c>
      <c r="I11540" t="s">
        <v>230</v>
      </c>
    </row>
    <row r="11541" spans="1:9" hidden="1" x14ac:dyDescent="0.25">
      <c r="A11541" t="s">
        <v>9468</v>
      </c>
      <c r="B11541" t="s">
        <v>98</v>
      </c>
      <c r="C11541" s="2">
        <f>HYPERLINK("https://cao.dolgi.msk.ru/account/1080323436/", 1080323436)</f>
        <v>1080323436</v>
      </c>
      <c r="D11541" t="s">
        <v>9500</v>
      </c>
      <c r="E11541">
        <v>-4969.75</v>
      </c>
      <c r="F11541">
        <v>-1.06</v>
      </c>
      <c r="G11541" t="s">
        <v>12</v>
      </c>
      <c r="I11541" t="s">
        <v>230</v>
      </c>
    </row>
    <row r="11542" spans="1:9" hidden="1" x14ac:dyDescent="0.25">
      <c r="A11542" t="s">
        <v>9468</v>
      </c>
      <c r="B11542" t="s">
        <v>100</v>
      </c>
      <c r="C11542" s="2">
        <f>HYPERLINK("https://cao.dolgi.msk.ru/account/1080324981/", 1080324981)</f>
        <v>1080324981</v>
      </c>
      <c r="D11542" t="s">
        <v>9501</v>
      </c>
      <c r="E11542">
        <v>-7113.34</v>
      </c>
      <c r="F11542">
        <v>-1.42</v>
      </c>
      <c r="G11542" t="s">
        <v>12</v>
      </c>
      <c r="I11542" t="s">
        <v>230</v>
      </c>
    </row>
    <row r="11543" spans="1:9" hidden="1" x14ac:dyDescent="0.25">
      <c r="A11543" t="s">
        <v>9468</v>
      </c>
      <c r="B11543" t="s">
        <v>102</v>
      </c>
      <c r="C11543" s="2">
        <f>HYPERLINK("https://cao.dolgi.msk.ru/account/1080324199/", 1080324199)</f>
        <v>1080324199</v>
      </c>
      <c r="D11543" t="s">
        <v>9502</v>
      </c>
      <c r="E11543">
        <v>-4767.24</v>
      </c>
      <c r="F11543">
        <v>-0.83</v>
      </c>
      <c r="G11543" t="s">
        <v>12</v>
      </c>
      <c r="I11543" t="s">
        <v>230</v>
      </c>
    </row>
    <row r="11544" spans="1:9" hidden="1" x14ac:dyDescent="0.25">
      <c r="A11544" t="s">
        <v>9468</v>
      </c>
      <c r="B11544" t="s">
        <v>104</v>
      </c>
      <c r="C11544" s="2">
        <f>HYPERLINK("https://cao.dolgi.msk.ru/account/1080323305/", 1080323305)</f>
        <v>1080323305</v>
      </c>
      <c r="D11544" t="s">
        <v>15</v>
      </c>
      <c r="E11544">
        <v>-9977.9</v>
      </c>
      <c r="F11544">
        <v>-1.27</v>
      </c>
      <c r="G11544" t="s">
        <v>12</v>
      </c>
      <c r="I11544" t="s">
        <v>230</v>
      </c>
    </row>
    <row r="11545" spans="1:9" hidden="1" x14ac:dyDescent="0.25">
      <c r="A11545" t="s">
        <v>9468</v>
      </c>
      <c r="B11545" t="s">
        <v>106</v>
      </c>
      <c r="C11545" s="2">
        <f>HYPERLINK("https://cao.dolgi.msk.ru/account/1080323567/", 1080323567)</f>
        <v>1080323567</v>
      </c>
      <c r="D11545" t="s">
        <v>9503</v>
      </c>
      <c r="E11545">
        <v>-1902.4</v>
      </c>
      <c r="F11545">
        <v>-0.25</v>
      </c>
      <c r="G11545" t="s">
        <v>12</v>
      </c>
      <c r="I11545" t="s">
        <v>230</v>
      </c>
    </row>
    <row r="11546" spans="1:9" hidden="1" x14ac:dyDescent="0.25">
      <c r="A11546" t="s">
        <v>9468</v>
      </c>
      <c r="B11546" t="s">
        <v>108</v>
      </c>
      <c r="C11546" s="2">
        <f>HYPERLINK("https://cao.dolgi.msk.ru/account/1080326901/", 1080326901)</f>
        <v>1080326901</v>
      </c>
      <c r="D11546" t="s">
        <v>9504</v>
      </c>
      <c r="E11546">
        <v>-6134.38</v>
      </c>
      <c r="F11546">
        <v>-1.1599999999999999</v>
      </c>
      <c r="G11546" t="s">
        <v>12</v>
      </c>
      <c r="I11546" t="s">
        <v>230</v>
      </c>
    </row>
    <row r="11547" spans="1:9" hidden="1" x14ac:dyDescent="0.25">
      <c r="A11547" t="s">
        <v>9468</v>
      </c>
      <c r="B11547" t="s">
        <v>110</v>
      </c>
      <c r="C11547" s="2">
        <f>HYPERLINK("https://cao.dolgi.msk.ru/account/1080325618/", 1080325618)</f>
        <v>1080325618</v>
      </c>
      <c r="D11547" t="s">
        <v>736</v>
      </c>
      <c r="E11547">
        <v>-7189.83</v>
      </c>
      <c r="F11547">
        <v>-1.19</v>
      </c>
      <c r="G11547" t="s">
        <v>12</v>
      </c>
      <c r="I11547" t="s">
        <v>230</v>
      </c>
    </row>
    <row r="11548" spans="1:9" hidden="1" x14ac:dyDescent="0.25">
      <c r="A11548" t="s">
        <v>9468</v>
      </c>
      <c r="B11548" t="s">
        <v>112</v>
      </c>
      <c r="C11548" s="2">
        <f>HYPERLINK("https://cao.dolgi.msk.ru/account/1080324156/", 1080324156)</f>
        <v>1080324156</v>
      </c>
      <c r="D11548" t="s">
        <v>9505</v>
      </c>
      <c r="E11548">
        <v>-8344.23</v>
      </c>
      <c r="F11548">
        <v>-1.24</v>
      </c>
      <c r="G11548" t="s">
        <v>12</v>
      </c>
      <c r="I11548" t="s">
        <v>230</v>
      </c>
    </row>
    <row r="11549" spans="1:9" hidden="1" x14ac:dyDescent="0.25">
      <c r="A11549" t="s">
        <v>9468</v>
      </c>
      <c r="B11549" t="s">
        <v>114</v>
      </c>
      <c r="C11549" s="2">
        <f>HYPERLINK("https://cao.dolgi.msk.ru/account/1080323129/", 1080323129)</f>
        <v>1080323129</v>
      </c>
      <c r="D11549" t="s">
        <v>15</v>
      </c>
      <c r="E11549">
        <v>-8042.33</v>
      </c>
      <c r="F11549">
        <v>-1.1000000000000001</v>
      </c>
      <c r="G11549" t="s">
        <v>12</v>
      </c>
      <c r="I11549" t="s">
        <v>230</v>
      </c>
    </row>
    <row r="11550" spans="1:9" hidden="1" x14ac:dyDescent="0.25">
      <c r="A11550" t="s">
        <v>9468</v>
      </c>
      <c r="B11550" t="s">
        <v>114</v>
      </c>
      <c r="C11550" s="2">
        <f>HYPERLINK("https://cao.dolgi.msk.ru/account/1083272195/", 1083272195)</f>
        <v>1083272195</v>
      </c>
      <c r="D11550" t="s">
        <v>15</v>
      </c>
      <c r="E11550">
        <v>-4052.68</v>
      </c>
      <c r="F11550">
        <v>-1.1000000000000001</v>
      </c>
      <c r="G11550" t="s">
        <v>12</v>
      </c>
      <c r="I11550" t="s">
        <v>230</v>
      </c>
    </row>
    <row r="11551" spans="1:9" hidden="1" x14ac:dyDescent="0.25">
      <c r="A11551" t="s">
        <v>9468</v>
      </c>
      <c r="B11551" t="s">
        <v>116</v>
      </c>
      <c r="C11551" s="2">
        <f>HYPERLINK("https://cao.dolgi.msk.ru/account/1080323081/", 1080323081)</f>
        <v>1080323081</v>
      </c>
      <c r="D11551" t="s">
        <v>9506</v>
      </c>
      <c r="E11551">
        <v>-1910.67</v>
      </c>
      <c r="F11551">
        <v>-0.57999999999999996</v>
      </c>
      <c r="G11551" t="s">
        <v>12</v>
      </c>
      <c r="I11551" t="s">
        <v>230</v>
      </c>
    </row>
    <row r="11552" spans="1:9" hidden="1" x14ac:dyDescent="0.25">
      <c r="A11552" t="s">
        <v>9468</v>
      </c>
      <c r="B11552" t="s">
        <v>118</v>
      </c>
      <c r="C11552" s="2">
        <f>HYPERLINK("https://cao.dolgi.msk.ru/account/1080323321/", 1080323321)</f>
        <v>1080323321</v>
      </c>
      <c r="D11552" t="s">
        <v>9507</v>
      </c>
      <c r="E11552">
        <v>-7345.16</v>
      </c>
      <c r="F11552">
        <v>-1.1299999999999999</v>
      </c>
      <c r="G11552" t="s">
        <v>12</v>
      </c>
      <c r="I11552" t="s">
        <v>230</v>
      </c>
    </row>
    <row r="11553" spans="1:9" hidden="1" x14ac:dyDescent="0.25">
      <c r="A11553" t="s">
        <v>9468</v>
      </c>
      <c r="B11553" t="s">
        <v>120</v>
      </c>
      <c r="C11553" s="2">
        <f>HYPERLINK("https://cao.dolgi.msk.ru/account/1080324113/", 1080324113)</f>
        <v>1080324113</v>
      </c>
      <c r="D11553" t="s">
        <v>9508</v>
      </c>
      <c r="E11553">
        <v>-5958.8</v>
      </c>
      <c r="F11553">
        <v>-1.21</v>
      </c>
      <c r="G11553" t="s">
        <v>12</v>
      </c>
      <c r="I11553" t="s">
        <v>230</v>
      </c>
    </row>
    <row r="11554" spans="1:9" hidden="1" x14ac:dyDescent="0.25">
      <c r="A11554" t="s">
        <v>9468</v>
      </c>
      <c r="B11554" t="s">
        <v>122</v>
      </c>
      <c r="C11554" s="2">
        <f>HYPERLINK("https://cao.dolgi.msk.ru/account/1080326151/", 1080326151)</f>
        <v>1080326151</v>
      </c>
      <c r="D11554" t="s">
        <v>9509</v>
      </c>
      <c r="E11554">
        <v>-8060.04</v>
      </c>
      <c r="F11554">
        <v>-1.96</v>
      </c>
      <c r="G11554" t="s">
        <v>12</v>
      </c>
      <c r="I11554" t="s">
        <v>230</v>
      </c>
    </row>
    <row r="11555" spans="1:9" hidden="1" x14ac:dyDescent="0.25">
      <c r="A11555" t="s">
        <v>9468</v>
      </c>
      <c r="B11555" t="s">
        <v>124</v>
      </c>
      <c r="C11555" s="2">
        <f>HYPERLINK("https://cao.dolgi.msk.ru/account/1080323073/", 1080323073)</f>
        <v>1080323073</v>
      </c>
      <c r="D11555" t="s">
        <v>15</v>
      </c>
      <c r="E11555">
        <v>0</v>
      </c>
      <c r="F11555">
        <v>0</v>
      </c>
      <c r="G11555" t="s">
        <v>12</v>
      </c>
      <c r="I11555" t="s">
        <v>230</v>
      </c>
    </row>
    <row r="11556" spans="1:9" hidden="1" x14ac:dyDescent="0.25">
      <c r="A11556" t="s">
        <v>9468</v>
      </c>
      <c r="B11556" t="s">
        <v>126</v>
      </c>
      <c r="C11556" s="2">
        <f>HYPERLINK("https://cao.dolgi.msk.ru/account/1080323372/", 1080323372)</f>
        <v>1080323372</v>
      </c>
      <c r="D11556" t="s">
        <v>9510</v>
      </c>
      <c r="E11556">
        <v>-9124.41</v>
      </c>
      <c r="F11556">
        <v>-1.2</v>
      </c>
      <c r="G11556" t="s">
        <v>12</v>
      </c>
      <c r="I11556" t="s">
        <v>230</v>
      </c>
    </row>
    <row r="11557" spans="1:9" hidden="1" x14ac:dyDescent="0.25">
      <c r="A11557" t="s">
        <v>9468</v>
      </c>
      <c r="B11557" t="s">
        <v>128</v>
      </c>
      <c r="C11557" s="2">
        <f>HYPERLINK("https://cao.dolgi.msk.ru/account/1080323866/", 1080323866)</f>
        <v>1080323866</v>
      </c>
      <c r="D11557" t="s">
        <v>9511</v>
      </c>
      <c r="E11557">
        <v>-3519.64</v>
      </c>
      <c r="F11557">
        <v>-1.28</v>
      </c>
      <c r="G11557" t="s">
        <v>12</v>
      </c>
      <c r="I11557" t="s">
        <v>230</v>
      </c>
    </row>
    <row r="11558" spans="1:9" hidden="1" x14ac:dyDescent="0.25">
      <c r="A11558" t="s">
        <v>9468</v>
      </c>
      <c r="B11558" t="s">
        <v>130</v>
      </c>
      <c r="C11558" s="2">
        <f>HYPERLINK("https://cao.dolgi.msk.ru/account/1080323209/", 1080323209)</f>
        <v>1080323209</v>
      </c>
      <c r="D11558" t="s">
        <v>9512</v>
      </c>
      <c r="E11558">
        <v>1762.85</v>
      </c>
      <c r="F11558">
        <v>0.34</v>
      </c>
      <c r="G11558" t="s">
        <v>12</v>
      </c>
      <c r="I11558" t="s">
        <v>230</v>
      </c>
    </row>
    <row r="11559" spans="1:9" hidden="1" x14ac:dyDescent="0.25">
      <c r="A11559" t="s">
        <v>9468</v>
      </c>
      <c r="B11559" t="s">
        <v>132</v>
      </c>
      <c r="C11559" s="2">
        <f>HYPERLINK("https://cao.dolgi.msk.ru/account/1080326899/", 1080326899)</f>
        <v>1080326899</v>
      </c>
      <c r="D11559" t="s">
        <v>9513</v>
      </c>
      <c r="E11559">
        <v>-7251.93</v>
      </c>
      <c r="F11559">
        <v>-1.17</v>
      </c>
      <c r="G11559" t="s">
        <v>12</v>
      </c>
      <c r="I11559" t="s">
        <v>230</v>
      </c>
    </row>
    <row r="11560" spans="1:9" hidden="1" x14ac:dyDescent="0.25">
      <c r="A11560" t="s">
        <v>9468</v>
      </c>
      <c r="B11560" t="s">
        <v>133</v>
      </c>
      <c r="C11560" s="2">
        <f>HYPERLINK("https://cao.dolgi.msk.ru/account/1080323145/", 1080323145)</f>
        <v>1080323145</v>
      </c>
      <c r="D11560" t="s">
        <v>9514</v>
      </c>
      <c r="E11560">
        <v>5823.58</v>
      </c>
      <c r="F11560">
        <v>0.98</v>
      </c>
      <c r="G11560" t="s">
        <v>12</v>
      </c>
      <c r="I11560" t="s">
        <v>230</v>
      </c>
    </row>
    <row r="11561" spans="1:9" hidden="1" x14ac:dyDescent="0.25">
      <c r="A11561" t="s">
        <v>9468</v>
      </c>
      <c r="B11561" t="s">
        <v>135</v>
      </c>
      <c r="C11561" s="2">
        <f>HYPERLINK("https://cao.dolgi.msk.ru/account/1080325036/", 1080325036)</f>
        <v>1080325036</v>
      </c>
      <c r="D11561" t="s">
        <v>15</v>
      </c>
      <c r="E11561">
        <v>-7034.52</v>
      </c>
      <c r="F11561">
        <v>-1.27</v>
      </c>
      <c r="G11561" t="s">
        <v>12</v>
      </c>
      <c r="I11561" t="s">
        <v>230</v>
      </c>
    </row>
    <row r="11562" spans="1:9" hidden="1" x14ac:dyDescent="0.25">
      <c r="A11562" t="s">
        <v>9468</v>
      </c>
      <c r="B11562" t="s">
        <v>137</v>
      </c>
      <c r="C11562" s="2">
        <f>HYPERLINK("https://cao.dolgi.msk.ru/account/1080323591/", 1080323591)</f>
        <v>1080323591</v>
      </c>
      <c r="D11562" t="s">
        <v>15</v>
      </c>
      <c r="E11562">
        <v>-4931.83</v>
      </c>
      <c r="F11562">
        <v>-1.3</v>
      </c>
      <c r="G11562" t="s">
        <v>12</v>
      </c>
      <c r="I11562" t="s">
        <v>230</v>
      </c>
    </row>
    <row r="11563" spans="1:9" hidden="1" x14ac:dyDescent="0.25">
      <c r="A11563" t="s">
        <v>9468</v>
      </c>
      <c r="B11563" t="s">
        <v>139</v>
      </c>
      <c r="C11563" s="2">
        <f>HYPERLINK("https://cao.dolgi.msk.ru/account/1080323268/", 1080323268)</f>
        <v>1080323268</v>
      </c>
      <c r="D11563" t="s">
        <v>15</v>
      </c>
      <c r="E11563">
        <v>-4947.82</v>
      </c>
      <c r="F11563">
        <v>-1.05</v>
      </c>
      <c r="G11563" t="s">
        <v>12</v>
      </c>
      <c r="I11563" t="s">
        <v>230</v>
      </c>
    </row>
    <row r="11564" spans="1:9" hidden="1" x14ac:dyDescent="0.25">
      <c r="A11564" t="s">
        <v>9468</v>
      </c>
      <c r="B11564" t="s">
        <v>141</v>
      </c>
      <c r="C11564" s="2">
        <f>HYPERLINK("https://cao.dolgi.msk.ru/account/1080323727/", 1080323727)</f>
        <v>1080323727</v>
      </c>
      <c r="D11564" t="s">
        <v>9515</v>
      </c>
      <c r="E11564">
        <v>-110.17</v>
      </c>
      <c r="F11564">
        <v>-0.02</v>
      </c>
      <c r="G11564" t="s">
        <v>12</v>
      </c>
      <c r="I11564" t="s">
        <v>230</v>
      </c>
    </row>
    <row r="11565" spans="1:9" hidden="1" x14ac:dyDescent="0.25">
      <c r="A11565" t="s">
        <v>9468</v>
      </c>
      <c r="B11565" t="s">
        <v>143</v>
      </c>
      <c r="C11565" s="2">
        <f>HYPERLINK("https://cao.dolgi.msk.ru/account/1080324236/", 1080324236)</f>
        <v>1080324236</v>
      </c>
      <c r="D11565" t="s">
        <v>15</v>
      </c>
      <c r="E11565">
        <v>-50.74</v>
      </c>
      <c r="F11565">
        <v>-0.01</v>
      </c>
      <c r="G11565" t="s">
        <v>12</v>
      </c>
      <c r="I11565" t="s">
        <v>230</v>
      </c>
    </row>
    <row r="11566" spans="1:9" x14ac:dyDescent="0.25">
      <c r="A11566" t="s">
        <v>9468</v>
      </c>
      <c r="B11566" t="s">
        <v>145</v>
      </c>
      <c r="C11566" s="2">
        <f>HYPERLINK("https://cao.dolgi.msk.ru/account/1080324252/", 1080324252)</f>
        <v>1080324252</v>
      </c>
      <c r="D11566" t="s">
        <v>9516</v>
      </c>
      <c r="E11566">
        <v>7738.48</v>
      </c>
      <c r="F11566">
        <v>1.04</v>
      </c>
      <c r="G11566" t="s">
        <v>12</v>
      </c>
      <c r="I11566" t="s">
        <v>230</v>
      </c>
    </row>
    <row r="11567" spans="1:9" hidden="1" x14ac:dyDescent="0.25">
      <c r="A11567" t="s">
        <v>9468</v>
      </c>
      <c r="B11567" t="s">
        <v>147</v>
      </c>
      <c r="C11567" s="2">
        <f>HYPERLINK("https://cao.dolgi.msk.ru/account/1080324818/", 1080324818)</f>
        <v>1080324818</v>
      </c>
      <c r="D11567" t="s">
        <v>736</v>
      </c>
      <c r="E11567">
        <v>-5310.59</v>
      </c>
      <c r="F11567">
        <v>-1.21</v>
      </c>
      <c r="G11567" t="s">
        <v>12</v>
      </c>
      <c r="I11567" t="s">
        <v>230</v>
      </c>
    </row>
    <row r="11568" spans="1:9" hidden="1" x14ac:dyDescent="0.25">
      <c r="A11568" t="s">
        <v>9468</v>
      </c>
      <c r="B11568" t="s">
        <v>149</v>
      </c>
      <c r="C11568" s="2">
        <f>HYPERLINK("https://cao.dolgi.msk.ru/account/1080323575/", 1080323575)</f>
        <v>1080323575</v>
      </c>
      <c r="D11568" t="s">
        <v>15</v>
      </c>
      <c r="G11568" t="s">
        <v>14</v>
      </c>
      <c r="I11568" t="s">
        <v>230</v>
      </c>
    </row>
    <row r="11569" spans="1:9" hidden="1" x14ac:dyDescent="0.25">
      <c r="A11569" t="s">
        <v>9468</v>
      </c>
      <c r="B11569" t="s">
        <v>149</v>
      </c>
      <c r="C11569" s="2">
        <f>HYPERLINK("https://cao.dolgi.msk.ru/account/1080324391/", 1080324391)</f>
        <v>1080324391</v>
      </c>
      <c r="D11569" t="s">
        <v>15</v>
      </c>
      <c r="E11569">
        <v>-11729.66</v>
      </c>
      <c r="F11569">
        <v>-1.1200000000000001</v>
      </c>
      <c r="G11569" t="s">
        <v>12</v>
      </c>
      <c r="I11569" t="s">
        <v>230</v>
      </c>
    </row>
    <row r="11570" spans="1:9" hidden="1" x14ac:dyDescent="0.25">
      <c r="A11570" t="s">
        <v>9468</v>
      </c>
      <c r="B11570" t="s">
        <v>151</v>
      </c>
      <c r="C11570" s="2">
        <f>HYPERLINK("https://cao.dolgi.msk.ru/account/1080324404/", 1080324404)</f>
        <v>1080324404</v>
      </c>
      <c r="D11570" t="s">
        <v>736</v>
      </c>
      <c r="E11570">
        <v>-7605.2</v>
      </c>
      <c r="F11570">
        <v>-1.32</v>
      </c>
      <c r="G11570" t="s">
        <v>12</v>
      </c>
      <c r="I11570" t="s">
        <v>230</v>
      </c>
    </row>
    <row r="11571" spans="1:9" hidden="1" x14ac:dyDescent="0.25">
      <c r="A11571" t="s">
        <v>9468</v>
      </c>
      <c r="B11571" t="s">
        <v>153</v>
      </c>
      <c r="C11571" s="2">
        <f>HYPERLINK("https://cao.dolgi.msk.ru/account/1080323401/", 1080323401)</f>
        <v>1080323401</v>
      </c>
      <c r="D11571" t="s">
        <v>9517</v>
      </c>
      <c r="E11571">
        <v>0</v>
      </c>
      <c r="F11571">
        <v>0</v>
      </c>
      <c r="G11571" t="s">
        <v>12</v>
      </c>
      <c r="I11571" t="s">
        <v>230</v>
      </c>
    </row>
    <row r="11572" spans="1:9" hidden="1" x14ac:dyDescent="0.25">
      <c r="A11572" t="s">
        <v>9468</v>
      </c>
      <c r="B11572" t="s">
        <v>155</v>
      </c>
      <c r="C11572" s="2">
        <f>HYPERLINK("https://cao.dolgi.msk.ru/account/1080323292/", 1080323292)</f>
        <v>1080323292</v>
      </c>
      <c r="D11572" t="s">
        <v>9518</v>
      </c>
      <c r="E11572">
        <v>-197.53</v>
      </c>
      <c r="F11572">
        <v>-0.08</v>
      </c>
      <c r="G11572" t="s">
        <v>12</v>
      </c>
      <c r="I11572" t="s">
        <v>230</v>
      </c>
    </row>
    <row r="11573" spans="1:9" hidden="1" x14ac:dyDescent="0.25">
      <c r="A11573" t="s">
        <v>9468</v>
      </c>
      <c r="B11573" t="s">
        <v>157</v>
      </c>
      <c r="C11573" s="2">
        <f>HYPERLINK("https://cao.dolgi.msk.ru/account/1080323903/", 1080323903)</f>
        <v>1080323903</v>
      </c>
      <c r="D11573" t="s">
        <v>9519</v>
      </c>
      <c r="E11573">
        <v>-3554.33</v>
      </c>
      <c r="F11573">
        <v>-1.33</v>
      </c>
      <c r="G11573" t="s">
        <v>12</v>
      </c>
      <c r="I11573" t="s">
        <v>230</v>
      </c>
    </row>
    <row r="11574" spans="1:9" hidden="1" x14ac:dyDescent="0.25">
      <c r="A11574" t="s">
        <v>9468</v>
      </c>
      <c r="B11574" t="s">
        <v>159</v>
      </c>
      <c r="C11574" s="2">
        <f>HYPERLINK("https://cao.dolgi.msk.ru/account/1080323065/", 1080323065)</f>
        <v>1080323065</v>
      </c>
      <c r="D11574" t="s">
        <v>9520</v>
      </c>
      <c r="E11574">
        <v>-6341.84</v>
      </c>
      <c r="F11574">
        <v>-1.07</v>
      </c>
      <c r="G11574" t="s">
        <v>12</v>
      </c>
      <c r="I11574" t="s">
        <v>230</v>
      </c>
    </row>
    <row r="11575" spans="1:9" hidden="1" x14ac:dyDescent="0.25">
      <c r="A11575" t="s">
        <v>9468</v>
      </c>
      <c r="B11575" t="s">
        <v>161</v>
      </c>
      <c r="C11575" s="2">
        <f>HYPERLINK("https://cao.dolgi.msk.ru/account/1080323655/", 1080323655)</f>
        <v>1080323655</v>
      </c>
      <c r="D11575" t="s">
        <v>9521</v>
      </c>
      <c r="E11575">
        <v>0</v>
      </c>
      <c r="F11575">
        <v>0</v>
      </c>
      <c r="G11575" t="s">
        <v>12</v>
      </c>
      <c r="I11575" t="s">
        <v>230</v>
      </c>
    </row>
    <row r="11576" spans="1:9" hidden="1" x14ac:dyDescent="0.25">
      <c r="A11576" t="s">
        <v>9468</v>
      </c>
      <c r="B11576" t="s">
        <v>163</v>
      </c>
      <c r="C11576" s="2">
        <f>HYPERLINK("https://cao.dolgi.msk.ru/account/1080323153/", 1080323153)</f>
        <v>1080323153</v>
      </c>
      <c r="D11576" t="s">
        <v>736</v>
      </c>
      <c r="E11576">
        <v>-3880.93</v>
      </c>
      <c r="F11576">
        <v>-1.32</v>
      </c>
      <c r="G11576" t="s">
        <v>12</v>
      </c>
      <c r="I11576" t="s">
        <v>230</v>
      </c>
    </row>
    <row r="11577" spans="1:9" hidden="1" x14ac:dyDescent="0.25">
      <c r="A11577" t="s">
        <v>9468</v>
      </c>
      <c r="B11577" t="s">
        <v>571</v>
      </c>
      <c r="C11577" s="2">
        <f>HYPERLINK("https://cao.dolgi.msk.ru/account/1080323495/", 1080323495)</f>
        <v>1080323495</v>
      </c>
      <c r="D11577" t="s">
        <v>9522</v>
      </c>
      <c r="E11577">
        <v>-3992.34</v>
      </c>
      <c r="F11577">
        <v>-1.38</v>
      </c>
      <c r="G11577" t="s">
        <v>12</v>
      </c>
      <c r="I11577" t="s">
        <v>230</v>
      </c>
    </row>
    <row r="11578" spans="1:9" hidden="1" x14ac:dyDescent="0.25">
      <c r="A11578" t="s">
        <v>9468</v>
      </c>
      <c r="B11578" t="s">
        <v>682</v>
      </c>
      <c r="C11578" s="2">
        <f>HYPERLINK("https://cao.dolgi.msk.ru/account/1080326397/", 1080326397)</f>
        <v>1080326397</v>
      </c>
      <c r="D11578" t="s">
        <v>9523</v>
      </c>
      <c r="E11578">
        <v>-7863.78</v>
      </c>
      <c r="F11578">
        <v>-1.5</v>
      </c>
      <c r="G11578" t="s">
        <v>12</v>
      </c>
      <c r="I11578" t="s">
        <v>230</v>
      </c>
    </row>
    <row r="11579" spans="1:9" hidden="1" x14ac:dyDescent="0.25">
      <c r="A11579" t="s">
        <v>9468</v>
      </c>
      <c r="B11579" t="s">
        <v>578</v>
      </c>
      <c r="C11579" s="2">
        <f>HYPERLINK("https://cao.dolgi.msk.ru/account/1080326039/", 1080326039)</f>
        <v>1080326039</v>
      </c>
      <c r="D11579" t="s">
        <v>736</v>
      </c>
      <c r="E11579">
        <v>-8226.01</v>
      </c>
      <c r="F11579">
        <v>-1.35</v>
      </c>
      <c r="G11579" t="s">
        <v>12</v>
      </c>
      <c r="I11579" t="s">
        <v>230</v>
      </c>
    </row>
    <row r="11580" spans="1:9" hidden="1" x14ac:dyDescent="0.25">
      <c r="A11580" t="s">
        <v>9468</v>
      </c>
      <c r="B11580" t="s">
        <v>580</v>
      </c>
      <c r="C11580" s="2">
        <f>HYPERLINK("https://cao.dolgi.msk.ru/account/1080323102/", 1080323102)</f>
        <v>1080323102</v>
      </c>
      <c r="D11580" t="s">
        <v>9524</v>
      </c>
      <c r="E11580">
        <v>0.76</v>
      </c>
      <c r="F11580">
        <v>0</v>
      </c>
      <c r="G11580" t="s">
        <v>12</v>
      </c>
      <c r="I11580" t="s">
        <v>230</v>
      </c>
    </row>
    <row r="11581" spans="1:9" hidden="1" x14ac:dyDescent="0.25">
      <c r="A11581" t="s">
        <v>9468</v>
      </c>
      <c r="B11581" t="s">
        <v>686</v>
      </c>
      <c r="C11581" s="2">
        <f>HYPERLINK("https://cao.dolgi.msk.ru/account/1080325132/", 1080325132)</f>
        <v>1080325132</v>
      </c>
      <c r="D11581" t="s">
        <v>9525</v>
      </c>
      <c r="E11581">
        <v>-3874.54</v>
      </c>
      <c r="F11581">
        <v>-1.35</v>
      </c>
      <c r="G11581" t="s">
        <v>12</v>
      </c>
      <c r="I11581" t="s">
        <v>230</v>
      </c>
    </row>
    <row r="11582" spans="1:9" hidden="1" x14ac:dyDescent="0.25">
      <c r="A11582" t="s">
        <v>9468</v>
      </c>
      <c r="B11582" t="s">
        <v>582</v>
      </c>
      <c r="C11582" s="2">
        <f>HYPERLINK("https://cao.dolgi.msk.ru/account/1080323698/", 1080323698)</f>
        <v>1080323698</v>
      </c>
      <c r="D11582" t="s">
        <v>9526</v>
      </c>
      <c r="E11582">
        <v>7499.28</v>
      </c>
      <c r="F11582">
        <v>1</v>
      </c>
      <c r="G11582" t="s">
        <v>12</v>
      </c>
      <c r="I11582" t="s">
        <v>230</v>
      </c>
    </row>
    <row r="11583" spans="1:9" hidden="1" x14ac:dyDescent="0.25">
      <c r="A11583" t="s">
        <v>9468</v>
      </c>
      <c r="B11583" t="s">
        <v>584</v>
      </c>
      <c r="C11583" s="2">
        <f>HYPERLINK("https://cao.dolgi.msk.ru/account/1080324826/", 1080324826)</f>
        <v>1080324826</v>
      </c>
      <c r="D11583" t="s">
        <v>9527</v>
      </c>
      <c r="E11583">
        <v>-5808.46</v>
      </c>
      <c r="F11583">
        <v>-1.21</v>
      </c>
      <c r="G11583" t="s">
        <v>12</v>
      </c>
      <c r="I11583" t="s">
        <v>230</v>
      </c>
    </row>
    <row r="11584" spans="1:9" hidden="1" x14ac:dyDescent="0.25">
      <c r="A11584" t="s">
        <v>9468</v>
      </c>
      <c r="B11584" t="s">
        <v>586</v>
      </c>
      <c r="C11584" s="2">
        <f>HYPERLINK("https://cao.dolgi.msk.ru/account/1080323428/", 1080323428)</f>
        <v>1080323428</v>
      </c>
      <c r="D11584" t="s">
        <v>9528</v>
      </c>
      <c r="E11584">
        <v>-5654.66</v>
      </c>
      <c r="F11584">
        <v>-1.1399999999999999</v>
      </c>
      <c r="G11584" t="s">
        <v>12</v>
      </c>
      <c r="I11584" t="s">
        <v>230</v>
      </c>
    </row>
    <row r="11585" spans="1:9" hidden="1" x14ac:dyDescent="0.25">
      <c r="A11585" t="s">
        <v>9468</v>
      </c>
      <c r="B11585" t="s">
        <v>588</v>
      </c>
      <c r="C11585" s="2">
        <f>HYPERLINK("https://cao.dolgi.msk.ru/account/1080323639/", 1080323639)</f>
        <v>1080323639</v>
      </c>
      <c r="D11585" t="s">
        <v>9529</v>
      </c>
      <c r="E11585">
        <v>-813.94</v>
      </c>
      <c r="F11585">
        <v>-0.24</v>
      </c>
      <c r="G11585" t="s">
        <v>12</v>
      </c>
      <c r="I11585" t="s">
        <v>230</v>
      </c>
    </row>
    <row r="11586" spans="1:9" hidden="1" x14ac:dyDescent="0.25">
      <c r="A11586" t="s">
        <v>9468</v>
      </c>
      <c r="B11586" t="s">
        <v>590</v>
      </c>
      <c r="C11586" s="2">
        <f>HYPERLINK("https://cao.dolgi.msk.ru/account/1080323997/", 1080323997)</f>
        <v>1080323997</v>
      </c>
      <c r="D11586" t="s">
        <v>9530</v>
      </c>
      <c r="E11586">
        <v>-4984.3900000000003</v>
      </c>
      <c r="F11586">
        <v>-1.38</v>
      </c>
      <c r="G11586" t="s">
        <v>12</v>
      </c>
      <c r="I11586" t="s">
        <v>230</v>
      </c>
    </row>
    <row r="11587" spans="1:9" hidden="1" x14ac:dyDescent="0.25">
      <c r="A11587" t="s">
        <v>9468</v>
      </c>
      <c r="B11587" t="s">
        <v>693</v>
      </c>
      <c r="C11587" s="2">
        <f>HYPERLINK("https://cao.dolgi.msk.ru/account/1080323807/", 1080323807)</f>
        <v>1080323807</v>
      </c>
      <c r="D11587" t="s">
        <v>9531</v>
      </c>
      <c r="E11587">
        <v>-7874.91</v>
      </c>
      <c r="F11587">
        <v>-1.07</v>
      </c>
      <c r="G11587" t="s">
        <v>12</v>
      </c>
      <c r="I11587" t="s">
        <v>230</v>
      </c>
    </row>
    <row r="11588" spans="1:9" hidden="1" x14ac:dyDescent="0.25">
      <c r="A11588" t="s">
        <v>9468</v>
      </c>
      <c r="B11588" t="s">
        <v>694</v>
      </c>
      <c r="C11588" s="2">
        <f>HYPERLINK("https://cao.dolgi.msk.ru/account/1080323225/", 1080323225)</f>
        <v>1080323225</v>
      </c>
      <c r="D11588" t="s">
        <v>9532</v>
      </c>
      <c r="E11588">
        <v>-3608.04</v>
      </c>
      <c r="F11588">
        <v>-0.74</v>
      </c>
      <c r="G11588" t="s">
        <v>12</v>
      </c>
      <c r="I11588" t="s">
        <v>230</v>
      </c>
    </row>
    <row r="11589" spans="1:9" hidden="1" x14ac:dyDescent="0.25">
      <c r="A11589" t="s">
        <v>9468</v>
      </c>
      <c r="B11589" t="s">
        <v>696</v>
      </c>
      <c r="C11589" s="2">
        <f>HYPERLINK("https://cao.dolgi.msk.ru/account/1080325714/", 1080325714)</f>
        <v>1080325714</v>
      </c>
      <c r="D11589" t="s">
        <v>15</v>
      </c>
      <c r="E11589">
        <v>-4154.2700000000004</v>
      </c>
      <c r="F11589">
        <v>-1.29</v>
      </c>
      <c r="G11589" t="s">
        <v>12</v>
      </c>
      <c r="I11589" t="s">
        <v>230</v>
      </c>
    </row>
    <row r="11590" spans="1:9" x14ac:dyDescent="0.25">
      <c r="A11590" t="s">
        <v>9468</v>
      </c>
      <c r="B11590" t="s">
        <v>698</v>
      </c>
      <c r="C11590" s="2">
        <f>HYPERLINK("https://cao.dolgi.msk.ru/account/1080323452/", 1080323452)</f>
        <v>1080323452</v>
      </c>
      <c r="D11590" t="s">
        <v>736</v>
      </c>
      <c r="E11590">
        <v>12212.22</v>
      </c>
      <c r="F11590">
        <v>2</v>
      </c>
      <c r="G11590" t="s">
        <v>12</v>
      </c>
      <c r="I11590" t="s">
        <v>230</v>
      </c>
    </row>
    <row r="11591" spans="1:9" hidden="1" x14ac:dyDescent="0.25">
      <c r="A11591" t="s">
        <v>9533</v>
      </c>
      <c r="B11591" t="s">
        <v>10</v>
      </c>
      <c r="C11591" s="2">
        <f>HYPERLINK("https://cao.dolgi.msk.ru/account/1080099729/", 1080099729)</f>
        <v>1080099729</v>
      </c>
      <c r="D11591" t="s">
        <v>9534</v>
      </c>
      <c r="E11591">
        <v>-2228.4299999999998</v>
      </c>
      <c r="F11591">
        <v>-0.7</v>
      </c>
      <c r="G11591" t="s">
        <v>12</v>
      </c>
      <c r="I11591" t="s">
        <v>230</v>
      </c>
    </row>
    <row r="11592" spans="1:9" hidden="1" x14ac:dyDescent="0.25">
      <c r="A11592" t="s">
        <v>9533</v>
      </c>
      <c r="B11592" t="s">
        <v>16</v>
      </c>
      <c r="C11592" s="2">
        <f>HYPERLINK("https://cao.dolgi.msk.ru/account/1080099737/", 1080099737)</f>
        <v>1080099737</v>
      </c>
      <c r="D11592" t="s">
        <v>9535</v>
      </c>
      <c r="E11592">
        <v>-7492.02</v>
      </c>
      <c r="F11592">
        <v>-1.25</v>
      </c>
      <c r="G11592" t="s">
        <v>12</v>
      </c>
      <c r="I11592" t="s">
        <v>230</v>
      </c>
    </row>
    <row r="11593" spans="1:9" hidden="1" x14ac:dyDescent="0.25">
      <c r="A11593" t="s">
        <v>9533</v>
      </c>
      <c r="B11593" t="s">
        <v>18</v>
      </c>
      <c r="C11593" s="2">
        <f>HYPERLINK("https://cao.dolgi.msk.ru/account/1080099745/", 1080099745)</f>
        <v>1080099745</v>
      </c>
      <c r="D11593" t="s">
        <v>9536</v>
      </c>
      <c r="E11593">
        <v>-4544.1499999999996</v>
      </c>
      <c r="F11593">
        <v>-1.56</v>
      </c>
      <c r="G11593" t="s">
        <v>12</v>
      </c>
      <c r="I11593" t="s">
        <v>230</v>
      </c>
    </row>
    <row r="11594" spans="1:9" hidden="1" x14ac:dyDescent="0.25">
      <c r="A11594" t="s">
        <v>9533</v>
      </c>
      <c r="B11594" t="s">
        <v>20</v>
      </c>
      <c r="C11594" s="2">
        <f>HYPERLINK("https://cao.dolgi.msk.ru/account/1080099753/", 1080099753)</f>
        <v>1080099753</v>
      </c>
      <c r="D11594" t="s">
        <v>9537</v>
      </c>
      <c r="E11594">
        <v>-4759.51</v>
      </c>
      <c r="F11594">
        <v>-1.24</v>
      </c>
      <c r="G11594" t="s">
        <v>12</v>
      </c>
      <c r="I11594" t="s">
        <v>230</v>
      </c>
    </row>
    <row r="11595" spans="1:9" hidden="1" x14ac:dyDescent="0.25">
      <c r="A11595" t="s">
        <v>9533</v>
      </c>
      <c r="B11595" t="s">
        <v>21</v>
      </c>
      <c r="C11595" s="2">
        <f>HYPERLINK("https://cao.dolgi.msk.ru/account/1080099761/", 1080099761)</f>
        <v>1080099761</v>
      </c>
      <c r="D11595" t="s">
        <v>9538</v>
      </c>
      <c r="E11595">
        <v>-2545.91</v>
      </c>
      <c r="F11595">
        <v>-1.01</v>
      </c>
      <c r="G11595" t="s">
        <v>12</v>
      </c>
      <c r="I11595" t="s">
        <v>230</v>
      </c>
    </row>
    <row r="11596" spans="1:9" hidden="1" x14ac:dyDescent="0.25">
      <c r="A11596" t="s">
        <v>9533</v>
      </c>
      <c r="B11596" t="s">
        <v>22</v>
      </c>
      <c r="C11596" s="2">
        <f>HYPERLINK("https://cao.dolgi.msk.ru/account/1080099788/", 1080099788)</f>
        <v>1080099788</v>
      </c>
      <c r="D11596" t="s">
        <v>9539</v>
      </c>
      <c r="E11596">
        <v>-1796.23</v>
      </c>
      <c r="F11596">
        <v>-0.82</v>
      </c>
      <c r="G11596" t="s">
        <v>12</v>
      </c>
      <c r="I11596" t="s">
        <v>230</v>
      </c>
    </row>
    <row r="11597" spans="1:9" hidden="1" x14ac:dyDescent="0.25">
      <c r="A11597" t="s">
        <v>9533</v>
      </c>
      <c r="B11597" t="s">
        <v>23</v>
      </c>
      <c r="C11597" s="2">
        <f>HYPERLINK("https://cao.dolgi.msk.ru/account/1080099796/", 1080099796)</f>
        <v>1080099796</v>
      </c>
      <c r="D11597" t="s">
        <v>9540</v>
      </c>
      <c r="E11597">
        <v>4210.9399999999996</v>
      </c>
      <c r="F11597">
        <v>0.97</v>
      </c>
      <c r="G11597" t="s">
        <v>12</v>
      </c>
      <c r="I11597" t="s">
        <v>230</v>
      </c>
    </row>
    <row r="11598" spans="1:9" hidden="1" x14ac:dyDescent="0.25">
      <c r="A11598" t="s">
        <v>9533</v>
      </c>
      <c r="B11598" t="s">
        <v>24</v>
      </c>
      <c r="C11598" s="2">
        <f>HYPERLINK("https://cao.dolgi.msk.ru/account/1080099809/", 1080099809)</f>
        <v>1080099809</v>
      </c>
      <c r="D11598" t="s">
        <v>9541</v>
      </c>
      <c r="E11598">
        <v>-3404.89</v>
      </c>
      <c r="F11598">
        <v>-1.1299999999999999</v>
      </c>
      <c r="G11598" t="s">
        <v>12</v>
      </c>
      <c r="I11598" t="s">
        <v>230</v>
      </c>
    </row>
    <row r="11599" spans="1:9" hidden="1" x14ac:dyDescent="0.25">
      <c r="A11599" t="s">
        <v>9533</v>
      </c>
      <c r="B11599" t="s">
        <v>27</v>
      </c>
      <c r="C11599" s="2">
        <f>HYPERLINK("https://cao.dolgi.msk.ru/account/1080099817/", 1080099817)</f>
        <v>1080099817</v>
      </c>
      <c r="D11599" t="s">
        <v>9542</v>
      </c>
      <c r="E11599">
        <v>-10910.29</v>
      </c>
      <c r="F11599">
        <v>-1.22</v>
      </c>
      <c r="G11599" t="s">
        <v>12</v>
      </c>
      <c r="I11599" t="s">
        <v>230</v>
      </c>
    </row>
    <row r="11600" spans="1:9" hidden="1" x14ac:dyDescent="0.25">
      <c r="A11600" t="s">
        <v>9533</v>
      </c>
      <c r="B11600" t="s">
        <v>29</v>
      </c>
      <c r="C11600" s="2">
        <f>HYPERLINK("https://cao.dolgi.msk.ru/account/1080099825/", 1080099825)</f>
        <v>1080099825</v>
      </c>
      <c r="D11600" t="s">
        <v>9543</v>
      </c>
      <c r="E11600">
        <v>-5400.6</v>
      </c>
      <c r="F11600">
        <v>-1.52</v>
      </c>
      <c r="G11600" t="s">
        <v>12</v>
      </c>
      <c r="I11600" t="s">
        <v>230</v>
      </c>
    </row>
    <row r="11601" spans="1:9" hidden="1" x14ac:dyDescent="0.25">
      <c r="A11601" t="s">
        <v>9533</v>
      </c>
      <c r="B11601" t="s">
        <v>31</v>
      </c>
      <c r="C11601" s="2">
        <f>HYPERLINK("https://cao.dolgi.msk.ru/account/1080099833/", 1080099833)</f>
        <v>1080099833</v>
      </c>
      <c r="D11601" t="s">
        <v>9544</v>
      </c>
      <c r="E11601">
        <v>-7031.85</v>
      </c>
      <c r="F11601">
        <v>-1.66</v>
      </c>
      <c r="G11601" t="s">
        <v>12</v>
      </c>
      <c r="I11601" t="s">
        <v>230</v>
      </c>
    </row>
    <row r="11602" spans="1:9" hidden="1" x14ac:dyDescent="0.25">
      <c r="A11602" t="s">
        <v>9533</v>
      </c>
      <c r="B11602" t="s">
        <v>33</v>
      </c>
      <c r="C11602" s="2">
        <f>HYPERLINK("https://cao.dolgi.msk.ru/account/1080099841/", 1080099841)</f>
        <v>1080099841</v>
      </c>
      <c r="D11602" t="s">
        <v>9545</v>
      </c>
      <c r="E11602">
        <v>-3808.51</v>
      </c>
      <c r="F11602">
        <v>-1.1299999999999999</v>
      </c>
      <c r="G11602" t="s">
        <v>12</v>
      </c>
      <c r="I11602" t="s">
        <v>230</v>
      </c>
    </row>
    <row r="11603" spans="1:9" hidden="1" x14ac:dyDescent="0.25">
      <c r="A11603" t="s">
        <v>9533</v>
      </c>
      <c r="B11603" t="s">
        <v>34</v>
      </c>
      <c r="C11603" s="2">
        <f>HYPERLINK("https://cao.dolgi.msk.ru/account/1080099868/", 1080099868)</f>
        <v>1080099868</v>
      </c>
      <c r="D11603" t="s">
        <v>9546</v>
      </c>
      <c r="E11603">
        <v>-8325.92</v>
      </c>
      <c r="F11603">
        <v>-2.2999999999999998</v>
      </c>
      <c r="G11603" t="s">
        <v>12</v>
      </c>
      <c r="I11603" t="s">
        <v>230</v>
      </c>
    </row>
    <row r="11604" spans="1:9" hidden="1" x14ac:dyDescent="0.25">
      <c r="A11604" t="s">
        <v>9533</v>
      </c>
      <c r="B11604" t="s">
        <v>36</v>
      </c>
      <c r="C11604" s="2">
        <f>HYPERLINK("https://cao.dolgi.msk.ru/account/1080099876/", 1080099876)</f>
        <v>1080099876</v>
      </c>
      <c r="D11604" t="s">
        <v>9547</v>
      </c>
      <c r="E11604">
        <v>7171.51</v>
      </c>
      <c r="F11604">
        <v>1</v>
      </c>
      <c r="G11604" t="s">
        <v>12</v>
      </c>
      <c r="I11604" t="s">
        <v>230</v>
      </c>
    </row>
    <row r="11605" spans="1:9" hidden="1" x14ac:dyDescent="0.25">
      <c r="A11605" t="s">
        <v>9533</v>
      </c>
      <c r="B11605" t="s">
        <v>38</v>
      </c>
      <c r="C11605" s="2">
        <f>HYPERLINK("https://cao.dolgi.msk.ru/account/1080099884/", 1080099884)</f>
        <v>1080099884</v>
      </c>
      <c r="D11605" t="s">
        <v>9548</v>
      </c>
      <c r="E11605">
        <v>-3864.35</v>
      </c>
      <c r="F11605">
        <v>-1.22</v>
      </c>
      <c r="G11605" t="s">
        <v>12</v>
      </c>
      <c r="I11605" t="s">
        <v>230</v>
      </c>
    </row>
    <row r="11606" spans="1:9" hidden="1" x14ac:dyDescent="0.25">
      <c r="A11606" t="s">
        <v>9533</v>
      </c>
      <c r="B11606" t="s">
        <v>38</v>
      </c>
      <c r="C11606" s="2">
        <f>HYPERLINK("https://cao.dolgi.msk.ru/account/1080323612/", 1080323612)</f>
        <v>1080323612</v>
      </c>
      <c r="D11606" t="s">
        <v>9549</v>
      </c>
      <c r="E11606">
        <v>-942.74</v>
      </c>
      <c r="F11606">
        <v>-1.25</v>
      </c>
      <c r="G11606" t="s">
        <v>14</v>
      </c>
      <c r="I11606" t="s">
        <v>230</v>
      </c>
    </row>
    <row r="11607" spans="1:9" hidden="1" x14ac:dyDescent="0.25">
      <c r="A11607" t="s">
        <v>9533</v>
      </c>
      <c r="B11607" t="s">
        <v>39</v>
      </c>
      <c r="C11607" s="2">
        <f>HYPERLINK("https://cao.dolgi.msk.ru/account/1080099892/", 1080099892)</f>
        <v>1080099892</v>
      </c>
      <c r="D11607" t="s">
        <v>9550</v>
      </c>
      <c r="E11607">
        <v>49.57</v>
      </c>
      <c r="F11607">
        <v>0.01</v>
      </c>
      <c r="G11607" t="s">
        <v>12</v>
      </c>
      <c r="I11607" t="s">
        <v>230</v>
      </c>
    </row>
    <row r="11608" spans="1:9" hidden="1" x14ac:dyDescent="0.25">
      <c r="A11608" t="s">
        <v>9533</v>
      </c>
      <c r="B11608" t="s">
        <v>40</v>
      </c>
      <c r="C11608" s="2">
        <f>HYPERLINK("https://cao.dolgi.msk.ru/account/1080099905/", 1080099905)</f>
        <v>1080099905</v>
      </c>
      <c r="D11608" t="s">
        <v>9551</v>
      </c>
      <c r="E11608">
        <v>-4787.29</v>
      </c>
      <c r="F11608">
        <v>-1.26</v>
      </c>
      <c r="G11608" t="s">
        <v>12</v>
      </c>
      <c r="I11608" t="s">
        <v>230</v>
      </c>
    </row>
    <row r="11609" spans="1:9" hidden="1" x14ac:dyDescent="0.25">
      <c r="A11609" t="s">
        <v>9533</v>
      </c>
      <c r="B11609" t="s">
        <v>41</v>
      </c>
      <c r="C11609" s="2">
        <f>HYPERLINK("https://cao.dolgi.msk.ru/account/1080099913/", 1080099913)</f>
        <v>1080099913</v>
      </c>
      <c r="D11609" t="s">
        <v>9552</v>
      </c>
      <c r="E11609">
        <v>-236.05</v>
      </c>
      <c r="F11609">
        <v>-0.06</v>
      </c>
      <c r="G11609" t="s">
        <v>12</v>
      </c>
      <c r="I11609" t="s">
        <v>230</v>
      </c>
    </row>
    <row r="11610" spans="1:9" hidden="1" x14ac:dyDescent="0.25">
      <c r="A11610" t="s">
        <v>9533</v>
      </c>
      <c r="B11610" t="s">
        <v>42</v>
      </c>
      <c r="C11610" s="2">
        <f>HYPERLINK("https://cao.dolgi.msk.ru/account/1080099921/", 1080099921)</f>
        <v>1080099921</v>
      </c>
      <c r="D11610" t="s">
        <v>9553</v>
      </c>
      <c r="E11610">
        <v>-8228.93</v>
      </c>
      <c r="F11610">
        <v>-1.7</v>
      </c>
      <c r="G11610" t="s">
        <v>12</v>
      </c>
      <c r="I11610" t="s">
        <v>230</v>
      </c>
    </row>
    <row r="11611" spans="1:9" hidden="1" x14ac:dyDescent="0.25">
      <c r="A11611" t="s">
        <v>9533</v>
      </c>
      <c r="B11611" t="s">
        <v>44</v>
      </c>
      <c r="C11611" s="2">
        <f>HYPERLINK("https://cao.dolgi.msk.ru/account/1080099948/", 1080099948)</f>
        <v>1080099948</v>
      </c>
      <c r="D11611" t="s">
        <v>9554</v>
      </c>
      <c r="E11611">
        <v>-2842.21</v>
      </c>
      <c r="F11611">
        <v>-1.33</v>
      </c>
      <c r="G11611" t="s">
        <v>12</v>
      </c>
      <c r="I11611" t="s">
        <v>230</v>
      </c>
    </row>
    <row r="11612" spans="1:9" hidden="1" x14ac:dyDescent="0.25">
      <c r="A11612" t="s">
        <v>9533</v>
      </c>
      <c r="B11612" t="s">
        <v>66</v>
      </c>
      <c r="C11612" s="2">
        <f>HYPERLINK("https://cao.dolgi.msk.ru/account/1080099956/", 1080099956)</f>
        <v>1080099956</v>
      </c>
      <c r="D11612" t="s">
        <v>9555</v>
      </c>
      <c r="E11612">
        <v>-5078.76</v>
      </c>
      <c r="F11612">
        <v>-1.08</v>
      </c>
      <c r="G11612" t="s">
        <v>12</v>
      </c>
      <c r="I11612" t="s">
        <v>230</v>
      </c>
    </row>
    <row r="11613" spans="1:9" hidden="1" x14ac:dyDescent="0.25">
      <c r="A11613" t="s">
        <v>9533</v>
      </c>
      <c r="B11613" t="s">
        <v>68</v>
      </c>
      <c r="C11613" s="2">
        <f>HYPERLINK("https://cao.dolgi.msk.ru/account/1080099964/", 1080099964)</f>
        <v>1080099964</v>
      </c>
      <c r="D11613" t="s">
        <v>9556</v>
      </c>
      <c r="E11613">
        <v>-2217.8200000000002</v>
      </c>
      <c r="F11613">
        <v>-1.19</v>
      </c>
      <c r="G11613" t="s">
        <v>12</v>
      </c>
      <c r="I11613" t="s">
        <v>230</v>
      </c>
    </row>
    <row r="11614" spans="1:9" hidden="1" x14ac:dyDescent="0.25">
      <c r="A11614" t="s">
        <v>9533</v>
      </c>
      <c r="B11614" t="s">
        <v>70</v>
      </c>
      <c r="C11614" s="2">
        <f>HYPERLINK("https://cao.dolgi.msk.ru/account/1080099972/", 1080099972)</f>
        <v>1080099972</v>
      </c>
      <c r="D11614" t="s">
        <v>9557</v>
      </c>
      <c r="E11614">
        <v>-10360.41</v>
      </c>
      <c r="F11614">
        <v>-1.56</v>
      </c>
      <c r="G11614" t="s">
        <v>12</v>
      </c>
      <c r="I11614" t="s">
        <v>230</v>
      </c>
    </row>
    <row r="11615" spans="1:9" hidden="1" x14ac:dyDescent="0.25">
      <c r="A11615" t="s">
        <v>9533</v>
      </c>
      <c r="B11615" t="s">
        <v>72</v>
      </c>
      <c r="C11615" s="2">
        <f>HYPERLINK("https://cao.dolgi.msk.ru/account/1080099999/", 1080099999)</f>
        <v>1080099999</v>
      </c>
      <c r="D11615" t="s">
        <v>9558</v>
      </c>
      <c r="E11615">
        <v>0</v>
      </c>
      <c r="F11615">
        <v>0</v>
      </c>
      <c r="G11615" t="s">
        <v>12</v>
      </c>
      <c r="I11615" t="s">
        <v>230</v>
      </c>
    </row>
    <row r="11616" spans="1:9" hidden="1" x14ac:dyDescent="0.25">
      <c r="A11616" t="s">
        <v>9533</v>
      </c>
      <c r="B11616" t="s">
        <v>74</v>
      </c>
      <c r="C11616" s="2">
        <f>HYPERLINK("https://cao.dolgi.msk.ru/account/1080100005/", 1080100005)</f>
        <v>1080100005</v>
      </c>
      <c r="D11616" t="s">
        <v>9559</v>
      </c>
      <c r="E11616">
        <v>0</v>
      </c>
      <c r="F11616">
        <v>0</v>
      </c>
      <c r="G11616" t="s">
        <v>12</v>
      </c>
      <c r="I11616" t="s">
        <v>230</v>
      </c>
    </row>
    <row r="11617" spans="1:9" hidden="1" x14ac:dyDescent="0.25">
      <c r="A11617" t="s">
        <v>9533</v>
      </c>
      <c r="B11617" t="s">
        <v>76</v>
      </c>
      <c r="C11617" s="2">
        <f>HYPERLINK("https://cao.dolgi.msk.ru/account/1080100013/", 1080100013)</f>
        <v>1080100013</v>
      </c>
      <c r="D11617" t="s">
        <v>9560</v>
      </c>
      <c r="E11617">
        <v>106.24</v>
      </c>
      <c r="F11617">
        <v>0.02</v>
      </c>
      <c r="G11617" t="s">
        <v>12</v>
      </c>
      <c r="I11617" t="s">
        <v>230</v>
      </c>
    </row>
    <row r="11618" spans="1:9" hidden="1" x14ac:dyDescent="0.25">
      <c r="A11618" t="s">
        <v>9533</v>
      </c>
      <c r="B11618" t="s">
        <v>78</v>
      </c>
      <c r="C11618" s="2">
        <f>HYPERLINK("https://cao.dolgi.msk.ru/account/1080100021/", 1080100021)</f>
        <v>1080100021</v>
      </c>
      <c r="D11618" t="s">
        <v>9561</v>
      </c>
      <c r="E11618">
        <v>-3728.86</v>
      </c>
      <c r="F11618">
        <v>-1.25</v>
      </c>
      <c r="G11618" t="s">
        <v>12</v>
      </c>
      <c r="I11618" t="s">
        <v>230</v>
      </c>
    </row>
    <row r="11619" spans="1:9" hidden="1" x14ac:dyDescent="0.25">
      <c r="A11619" t="s">
        <v>9533</v>
      </c>
      <c r="B11619" t="s">
        <v>80</v>
      </c>
      <c r="C11619" s="2">
        <f>HYPERLINK("https://cao.dolgi.msk.ru/account/1080100048/", 1080100048)</f>
        <v>1080100048</v>
      </c>
      <c r="D11619" t="s">
        <v>9562</v>
      </c>
      <c r="E11619">
        <v>-2528.6799999999998</v>
      </c>
      <c r="F11619">
        <v>-1.22</v>
      </c>
      <c r="G11619" t="s">
        <v>12</v>
      </c>
      <c r="I11619" t="s">
        <v>230</v>
      </c>
    </row>
    <row r="11620" spans="1:9" hidden="1" x14ac:dyDescent="0.25">
      <c r="A11620" t="s">
        <v>9533</v>
      </c>
      <c r="B11620" t="s">
        <v>82</v>
      </c>
      <c r="C11620" s="2">
        <f>HYPERLINK("https://cao.dolgi.msk.ru/account/1080100056/", 1080100056)</f>
        <v>1080100056</v>
      </c>
      <c r="D11620" t="s">
        <v>9563</v>
      </c>
      <c r="E11620">
        <v>-5652.37</v>
      </c>
      <c r="F11620">
        <v>-1.28</v>
      </c>
      <c r="G11620" t="s">
        <v>12</v>
      </c>
      <c r="I11620" t="s">
        <v>230</v>
      </c>
    </row>
    <row r="11621" spans="1:9" hidden="1" x14ac:dyDescent="0.25">
      <c r="A11621" t="s">
        <v>9533</v>
      </c>
      <c r="B11621" t="s">
        <v>84</v>
      </c>
      <c r="C11621" s="2">
        <f>HYPERLINK("https://cao.dolgi.msk.ru/account/1080100064/", 1080100064)</f>
        <v>1080100064</v>
      </c>
      <c r="D11621" t="s">
        <v>9564</v>
      </c>
      <c r="E11621">
        <v>-3133.76</v>
      </c>
      <c r="F11621">
        <v>-1.25</v>
      </c>
      <c r="G11621" t="s">
        <v>12</v>
      </c>
      <c r="I11621" t="s">
        <v>230</v>
      </c>
    </row>
    <row r="11622" spans="1:9" hidden="1" x14ac:dyDescent="0.25">
      <c r="A11622" t="s">
        <v>9533</v>
      </c>
      <c r="B11622" t="s">
        <v>84</v>
      </c>
      <c r="C11622" s="2">
        <f>HYPERLINK("https://cao.dolgi.msk.ru/account/1089124492/", 1089124492)</f>
        <v>1089124492</v>
      </c>
      <c r="D11622" t="s">
        <v>15</v>
      </c>
      <c r="E11622">
        <v>-2921.93</v>
      </c>
      <c r="F11622">
        <v>-1.22</v>
      </c>
      <c r="G11622" t="s">
        <v>12</v>
      </c>
      <c r="I11622" t="s">
        <v>230</v>
      </c>
    </row>
    <row r="11623" spans="1:9" x14ac:dyDescent="0.25">
      <c r="A11623" t="s">
        <v>9533</v>
      </c>
      <c r="B11623" t="s">
        <v>86</v>
      </c>
      <c r="C11623" s="2">
        <f>HYPERLINK("https://cao.dolgi.msk.ru/account/1080100072/", 1080100072)</f>
        <v>1080100072</v>
      </c>
      <c r="D11623" t="s">
        <v>9565</v>
      </c>
      <c r="E11623">
        <v>5755.68</v>
      </c>
      <c r="F11623">
        <v>1.0900000000000001</v>
      </c>
      <c r="G11623" t="s">
        <v>12</v>
      </c>
      <c r="I11623" t="s">
        <v>230</v>
      </c>
    </row>
    <row r="11624" spans="1:9" hidden="1" x14ac:dyDescent="0.25">
      <c r="A11624" t="s">
        <v>9533</v>
      </c>
      <c r="B11624" t="s">
        <v>88</v>
      </c>
      <c r="C11624" s="2">
        <f>HYPERLINK("https://cao.dolgi.msk.ru/account/1080100099/", 1080100099)</f>
        <v>1080100099</v>
      </c>
      <c r="D11624" t="s">
        <v>9566</v>
      </c>
      <c r="E11624">
        <v>-6839.81</v>
      </c>
      <c r="F11624">
        <v>-0.98</v>
      </c>
      <c r="G11624" t="s">
        <v>12</v>
      </c>
      <c r="I11624" t="s">
        <v>230</v>
      </c>
    </row>
    <row r="11625" spans="1:9" hidden="1" x14ac:dyDescent="0.25">
      <c r="A11625" t="s">
        <v>9533</v>
      </c>
      <c r="B11625" t="s">
        <v>90</v>
      </c>
      <c r="C11625" s="2">
        <f>HYPERLINK("https://cao.dolgi.msk.ru/account/1080100101/", 1080100101)</f>
        <v>1080100101</v>
      </c>
      <c r="D11625" t="s">
        <v>9567</v>
      </c>
      <c r="E11625">
        <v>-4673.51</v>
      </c>
      <c r="F11625">
        <v>-1.19</v>
      </c>
      <c r="G11625" t="s">
        <v>12</v>
      </c>
      <c r="I11625" t="s">
        <v>230</v>
      </c>
    </row>
    <row r="11626" spans="1:9" hidden="1" x14ac:dyDescent="0.25">
      <c r="A11626" t="s">
        <v>9533</v>
      </c>
      <c r="B11626" t="s">
        <v>92</v>
      </c>
      <c r="C11626" s="2">
        <f>HYPERLINK("https://cao.dolgi.msk.ru/account/1080100128/", 1080100128)</f>
        <v>1080100128</v>
      </c>
      <c r="D11626" t="s">
        <v>9568</v>
      </c>
      <c r="E11626">
        <v>-4567.22</v>
      </c>
      <c r="F11626">
        <v>-1.1200000000000001</v>
      </c>
      <c r="G11626" t="s">
        <v>12</v>
      </c>
      <c r="I11626" t="s">
        <v>230</v>
      </c>
    </row>
    <row r="11627" spans="1:9" hidden="1" x14ac:dyDescent="0.25">
      <c r="A11627" t="s">
        <v>9533</v>
      </c>
      <c r="B11627" t="s">
        <v>94</v>
      </c>
      <c r="C11627" s="2">
        <f>HYPERLINK("https://cao.dolgi.msk.ru/account/1080100136/", 1080100136)</f>
        <v>1080100136</v>
      </c>
      <c r="D11627" t="s">
        <v>9569</v>
      </c>
      <c r="E11627">
        <v>-11487.4</v>
      </c>
      <c r="F11627">
        <v>-2.86</v>
      </c>
      <c r="G11627" t="s">
        <v>12</v>
      </c>
      <c r="I11627" t="s">
        <v>230</v>
      </c>
    </row>
    <row r="11628" spans="1:9" hidden="1" x14ac:dyDescent="0.25">
      <c r="A11628" t="s">
        <v>9533</v>
      </c>
      <c r="B11628" t="s">
        <v>96</v>
      </c>
      <c r="C11628" s="2">
        <f>HYPERLINK("https://cao.dolgi.msk.ru/account/1080100144/", 1080100144)</f>
        <v>1080100144</v>
      </c>
      <c r="D11628" t="s">
        <v>9570</v>
      </c>
      <c r="E11628">
        <v>-4276.82</v>
      </c>
      <c r="F11628">
        <v>-1.18</v>
      </c>
      <c r="G11628" t="s">
        <v>12</v>
      </c>
      <c r="I11628" t="s">
        <v>230</v>
      </c>
    </row>
    <row r="11629" spans="1:9" hidden="1" x14ac:dyDescent="0.25">
      <c r="A11629" t="s">
        <v>9533</v>
      </c>
      <c r="B11629" t="s">
        <v>98</v>
      </c>
      <c r="C11629" s="2">
        <f>HYPERLINK("https://cao.dolgi.msk.ru/account/1080100152/", 1080100152)</f>
        <v>1080100152</v>
      </c>
      <c r="D11629" t="s">
        <v>9571</v>
      </c>
      <c r="E11629">
        <v>-5398.81</v>
      </c>
      <c r="F11629">
        <v>-1.19</v>
      </c>
      <c r="G11629" t="s">
        <v>12</v>
      </c>
      <c r="I11629" t="s">
        <v>230</v>
      </c>
    </row>
    <row r="11630" spans="1:9" hidden="1" x14ac:dyDescent="0.25">
      <c r="A11630" t="s">
        <v>9533</v>
      </c>
      <c r="B11630" t="s">
        <v>100</v>
      </c>
      <c r="C11630" s="2">
        <f>HYPERLINK("https://cao.dolgi.msk.ru/account/1080100179/", 1080100179)</f>
        <v>1080100179</v>
      </c>
      <c r="D11630" t="s">
        <v>9572</v>
      </c>
      <c r="E11630">
        <v>9.6999999999999993</v>
      </c>
      <c r="F11630">
        <v>0</v>
      </c>
      <c r="G11630" t="s">
        <v>12</v>
      </c>
      <c r="I11630" t="s">
        <v>230</v>
      </c>
    </row>
    <row r="11631" spans="1:9" hidden="1" x14ac:dyDescent="0.25">
      <c r="A11631" t="s">
        <v>9533</v>
      </c>
      <c r="B11631" t="s">
        <v>102</v>
      </c>
      <c r="C11631" s="2">
        <f>HYPERLINK("https://cao.dolgi.msk.ru/account/1080100187/", 1080100187)</f>
        <v>1080100187</v>
      </c>
      <c r="D11631" t="s">
        <v>9573</v>
      </c>
      <c r="E11631">
        <v>-6415.81</v>
      </c>
      <c r="F11631">
        <v>-1.46</v>
      </c>
      <c r="G11631" t="s">
        <v>12</v>
      </c>
      <c r="I11631" t="s">
        <v>230</v>
      </c>
    </row>
    <row r="11632" spans="1:9" hidden="1" x14ac:dyDescent="0.25">
      <c r="A11632" t="s">
        <v>9533</v>
      </c>
      <c r="B11632" t="s">
        <v>104</v>
      </c>
      <c r="C11632" s="2">
        <f>HYPERLINK("https://cao.dolgi.msk.ru/account/1080100195/", 1080100195)</f>
        <v>1080100195</v>
      </c>
      <c r="D11632" t="s">
        <v>9574</v>
      </c>
      <c r="E11632">
        <v>-758.11</v>
      </c>
      <c r="F11632">
        <v>-0.18</v>
      </c>
      <c r="G11632" t="s">
        <v>12</v>
      </c>
      <c r="I11632" t="s">
        <v>230</v>
      </c>
    </row>
    <row r="11633" spans="1:9" x14ac:dyDescent="0.25">
      <c r="A11633" t="s">
        <v>9533</v>
      </c>
      <c r="B11633" t="s">
        <v>106</v>
      </c>
      <c r="C11633" s="2">
        <f>HYPERLINK("https://cao.dolgi.msk.ru/account/1080100208/", 1080100208)</f>
        <v>1080100208</v>
      </c>
      <c r="D11633" t="s">
        <v>9575</v>
      </c>
      <c r="E11633">
        <v>36654.67</v>
      </c>
      <c r="F11633">
        <v>11.95</v>
      </c>
      <c r="G11633" t="s">
        <v>12</v>
      </c>
      <c r="I11633" t="s">
        <v>230</v>
      </c>
    </row>
    <row r="11634" spans="1:9" hidden="1" x14ac:dyDescent="0.25">
      <c r="A11634" t="s">
        <v>9533</v>
      </c>
      <c r="B11634" t="s">
        <v>108</v>
      </c>
      <c r="C11634" s="2">
        <f>HYPERLINK("https://cao.dolgi.msk.ru/account/1080100216/", 1080100216)</f>
        <v>1080100216</v>
      </c>
      <c r="D11634" t="s">
        <v>9576</v>
      </c>
      <c r="E11634">
        <v>8.76</v>
      </c>
      <c r="F11634">
        <v>0</v>
      </c>
      <c r="G11634" t="s">
        <v>12</v>
      </c>
      <c r="I11634" t="s">
        <v>230</v>
      </c>
    </row>
    <row r="11635" spans="1:9" hidden="1" x14ac:dyDescent="0.25">
      <c r="A11635" t="s">
        <v>9533</v>
      </c>
      <c r="B11635" t="s">
        <v>110</v>
      </c>
      <c r="C11635" s="2">
        <f>HYPERLINK("https://cao.dolgi.msk.ru/account/1080100224/", 1080100224)</f>
        <v>1080100224</v>
      </c>
      <c r="D11635" t="s">
        <v>9577</v>
      </c>
      <c r="E11635">
        <v>-10002.969999999999</v>
      </c>
      <c r="F11635">
        <v>-3.8</v>
      </c>
      <c r="G11635" t="s">
        <v>12</v>
      </c>
      <c r="I11635" t="s">
        <v>230</v>
      </c>
    </row>
    <row r="11636" spans="1:9" hidden="1" x14ac:dyDescent="0.25">
      <c r="A11636" t="s">
        <v>9533</v>
      </c>
      <c r="B11636" t="s">
        <v>112</v>
      </c>
      <c r="C11636" s="2">
        <f>HYPERLINK("https://cao.dolgi.msk.ru/account/1080100232/", 1080100232)</f>
        <v>1080100232</v>
      </c>
      <c r="D11636" t="s">
        <v>9578</v>
      </c>
      <c r="E11636">
        <v>-7211.15</v>
      </c>
      <c r="F11636">
        <v>-0.97</v>
      </c>
      <c r="G11636" t="s">
        <v>12</v>
      </c>
      <c r="I11636" t="s">
        <v>230</v>
      </c>
    </row>
    <row r="11637" spans="1:9" hidden="1" x14ac:dyDescent="0.25">
      <c r="A11637" t="s">
        <v>9533</v>
      </c>
      <c r="B11637" t="s">
        <v>114</v>
      </c>
      <c r="C11637" s="2">
        <f>HYPERLINK("https://cao.dolgi.msk.ru/account/1080100259/", 1080100259)</f>
        <v>1080100259</v>
      </c>
      <c r="D11637" t="s">
        <v>9579</v>
      </c>
      <c r="E11637">
        <v>-2956.29</v>
      </c>
      <c r="F11637">
        <v>-1.1599999999999999</v>
      </c>
      <c r="G11637" t="s">
        <v>12</v>
      </c>
      <c r="I11637" t="s">
        <v>230</v>
      </c>
    </row>
    <row r="11638" spans="1:9" hidden="1" x14ac:dyDescent="0.25">
      <c r="A11638" t="s">
        <v>9533</v>
      </c>
      <c r="B11638" t="s">
        <v>116</v>
      </c>
      <c r="C11638" s="2">
        <f>HYPERLINK("https://cao.dolgi.msk.ru/account/1080100267/", 1080100267)</f>
        <v>1080100267</v>
      </c>
      <c r="D11638" t="s">
        <v>9580</v>
      </c>
      <c r="E11638">
        <v>-6248.04</v>
      </c>
      <c r="F11638">
        <v>-1.22</v>
      </c>
      <c r="G11638" t="s">
        <v>12</v>
      </c>
      <c r="I11638" t="s">
        <v>230</v>
      </c>
    </row>
    <row r="11639" spans="1:9" hidden="1" x14ac:dyDescent="0.25">
      <c r="A11639" t="s">
        <v>9533</v>
      </c>
      <c r="B11639" t="s">
        <v>118</v>
      </c>
      <c r="C11639" s="2">
        <f>HYPERLINK("https://cao.dolgi.msk.ru/account/1080100275/", 1080100275)</f>
        <v>1080100275</v>
      </c>
      <c r="D11639" t="s">
        <v>9581</v>
      </c>
      <c r="E11639">
        <v>-4255.95</v>
      </c>
      <c r="F11639">
        <v>-1.37</v>
      </c>
      <c r="G11639" t="s">
        <v>12</v>
      </c>
      <c r="I11639" t="s">
        <v>230</v>
      </c>
    </row>
    <row r="11640" spans="1:9" hidden="1" x14ac:dyDescent="0.25">
      <c r="A11640" t="s">
        <v>9533</v>
      </c>
      <c r="B11640" t="s">
        <v>120</v>
      </c>
      <c r="C11640" s="2">
        <f>HYPERLINK("https://cao.dolgi.msk.ru/account/1080100283/", 1080100283)</f>
        <v>1080100283</v>
      </c>
      <c r="D11640" t="s">
        <v>9582</v>
      </c>
      <c r="E11640">
        <v>-2392.84</v>
      </c>
      <c r="F11640">
        <v>-1.02</v>
      </c>
      <c r="G11640" t="s">
        <v>12</v>
      </c>
      <c r="I11640" t="s">
        <v>230</v>
      </c>
    </row>
    <row r="11641" spans="1:9" hidden="1" x14ac:dyDescent="0.25">
      <c r="A11641" t="s">
        <v>9533</v>
      </c>
      <c r="B11641" t="s">
        <v>122</v>
      </c>
      <c r="C11641" s="2">
        <f>HYPERLINK("https://cao.dolgi.msk.ru/account/1080100291/", 1080100291)</f>
        <v>1080100291</v>
      </c>
      <c r="D11641" t="s">
        <v>9583</v>
      </c>
      <c r="E11641">
        <v>0</v>
      </c>
      <c r="F11641">
        <v>0</v>
      </c>
      <c r="G11641" t="s">
        <v>12</v>
      </c>
      <c r="I11641" t="s">
        <v>230</v>
      </c>
    </row>
    <row r="11642" spans="1:9" hidden="1" x14ac:dyDescent="0.25">
      <c r="A11642" t="s">
        <v>9533</v>
      </c>
      <c r="B11642" t="s">
        <v>124</v>
      </c>
      <c r="C11642" s="2">
        <f>HYPERLINK("https://cao.dolgi.msk.ru/account/1080100304/", 1080100304)</f>
        <v>1080100304</v>
      </c>
      <c r="D11642" t="s">
        <v>9584</v>
      </c>
      <c r="E11642">
        <v>-1835.87</v>
      </c>
      <c r="F11642">
        <v>-1.2</v>
      </c>
      <c r="G11642" t="s">
        <v>12</v>
      </c>
      <c r="I11642" t="s">
        <v>230</v>
      </c>
    </row>
    <row r="11643" spans="1:9" hidden="1" x14ac:dyDescent="0.25">
      <c r="A11643" t="s">
        <v>9533</v>
      </c>
      <c r="B11643" t="s">
        <v>126</v>
      </c>
      <c r="C11643" s="2">
        <f>HYPERLINK("https://cao.dolgi.msk.ru/account/1080100312/", 1080100312)</f>
        <v>1080100312</v>
      </c>
      <c r="D11643" t="s">
        <v>9585</v>
      </c>
      <c r="E11643">
        <v>-1856.5</v>
      </c>
      <c r="F11643">
        <v>-1.18</v>
      </c>
      <c r="G11643" t="s">
        <v>12</v>
      </c>
      <c r="I11643" t="s">
        <v>230</v>
      </c>
    </row>
    <row r="11644" spans="1:9" hidden="1" x14ac:dyDescent="0.25">
      <c r="A11644" t="s">
        <v>9533</v>
      </c>
      <c r="B11644" t="s">
        <v>126</v>
      </c>
      <c r="C11644" s="2">
        <f>HYPERLINK("https://cao.dolgi.msk.ru/account/1083269041/", 1083269041)</f>
        <v>1083269041</v>
      </c>
      <c r="D11644" t="s">
        <v>15</v>
      </c>
      <c r="E11644">
        <v>-5127.1499999999996</v>
      </c>
      <c r="F11644">
        <v>-1.1100000000000001</v>
      </c>
      <c r="G11644" t="s">
        <v>12</v>
      </c>
      <c r="I11644" t="s">
        <v>230</v>
      </c>
    </row>
    <row r="11645" spans="1:9" hidden="1" x14ac:dyDescent="0.25">
      <c r="A11645" t="s">
        <v>9533</v>
      </c>
      <c r="B11645" t="s">
        <v>128</v>
      </c>
      <c r="C11645" s="2">
        <f>HYPERLINK("https://cao.dolgi.msk.ru/account/1080100339/", 1080100339)</f>
        <v>1080100339</v>
      </c>
      <c r="D11645" t="s">
        <v>9586</v>
      </c>
      <c r="E11645">
        <v>-31709.16</v>
      </c>
      <c r="F11645">
        <v>-5.84</v>
      </c>
      <c r="G11645" t="s">
        <v>12</v>
      </c>
      <c r="I11645" t="s">
        <v>230</v>
      </c>
    </row>
    <row r="11646" spans="1:9" hidden="1" x14ac:dyDescent="0.25">
      <c r="A11646" t="s">
        <v>9533</v>
      </c>
      <c r="B11646" t="s">
        <v>130</v>
      </c>
      <c r="C11646" s="2">
        <f>HYPERLINK("https://cao.dolgi.msk.ru/account/1080100347/", 1080100347)</f>
        <v>1080100347</v>
      </c>
      <c r="D11646" t="s">
        <v>9587</v>
      </c>
      <c r="E11646">
        <v>-15119.17</v>
      </c>
      <c r="F11646">
        <v>-2.72</v>
      </c>
      <c r="G11646" t="s">
        <v>12</v>
      </c>
      <c r="I11646" t="s">
        <v>230</v>
      </c>
    </row>
    <row r="11647" spans="1:9" hidden="1" x14ac:dyDescent="0.25">
      <c r="A11647" t="s">
        <v>9533</v>
      </c>
      <c r="B11647" t="s">
        <v>130</v>
      </c>
      <c r="C11647" s="2">
        <f>HYPERLINK("https://cao.dolgi.msk.ru/account/1089131385/", 1089131385)</f>
        <v>1089131385</v>
      </c>
      <c r="D11647" t="s">
        <v>15</v>
      </c>
      <c r="G11647" t="s">
        <v>14</v>
      </c>
      <c r="I11647" t="s">
        <v>230</v>
      </c>
    </row>
    <row r="11648" spans="1:9" hidden="1" x14ac:dyDescent="0.25">
      <c r="A11648" t="s">
        <v>9533</v>
      </c>
      <c r="B11648" t="s">
        <v>132</v>
      </c>
      <c r="C11648" s="2">
        <f>HYPERLINK("https://cao.dolgi.msk.ru/account/1080100355/", 1080100355)</f>
        <v>1080100355</v>
      </c>
      <c r="D11648" t="s">
        <v>9588</v>
      </c>
      <c r="E11648">
        <v>-4524.74</v>
      </c>
      <c r="F11648">
        <v>-0.91</v>
      </c>
      <c r="G11648" t="s">
        <v>12</v>
      </c>
      <c r="I11648" t="s">
        <v>230</v>
      </c>
    </row>
    <row r="11649" spans="1:9" hidden="1" x14ac:dyDescent="0.25">
      <c r="A11649" t="s">
        <v>9533</v>
      </c>
      <c r="B11649" t="s">
        <v>133</v>
      </c>
      <c r="C11649" s="2">
        <f>HYPERLINK("https://cao.dolgi.msk.ru/account/1080100363/", 1080100363)</f>
        <v>1080100363</v>
      </c>
      <c r="D11649" t="s">
        <v>9589</v>
      </c>
      <c r="E11649">
        <v>-4378.21</v>
      </c>
      <c r="F11649">
        <v>-1.1000000000000001</v>
      </c>
      <c r="G11649" t="s">
        <v>12</v>
      </c>
      <c r="I11649" t="s">
        <v>230</v>
      </c>
    </row>
    <row r="11650" spans="1:9" hidden="1" x14ac:dyDescent="0.25">
      <c r="A11650" t="s">
        <v>9533</v>
      </c>
      <c r="B11650" t="s">
        <v>135</v>
      </c>
      <c r="C11650" s="2">
        <f>HYPERLINK("https://cao.dolgi.msk.ru/account/1080100371/", 1080100371)</f>
        <v>1080100371</v>
      </c>
      <c r="D11650" t="s">
        <v>9590</v>
      </c>
      <c r="E11650">
        <v>-2942.56</v>
      </c>
      <c r="F11650">
        <v>-1.1200000000000001</v>
      </c>
      <c r="G11650" t="s">
        <v>12</v>
      </c>
      <c r="I11650" t="s">
        <v>230</v>
      </c>
    </row>
    <row r="11651" spans="1:9" hidden="1" x14ac:dyDescent="0.25">
      <c r="A11651" t="s">
        <v>9533</v>
      </c>
      <c r="B11651" t="s">
        <v>137</v>
      </c>
      <c r="C11651" s="2">
        <f>HYPERLINK("https://cao.dolgi.msk.ru/account/1080100398/", 1080100398)</f>
        <v>1080100398</v>
      </c>
      <c r="D11651" t="s">
        <v>9591</v>
      </c>
      <c r="E11651">
        <v>-5852.75</v>
      </c>
      <c r="F11651">
        <v>-1.42</v>
      </c>
      <c r="G11651" t="s">
        <v>12</v>
      </c>
      <c r="I11651" t="s">
        <v>230</v>
      </c>
    </row>
    <row r="11652" spans="1:9" hidden="1" x14ac:dyDescent="0.25">
      <c r="A11652" t="s">
        <v>9533</v>
      </c>
      <c r="B11652" t="s">
        <v>139</v>
      </c>
      <c r="C11652" s="2">
        <f>HYPERLINK("https://cao.dolgi.msk.ru/account/1080100419/", 1080100419)</f>
        <v>1080100419</v>
      </c>
      <c r="D11652" t="s">
        <v>9592</v>
      </c>
      <c r="E11652">
        <v>1474.63</v>
      </c>
      <c r="F11652">
        <v>0.23</v>
      </c>
      <c r="G11652" t="s">
        <v>12</v>
      </c>
      <c r="I11652" t="s">
        <v>230</v>
      </c>
    </row>
    <row r="11653" spans="1:9" hidden="1" x14ac:dyDescent="0.25">
      <c r="A11653" t="s">
        <v>9533</v>
      </c>
      <c r="B11653" t="s">
        <v>141</v>
      </c>
      <c r="C11653" s="2">
        <f>HYPERLINK("https://cao.dolgi.msk.ru/account/1080100427/", 1080100427)</f>
        <v>1080100427</v>
      </c>
      <c r="D11653" t="s">
        <v>9593</v>
      </c>
      <c r="E11653">
        <v>-4624.74</v>
      </c>
      <c r="F11653">
        <v>-1.25</v>
      </c>
      <c r="G11653" t="s">
        <v>12</v>
      </c>
      <c r="I11653" t="s">
        <v>230</v>
      </c>
    </row>
    <row r="11654" spans="1:9" hidden="1" x14ac:dyDescent="0.25">
      <c r="A11654" t="s">
        <v>9533</v>
      </c>
      <c r="B11654" t="s">
        <v>143</v>
      </c>
      <c r="C11654" s="2">
        <f>HYPERLINK("https://cao.dolgi.msk.ru/account/1080100435/", 1080100435)</f>
        <v>1080100435</v>
      </c>
      <c r="D11654" t="s">
        <v>9594</v>
      </c>
      <c r="E11654">
        <v>-6296.24</v>
      </c>
      <c r="F11654">
        <v>-1.43</v>
      </c>
      <c r="G11654" t="s">
        <v>12</v>
      </c>
      <c r="I11654" t="s">
        <v>230</v>
      </c>
    </row>
    <row r="11655" spans="1:9" hidden="1" x14ac:dyDescent="0.25">
      <c r="A11655" t="s">
        <v>9533</v>
      </c>
      <c r="B11655" t="s">
        <v>145</v>
      </c>
      <c r="C11655" s="2">
        <f>HYPERLINK("https://cao.dolgi.msk.ru/account/1080100443/", 1080100443)</f>
        <v>1080100443</v>
      </c>
      <c r="D11655" t="s">
        <v>9595</v>
      </c>
      <c r="E11655">
        <v>-5034.37</v>
      </c>
      <c r="F11655">
        <v>-1.2</v>
      </c>
      <c r="G11655" t="s">
        <v>12</v>
      </c>
      <c r="I11655" t="s">
        <v>230</v>
      </c>
    </row>
    <row r="11656" spans="1:9" hidden="1" x14ac:dyDescent="0.25">
      <c r="A11656" t="s">
        <v>9533</v>
      </c>
      <c r="B11656" t="s">
        <v>147</v>
      </c>
      <c r="C11656" s="2">
        <f>HYPERLINK("https://cao.dolgi.msk.ru/account/1080100451/", 1080100451)</f>
        <v>1080100451</v>
      </c>
      <c r="D11656" t="s">
        <v>9596</v>
      </c>
      <c r="E11656">
        <v>-3499.3</v>
      </c>
      <c r="F11656">
        <v>-1.1599999999999999</v>
      </c>
      <c r="G11656" t="s">
        <v>12</v>
      </c>
      <c r="I11656" t="s">
        <v>230</v>
      </c>
    </row>
    <row r="11657" spans="1:9" x14ac:dyDescent="0.25">
      <c r="A11657" t="s">
        <v>9533</v>
      </c>
      <c r="B11657" t="s">
        <v>149</v>
      </c>
      <c r="C11657" s="2">
        <f>HYPERLINK("https://cao.dolgi.msk.ru/account/1080100478/", 1080100478)</f>
        <v>1080100478</v>
      </c>
      <c r="D11657" t="s">
        <v>9597</v>
      </c>
      <c r="E11657">
        <v>8724.64</v>
      </c>
      <c r="F11657">
        <v>2.13</v>
      </c>
      <c r="G11657" t="s">
        <v>12</v>
      </c>
      <c r="I11657" t="s">
        <v>230</v>
      </c>
    </row>
    <row r="11658" spans="1:9" hidden="1" x14ac:dyDescent="0.25">
      <c r="A11658" t="s">
        <v>9533</v>
      </c>
      <c r="B11658" t="s">
        <v>151</v>
      </c>
      <c r="C11658" s="2">
        <f>HYPERLINK("https://cao.dolgi.msk.ru/account/1080100486/", 1080100486)</f>
        <v>1080100486</v>
      </c>
      <c r="D11658" t="s">
        <v>9598</v>
      </c>
      <c r="E11658">
        <v>-6973.39</v>
      </c>
      <c r="F11658">
        <v>-1.1100000000000001</v>
      </c>
      <c r="G11658" t="s">
        <v>12</v>
      </c>
      <c r="I11658" t="s">
        <v>230</v>
      </c>
    </row>
    <row r="11659" spans="1:9" hidden="1" x14ac:dyDescent="0.25">
      <c r="A11659" t="s">
        <v>9533</v>
      </c>
      <c r="B11659" t="s">
        <v>153</v>
      </c>
      <c r="C11659" s="2">
        <f>HYPERLINK("https://cao.dolgi.msk.ru/account/1080100494/", 1080100494)</f>
        <v>1080100494</v>
      </c>
      <c r="D11659" t="s">
        <v>9599</v>
      </c>
      <c r="E11659">
        <v>-7380.22</v>
      </c>
      <c r="F11659">
        <v>-1.19</v>
      </c>
      <c r="G11659" t="s">
        <v>12</v>
      </c>
      <c r="I11659" t="s">
        <v>230</v>
      </c>
    </row>
    <row r="11660" spans="1:9" hidden="1" x14ac:dyDescent="0.25">
      <c r="A11660" t="s">
        <v>9533</v>
      </c>
      <c r="B11660" t="s">
        <v>155</v>
      </c>
      <c r="C11660" s="2">
        <f>HYPERLINK("https://cao.dolgi.msk.ru/account/1080100507/", 1080100507)</f>
        <v>1080100507</v>
      </c>
      <c r="D11660" t="s">
        <v>9600</v>
      </c>
      <c r="E11660">
        <v>-2451.12</v>
      </c>
      <c r="F11660">
        <v>-1.28</v>
      </c>
      <c r="G11660" t="s">
        <v>12</v>
      </c>
      <c r="I11660" t="s">
        <v>230</v>
      </c>
    </row>
    <row r="11661" spans="1:9" hidden="1" x14ac:dyDescent="0.25">
      <c r="A11661" t="s">
        <v>9533</v>
      </c>
      <c r="B11661" t="s">
        <v>157</v>
      </c>
      <c r="C11661" s="2">
        <f>HYPERLINK("https://cao.dolgi.msk.ru/account/1080100515/", 1080100515)</f>
        <v>1080100515</v>
      </c>
      <c r="D11661" t="s">
        <v>9601</v>
      </c>
      <c r="E11661">
        <v>-7422.3</v>
      </c>
      <c r="F11661">
        <v>-1.42</v>
      </c>
      <c r="G11661" t="s">
        <v>12</v>
      </c>
      <c r="I11661" t="s">
        <v>230</v>
      </c>
    </row>
    <row r="11662" spans="1:9" hidden="1" x14ac:dyDescent="0.25">
      <c r="A11662" t="s">
        <v>9533</v>
      </c>
      <c r="B11662" t="s">
        <v>159</v>
      </c>
      <c r="C11662" s="2">
        <f>HYPERLINK("https://cao.dolgi.msk.ru/account/1080100523/", 1080100523)</f>
        <v>1080100523</v>
      </c>
      <c r="D11662" t="s">
        <v>9602</v>
      </c>
      <c r="E11662">
        <v>-2328.0500000000002</v>
      </c>
      <c r="F11662">
        <v>-1.2</v>
      </c>
      <c r="G11662" t="s">
        <v>12</v>
      </c>
      <c r="I11662" t="s">
        <v>230</v>
      </c>
    </row>
    <row r="11663" spans="1:9" hidden="1" x14ac:dyDescent="0.25">
      <c r="A11663" t="s">
        <v>9533</v>
      </c>
      <c r="B11663" t="s">
        <v>161</v>
      </c>
      <c r="C11663" s="2">
        <f>HYPERLINK("https://cao.dolgi.msk.ru/account/1080100531/", 1080100531)</f>
        <v>1080100531</v>
      </c>
      <c r="D11663" t="s">
        <v>9603</v>
      </c>
      <c r="E11663">
        <v>-2814.65</v>
      </c>
      <c r="F11663">
        <v>-1.51</v>
      </c>
      <c r="G11663" t="s">
        <v>12</v>
      </c>
      <c r="I11663" t="s">
        <v>230</v>
      </c>
    </row>
    <row r="11664" spans="1:9" hidden="1" x14ac:dyDescent="0.25">
      <c r="A11664" t="s">
        <v>9533</v>
      </c>
      <c r="B11664" t="s">
        <v>163</v>
      </c>
      <c r="C11664" s="2">
        <f>HYPERLINK("https://cao.dolgi.msk.ru/account/1080100558/", 1080100558)</f>
        <v>1080100558</v>
      </c>
      <c r="D11664" t="s">
        <v>9604</v>
      </c>
      <c r="E11664">
        <v>-4985.3599999999997</v>
      </c>
      <c r="F11664">
        <v>-1.18</v>
      </c>
      <c r="G11664" t="s">
        <v>12</v>
      </c>
      <c r="I11664" t="s">
        <v>230</v>
      </c>
    </row>
    <row r="11665" spans="1:9" hidden="1" x14ac:dyDescent="0.25">
      <c r="A11665" t="s">
        <v>9533</v>
      </c>
      <c r="B11665" t="s">
        <v>571</v>
      </c>
      <c r="C11665" s="2">
        <f>HYPERLINK("https://cao.dolgi.msk.ru/account/1080100566/", 1080100566)</f>
        <v>1080100566</v>
      </c>
      <c r="D11665" t="s">
        <v>9605</v>
      </c>
      <c r="E11665">
        <v>-10.31</v>
      </c>
      <c r="F11665">
        <v>0</v>
      </c>
      <c r="G11665" t="s">
        <v>12</v>
      </c>
      <c r="I11665" t="s">
        <v>230</v>
      </c>
    </row>
    <row r="11666" spans="1:9" hidden="1" x14ac:dyDescent="0.25">
      <c r="A11666" t="s">
        <v>9533</v>
      </c>
      <c r="B11666" t="s">
        <v>682</v>
      </c>
      <c r="C11666" s="2">
        <f>HYPERLINK("https://cao.dolgi.msk.ru/account/1080100574/", 1080100574)</f>
        <v>1080100574</v>
      </c>
      <c r="D11666" t="s">
        <v>9606</v>
      </c>
      <c r="E11666">
        <v>-29.1</v>
      </c>
      <c r="F11666">
        <v>0</v>
      </c>
      <c r="G11666" t="s">
        <v>12</v>
      </c>
      <c r="I11666" t="s">
        <v>230</v>
      </c>
    </row>
    <row r="11667" spans="1:9" hidden="1" x14ac:dyDescent="0.25">
      <c r="A11667" t="s">
        <v>9533</v>
      </c>
      <c r="B11667" t="s">
        <v>578</v>
      </c>
      <c r="C11667" s="2">
        <f>HYPERLINK("https://cao.dolgi.msk.ru/account/1080100582/", 1080100582)</f>
        <v>1080100582</v>
      </c>
      <c r="D11667" t="s">
        <v>9607</v>
      </c>
      <c r="E11667">
        <v>0</v>
      </c>
      <c r="F11667">
        <v>0</v>
      </c>
      <c r="G11667" t="s">
        <v>12</v>
      </c>
      <c r="I11667" t="s">
        <v>230</v>
      </c>
    </row>
    <row r="11668" spans="1:9" hidden="1" x14ac:dyDescent="0.25">
      <c r="A11668" t="s">
        <v>9533</v>
      </c>
      <c r="B11668" t="s">
        <v>580</v>
      </c>
      <c r="C11668" s="2">
        <f>HYPERLINK("https://cao.dolgi.msk.ru/account/1080100603/", 1080100603)</f>
        <v>1080100603</v>
      </c>
      <c r="D11668" t="s">
        <v>9608</v>
      </c>
      <c r="E11668">
        <v>-35969.32</v>
      </c>
      <c r="F11668">
        <v>-7.12</v>
      </c>
      <c r="G11668" t="s">
        <v>12</v>
      </c>
      <c r="I11668" t="s">
        <v>230</v>
      </c>
    </row>
    <row r="11669" spans="1:9" hidden="1" x14ac:dyDescent="0.25">
      <c r="A11669" t="s">
        <v>9533</v>
      </c>
      <c r="B11669" t="s">
        <v>686</v>
      </c>
      <c r="C11669" s="2">
        <f>HYPERLINK("https://cao.dolgi.msk.ru/account/1080100611/", 1080100611)</f>
        <v>1080100611</v>
      </c>
      <c r="D11669" t="s">
        <v>9609</v>
      </c>
      <c r="E11669">
        <v>-6779.1</v>
      </c>
      <c r="F11669">
        <v>-1.01</v>
      </c>
      <c r="G11669" t="s">
        <v>12</v>
      </c>
      <c r="I11669" t="s">
        <v>230</v>
      </c>
    </row>
    <row r="11670" spans="1:9" hidden="1" x14ac:dyDescent="0.25">
      <c r="A11670" t="s">
        <v>9533</v>
      </c>
      <c r="B11670" t="s">
        <v>582</v>
      </c>
      <c r="C11670" s="2">
        <f>HYPERLINK("https://cao.dolgi.msk.ru/account/1080100638/", 1080100638)</f>
        <v>1080100638</v>
      </c>
      <c r="D11670" t="s">
        <v>9610</v>
      </c>
      <c r="E11670">
        <v>8.32</v>
      </c>
      <c r="F11670">
        <v>0</v>
      </c>
      <c r="G11670" t="s">
        <v>12</v>
      </c>
      <c r="I11670" t="s">
        <v>230</v>
      </c>
    </row>
    <row r="11671" spans="1:9" hidden="1" x14ac:dyDescent="0.25">
      <c r="A11671" t="s">
        <v>9533</v>
      </c>
      <c r="B11671" t="s">
        <v>584</v>
      </c>
      <c r="C11671" s="2">
        <f>HYPERLINK("https://cao.dolgi.msk.ru/account/1080100646/", 1080100646)</f>
        <v>1080100646</v>
      </c>
      <c r="D11671" t="s">
        <v>9611</v>
      </c>
      <c r="E11671">
        <v>-7901.74</v>
      </c>
      <c r="F11671">
        <v>-1.72</v>
      </c>
      <c r="G11671" t="s">
        <v>12</v>
      </c>
      <c r="I11671" t="s">
        <v>230</v>
      </c>
    </row>
    <row r="11672" spans="1:9" hidden="1" x14ac:dyDescent="0.25">
      <c r="A11672" t="s">
        <v>9533</v>
      </c>
      <c r="B11672" t="s">
        <v>586</v>
      </c>
      <c r="C11672" s="2">
        <f>HYPERLINK("https://cao.dolgi.msk.ru/account/1080100654/", 1080100654)</f>
        <v>1080100654</v>
      </c>
      <c r="D11672" t="s">
        <v>9612</v>
      </c>
      <c r="E11672">
        <v>0</v>
      </c>
      <c r="F11672">
        <v>0</v>
      </c>
      <c r="G11672" t="s">
        <v>12</v>
      </c>
      <c r="I11672" t="s">
        <v>230</v>
      </c>
    </row>
    <row r="11673" spans="1:9" hidden="1" x14ac:dyDescent="0.25">
      <c r="A11673" t="s">
        <v>9533</v>
      </c>
      <c r="B11673" t="s">
        <v>588</v>
      </c>
      <c r="C11673" s="2">
        <f>HYPERLINK("https://cao.dolgi.msk.ru/account/1080100662/", 1080100662)</f>
        <v>1080100662</v>
      </c>
      <c r="D11673" t="s">
        <v>9613</v>
      </c>
      <c r="E11673">
        <v>-7328.74</v>
      </c>
      <c r="F11673">
        <v>-1.25</v>
      </c>
      <c r="G11673" t="s">
        <v>12</v>
      </c>
      <c r="I11673" t="s">
        <v>230</v>
      </c>
    </row>
    <row r="11674" spans="1:9" hidden="1" x14ac:dyDescent="0.25">
      <c r="A11674" t="s">
        <v>9533</v>
      </c>
      <c r="B11674" t="s">
        <v>590</v>
      </c>
      <c r="C11674" s="2">
        <f>HYPERLINK("https://cao.dolgi.msk.ru/account/1080100689/", 1080100689)</f>
        <v>1080100689</v>
      </c>
      <c r="D11674" t="s">
        <v>9614</v>
      </c>
      <c r="E11674">
        <v>-3273.94</v>
      </c>
      <c r="F11674">
        <v>-1.1599999999999999</v>
      </c>
      <c r="G11674" t="s">
        <v>12</v>
      </c>
      <c r="I11674" t="s">
        <v>230</v>
      </c>
    </row>
    <row r="11675" spans="1:9" hidden="1" x14ac:dyDescent="0.25">
      <c r="A11675" t="s">
        <v>9533</v>
      </c>
      <c r="B11675" t="s">
        <v>693</v>
      </c>
      <c r="C11675" s="2">
        <f>HYPERLINK("https://cao.dolgi.msk.ru/account/1080100697/", 1080100697)</f>
        <v>1080100697</v>
      </c>
      <c r="D11675" t="s">
        <v>9615</v>
      </c>
      <c r="E11675">
        <v>-3140.82</v>
      </c>
      <c r="F11675">
        <v>-0.54</v>
      </c>
      <c r="G11675" t="s">
        <v>12</v>
      </c>
      <c r="I11675" t="s">
        <v>230</v>
      </c>
    </row>
    <row r="11676" spans="1:9" hidden="1" x14ac:dyDescent="0.25">
      <c r="A11676" t="s">
        <v>9533</v>
      </c>
      <c r="B11676" t="s">
        <v>694</v>
      </c>
      <c r="C11676" s="2">
        <f>HYPERLINK("https://cao.dolgi.msk.ru/account/1080100718/", 1080100718)</f>
        <v>1080100718</v>
      </c>
      <c r="D11676" t="s">
        <v>9616</v>
      </c>
      <c r="E11676">
        <v>-4716.16</v>
      </c>
      <c r="F11676">
        <v>-1.17</v>
      </c>
      <c r="G11676" t="s">
        <v>12</v>
      </c>
      <c r="I11676" t="s">
        <v>230</v>
      </c>
    </row>
    <row r="11677" spans="1:9" hidden="1" x14ac:dyDescent="0.25">
      <c r="A11677" t="s">
        <v>9533</v>
      </c>
      <c r="B11677" t="s">
        <v>696</v>
      </c>
      <c r="C11677" s="2">
        <f>HYPERLINK("https://cao.dolgi.msk.ru/account/1080100726/", 1080100726)</f>
        <v>1080100726</v>
      </c>
      <c r="D11677" t="s">
        <v>9617</v>
      </c>
      <c r="E11677">
        <v>-1165.92</v>
      </c>
      <c r="F11677">
        <v>-0.22</v>
      </c>
      <c r="G11677" t="s">
        <v>12</v>
      </c>
      <c r="I11677" t="s">
        <v>230</v>
      </c>
    </row>
    <row r="11678" spans="1:9" hidden="1" x14ac:dyDescent="0.25">
      <c r="A11678" t="s">
        <v>9533</v>
      </c>
      <c r="B11678" t="s">
        <v>698</v>
      </c>
      <c r="C11678" s="2">
        <f>HYPERLINK("https://cao.dolgi.msk.ru/account/1080100734/", 1080100734)</f>
        <v>1080100734</v>
      </c>
      <c r="D11678" t="s">
        <v>9618</v>
      </c>
      <c r="E11678">
        <v>-4116.1899999999996</v>
      </c>
      <c r="F11678">
        <v>-1.19</v>
      </c>
      <c r="G11678" t="s">
        <v>12</v>
      </c>
      <c r="I11678" t="s">
        <v>230</v>
      </c>
    </row>
    <row r="11679" spans="1:9" hidden="1" x14ac:dyDescent="0.25">
      <c r="A11679" t="s">
        <v>9533</v>
      </c>
      <c r="B11679" t="s">
        <v>700</v>
      </c>
      <c r="C11679" s="2">
        <f>HYPERLINK("https://cao.dolgi.msk.ru/account/1080100742/", 1080100742)</f>
        <v>1080100742</v>
      </c>
      <c r="D11679" t="s">
        <v>9619</v>
      </c>
      <c r="E11679">
        <v>-4965.25</v>
      </c>
      <c r="F11679">
        <v>-1.17</v>
      </c>
      <c r="G11679" t="s">
        <v>12</v>
      </c>
      <c r="I11679" t="s">
        <v>230</v>
      </c>
    </row>
    <row r="11680" spans="1:9" hidden="1" x14ac:dyDescent="0.25">
      <c r="A11680" t="s">
        <v>9533</v>
      </c>
      <c r="B11680" t="s">
        <v>702</v>
      </c>
      <c r="C11680" s="2">
        <f>HYPERLINK("https://cao.dolgi.msk.ru/account/1080100769/", 1080100769)</f>
        <v>1080100769</v>
      </c>
      <c r="D11680" t="s">
        <v>9620</v>
      </c>
      <c r="E11680">
        <v>0</v>
      </c>
      <c r="F11680">
        <v>0</v>
      </c>
      <c r="G11680" t="s">
        <v>12</v>
      </c>
      <c r="I11680" t="s">
        <v>230</v>
      </c>
    </row>
    <row r="11681" spans="1:9" hidden="1" x14ac:dyDescent="0.25">
      <c r="A11681" t="s">
        <v>9533</v>
      </c>
      <c r="B11681" t="s">
        <v>703</v>
      </c>
      <c r="C11681" s="2">
        <f>HYPERLINK("https://cao.dolgi.msk.ru/account/1080100777/", 1080100777)</f>
        <v>1080100777</v>
      </c>
      <c r="D11681" t="s">
        <v>9621</v>
      </c>
      <c r="E11681">
        <v>-582.27</v>
      </c>
      <c r="F11681">
        <v>-0.14000000000000001</v>
      </c>
      <c r="G11681" t="s">
        <v>12</v>
      </c>
      <c r="I11681" t="s">
        <v>230</v>
      </c>
    </row>
    <row r="11682" spans="1:9" hidden="1" x14ac:dyDescent="0.25">
      <c r="A11682" t="s">
        <v>9533</v>
      </c>
      <c r="B11682" t="s">
        <v>705</v>
      </c>
      <c r="C11682" s="2">
        <f>HYPERLINK("https://cao.dolgi.msk.ru/account/1080100785/", 1080100785)</f>
        <v>1080100785</v>
      </c>
      <c r="D11682" t="s">
        <v>9622</v>
      </c>
      <c r="E11682">
        <v>380.23</v>
      </c>
      <c r="F11682">
        <v>0.1</v>
      </c>
      <c r="G11682" t="s">
        <v>12</v>
      </c>
      <c r="I11682" t="s">
        <v>230</v>
      </c>
    </row>
    <row r="11683" spans="1:9" hidden="1" x14ac:dyDescent="0.25">
      <c r="A11683" t="s">
        <v>9533</v>
      </c>
      <c r="B11683" t="s">
        <v>707</v>
      </c>
      <c r="C11683" s="2">
        <f>HYPERLINK("https://cao.dolgi.msk.ru/account/1080100793/", 1080100793)</f>
        <v>1080100793</v>
      </c>
      <c r="D11683" t="s">
        <v>9623</v>
      </c>
      <c r="E11683">
        <v>-6485.66</v>
      </c>
      <c r="F11683">
        <v>-1.06</v>
      </c>
      <c r="G11683" t="s">
        <v>12</v>
      </c>
      <c r="I11683" t="s">
        <v>230</v>
      </c>
    </row>
    <row r="11684" spans="1:9" hidden="1" x14ac:dyDescent="0.25">
      <c r="A11684" t="s">
        <v>9533</v>
      </c>
      <c r="B11684" t="s">
        <v>709</v>
      </c>
      <c r="C11684" s="2">
        <f>HYPERLINK("https://cao.dolgi.msk.ru/account/1080100806/", 1080100806)</f>
        <v>1080100806</v>
      </c>
      <c r="D11684" t="s">
        <v>9624</v>
      </c>
      <c r="E11684">
        <v>-4287.01</v>
      </c>
      <c r="F11684">
        <v>-1.22</v>
      </c>
      <c r="G11684" t="s">
        <v>12</v>
      </c>
      <c r="I11684" t="s">
        <v>230</v>
      </c>
    </row>
    <row r="11685" spans="1:9" x14ac:dyDescent="0.25">
      <c r="A11685" t="s">
        <v>9533</v>
      </c>
      <c r="B11685" t="s">
        <v>711</v>
      </c>
      <c r="C11685" s="2">
        <f>HYPERLINK("https://cao.dolgi.msk.ru/account/1080100814/", 1080100814)</f>
        <v>1080100814</v>
      </c>
      <c r="D11685" t="s">
        <v>9625</v>
      </c>
      <c r="E11685">
        <v>118221.79</v>
      </c>
      <c r="F11685">
        <v>25.7</v>
      </c>
      <c r="G11685" t="s">
        <v>12</v>
      </c>
      <c r="I11685" t="s">
        <v>230</v>
      </c>
    </row>
    <row r="11686" spans="1:9" hidden="1" x14ac:dyDescent="0.25">
      <c r="A11686" t="s">
        <v>9533</v>
      </c>
      <c r="B11686" t="s">
        <v>713</v>
      </c>
      <c r="C11686" s="2">
        <f>HYPERLINK("https://cao.dolgi.msk.ru/account/1080100822/", 1080100822)</f>
        <v>1080100822</v>
      </c>
      <c r="D11686" t="s">
        <v>9626</v>
      </c>
      <c r="E11686">
        <v>-864.06</v>
      </c>
      <c r="F11686">
        <v>-0.22</v>
      </c>
      <c r="G11686" t="s">
        <v>12</v>
      </c>
      <c r="I11686" t="s">
        <v>230</v>
      </c>
    </row>
    <row r="11687" spans="1:9" hidden="1" x14ac:dyDescent="0.25">
      <c r="A11687" t="s">
        <v>9533</v>
      </c>
      <c r="B11687" t="s">
        <v>528</v>
      </c>
      <c r="C11687" s="2">
        <f>HYPERLINK("https://cao.dolgi.msk.ru/account/1080100849/", 1080100849)</f>
        <v>1080100849</v>
      </c>
      <c r="D11687" t="s">
        <v>9627</v>
      </c>
      <c r="E11687">
        <v>-5627.16</v>
      </c>
      <c r="F11687">
        <v>-1.21</v>
      </c>
      <c r="G11687" t="s">
        <v>12</v>
      </c>
      <c r="I11687" t="s">
        <v>230</v>
      </c>
    </row>
    <row r="11688" spans="1:9" hidden="1" x14ac:dyDescent="0.25">
      <c r="A11688" t="s">
        <v>9533</v>
      </c>
      <c r="B11688" t="s">
        <v>530</v>
      </c>
      <c r="C11688" s="2">
        <f>HYPERLINK("https://cao.dolgi.msk.ru/account/1080100857/", 1080100857)</f>
        <v>1080100857</v>
      </c>
      <c r="D11688" t="s">
        <v>9628</v>
      </c>
      <c r="E11688">
        <v>0</v>
      </c>
      <c r="F11688">
        <v>0</v>
      </c>
      <c r="G11688" t="s">
        <v>12</v>
      </c>
      <c r="I11688" t="s">
        <v>230</v>
      </c>
    </row>
    <row r="11689" spans="1:9" hidden="1" x14ac:dyDescent="0.25">
      <c r="A11689" t="s">
        <v>9533</v>
      </c>
      <c r="B11689" t="s">
        <v>532</v>
      </c>
      <c r="C11689" s="2">
        <f>HYPERLINK("https://cao.dolgi.msk.ru/account/1080100865/", 1080100865)</f>
        <v>1080100865</v>
      </c>
      <c r="D11689" t="s">
        <v>9629</v>
      </c>
      <c r="E11689">
        <v>73.2</v>
      </c>
      <c r="F11689">
        <v>0.01</v>
      </c>
      <c r="G11689" t="s">
        <v>12</v>
      </c>
      <c r="I11689" t="s">
        <v>230</v>
      </c>
    </row>
    <row r="11690" spans="1:9" x14ac:dyDescent="0.25">
      <c r="A11690" t="s">
        <v>9533</v>
      </c>
      <c r="B11690" t="s">
        <v>534</v>
      </c>
      <c r="C11690" s="2">
        <f>HYPERLINK("https://cao.dolgi.msk.ru/account/1080100873/", 1080100873)</f>
        <v>1080100873</v>
      </c>
      <c r="D11690" t="s">
        <v>9630</v>
      </c>
      <c r="E11690">
        <v>16854.59</v>
      </c>
      <c r="F11690">
        <v>1.49</v>
      </c>
      <c r="G11690" t="s">
        <v>12</v>
      </c>
      <c r="I11690" t="s">
        <v>230</v>
      </c>
    </row>
    <row r="11691" spans="1:9" hidden="1" x14ac:dyDescent="0.25">
      <c r="A11691" t="s">
        <v>9533</v>
      </c>
      <c r="B11691" t="s">
        <v>536</v>
      </c>
      <c r="C11691" s="2">
        <f>HYPERLINK("https://cao.dolgi.msk.ru/account/1080100881/", 1080100881)</f>
        <v>1080100881</v>
      </c>
      <c r="D11691" t="s">
        <v>9631</v>
      </c>
      <c r="E11691">
        <v>-5483.67</v>
      </c>
      <c r="F11691">
        <v>-1.04</v>
      </c>
      <c r="G11691" t="s">
        <v>12</v>
      </c>
      <c r="I11691" t="s">
        <v>230</v>
      </c>
    </row>
    <row r="11692" spans="1:9" hidden="1" x14ac:dyDescent="0.25">
      <c r="A11692" t="s">
        <v>9533</v>
      </c>
      <c r="B11692" t="s">
        <v>538</v>
      </c>
      <c r="C11692" s="2">
        <f>HYPERLINK("https://cao.dolgi.msk.ru/account/1080100902/", 1080100902)</f>
        <v>1080100902</v>
      </c>
      <c r="D11692" t="s">
        <v>9632</v>
      </c>
      <c r="E11692">
        <v>-6046.59</v>
      </c>
      <c r="F11692">
        <v>-1.36</v>
      </c>
      <c r="G11692" t="s">
        <v>12</v>
      </c>
      <c r="I11692" t="s">
        <v>230</v>
      </c>
    </row>
    <row r="11693" spans="1:9" hidden="1" x14ac:dyDescent="0.25">
      <c r="A11693" t="s">
        <v>9633</v>
      </c>
      <c r="B11693" t="s">
        <v>10</v>
      </c>
      <c r="C11693" s="2">
        <f>HYPERLINK("https://cao.dolgi.msk.ru/account/1080317781/", 1080317781)</f>
        <v>1080317781</v>
      </c>
      <c r="D11693" t="s">
        <v>9634</v>
      </c>
      <c r="E11693">
        <v>665.19</v>
      </c>
      <c r="F11693">
        <v>0.14000000000000001</v>
      </c>
      <c r="G11693" t="s">
        <v>12</v>
      </c>
      <c r="I11693" t="s">
        <v>1050</v>
      </c>
    </row>
    <row r="11694" spans="1:9" hidden="1" x14ac:dyDescent="0.25">
      <c r="A11694" t="s">
        <v>9633</v>
      </c>
      <c r="B11694" t="s">
        <v>16</v>
      </c>
      <c r="C11694" s="2">
        <f>HYPERLINK("https://cao.dolgi.msk.ru/account/1080317802/", 1080317802)</f>
        <v>1080317802</v>
      </c>
      <c r="D11694" t="s">
        <v>9635</v>
      </c>
      <c r="E11694">
        <v>-20959.009999999998</v>
      </c>
      <c r="F11694">
        <v>-85.55</v>
      </c>
      <c r="G11694" t="s">
        <v>12</v>
      </c>
      <c r="I11694" t="s">
        <v>1050</v>
      </c>
    </row>
    <row r="11695" spans="1:9" hidden="1" x14ac:dyDescent="0.25">
      <c r="A11695" t="s">
        <v>9633</v>
      </c>
      <c r="B11695" t="s">
        <v>18</v>
      </c>
      <c r="C11695" s="2">
        <f>HYPERLINK("https://cao.dolgi.msk.ru/account/1080317829/", 1080317829)</f>
        <v>1080317829</v>
      </c>
      <c r="D11695" t="s">
        <v>9636</v>
      </c>
      <c r="E11695">
        <v>-398.18</v>
      </c>
      <c r="F11695">
        <v>-0.08</v>
      </c>
      <c r="G11695" t="s">
        <v>12</v>
      </c>
      <c r="I11695" t="s">
        <v>1050</v>
      </c>
    </row>
    <row r="11696" spans="1:9" hidden="1" x14ac:dyDescent="0.25">
      <c r="A11696" t="s">
        <v>9633</v>
      </c>
      <c r="B11696" t="s">
        <v>20</v>
      </c>
      <c r="C11696" s="2">
        <f>HYPERLINK("https://cao.dolgi.msk.ru/account/1080317837/", 1080317837)</f>
        <v>1080317837</v>
      </c>
      <c r="D11696" t="s">
        <v>9637</v>
      </c>
      <c r="E11696">
        <v>-2643.94</v>
      </c>
      <c r="F11696">
        <v>-0.6</v>
      </c>
      <c r="G11696" t="s">
        <v>12</v>
      </c>
      <c r="I11696" t="s">
        <v>1050</v>
      </c>
    </row>
    <row r="11697" spans="1:9" hidden="1" x14ac:dyDescent="0.25">
      <c r="A11697" t="s">
        <v>9633</v>
      </c>
      <c r="B11697" t="s">
        <v>21</v>
      </c>
      <c r="C11697" s="2">
        <f>HYPERLINK("https://cao.dolgi.msk.ru/account/1080317845/", 1080317845)</f>
        <v>1080317845</v>
      </c>
      <c r="D11697" t="s">
        <v>9638</v>
      </c>
      <c r="E11697">
        <v>-5272.79</v>
      </c>
      <c r="F11697">
        <v>-1.39</v>
      </c>
      <c r="G11697" t="s">
        <v>12</v>
      </c>
      <c r="I11697" t="s">
        <v>1050</v>
      </c>
    </row>
    <row r="11698" spans="1:9" hidden="1" x14ac:dyDescent="0.25">
      <c r="A11698" t="s">
        <v>9633</v>
      </c>
      <c r="B11698" t="s">
        <v>22</v>
      </c>
      <c r="C11698" s="2">
        <f>HYPERLINK("https://cao.dolgi.msk.ru/account/1080317861/", 1080317861)</f>
        <v>1080317861</v>
      </c>
      <c r="D11698" t="s">
        <v>9639</v>
      </c>
      <c r="E11698">
        <v>-3971.07</v>
      </c>
      <c r="F11698">
        <v>-1.1200000000000001</v>
      </c>
      <c r="G11698" t="s">
        <v>12</v>
      </c>
      <c r="I11698" t="s">
        <v>1050</v>
      </c>
    </row>
    <row r="11699" spans="1:9" hidden="1" x14ac:dyDescent="0.25">
      <c r="A11699" t="s">
        <v>9633</v>
      </c>
      <c r="B11699" t="s">
        <v>23</v>
      </c>
      <c r="C11699" s="2">
        <f>HYPERLINK("https://cao.dolgi.msk.ru/account/1080317888/", 1080317888)</f>
        <v>1080317888</v>
      </c>
      <c r="D11699" t="s">
        <v>9640</v>
      </c>
      <c r="E11699">
        <v>-2755.51</v>
      </c>
      <c r="F11699">
        <v>-0.97</v>
      </c>
      <c r="G11699" t="s">
        <v>12</v>
      </c>
      <c r="I11699" t="s">
        <v>1050</v>
      </c>
    </row>
    <row r="11700" spans="1:9" hidden="1" x14ac:dyDescent="0.25">
      <c r="A11700" t="s">
        <v>9633</v>
      </c>
      <c r="B11700" t="s">
        <v>24</v>
      </c>
      <c r="C11700" s="2">
        <f>HYPERLINK("https://cao.dolgi.msk.ru/account/1080317896/", 1080317896)</f>
        <v>1080317896</v>
      </c>
      <c r="D11700" t="s">
        <v>9641</v>
      </c>
      <c r="E11700">
        <v>-3559.43</v>
      </c>
      <c r="F11700">
        <v>-0.61</v>
      </c>
      <c r="G11700" t="s">
        <v>12</v>
      </c>
      <c r="I11700" t="s">
        <v>1050</v>
      </c>
    </row>
    <row r="11701" spans="1:9" hidden="1" x14ac:dyDescent="0.25">
      <c r="A11701" t="s">
        <v>9633</v>
      </c>
      <c r="B11701" t="s">
        <v>27</v>
      </c>
      <c r="C11701" s="2">
        <f>HYPERLINK("https://cao.dolgi.msk.ru/account/1080317909/", 1080317909)</f>
        <v>1080317909</v>
      </c>
      <c r="D11701" t="s">
        <v>9642</v>
      </c>
      <c r="E11701">
        <v>-4077.6</v>
      </c>
      <c r="F11701">
        <v>-0.94</v>
      </c>
      <c r="G11701" t="s">
        <v>12</v>
      </c>
      <c r="I11701" t="s">
        <v>1050</v>
      </c>
    </row>
    <row r="11702" spans="1:9" hidden="1" x14ac:dyDescent="0.25">
      <c r="A11702" t="s">
        <v>9633</v>
      </c>
      <c r="B11702" t="s">
        <v>29</v>
      </c>
      <c r="C11702" s="2">
        <f>HYPERLINK("https://cao.dolgi.msk.ru/account/1080317917/", 1080317917)</f>
        <v>1080317917</v>
      </c>
      <c r="D11702" t="s">
        <v>9643</v>
      </c>
      <c r="E11702">
        <v>-3602.61</v>
      </c>
      <c r="F11702">
        <v>-0.99</v>
      </c>
      <c r="G11702" t="s">
        <v>12</v>
      </c>
      <c r="I11702" t="s">
        <v>1050</v>
      </c>
    </row>
    <row r="11703" spans="1:9" hidden="1" x14ac:dyDescent="0.25">
      <c r="A11703" t="s">
        <v>9633</v>
      </c>
      <c r="B11703" t="s">
        <v>31</v>
      </c>
      <c r="C11703" s="2">
        <f>HYPERLINK("https://cao.dolgi.msk.ru/account/1080317925/", 1080317925)</f>
        <v>1080317925</v>
      </c>
      <c r="D11703" t="s">
        <v>9644</v>
      </c>
      <c r="E11703">
        <v>-5753.58</v>
      </c>
      <c r="F11703">
        <v>-0.99</v>
      </c>
      <c r="G11703" t="s">
        <v>12</v>
      </c>
      <c r="I11703" t="s">
        <v>1050</v>
      </c>
    </row>
    <row r="11704" spans="1:9" hidden="1" x14ac:dyDescent="0.25">
      <c r="A11704" t="s">
        <v>9633</v>
      </c>
      <c r="B11704" t="s">
        <v>33</v>
      </c>
      <c r="C11704" s="2">
        <f>HYPERLINK("https://cao.dolgi.msk.ru/account/1080317933/", 1080317933)</f>
        <v>1080317933</v>
      </c>
      <c r="D11704" t="s">
        <v>15</v>
      </c>
      <c r="E11704">
        <v>-8937.16</v>
      </c>
      <c r="F11704">
        <v>-1.01</v>
      </c>
      <c r="G11704" t="s">
        <v>12</v>
      </c>
      <c r="I11704" t="s">
        <v>1050</v>
      </c>
    </row>
    <row r="11705" spans="1:9" hidden="1" x14ac:dyDescent="0.25">
      <c r="A11705" t="s">
        <v>9633</v>
      </c>
      <c r="B11705" t="s">
        <v>34</v>
      </c>
      <c r="C11705" s="2">
        <f>HYPERLINK("https://cao.dolgi.msk.ru/account/1080317941/", 1080317941)</f>
        <v>1080317941</v>
      </c>
      <c r="D11705" t="s">
        <v>9645</v>
      </c>
      <c r="E11705">
        <v>-224.04</v>
      </c>
      <c r="F11705">
        <v>-0.05</v>
      </c>
      <c r="G11705" t="s">
        <v>12</v>
      </c>
      <c r="I11705" t="s">
        <v>1050</v>
      </c>
    </row>
    <row r="11706" spans="1:9" hidden="1" x14ac:dyDescent="0.25">
      <c r="A11706" t="s">
        <v>9633</v>
      </c>
      <c r="B11706" t="s">
        <v>36</v>
      </c>
      <c r="C11706" s="2">
        <f>HYPERLINK("https://cao.dolgi.msk.ru/account/1080317968/", 1080317968)</f>
        <v>1080317968</v>
      </c>
      <c r="D11706" t="s">
        <v>9646</v>
      </c>
      <c r="E11706">
        <v>-3478.41</v>
      </c>
      <c r="F11706">
        <v>-0.96</v>
      </c>
      <c r="G11706" t="s">
        <v>12</v>
      </c>
      <c r="I11706" t="s">
        <v>1050</v>
      </c>
    </row>
    <row r="11707" spans="1:9" hidden="1" x14ac:dyDescent="0.25">
      <c r="A11707" t="s">
        <v>9633</v>
      </c>
      <c r="B11707" t="s">
        <v>38</v>
      </c>
      <c r="C11707" s="2">
        <f>HYPERLINK("https://cao.dolgi.msk.ru/account/1080317976/", 1080317976)</f>
        <v>1080317976</v>
      </c>
      <c r="D11707" t="s">
        <v>9647</v>
      </c>
      <c r="E11707">
        <v>-5081.1000000000004</v>
      </c>
      <c r="F11707">
        <v>-0.94</v>
      </c>
      <c r="G11707" t="s">
        <v>12</v>
      </c>
      <c r="I11707" t="s">
        <v>1050</v>
      </c>
    </row>
    <row r="11708" spans="1:9" hidden="1" x14ac:dyDescent="0.25">
      <c r="A11708" t="s">
        <v>9633</v>
      </c>
      <c r="B11708" t="s">
        <v>39</v>
      </c>
      <c r="C11708" s="2">
        <f>HYPERLINK("https://cao.dolgi.msk.ru/account/1080317984/", 1080317984)</f>
        <v>1080317984</v>
      </c>
      <c r="D11708" t="s">
        <v>9648</v>
      </c>
      <c r="E11708">
        <v>-32.049999999999997</v>
      </c>
      <c r="F11708">
        <v>-0.01</v>
      </c>
      <c r="G11708" t="s">
        <v>12</v>
      </c>
      <c r="I11708" t="s">
        <v>1050</v>
      </c>
    </row>
    <row r="11709" spans="1:9" hidden="1" x14ac:dyDescent="0.25">
      <c r="A11709" t="s">
        <v>9633</v>
      </c>
      <c r="B11709" t="s">
        <v>40</v>
      </c>
      <c r="C11709" s="2">
        <f>HYPERLINK("https://cao.dolgi.msk.ru/account/1080317992/", 1080317992)</f>
        <v>1080317992</v>
      </c>
      <c r="D11709" t="s">
        <v>9649</v>
      </c>
      <c r="E11709">
        <v>-3151.09</v>
      </c>
      <c r="F11709">
        <v>-1.02</v>
      </c>
      <c r="G11709" t="s">
        <v>12</v>
      </c>
      <c r="I11709" t="s">
        <v>1050</v>
      </c>
    </row>
    <row r="11710" spans="1:9" hidden="1" x14ac:dyDescent="0.25">
      <c r="A11710" t="s">
        <v>9633</v>
      </c>
      <c r="B11710" t="s">
        <v>41</v>
      </c>
      <c r="C11710" s="2">
        <f>HYPERLINK("https://cao.dolgi.msk.ru/account/1080318004/", 1080318004)</f>
        <v>1080318004</v>
      </c>
      <c r="D11710" t="s">
        <v>9650</v>
      </c>
      <c r="E11710">
        <v>-6.44</v>
      </c>
      <c r="F11710">
        <v>0</v>
      </c>
      <c r="G11710" t="s">
        <v>12</v>
      </c>
      <c r="I11710" t="s">
        <v>1050</v>
      </c>
    </row>
    <row r="11711" spans="1:9" hidden="1" x14ac:dyDescent="0.25">
      <c r="A11711" t="s">
        <v>9633</v>
      </c>
      <c r="B11711" t="s">
        <v>42</v>
      </c>
      <c r="C11711" s="2">
        <f>HYPERLINK("https://cao.dolgi.msk.ru/account/1080318012/", 1080318012)</f>
        <v>1080318012</v>
      </c>
      <c r="D11711" t="s">
        <v>9651</v>
      </c>
      <c r="E11711">
        <v>118.3</v>
      </c>
      <c r="F11711">
        <v>0.02</v>
      </c>
      <c r="G11711" t="s">
        <v>12</v>
      </c>
      <c r="I11711" t="s">
        <v>1050</v>
      </c>
    </row>
    <row r="11712" spans="1:9" hidden="1" x14ac:dyDescent="0.25">
      <c r="A11712" t="s">
        <v>9633</v>
      </c>
      <c r="B11712" t="s">
        <v>44</v>
      </c>
      <c r="C11712" s="2">
        <f>HYPERLINK("https://cao.dolgi.msk.ru/account/1080318039/", 1080318039)</f>
        <v>1080318039</v>
      </c>
      <c r="D11712" t="s">
        <v>9652</v>
      </c>
      <c r="E11712">
        <v>-9186.8799999999992</v>
      </c>
      <c r="F11712">
        <v>-1.1100000000000001</v>
      </c>
      <c r="G11712" t="s">
        <v>12</v>
      </c>
      <c r="I11712" t="s">
        <v>1050</v>
      </c>
    </row>
    <row r="11713" spans="1:9" hidden="1" x14ac:dyDescent="0.25">
      <c r="A11713" t="s">
        <v>9633</v>
      </c>
      <c r="B11713" t="s">
        <v>66</v>
      </c>
      <c r="C11713" s="2">
        <f>HYPERLINK("https://cao.dolgi.msk.ru/account/1080318047/", 1080318047)</f>
        <v>1080318047</v>
      </c>
      <c r="D11713" t="s">
        <v>9653</v>
      </c>
      <c r="E11713">
        <v>-5776.68</v>
      </c>
      <c r="F11713">
        <v>-1.73</v>
      </c>
      <c r="G11713" t="s">
        <v>12</v>
      </c>
      <c r="I11713" t="s">
        <v>1050</v>
      </c>
    </row>
    <row r="11714" spans="1:9" hidden="1" x14ac:dyDescent="0.25">
      <c r="A11714" t="s">
        <v>9633</v>
      </c>
      <c r="B11714" t="s">
        <v>68</v>
      </c>
      <c r="C11714" s="2">
        <f>HYPERLINK("https://cao.dolgi.msk.ru/account/1080318055/", 1080318055)</f>
        <v>1080318055</v>
      </c>
      <c r="D11714" t="s">
        <v>9654</v>
      </c>
      <c r="E11714">
        <v>-4751.7</v>
      </c>
      <c r="F11714">
        <v>-1.03</v>
      </c>
      <c r="G11714" t="s">
        <v>12</v>
      </c>
      <c r="I11714" t="s">
        <v>1050</v>
      </c>
    </row>
    <row r="11715" spans="1:9" hidden="1" x14ac:dyDescent="0.25">
      <c r="A11715" t="s">
        <v>9633</v>
      </c>
      <c r="B11715" t="s">
        <v>70</v>
      </c>
      <c r="C11715" s="2">
        <f>HYPERLINK("https://cao.dolgi.msk.ru/account/1080318063/", 1080318063)</f>
        <v>1080318063</v>
      </c>
      <c r="D11715" t="s">
        <v>9655</v>
      </c>
      <c r="E11715">
        <v>-5411.44</v>
      </c>
      <c r="F11715">
        <v>-1</v>
      </c>
      <c r="G11715" t="s">
        <v>12</v>
      </c>
      <c r="I11715" t="s">
        <v>1050</v>
      </c>
    </row>
    <row r="11716" spans="1:9" hidden="1" x14ac:dyDescent="0.25">
      <c r="A11716" t="s">
        <v>9633</v>
      </c>
      <c r="B11716" t="s">
        <v>72</v>
      </c>
      <c r="C11716" s="2">
        <f>HYPERLINK("https://cao.dolgi.msk.ru/account/1080318071/", 1080318071)</f>
        <v>1080318071</v>
      </c>
      <c r="D11716" t="s">
        <v>15</v>
      </c>
      <c r="G11716" t="s">
        <v>14</v>
      </c>
      <c r="I11716" t="s">
        <v>1050</v>
      </c>
    </row>
    <row r="11717" spans="1:9" hidden="1" x14ac:dyDescent="0.25">
      <c r="A11717" t="s">
        <v>9633</v>
      </c>
      <c r="B11717" t="s">
        <v>74</v>
      </c>
      <c r="C11717" s="2">
        <f>HYPERLINK("https://cao.dolgi.msk.ru/account/1080318098/", 1080318098)</f>
        <v>1080318098</v>
      </c>
      <c r="D11717" t="s">
        <v>9656</v>
      </c>
      <c r="E11717">
        <v>-8139.53</v>
      </c>
      <c r="F11717">
        <v>-1.01</v>
      </c>
      <c r="G11717" t="s">
        <v>12</v>
      </c>
      <c r="I11717" t="s">
        <v>1050</v>
      </c>
    </row>
    <row r="11718" spans="1:9" hidden="1" x14ac:dyDescent="0.25">
      <c r="A11718" t="s">
        <v>9633</v>
      </c>
      <c r="B11718" t="s">
        <v>76</v>
      </c>
      <c r="C11718" s="2">
        <f>HYPERLINK("https://cao.dolgi.msk.ru/account/1080318119/", 1080318119)</f>
        <v>1080318119</v>
      </c>
      <c r="D11718" t="s">
        <v>9657</v>
      </c>
      <c r="E11718">
        <v>-16839.45</v>
      </c>
      <c r="F11718">
        <v>-1.02</v>
      </c>
      <c r="G11718" t="s">
        <v>12</v>
      </c>
      <c r="I11718" t="s">
        <v>1050</v>
      </c>
    </row>
    <row r="11719" spans="1:9" hidden="1" x14ac:dyDescent="0.25">
      <c r="A11719" t="s">
        <v>9633</v>
      </c>
      <c r="B11719" t="s">
        <v>78</v>
      </c>
      <c r="C11719" s="2">
        <f>HYPERLINK("https://cao.dolgi.msk.ru/account/1080318127/", 1080318127)</f>
        <v>1080318127</v>
      </c>
      <c r="D11719" t="s">
        <v>9658</v>
      </c>
      <c r="E11719">
        <v>-4773.58</v>
      </c>
      <c r="F11719">
        <v>-0.9</v>
      </c>
      <c r="G11719" t="s">
        <v>12</v>
      </c>
      <c r="I11719" t="s">
        <v>1050</v>
      </c>
    </row>
    <row r="11720" spans="1:9" hidden="1" x14ac:dyDescent="0.25">
      <c r="A11720" t="s">
        <v>9633</v>
      </c>
      <c r="B11720" t="s">
        <v>80</v>
      </c>
      <c r="C11720" s="2">
        <f>HYPERLINK("https://cao.dolgi.msk.ru/account/1080318135/", 1080318135)</f>
        <v>1080318135</v>
      </c>
      <c r="D11720" t="s">
        <v>9659</v>
      </c>
      <c r="E11720">
        <v>-5848.74</v>
      </c>
      <c r="F11720">
        <v>-0.99</v>
      </c>
      <c r="G11720" t="s">
        <v>12</v>
      </c>
      <c r="I11720" t="s">
        <v>1050</v>
      </c>
    </row>
    <row r="11721" spans="1:9" hidden="1" x14ac:dyDescent="0.25">
      <c r="A11721" t="s">
        <v>9633</v>
      </c>
      <c r="B11721" t="s">
        <v>82</v>
      </c>
      <c r="C11721" s="2">
        <f>HYPERLINK("https://cao.dolgi.msk.ru/account/1080318143/", 1080318143)</f>
        <v>1080318143</v>
      </c>
      <c r="D11721" t="s">
        <v>9660</v>
      </c>
      <c r="E11721">
        <v>-2090.6799999999998</v>
      </c>
      <c r="F11721">
        <v>-0.8</v>
      </c>
      <c r="G11721" t="s">
        <v>12</v>
      </c>
      <c r="I11721" t="s">
        <v>1050</v>
      </c>
    </row>
    <row r="11722" spans="1:9" hidden="1" x14ac:dyDescent="0.25">
      <c r="A11722" t="s">
        <v>9633</v>
      </c>
      <c r="B11722" t="s">
        <v>84</v>
      </c>
      <c r="C11722" s="2">
        <f>HYPERLINK("https://cao.dolgi.msk.ru/account/1080318151/", 1080318151)</f>
        <v>1080318151</v>
      </c>
      <c r="D11722" t="s">
        <v>9661</v>
      </c>
      <c r="E11722">
        <v>18.899999999999999</v>
      </c>
      <c r="F11722">
        <v>0</v>
      </c>
      <c r="G11722" t="s">
        <v>12</v>
      </c>
      <c r="I11722" t="s">
        <v>1050</v>
      </c>
    </row>
    <row r="11723" spans="1:9" hidden="1" x14ac:dyDescent="0.25">
      <c r="A11723" t="s">
        <v>9633</v>
      </c>
      <c r="B11723" t="s">
        <v>86</v>
      </c>
      <c r="C11723" s="2">
        <f>HYPERLINK("https://cao.dolgi.msk.ru/account/1080318178/", 1080318178)</f>
        <v>1080318178</v>
      </c>
      <c r="D11723" t="s">
        <v>9662</v>
      </c>
      <c r="E11723">
        <v>-1359.82</v>
      </c>
      <c r="F11723">
        <v>-0.6</v>
      </c>
      <c r="G11723" t="s">
        <v>12</v>
      </c>
      <c r="I11723" t="s">
        <v>1050</v>
      </c>
    </row>
    <row r="11724" spans="1:9" hidden="1" x14ac:dyDescent="0.25">
      <c r="A11724" t="s">
        <v>9633</v>
      </c>
      <c r="B11724" t="s">
        <v>88</v>
      </c>
      <c r="C11724" s="2">
        <f>HYPERLINK("https://cao.dolgi.msk.ru/account/1080318186/", 1080318186)</f>
        <v>1080318186</v>
      </c>
      <c r="D11724" t="s">
        <v>9663</v>
      </c>
      <c r="E11724">
        <v>-5408.26</v>
      </c>
      <c r="F11724">
        <v>-1.18</v>
      </c>
      <c r="G11724" t="s">
        <v>12</v>
      </c>
      <c r="I11724" t="s">
        <v>1050</v>
      </c>
    </row>
    <row r="11725" spans="1:9" hidden="1" x14ac:dyDescent="0.25">
      <c r="A11725" t="s">
        <v>9633</v>
      </c>
      <c r="B11725" t="s">
        <v>90</v>
      </c>
      <c r="C11725" s="2">
        <f>HYPERLINK("https://cao.dolgi.msk.ru/account/1080318194/", 1080318194)</f>
        <v>1080318194</v>
      </c>
      <c r="D11725" t="s">
        <v>9664</v>
      </c>
      <c r="E11725">
        <v>-1214.08</v>
      </c>
      <c r="F11725">
        <v>-0.45</v>
      </c>
      <c r="G11725" t="s">
        <v>12</v>
      </c>
      <c r="I11725" t="s">
        <v>1050</v>
      </c>
    </row>
    <row r="11726" spans="1:9" hidden="1" x14ac:dyDescent="0.25">
      <c r="A11726" t="s">
        <v>9633</v>
      </c>
      <c r="B11726" t="s">
        <v>92</v>
      </c>
      <c r="C11726" s="2">
        <f>HYPERLINK("https://cao.dolgi.msk.ru/account/1080318207/", 1080318207)</f>
        <v>1080318207</v>
      </c>
      <c r="D11726" t="s">
        <v>9665</v>
      </c>
      <c r="E11726">
        <v>-7960.37</v>
      </c>
      <c r="F11726">
        <v>-1.02</v>
      </c>
      <c r="G11726" t="s">
        <v>12</v>
      </c>
      <c r="I11726" t="s">
        <v>1050</v>
      </c>
    </row>
    <row r="11727" spans="1:9" hidden="1" x14ac:dyDescent="0.25">
      <c r="A11727" t="s">
        <v>9633</v>
      </c>
      <c r="B11727" t="s">
        <v>94</v>
      </c>
      <c r="C11727" s="2">
        <f>HYPERLINK("https://cao.dolgi.msk.ru/account/1080318215/", 1080318215)</f>
        <v>1080318215</v>
      </c>
      <c r="D11727" t="s">
        <v>9666</v>
      </c>
      <c r="E11727">
        <v>-5985.68</v>
      </c>
      <c r="F11727">
        <v>-0.95</v>
      </c>
      <c r="G11727" t="s">
        <v>12</v>
      </c>
      <c r="I11727" t="s">
        <v>1050</v>
      </c>
    </row>
    <row r="11728" spans="1:9" hidden="1" x14ac:dyDescent="0.25">
      <c r="A11728" t="s">
        <v>9633</v>
      </c>
      <c r="B11728" t="s">
        <v>96</v>
      </c>
      <c r="C11728" s="2">
        <f>HYPERLINK("https://cao.dolgi.msk.ru/account/1080318223/", 1080318223)</f>
        <v>1080318223</v>
      </c>
      <c r="D11728" t="s">
        <v>9667</v>
      </c>
      <c r="E11728">
        <v>-4393.3599999999997</v>
      </c>
      <c r="F11728">
        <v>-0.97</v>
      </c>
      <c r="G11728" t="s">
        <v>12</v>
      </c>
      <c r="I11728" t="s">
        <v>1050</v>
      </c>
    </row>
    <row r="11729" spans="1:9" hidden="1" x14ac:dyDescent="0.25">
      <c r="A11729" t="s">
        <v>9633</v>
      </c>
      <c r="B11729" t="s">
        <v>98</v>
      </c>
      <c r="C11729" s="2">
        <f>HYPERLINK("https://cao.dolgi.msk.ru/account/1080318231/", 1080318231)</f>
        <v>1080318231</v>
      </c>
      <c r="D11729" t="s">
        <v>9668</v>
      </c>
      <c r="E11729">
        <v>-58.2</v>
      </c>
      <c r="F11729">
        <v>-0.02</v>
      </c>
      <c r="G11729" t="s">
        <v>12</v>
      </c>
      <c r="I11729" t="s">
        <v>1050</v>
      </c>
    </row>
    <row r="11730" spans="1:9" hidden="1" x14ac:dyDescent="0.25">
      <c r="A11730" t="s">
        <v>9633</v>
      </c>
      <c r="B11730" t="s">
        <v>100</v>
      </c>
      <c r="C11730" s="2">
        <f>HYPERLINK("https://cao.dolgi.msk.ru/account/1080318258/", 1080318258)</f>
        <v>1080318258</v>
      </c>
      <c r="D11730" t="s">
        <v>9669</v>
      </c>
      <c r="E11730">
        <v>-255.51</v>
      </c>
      <c r="F11730">
        <v>-0.05</v>
      </c>
      <c r="G11730" t="s">
        <v>12</v>
      </c>
      <c r="I11730" t="s">
        <v>1050</v>
      </c>
    </row>
    <row r="11731" spans="1:9" hidden="1" x14ac:dyDescent="0.25">
      <c r="A11731" t="s">
        <v>9633</v>
      </c>
      <c r="B11731" t="s">
        <v>102</v>
      </c>
      <c r="C11731" s="2">
        <f>HYPERLINK("https://cao.dolgi.msk.ru/account/1080318266/", 1080318266)</f>
        <v>1080318266</v>
      </c>
      <c r="D11731" t="s">
        <v>9670</v>
      </c>
      <c r="E11731">
        <v>3299.03</v>
      </c>
      <c r="F11731">
        <v>0.84</v>
      </c>
      <c r="G11731" t="s">
        <v>12</v>
      </c>
      <c r="I11731" t="s">
        <v>1050</v>
      </c>
    </row>
    <row r="11732" spans="1:9" hidden="1" x14ac:dyDescent="0.25">
      <c r="A11732" t="s">
        <v>9633</v>
      </c>
      <c r="B11732" t="s">
        <v>104</v>
      </c>
      <c r="C11732" s="2">
        <f>HYPERLINK("https://cao.dolgi.msk.ru/account/1080318274/", 1080318274)</f>
        <v>1080318274</v>
      </c>
      <c r="D11732" t="s">
        <v>15</v>
      </c>
      <c r="E11732">
        <v>0</v>
      </c>
      <c r="F11732">
        <v>0</v>
      </c>
      <c r="G11732" t="s">
        <v>12</v>
      </c>
      <c r="I11732" t="s">
        <v>1050</v>
      </c>
    </row>
    <row r="11733" spans="1:9" hidden="1" x14ac:dyDescent="0.25">
      <c r="A11733" t="s">
        <v>9633</v>
      </c>
      <c r="B11733" t="s">
        <v>104</v>
      </c>
      <c r="C11733" s="2">
        <f>HYPERLINK("https://cao.dolgi.msk.ru/account/1080321369/", 1080321369)</f>
        <v>1080321369</v>
      </c>
      <c r="D11733" t="s">
        <v>15</v>
      </c>
      <c r="G11733" t="s">
        <v>14</v>
      </c>
      <c r="I11733" t="s">
        <v>1050</v>
      </c>
    </row>
    <row r="11734" spans="1:9" hidden="1" x14ac:dyDescent="0.25">
      <c r="A11734" t="s">
        <v>9671</v>
      </c>
      <c r="B11734" t="s">
        <v>10</v>
      </c>
      <c r="C11734" s="2">
        <f>HYPERLINK("https://cao.dolgi.msk.ru/account/1089110816/", 1089110816)</f>
        <v>1089110816</v>
      </c>
      <c r="D11734" t="s">
        <v>9672</v>
      </c>
      <c r="E11734">
        <v>3455.98</v>
      </c>
      <c r="F11734">
        <v>0.8</v>
      </c>
      <c r="G11734" t="s">
        <v>12</v>
      </c>
      <c r="I11734" t="s">
        <v>1050</v>
      </c>
    </row>
    <row r="11735" spans="1:9" x14ac:dyDescent="0.25">
      <c r="A11735" t="s">
        <v>9671</v>
      </c>
      <c r="B11735" t="s">
        <v>16</v>
      </c>
      <c r="C11735" s="2">
        <f>HYPERLINK("https://cao.dolgi.msk.ru/account/1089110824/", 1089110824)</f>
        <v>1089110824</v>
      </c>
      <c r="D11735" t="s">
        <v>15</v>
      </c>
      <c r="E11735">
        <v>250076.6</v>
      </c>
      <c r="F11735">
        <v>37.9</v>
      </c>
      <c r="G11735" t="s">
        <v>12</v>
      </c>
      <c r="I11735" t="s">
        <v>1050</v>
      </c>
    </row>
    <row r="11736" spans="1:9" hidden="1" x14ac:dyDescent="0.25">
      <c r="A11736" t="s">
        <v>9671</v>
      </c>
      <c r="B11736" t="s">
        <v>18</v>
      </c>
      <c r="C11736" s="2">
        <f>HYPERLINK("https://cao.dolgi.msk.ru/account/1089110832/", 1089110832)</f>
        <v>1089110832</v>
      </c>
      <c r="D11736" t="s">
        <v>9673</v>
      </c>
      <c r="E11736">
        <v>-7187.37</v>
      </c>
      <c r="F11736">
        <v>-1.71</v>
      </c>
      <c r="G11736" t="s">
        <v>12</v>
      </c>
      <c r="I11736" t="s">
        <v>1050</v>
      </c>
    </row>
    <row r="11737" spans="1:9" hidden="1" x14ac:dyDescent="0.25">
      <c r="A11737" t="s">
        <v>9671</v>
      </c>
      <c r="B11737" t="s">
        <v>20</v>
      </c>
      <c r="C11737" s="2">
        <f>HYPERLINK("https://cao.dolgi.msk.ru/account/1089110859/", 1089110859)</f>
        <v>1089110859</v>
      </c>
      <c r="D11737" t="s">
        <v>9674</v>
      </c>
      <c r="E11737">
        <v>-4006.74</v>
      </c>
      <c r="F11737">
        <v>-1.27</v>
      </c>
      <c r="G11737" t="s">
        <v>12</v>
      </c>
      <c r="I11737" t="s">
        <v>1050</v>
      </c>
    </row>
    <row r="11738" spans="1:9" hidden="1" x14ac:dyDescent="0.25">
      <c r="A11738" t="s">
        <v>9671</v>
      </c>
      <c r="B11738" t="s">
        <v>21</v>
      </c>
      <c r="C11738" s="2">
        <f>HYPERLINK("https://cao.dolgi.msk.ru/account/1089110867/", 1089110867)</f>
        <v>1089110867</v>
      </c>
      <c r="D11738" t="s">
        <v>9675</v>
      </c>
      <c r="E11738">
        <v>-2103.31</v>
      </c>
      <c r="F11738">
        <v>-1.03</v>
      </c>
      <c r="G11738" t="s">
        <v>12</v>
      </c>
      <c r="I11738" t="s">
        <v>1050</v>
      </c>
    </row>
    <row r="11739" spans="1:9" hidden="1" x14ac:dyDescent="0.25">
      <c r="A11739" t="s">
        <v>9671</v>
      </c>
      <c r="B11739" t="s">
        <v>22</v>
      </c>
      <c r="C11739" s="2">
        <f>HYPERLINK("https://cao.dolgi.msk.ru/account/1089110875/", 1089110875)</f>
        <v>1089110875</v>
      </c>
      <c r="D11739" t="s">
        <v>9676</v>
      </c>
      <c r="E11739">
        <v>-4121.9799999999996</v>
      </c>
      <c r="F11739">
        <v>-1</v>
      </c>
      <c r="G11739" t="s">
        <v>12</v>
      </c>
      <c r="I11739" t="s">
        <v>1050</v>
      </c>
    </row>
    <row r="11740" spans="1:9" x14ac:dyDescent="0.25">
      <c r="A11740" t="s">
        <v>9671</v>
      </c>
      <c r="B11740" t="s">
        <v>23</v>
      </c>
      <c r="C11740" s="2">
        <f>HYPERLINK("https://cao.dolgi.msk.ru/account/1089110883/", 1089110883)</f>
        <v>1089110883</v>
      </c>
      <c r="D11740" t="s">
        <v>9677</v>
      </c>
      <c r="E11740">
        <v>13734.57</v>
      </c>
      <c r="F11740">
        <v>3.45</v>
      </c>
      <c r="G11740" t="s">
        <v>12</v>
      </c>
      <c r="I11740" t="s">
        <v>1050</v>
      </c>
    </row>
    <row r="11741" spans="1:9" x14ac:dyDescent="0.25">
      <c r="A11741" t="s">
        <v>9671</v>
      </c>
      <c r="B11741" t="s">
        <v>24</v>
      </c>
      <c r="C11741" s="2">
        <f>HYPERLINK("https://cao.dolgi.msk.ru/account/1089005899/", 1089005899)</f>
        <v>1089005899</v>
      </c>
      <c r="D11741" t="s">
        <v>15</v>
      </c>
      <c r="E11741">
        <v>8856.2999999999993</v>
      </c>
      <c r="F11741">
        <v>1.49</v>
      </c>
      <c r="G11741" t="s">
        <v>12</v>
      </c>
      <c r="I11741" t="s">
        <v>1050</v>
      </c>
    </row>
    <row r="11742" spans="1:9" hidden="1" x14ac:dyDescent="0.25">
      <c r="A11742" t="s">
        <v>9671</v>
      </c>
      <c r="B11742" t="s">
        <v>27</v>
      </c>
      <c r="C11742" s="2">
        <f>HYPERLINK("https://cao.dolgi.msk.ru/account/1089110904/", 1089110904)</f>
        <v>1089110904</v>
      </c>
      <c r="D11742" t="s">
        <v>15</v>
      </c>
      <c r="E11742">
        <v>-17.649999999999999</v>
      </c>
      <c r="F11742">
        <v>-0.01</v>
      </c>
      <c r="G11742" t="s">
        <v>12</v>
      </c>
      <c r="I11742" t="s">
        <v>1050</v>
      </c>
    </row>
    <row r="11743" spans="1:9" hidden="1" x14ac:dyDescent="0.25">
      <c r="A11743" t="s">
        <v>9671</v>
      </c>
      <c r="B11743" t="s">
        <v>27</v>
      </c>
      <c r="C11743" s="2">
        <f>HYPERLINK("https://cao.dolgi.msk.ru/account/1089114825/", 1089114825)</f>
        <v>1089114825</v>
      </c>
      <c r="D11743" t="s">
        <v>15</v>
      </c>
      <c r="E11743">
        <v>-2049.92</v>
      </c>
      <c r="F11743">
        <v>-1.53</v>
      </c>
      <c r="G11743" t="s">
        <v>12</v>
      </c>
      <c r="I11743" t="s">
        <v>1050</v>
      </c>
    </row>
    <row r="11744" spans="1:9" hidden="1" x14ac:dyDescent="0.25">
      <c r="A11744" t="s">
        <v>9671</v>
      </c>
      <c r="B11744" t="s">
        <v>29</v>
      </c>
      <c r="C11744" s="2">
        <f>HYPERLINK("https://cao.dolgi.msk.ru/account/1089110912/", 1089110912)</f>
        <v>1089110912</v>
      </c>
      <c r="D11744" t="s">
        <v>9678</v>
      </c>
      <c r="E11744">
        <v>2888.11</v>
      </c>
      <c r="F11744">
        <v>0.41</v>
      </c>
      <c r="G11744" t="s">
        <v>12</v>
      </c>
      <c r="I11744" t="s">
        <v>1050</v>
      </c>
    </row>
    <row r="11745" spans="1:9" hidden="1" x14ac:dyDescent="0.25">
      <c r="A11745" t="s">
        <v>9671</v>
      </c>
      <c r="B11745" t="s">
        <v>31</v>
      </c>
      <c r="C11745" s="2">
        <f>HYPERLINK("https://cao.dolgi.msk.ru/account/1089110939/", 1089110939)</f>
        <v>1089110939</v>
      </c>
      <c r="D11745" t="s">
        <v>9679</v>
      </c>
      <c r="E11745">
        <v>-4589.6099999999997</v>
      </c>
      <c r="F11745">
        <v>-1.1399999999999999</v>
      </c>
      <c r="G11745" t="s">
        <v>12</v>
      </c>
      <c r="I11745" t="s">
        <v>1050</v>
      </c>
    </row>
    <row r="11746" spans="1:9" hidden="1" x14ac:dyDescent="0.25">
      <c r="A11746" t="s">
        <v>9671</v>
      </c>
      <c r="B11746" t="s">
        <v>33</v>
      </c>
      <c r="C11746" s="2">
        <f>HYPERLINK("https://cao.dolgi.msk.ru/account/1089110947/", 1089110947)</f>
        <v>1089110947</v>
      </c>
      <c r="D11746" t="s">
        <v>9680</v>
      </c>
      <c r="E11746">
        <v>-3365.45</v>
      </c>
      <c r="F11746">
        <v>-1.31</v>
      </c>
      <c r="G11746" t="s">
        <v>12</v>
      </c>
      <c r="I11746" t="s">
        <v>1050</v>
      </c>
    </row>
    <row r="11747" spans="1:9" hidden="1" x14ac:dyDescent="0.25">
      <c r="A11747" t="s">
        <v>9671</v>
      </c>
      <c r="B11747" t="s">
        <v>34</v>
      </c>
      <c r="C11747" s="2">
        <f>HYPERLINK("https://cao.dolgi.msk.ru/account/1089005864/", 1089005864)</f>
        <v>1089005864</v>
      </c>
      <c r="D11747" t="s">
        <v>9681</v>
      </c>
      <c r="E11747">
        <v>-221.54</v>
      </c>
      <c r="F11747">
        <v>-0.04</v>
      </c>
      <c r="G11747" t="s">
        <v>12</v>
      </c>
      <c r="I11747" t="s">
        <v>1050</v>
      </c>
    </row>
    <row r="11748" spans="1:9" hidden="1" x14ac:dyDescent="0.25">
      <c r="A11748" t="s">
        <v>9671</v>
      </c>
      <c r="B11748" t="s">
        <v>36</v>
      </c>
      <c r="C11748" s="2">
        <f>HYPERLINK("https://cao.dolgi.msk.ru/account/1089110963/", 1089110963)</f>
        <v>1089110963</v>
      </c>
      <c r="D11748" t="s">
        <v>9682</v>
      </c>
      <c r="E11748">
        <v>-4397.03</v>
      </c>
      <c r="F11748">
        <v>-1.1399999999999999</v>
      </c>
      <c r="G11748" t="s">
        <v>12</v>
      </c>
      <c r="I11748" t="s">
        <v>1050</v>
      </c>
    </row>
    <row r="11749" spans="1:9" hidden="1" x14ac:dyDescent="0.25">
      <c r="A11749" t="s">
        <v>9671</v>
      </c>
      <c r="B11749" t="s">
        <v>38</v>
      </c>
      <c r="C11749" s="2">
        <f>HYPERLINK("https://cao.dolgi.msk.ru/account/1089110971/", 1089110971)</f>
        <v>1089110971</v>
      </c>
      <c r="D11749" t="s">
        <v>9683</v>
      </c>
      <c r="E11749">
        <v>-216.55</v>
      </c>
      <c r="F11749">
        <v>-0.03</v>
      </c>
      <c r="G11749" t="s">
        <v>12</v>
      </c>
      <c r="I11749" t="s">
        <v>1050</v>
      </c>
    </row>
    <row r="11750" spans="1:9" hidden="1" x14ac:dyDescent="0.25">
      <c r="A11750" t="s">
        <v>9671</v>
      </c>
      <c r="B11750" t="s">
        <v>38</v>
      </c>
      <c r="C11750" s="2">
        <f>HYPERLINK("https://cao.dolgi.msk.ru/account/1089124409/", 1089124409)</f>
        <v>1089124409</v>
      </c>
      <c r="D11750" t="s">
        <v>9683</v>
      </c>
      <c r="E11750">
        <v>-760.48</v>
      </c>
      <c r="G11750" t="s">
        <v>14</v>
      </c>
      <c r="I11750" t="s">
        <v>1050</v>
      </c>
    </row>
    <row r="11751" spans="1:9" hidden="1" x14ac:dyDescent="0.25">
      <c r="A11751" t="s">
        <v>9671</v>
      </c>
      <c r="B11751" t="s">
        <v>39</v>
      </c>
      <c r="C11751" s="2">
        <f>HYPERLINK("https://cao.dolgi.msk.ru/account/1089005821/", 1089005821)</f>
        <v>1089005821</v>
      </c>
      <c r="D11751" t="s">
        <v>9684</v>
      </c>
      <c r="E11751">
        <v>-122.25</v>
      </c>
      <c r="F11751">
        <v>-0.05</v>
      </c>
      <c r="G11751" t="s">
        <v>12</v>
      </c>
      <c r="I11751" t="s">
        <v>1050</v>
      </c>
    </row>
    <row r="11752" spans="1:9" hidden="1" x14ac:dyDescent="0.25">
      <c r="A11752" t="s">
        <v>9671</v>
      </c>
      <c r="B11752" t="s">
        <v>40</v>
      </c>
      <c r="C11752" s="2">
        <f>HYPERLINK("https://cao.dolgi.msk.ru/account/1089111018/", 1089111018)</f>
        <v>1089111018</v>
      </c>
      <c r="D11752" t="s">
        <v>15</v>
      </c>
      <c r="E11752">
        <v>-3967.62</v>
      </c>
      <c r="F11752">
        <v>-0.94</v>
      </c>
      <c r="G11752" t="s">
        <v>12</v>
      </c>
      <c r="I11752" t="s">
        <v>1050</v>
      </c>
    </row>
    <row r="11753" spans="1:9" hidden="1" x14ac:dyDescent="0.25">
      <c r="A11753" t="s">
        <v>9671</v>
      </c>
      <c r="B11753" t="s">
        <v>41</v>
      </c>
      <c r="C11753" s="2">
        <f>HYPERLINK("https://cao.dolgi.msk.ru/account/1089111026/", 1089111026)</f>
        <v>1089111026</v>
      </c>
      <c r="D11753" t="s">
        <v>9685</v>
      </c>
      <c r="E11753">
        <v>-2829.25</v>
      </c>
      <c r="F11753">
        <v>-1.1299999999999999</v>
      </c>
      <c r="G11753" t="s">
        <v>12</v>
      </c>
      <c r="I11753" t="s">
        <v>1050</v>
      </c>
    </row>
    <row r="11754" spans="1:9" hidden="1" x14ac:dyDescent="0.25">
      <c r="A11754" t="s">
        <v>9671</v>
      </c>
      <c r="B11754" t="s">
        <v>42</v>
      </c>
      <c r="C11754" s="2">
        <f>HYPERLINK("https://cao.dolgi.msk.ru/account/1089007667/", 1089007667)</f>
        <v>1089007667</v>
      </c>
      <c r="D11754" t="s">
        <v>9686</v>
      </c>
      <c r="E11754">
        <v>-3063.22</v>
      </c>
      <c r="F11754">
        <v>-1.04</v>
      </c>
      <c r="G11754" t="s">
        <v>12</v>
      </c>
      <c r="I11754" t="s">
        <v>1050</v>
      </c>
    </row>
    <row r="11755" spans="1:9" hidden="1" x14ac:dyDescent="0.25">
      <c r="A11755" t="s">
        <v>9671</v>
      </c>
      <c r="B11755" t="s">
        <v>44</v>
      </c>
      <c r="C11755" s="2">
        <f>HYPERLINK("https://cao.dolgi.msk.ru/account/1089111042/", 1089111042)</f>
        <v>1089111042</v>
      </c>
      <c r="D11755" t="s">
        <v>9687</v>
      </c>
      <c r="E11755">
        <v>-5011.47</v>
      </c>
      <c r="F11755">
        <v>-1.19</v>
      </c>
      <c r="G11755" t="s">
        <v>12</v>
      </c>
      <c r="I11755" t="s">
        <v>1050</v>
      </c>
    </row>
    <row r="11756" spans="1:9" hidden="1" x14ac:dyDescent="0.25">
      <c r="A11756" t="s">
        <v>9671</v>
      </c>
      <c r="B11756" t="s">
        <v>66</v>
      </c>
      <c r="C11756" s="2">
        <f>HYPERLINK("https://cao.dolgi.msk.ru/account/1089111069/", 1089111069)</f>
        <v>1089111069</v>
      </c>
      <c r="D11756" t="s">
        <v>15</v>
      </c>
      <c r="E11756">
        <v>-3846.25</v>
      </c>
      <c r="F11756">
        <v>-1</v>
      </c>
      <c r="G11756" t="s">
        <v>12</v>
      </c>
      <c r="I11756" t="s">
        <v>1050</v>
      </c>
    </row>
    <row r="11757" spans="1:9" hidden="1" x14ac:dyDescent="0.25">
      <c r="A11757" t="s">
        <v>9671</v>
      </c>
      <c r="B11757" t="s">
        <v>68</v>
      </c>
      <c r="C11757" s="2">
        <f>HYPERLINK("https://cao.dolgi.msk.ru/account/1089111077/", 1089111077)</f>
        <v>1089111077</v>
      </c>
      <c r="D11757" t="s">
        <v>9688</v>
      </c>
      <c r="E11757">
        <v>-4192.3999999999996</v>
      </c>
      <c r="F11757">
        <v>-1.1000000000000001</v>
      </c>
      <c r="G11757" t="s">
        <v>12</v>
      </c>
      <c r="I11757" t="s">
        <v>1050</v>
      </c>
    </row>
    <row r="11758" spans="1:9" hidden="1" x14ac:dyDescent="0.25">
      <c r="A11758" t="s">
        <v>9671</v>
      </c>
      <c r="B11758" t="s">
        <v>70</v>
      </c>
      <c r="C11758" s="2">
        <f>HYPERLINK("https://cao.dolgi.msk.ru/account/1089111085/", 1089111085)</f>
        <v>1089111085</v>
      </c>
      <c r="D11758" t="s">
        <v>9689</v>
      </c>
      <c r="E11758">
        <v>-4732.58</v>
      </c>
      <c r="F11758">
        <v>-1.08</v>
      </c>
      <c r="G11758" t="s">
        <v>12</v>
      </c>
      <c r="I11758" t="s">
        <v>1050</v>
      </c>
    </row>
    <row r="11759" spans="1:9" hidden="1" x14ac:dyDescent="0.25">
      <c r="A11759" t="s">
        <v>9671</v>
      </c>
      <c r="B11759" t="s">
        <v>72</v>
      </c>
      <c r="C11759" s="2">
        <f>HYPERLINK("https://cao.dolgi.msk.ru/account/1089111093/", 1089111093)</f>
        <v>1089111093</v>
      </c>
      <c r="D11759" t="s">
        <v>9690</v>
      </c>
      <c r="E11759">
        <v>-6647.1</v>
      </c>
      <c r="F11759">
        <v>-0.83</v>
      </c>
      <c r="G11759" t="s">
        <v>12</v>
      </c>
      <c r="I11759" t="s">
        <v>1050</v>
      </c>
    </row>
    <row r="11760" spans="1:9" hidden="1" x14ac:dyDescent="0.25">
      <c r="A11760" t="s">
        <v>9671</v>
      </c>
      <c r="B11760" t="s">
        <v>76</v>
      </c>
      <c r="C11760" s="2">
        <f>HYPERLINK("https://cao.dolgi.msk.ru/account/1089111106/", 1089111106)</f>
        <v>1089111106</v>
      </c>
      <c r="D11760" t="s">
        <v>9691</v>
      </c>
      <c r="E11760">
        <v>-7368.5</v>
      </c>
      <c r="F11760">
        <v>-1.32</v>
      </c>
      <c r="G11760" t="s">
        <v>12</v>
      </c>
      <c r="I11760" t="s">
        <v>1050</v>
      </c>
    </row>
    <row r="11761" spans="1:9" hidden="1" x14ac:dyDescent="0.25">
      <c r="A11761" t="s">
        <v>9671</v>
      </c>
      <c r="B11761" t="s">
        <v>78</v>
      </c>
      <c r="C11761" s="2">
        <f>HYPERLINK("https://cao.dolgi.msk.ru/account/1089111114/", 1089111114)</f>
        <v>1089111114</v>
      </c>
      <c r="D11761" t="s">
        <v>9692</v>
      </c>
      <c r="E11761">
        <v>-39.75</v>
      </c>
      <c r="F11761">
        <v>-0.02</v>
      </c>
      <c r="G11761" t="s">
        <v>12</v>
      </c>
      <c r="I11761" t="s">
        <v>1050</v>
      </c>
    </row>
    <row r="11762" spans="1:9" hidden="1" x14ac:dyDescent="0.25">
      <c r="A11762" t="s">
        <v>9671</v>
      </c>
      <c r="B11762" t="s">
        <v>80</v>
      </c>
      <c r="C11762" s="2">
        <f>HYPERLINK("https://cao.dolgi.msk.ru/account/1089111122/", 1089111122)</f>
        <v>1089111122</v>
      </c>
      <c r="D11762" t="s">
        <v>9693</v>
      </c>
      <c r="E11762">
        <v>-4288.75</v>
      </c>
      <c r="F11762">
        <v>-1.0900000000000001</v>
      </c>
      <c r="G11762" t="s">
        <v>12</v>
      </c>
      <c r="I11762" t="s">
        <v>1050</v>
      </c>
    </row>
    <row r="11763" spans="1:9" hidden="1" x14ac:dyDescent="0.25">
      <c r="A11763" t="s">
        <v>9671</v>
      </c>
      <c r="B11763" t="s">
        <v>82</v>
      </c>
      <c r="C11763" s="2">
        <f>HYPERLINK("https://cao.dolgi.msk.ru/account/1089007798/", 1089007798)</f>
        <v>1089007798</v>
      </c>
      <c r="D11763" t="s">
        <v>9694</v>
      </c>
      <c r="E11763">
        <v>-6466.98</v>
      </c>
      <c r="F11763">
        <v>-1.35</v>
      </c>
      <c r="G11763" t="s">
        <v>12</v>
      </c>
      <c r="I11763" t="s">
        <v>1050</v>
      </c>
    </row>
    <row r="11764" spans="1:9" hidden="1" x14ac:dyDescent="0.25">
      <c r="A11764" t="s">
        <v>9671</v>
      </c>
      <c r="B11764" t="s">
        <v>84</v>
      </c>
      <c r="C11764" s="2">
        <f>HYPERLINK("https://cao.dolgi.msk.ru/account/1089111157/", 1089111157)</f>
        <v>1089111157</v>
      </c>
      <c r="D11764" t="s">
        <v>9695</v>
      </c>
      <c r="E11764">
        <v>-2368.69</v>
      </c>
      <c r="F11764">
        <v>-1</v>
      </c>
      <c r="G11764" t="s">
        <v>12</v>
      </c>
      <c r="I11764" t="s">
        <v>1050</v>
      </c>
    </row>
    <row r="11765" spans="1:9" hidden="1" x14ac:dyDescent="0.25">
      <c r="A11765" t="s">
        <v>9671</v>
      </c>
      <c r="B11765" t="s">
        <v>86</v>
      </c>
      <c r="C11765" s="2">
        <f>HYPERLINK("https://cao.dolgi.msk.ru/account/1089111165/", 1089111165)</f>
        <v>1089111165</v>
      </c>
      <c r="D11765" t="s">
        <v>9696</v>
      </c>
      <c r="E11765">
        <v>-5250.91</v>
      </c>
      <c r="F11765">
        <v>-1.0900000000000001</v>
      </c>
      <c r="G11765" t="s">
        <v>12</v>
      </c>
      <c r="I11765" t="s">
        <v>1050</v>
      </c>
    </row>
    <row r="11766" spans="1:9" hidden="1" x14ac:dyDescent="0.25">
      <c r="A11766" t="s">
        <v>9671</v>
      </c>
      <c r="B11766" t="s">
        <v>88</v>
      </c>
      <c r="C11766" s="2">
        <f>HYPERLINK("https://cao.dolgi.msk.ru/account/1089111173/", 1089111173)</f>
        <v>1089111173</v>
      </c>
      <c r="D11766" t="s">
        <v>15</v>
      </c>
      <c r="E11766">
        <v>0</v>
      </c>
      <c r="F11766">
        <v>0</v>
      </c>
      <c r="G11766" t="s">
        <v>12</v>
      </c>
      <c r="I11766" t="s">
        <v>1050</v>
      </c>
    </row>
    <row r="11767" spans="1:9" hidden="1" x14ac:dyDescent="0.25">
      <c r="A11767" t="s">
        <v>9671</v>
      </c>
      <c r="B11767" t="s">
        <v>90</v>
      </c>
      <c r="C11767" s="2">
        <f>HYPERLINK("https://cao.dolgi.msk.ru/account/1089111181/", 1089111181)</f>
        <v>1089111181</v>
      </c>
      <c r="D11767" t="s">
        <v>15</v>
      </c>
      <c r="E11767">
        <v>-3531.46</v>
      </c>
      <c r="F11767">
        <v>-1.05</v>
      </c>
      <c r="G11767" t="s">
        <v>12</v>
      </c>
      <c r="I11767" t="s">
        <v>1050</v>
      </c>
    </row>
    <row r="11768" spans="1:9" hidden="1" x14ac:dyDescent="0.25">
      <c r="A11768" t="s">
        <v>9671</v>
      </c>
      <c r="B11768" t="s">
        <v>92</v>
      </c>
      <c r="C11768" s="2">
        <f>HYPERLINK("https://cao.dolgi.msk.ru/account/1089111202/", 1089111202)</f>
        <v>1089111202</v>
      </c>
      <c r="D11768" t="s">
        <v>15</v>
      </c>
      <c r="E11768">
        <v>-443.93</v>
      </c>
      <c r="F11768">
        <v>-0.11</v>
      </c>
      <c r="G11768" t="s">
        <v>12</v>
      </c>
      <c r="I11768" t="s">
        <v>1050</v>
      </c>
    </row>
    <row r="11769" spans="1:9" hidden="1" x14ac:dyDescent="0.25">
      <c r="A11769" t="s">
        <v>9671</v>
      </c>
      <c r="B11769" t="s">
        <v>94</v>
      </c>
      <c r="C11769" s="2">
        <f>HYPERLINK("https://cao.dolgi.msk.ru/account/1089111229/", 1089111229)</f>
        <v>1089111229</v>
      </c>
      <c r="D11769" t="s">
        <v>9697</v>
      </c>
      <c r="E11769">
        <v>-6939.04</v>
      </c>
      <c r="F11769">
        <v>-0.98</v>
      </c>
      <c r="G11769" t="s">
        <v>12</v>
      </c>
      <c r="I11769" t="s">
        <v>1050</v>
      </c>
    </row>
    <row r="11770" spans="1:9" hidden="1" x14ac:dyDescent="0.25">
      <c r="A11770" t="s">
        <v>9671</v>
      </c>
      <c r="B11770" t="s">
        <v>96</v>
      </c>
      <c r="C11770" s="2">
        <f>HYPERLINK("https://cao.dolgi.msk.ru/account/1089111237/", 1089111237)</f>
        <v>1089111237</v>
      </c>
      <c r="D11770" t="s">
        <v>9698</v>
      </c>
      <c r="E11770">
        <v>-5173.68</v>
      </c>
      <c r="F11770">
        <v>-1.0900000000000001</v>
      </c>
      <c r="G11770" t="s">
        <v>12</v>
      </c>
      <c r="I11770" t="s">
        <v>1050</v>
      </c>
    </row>
    <row r="11771" spans="1:9" hidden="1" x14ac:dyDescent="0.25">
      <c r="A11771" t="s">
        <v>9671</v>
      </c>
      <c r="B11771" t="s">
        <v>98</v>
      </c>
      <c r="C11771" s="2">
        <f>HYPERLINK("https://cao.dolgi.msk.ru/account/1089111245/", 1089111245)</f>
        <v>1089111245</v>
      </c>
      <c r="D11771" t="s">
        <v>9699</v>
      </c>
      <c r="E11771">
        <v>-1957.68</v>
      </c>
      <c r="F11771">
        <v>-1.1100000000000001</v>
      </c>
      <c r="G11771" t="s">
        <v>12</v>
      </c>
      <c r="I11771" t="s">
        <v>1050</v>
      </c>
    </row>
    <row r="11772" spans="1:9" hidden="1" x14ac:dyDescent="0.25">
      <c r="A11772" t="s">
        <v>9671</v>
      </c>
      <c r="B11772" t="s">
        <v>100</v>
      </c>
      <c r="C11772" s="2">
        <f>HYPERLINK("https://cao.dolgi.msk.ru/account/1089007704/", 1089007704)</f>
        <v>1089007704</v>
      </c>
      <c r="D11772" t="s">
        <v>9700</v>
      </c>
      <c r="E11772">
        <v>-4429.99</v>
      </c>
      <c r="F11772">
        <v>-1.07</v>
      </c>
      <c r="G11772" t="s">
        <v>12</v>
      </c>
      <c r="I11772" t="s">
        <v>1050</v>
      </c>
    </row>
    <row r="11773" spans="1:9" hidden="1" x14ac:dyDescent="0.25">
      <c r="A11773" t="s">
        <v>9671</v>
      </c>
      <c r="B11773" t="s">
        <v>102</v>
      </c>
      <c r="C11773" s="2">
        <f>HYPERLINK("https://cao.dolgi.msk.ru/account/1089005848/", 1089005848)</f>
        <v>1089005848</v>
      </c>
      <c r="D11773" t="s">
        <v>9701</v>
      </c>
      <c r="E11773">
        <v>-4416.43</v>
      </c>
      <c r="F11773">
        <v>-1.07</v>
      </c>
      <c r="G11773" t="s">
        <v>12</v>
      </c>
      <c r="I11773" t="s">
        <v>1050</v>
      </c>
    </row>
    <row r="11774" spans="1:9" hidden="1" x14ac:dyDescent="0.25">
      <c r="A11774" t="s">
        <v>9671</v>
      </c>
      <c r="B11774" t="s">
        <v>104</v>
      </c>
      <c r="C11774" s="2">
        <f>HYPERLINK("https://cao.dolgi.msk.ru/account/1089005856/", 1089005856)</f>
        <v>1089005856</v>
      </c>
      <c r="D11774" t="s">
        <v>15</v>
      </c>
      <c r="E11774">
        <v>-1678.44</v>
      </c>
      <c r="F11774">
        <v>-1.18</v>
      </c>
      <c r="G11774" t="s">
        <v>12</v>
      </c>
      <c r="I11774" t="s">
        <v>1050</v>
      </c>
    </row>
    <row r="11775" spans="1:9" hidden="1" x14ac:dyDescent="0.25">
      <c r="A11775" t="s">
        <v>9671</v>
      </c>
      <c r="B11775" t="s">
        <v>106</v>
      </c>
      <c r="C11775" s="2">
        <f>HYPERLINK("https://cao.dolgi.msk.ru/account/1089111296/", 1089111296)</f>
        <v>1089111296</v>
      </c>
      <c r="D11775" t="s">
        <v>9702</v>
      </c>
      <c r="E11775">
        <v>-3642.92</v>
      </c>
      <c r="F11775">
        <v>-1.18</v>
      </c>
      <c r="G11775" t="s">
        <v>12</v>
      </c>
      <c r="I11775" t="s">
        <v>1050</v>
      </c>
    </row>
    <row r="11776" spans="1:9" hidden="1" x14ac:dyDescent="0.25">
      <c r="A11776" t="s">
        <v>9671</v>
      </c>
      <c r="B11776" t="s">
        <v>108</v>
      </c>
      <c r="C11776" s="2">
        <f>HYPERLINK("https://cao.dolgi.msk.ru/account/1089111309/", 1089111309)</f>
        <v>1089111309</v>
      </c>
      <c r="D11776" t="s">
        <v>9703</v>
      </c>
      <c r="E11776">
        <v>-19832.939999999999</v>
      </c>
      <c r="F11776">
        <v>-3.62</v>
      </c>
      <c r="G11776" t="s">
        <v>12</v>
      </c>
      <c r="I11776" t="s">
        <v>1050</v>
      </c>
    </row>
    <row r="11777" spans="1:9" hidden="1" x14ac:dyDescent="0.25">
      <c r="A11777" t="s">
        <v>9671</v>
      </c>
      <c r="B11777" t="s">
        <v>110</v>
      </c>
      <c r="C11777" s="2">
        <f>HYPERLINK("https://cao.dolgi.msk.ru/account/1083271328/", 1083271328)</f>
        <v>1083271328</v>
      </c>
      <c r="D11777" t="s">
        <v>15</v>
      </c>
      <c r="E11777">
        <v>-1362.18</v>
      </c>
      <c r="F11777">
        <v>-1.52</v>
      </c>
      <c r="G11777" t="s">
        <v>12</v>
      </c>
      <c r="I11777" t="s">
        <v>1050</v>
      </c>
    </row>
    <row r="11778" spans="1:9" hidden="1" x14ac:dyDescent="0.25">
      <c r="A11778" t="s">
        <v>9671</v>
      </c>
      <c r="B11778" t="s">
        <v>110</v>
      </c>
      <c r="C11778" s="2">
        <f>HYPERLINK("https://cao.dolgi.msk.ru/account/1089007907/", 1089007907)</f>
        <v>1089007907</v>
      </c>
      <c r="D11778" t="s">
        <v>9704</v>
      </c>
      <c r="E11778">
        <v>-3511.1</v>
      </c>
      <c r="F11778">
        <v>-1.06</v>
      </c>
      <c r="G11778" t="s">
        <v>12</v>
      </c>
      <c r="I11778" t="s">
        <v>1050</v>
      </c>
    </row>
    <row r="11779" spans="1:9" hidden="1" x14ac:dyDescent="0.25">
      <c r="A11779" t="s">
        <v>9671</v>
      </c>
      <c r="B11779" t="s">
        <v>112</v>
      </c>
      <c r="C11779" s="2">
        <f>HYPERLINK("https://cao.dolgi.msk.ru/account/1089111325/", 1089111325)</f>
        <v>1089111325</v>
      </c>
      <c r="D11779" t="s">
        <v>9705</v>
      </c>
      <c r="E11779">
        <v>-15362.11</v>
      </c>
      <c r="F11779">
        <v>-2.1</v>
      </c>
      <c r="G11779" t="s">
        <v>12</v>
      </c>
      <c r="I11779" t="s">
        <v>1050</v>
      </c>
    </row>
    <row r="11780" spans="1:9" hidden="1" x14ac:dyDescent="0.25">
      <c r="A11780" t="s">
        <v>9671</v>
      </c>
      <c r="B11780" t="s">
        <v>114</v>
      </c>
      <c r="C11780" s="2">
        <f>HYPERLINK("https://cao.dolgi.msk.ru/account/1089111333/", 1089111333)</f>
        <v>1089111333</v>
      </c>
      <c r="D11780" t="s">
        <v>9706</v>
      </c>
      <c r="E11780">
        <v>-3103.56</v>
      </c>
      <c r="F11780">
        <v>-1.1100000000000001</v>
      </c>
      <c r="G11780" t="s">
        <v>12</v>
      </c>
      <c r="I11780" t="s">
        <v>1050</v>
      </c>
    </row>
    <row r="11781" spans="1:9" hidden="1" x14ac:dyDescent="0.25">
      <c r="A11781" t="s">
        <v>9671</v>
      </c>
      <c r="B11781" t="s">
        <v>116</v>
      </c>
      <c r="C11781" s="2">
        <f>HYPERLINK("https://cao.dolgi.msk.ru/account/1089007923/", 1089007923)</f>
        <v>1089007923</v>
      </c>
      <c r="D11781" t="s">
        <v>9707</v>
      </c>
      <c r="E11781">
        <v>-3802.94</v>
      </c>
      <c r="F11781">
        <v>-0.93</v>
      </c>
      <c r="G11781" t="s">
        <v>12</v>
      </c>
      <c r="I11781" t="s">
        <v>1050</v>
      </c>
    </row>
    <row r="11782" spans="1:9" hidden="1" x14ac:dyDescent="0.25">
      <c r="A11782" t="s">
        <v>9671</v>
      </c>
      <c r="B11782" t="s">
        <v>118</v>
      </c>
      <c r="C11782" s="2">
        <f>HYPERLINK("https://cao.dolgi.msk.ru/account/1089111368/", 1089111368)</f>
        <v>1089111368</v>
      </c>
      <c r="D11782" t="s">
        <v>9708</v>
      </c>
      <c r="E11782">
        <v>19.8</v>
      </c>
      <c r="F11782">
        <v>0</v>
      </c>
      <c r="G11782" t="s">
        <v>12</v>
      </c>
      <c r="I11782" t="s">
        <v>1050</v>
      </c>
    </row>
    <row r="11783" spans="1:9" hidden="1" x14ac:dyDescent="0.25">
      <c r="A11783" t="s">
        <v>9671</v>
      </c>
      <c r="B11783" t="s">
        <v>120</v>
      </c>
      <c r="C11783" s="2">
        <f>HYPERLINK("https://cao.dolgi.msk.ru/account/1089111376/", 1089111376)</f>
        <v>1089111376</v>
      </c>
      <c r="D11783" t="s">
        <v>9709</v>
      </c>
      <c r="E11783">
        <v>-1776.65</v>
      </c>
      <c r="F11783">
        <v>-0.86</v>
      </c>
      <c r="G11783" t="s">
        <v>12</v>
      </c>
      <c r="I11783" t="s">
        <v>1050</v>
      </c>
    </row>
    <row r="11784" spans="1:9" hidden="1" x14ac:dyDescent="0.25">
      <c r="A11784" t="s">
        <v>9671</v>
      </c>
      <c r="B11784" t="s">
        <v>122</v>
      </c>
      <c r="C11784" s="2">
        <f>HYPERLINK("https://cao.dolgi.msk.ru/account/1089111384/", 1089111384)</f>
        <v>1089111384</v>
      </c>
      <c r="D11784" t="s">
        <v>9710</v>
      </c>
      <c r="E11784">
        <v>-3141.89</v>
      </c>
      <c r="F11784">
        <v>-1.05</v>
      </c>
      <c r="G11784" t="s">
        <v>12</v>
      </c>
      <c r="I11784" t="s">
        <v>1050</v>
      </c>
    </row>
    <row r="11785" spans="1:9" hidden="1" x14ac:dyDescent="0.25">
      <c r="A11785" t="s">
        <v>9671</v>
      </c>
      <c r="B11785" t="s">
        <v>124</v>
      </c>
      <c r="C11785" s="2">
        <f>HYPERLINK("https://cao.dolgi.msk.ru/account/1089005805/", 1089005805)</f>
        <v>1089005805</v>
      </c>
      <c r="D11785" t="s">
        <v>9711</v>
      </c>
      <c r="E11785">
        <v>4819.12</v>
      </c>
      <c r="F11785">
        <v>0.74</v>
      </c>
      <c r="G11785" t="s">
        <v>12</v>
      </c>
      <c r="I11785" t="s">
        <v>1050</v>
      </c>
    </row>
    <row r="11786" spans="1:9" hidden="1" x14ac:dyDescent="0.25">
      <c r="A11786" t="s">
        <v>9671</v>
      </c>
      <c r="B11786" t="s">
        <v>126</v>
      </c>
      <c r="C11786" s="2">
        <f>HYPERLINK("https://cao.dolgi.msk.ru/account/1089111405/", 1089111405)</f>
        <v>1089111405</v>
      </c>
      <c r="D11786" t="s">
        <v>9712</v>
      </c>
      <c r="E11786">
        <v>0</v>
      </c>
      <c r="F11786">
        <v>0</v>
      </c>
      <c r="G11786" t="s">
        <v>12</v>
      </c>
      <c r="I11786" t="s">
        <v>1050</v>
      </c>
    </row>
    <row r="11787" spans="1:9" hidden="1" x14ac:dyDescent="0.25">
      <c r="A11787" t="s">
        <v>9671</v>
      </c>
      <c r="B11787" t="s">
        <v>128</v>
      </c>
      <c r="C11787" s="2">
        <f>HYPERLINK("https://cao.dolgi.msk.ru/account/1089111413/", 1089111413)</f>
        <v>1089111413</v>
      </c>
      <c r="D11787" t="s">
        <v>9713</v>
      </c>
      <c r="E11787">
        <v>-5809.21</v>
      </c>
      <c r="F11787">
        <v>-1.1200000000000001</v>
      </c>
      <c r="G11787" t="s">
        <v>12</v>
      </c>
      <c r="I11787" t="s">
        <v>1050</v>
      </c>
    </row>
    <row r="11788" spans="1:9" hidden="1" x14ac:dyDescent="0.25">
      <c r="A11788" t="s">
        <v>9671</v>
      </c>
      <c r="B11788" t="s">
        <v>130</v>
      </c>
      <c r="C11788" s="2">
        <f>HYPERLINK("https://cao.dolgi.msk.ru/account/1089111421/", 1089111421)</f>
        <v>1089111421</v>
      </c>
      <c r="D11788" t="s">
        <v>9714</v>
      </c>
      <c r="E11788">
        <v>-4380.1400000000003</v>
      </c>
      <c r="F11788">
        <v>-1.1000000000000001</v>
      </c>
      <c r="G11788" t="s">
        <v>12</v>
      </c>
      <c r="I11788" t="s">
        <v>1050</v>
      </c>
    </row>
    <row r="11789" spans="1:9" hidden="1" x14ac:dyDescent="0.25">
      <c r="A11789" t="s">
        <v>9671</v>
      </c>
      <c r="B11789" t="s">
        <v>132</v>
      </c>
      <c r="C11789" s="2">
        <f>HYPERLINK("https://cao.dolgi.msk.ru/account/1089111448/", 1089111448)</f>
        <v>1089111448</v>
      </c>
      <c r="D11789" t="s">
        <v>9715</v>
      </c>
      <c r="E11789">
        <v>-4365.6499999999996</v>
      </c>
      <c r="F11789">
        <v>-1.1000000000000001</v>
      </c>
      <c r="G11789" t="s">
        <v>12</v>
      </c>
      <c r="I11789" t="s">
        <v>1050</v>
      </c>
    </row>
    <row r="11790" spans="1:9" hidden="1" x14ac:dyDescent="0.25">
      <c r="A11790" t="s">
        <v>9671</v>
      </c>
      <c r="B11790" t="s">
        <v>133</v>
      </c>
      <c r="C11790" s="2">
        <f>HYPERLINK("https://cao.dolgi.msk.ru/account/1089111456/", 1089111456)</f>
        <v>1089111456</v>
      </c>
      <c r="D11790" t="s">
        <v>9716</v>
      </c>
      <c r="E11790">
        <v>-6721.59</v>
      </c>
      <c r="F11790">
        <v>-0.98</v>
      </c>
      <c r="G11790" t="s">
        <v>12</v>
      </c>
      <c r="I11790" t="s">
        <v>1050</v>
      </c>
    </row>
    <row r="11791" spans="1:9" hidden="1" x14ac:dyDescent="0.25">
      <c r="A11791" t="s">
        <v>9671</v>
      </c>
      <c r="B11791" t="s">
        <v>135</v>
      </c>
      <c r="C11791" s="2">
        <f>HYPERLINK("https://cao.dolgi.msk.ru/account/1089005872/", 1089005872)</f>
        <v>1089005872</v>
      </c>
      <c r="D11791" t="s">
        <v>9717</v>
      </c>
      <c r="E11791">
        <v>-3576.98</v>
      </c>
      <c r="F11791">
        <v>-0.77</v>
      </c>
      <c r="G11791" t="s">
        <v>12</v>
      </c>
      <c r="I11791" t="s">
        <v>1050</v>
      </c>
    </row>
    <row r="11792" spans="1:9" hidden="1" x14ac:dyDescent="0.25">
      <c r="A11792" t="s">
        <v>9671</v>
      </c>
      <c r="B11792" t="s">
        <v>137</v>
      </c>
      <c r="C11792" s="2">
        <f>HYPERLINK("https://cao.dolgi.msk.ru/account/1089005813/", 1089005813)</f>
        <v>1089005813</v>
      </c>
      <c r="D11792" t="s">
        <v>9718</v>
      </c>
      <c r="E11792">
        <v>-5482.89</v>
      </c>
      <c r="F11792">
        <v>-2.58</v>
      </c>
      <c r="G11792" t="s">
        <v>12</v>
      </c>
      <c r="I11792" t="s">
        <v>1050</v>
      </c>
    </row>
    <row r="11793" spans="1:9" hidden="1" x14ac:dyDescent="0.25">
      <c r="A11793" t="s">
        <v>9671</v>
      </c>
      <c r="B11793" t="s">
        <v>139</v>
      </c>
      <c r="C11793" s="2">
        <f>HYPERLINK("https://cao.dolgi.msk.ru/account/1089111499/", 1089111499)</f>
        <v>1089111499</v>
      </c>
      <c r="D11793" t="s">
        <v>15</v>
      </c>
      <c r="E11793">
        <v>-9088.74</v>
      </c>
      <c r="F11793">
        <v>-1.88</v>
      </c>
      <c r="G11793" t="s">
        <v>12</v>
      </c>
      <c r="I11793" t="s">
        <v>1050</v>
      </c>
    </row>
    <row r="11794" spans="1:9" hidden="1" x14ac:dyDescent="0.25">
      <c r="A11794" t="s">
        <v>9671</v>
      </c>
      <c r="B11794" t="s">
        <v>141</v>
      </c>
      <c r="C11794" s="2">
        <f>HYPERLINK("https://cao.dolgi.msk.ru/account/1089111501/", 1089111501)</f>
        <v>1089111501</v>
      </c>
      <c r="D11794" t="s">
        <v>9719</v>
      </c>
      <c r="E11794">
        <v>-3010.72</v>
      </c>
      <c r="F11794">
        <v>-1.1000000000000001</v>
      </c>
      <c r="G11794" t="s">
        <v>12</v>
      </c>
      <c r="I11794" t="s">
        <v>1050</v>
      </c>
    </row>
    <row r="11795" spans="1:9" hidden="1" x14ac:dyDescent="0.25">
      <c r="A11795" t="s">
        <v>9671</v>
      </c>
      <c r="B11795" t="s">
        <v>143</v>
      </c>
      <c r="C11795" s="2">
        <f>HYPERLINK("https://cao.dolgi.msk.ru/account/1089111528/", 1089111528)</f>
        <v>1089111528</v>
      </c>
      <c r="D11795" t="s">
        <v>15</v>
      </c>
      <c r="E11795">
        <v>-6713.49</v>
      </c>
      <c r="F11795">
        <v>-2.1</v>
      </c>
      <c r="G11795" t="s">
        <v>12</v>
      </c>
      <c r="I11795" t="s">
        <v>1050</v>
      </c>
    </row>
    <row r="11796" spans="1:9" hidden="1" x14ac:dyDescent="0.25">
      <c r="A11796" t="s">
        <v>9671</v>
      </c>
      <c r="B11796" t="s">
        <v>145</v>
      </c>
      <c r="C11796" s="2">
        <f>HYPERLINK("https://cao.dolgi.msk.ru/account/1089111536/", 1089111536)</f>
        <v>1089111536</v>
      </c>
      <c r="D11796" t="s">
        <v>9720</v>
      </c>
      <c r="E11796">
        <v>-5913.1</v>
      </c>
      <c r="F11796">
        <v>-2.11</v>
      </c>
      <c r="G11796" t="s">
        <v>12</v>
      </c>
      <c r="I11796" t="s">
        <v>1050</v>
      </c>
    </row>
    <row r="11797" spans="1:9" hidden="1" x14ac:dyDescent="0.25">
      <c r="A11797" t="s">
        <v>9671</v>
      </c>
      <c r="B11797" t="s">
        <v>147</v>
      </c>
      <c r="C11797" s="2">
        <f>HYPERLINK("https://cao.dolgi.msk.ru/account/1089111544/", 1089111544)</f>
        <v>1089111544</v>
      </c>
      <c r="D11797" t="s">
        <v>9721</v>
      </c>
      <c r="E11797">
        <v>163.95</v>
      </c>
      <c r="F11797">
        <v>0.05</v>
      </c>
      <c r="G11797" t="s">
        <v>12</v>
      </c>
      <c r="I11797" t="s">
        <v>1050</v>
      </c>
    </row>
    <row r="11798" spans="1:9" hidden="1" x14ac:dyDescent="0.25">
      <c r="A11798" t="s">
        <v>9671</v>
      </c>
      <c r="B11798" t="s">
        <v>149</v>
      </c>
      <c r="C11798" s="2">
        <f>HYPERLINK("https://cao.dolgi.msk.ru/account/1089111552/", 1089111552)</f>
        <v>1089111552</v>
      </c>
      <c r="D11798" t="s">
        <v>9722</v>
      </c>
      <c r="E11798">
        <v>-4841.68</v>
      </c>
      <c r="F11798">
        <v>-1.23</v>
      </c>
      <c r="G11798" t="s">
        <v>12</v>
      </c>
      <c r="I11798" t="s">
        <v>1050</v>
      </c>
    </row>
    <row r="11799" spans="1:9" hidden="1" x14ac:dyDescent="0.25">
      <c r="A11799" t="s">
        <v>9671</v>
      </c>
      <c r="B11799" t="s">
        <v>151</v>
      </c>
      <c r="C11799" s="2">
        <f>HYPERLINK("https://cao.dolgi.msk.ru/account/1089111579/", 1089111579)</f>
        <v>1089111579</v>
      </c>
      <c r="D11799" t="s">
        <v>9723</v>
      </c>
      <c r="E11799">
        <v>-4838.54</v>
      </c>
      <c r="F11799">
        <v>-1</v>
      </c>
      <c r="G11799" t="s">
        <v>12</v>
      </c>
      <c r="I11799" t="s">
        <v>1050</v>
      </c>
    </row>
    <row r="11800" spans="1:9" hidden="1" x14ac:dyDescent="0.25">
      <c r="A11800" t="s">
        <v>9671</v>
      </c>
      <c r="B11800" t="s">
        <v>153</v>
      </c>
      <c r="C11800" s="2">
        <f>HYPERLINK("https://cao.dolgi.msk.ru/account/1089111587/", 1089111587)</f>
        <v>1089111587</v>
      </c>
      <c r="D11800" t="s">
        <v>9724</v>
      </c>
      <c r="E11800">
        <v>-3550.54</v>
      </c>
      <c r="F11800">
        <v>-0.98</v>
      </c>
      <c r="G11800" t="s">
        <v>12</v>
      </c>
      <c r="I11800" t="s">
        <v>1050</v>
      </c>
    </row>
    <row r="11801" spans="1:9" hidden="1" x14ac:dyDescent="0.25">
      <c r="A11801" t="s">
        <v>9671</v>
      </c>
      <c r="B11801" t="s">
        <v>155</v>
      </c>
      <c r="C11801" s="2">
        <f>HYPERLINK("https://cao.dolgi.msk.ru/account/1089111595/", 1089111595)</f>
        <v>1089111595</v>
      </c>
      <c r="D11801" t="s">
        <v>9725</v>
      </c>
      <c r="E11801">
        <v>-5740.07</v>
      </c>
      <c r="F11801">
        <v>-1.0900000000000001</v>
      </c>
      <c r="G11801" t="s">
        <v>12</v>
      </c>
      <c r="I11801" t="s">
        <v>1050</v>
      </c>
    </row>
    <row r="11802" spans="1:9" hidden="1" x14ac:dyDescent="0.25">
      <c r="A11802" t="s">
        <v>9671</v>
      </c>
      <c r="B11802" t="s">
        <v>157</v>
      </c>
      <c r="C11802" s="2">
        <f>HYPERLINK("https://cao.dolgi.msk.ru/account/1089111608/", 1089111608)</f>
        <v>1089111608</v>
      </c>
      <c r="D11802" t="s">
        <v>9726</v>
      </c>
      <c r="E11802">
        <v>-5957.65</v>
      </c>
      <c r="F11802">
        <v>-1.07</v>
      </c>
      <c r="G11802" t="s">
        <v>12</v>
      </c>
      <c r="I11802" t="s">
        <v>1050</v>
      </c>
    </row>
    <row r="11803" spans="1:9" hidden="1" x14ac:dyDescent="0.25">
      <c r="A11803" t="s">
        <v>9671</v>
      </c>
      <c r="B11803" t="s">
        <v>159</v>
      </c>
      <c r="C11803" s="2">
        <f>HYPERLINK("https://cao.dolgi.msk.ru/account/1089111616/", 1089111616)</f>
        <v>1089111616</v>
      </c>
      <c r="D11803" t="s">
        <v>9727</v>
      </c>
      <c r="E11803">
        <v>-3792.75</v>
      </c>
      <c r="F11803">
        <v>-1.17</v>
      </c>
      <c r="G11803" t="s">
        <v>12</v>
      </c>
      <c r="I11803" t="s">
        <v>1050</v>
      </c>
    </row>
    <row r="11804" spans="1:9" hidden="1" x14ac:dyDescent="0.25">
      <c r="A11804" t="s">
        <v>9671</v>
      </c>
      <c r="B11804" t="s">
        <v>161</v>
      </c>
      <c r="C11804" s="2">
        <f>HYPERLINK("https://cao.dolgi.msk.ru/account/1089111624/", 1089111624)</f>
        <v>1089111624</v>
      </c>
      <c r="D11804" t="s">
        <v>9728</v>
      </c>
      <c r="E11804">
        <v>-4296.3599999999997</v>
      </c>
      <c r="F11804">
        <v>-0.9</v>
      </c>
      <c r="G11804" t="s">
        <v>12</v>
      </c>
      <c r="I11804" t="s">
        <v>1050</v>
      </c>
    </row>
    <row r="11805" spans="1:9" hidden="1" x14ac:dyDescent="0.25">
      <c r="A11805" t="s">
        <v>9671</v>
      </c>
      <c r="B11805" t="s">
        <v>163</v>
      </c>
      <c r="C11805" s="2">
        <f>HYPERLINK("https://cao.dolgi.msk.ru/account/1089111632/", 1089111632)</f>
        <v>1089111632</v>
      </c>
      <c r="D11805" t="s">
        <v>9729</v>
      </c>
      <c r="E11805">
        <v>-6038.01</v>
      </c>
      <c r="F11805">
        <v>-1.18</v>
      </c>
      <c r="G11805" t="s">
        <v>12</v>
      </c>
      <c r="I11805" t="s">
        <v>1050</v>
      </c>
    </row>
    <row r="11806" spans="1:9" hidden="1" x14ac:dyDescent="0.25">
      <c r="A11806" t="s">
        <v>9671</v>
      </c>
      <c r="B11806" t="s">
        <v>571</v>
      </c>
      <c r="C11806" s="2">
        <f>HYPERLINK("https://cao.dolgi.msk.ru/account/1089111659/", 1089111659)</f>
        <v>1089111659</v>
      </c>
      <c r="D11806" t="s">
        <v>9730</v>
      </c>
      <c r="E11806">
        <v>-3115.21</v>
      </c>
      <c r="F11806">
        <v>-1.04</v>
      </c>
      <c r="G11806" t="s">
        <v>12</v>
      </c>
      <c r="I11806" t="s">
        <v>1050</v>
      </c>
    </row>
    <row r="11807" spans="1:9" hidden="1" x14ac:dyDescent="0.25">
      <c r="A11807" t="s">
        <v>9671</v>
      </c>
      <c r="B11807" t="s">
        <v>682</v>
      </c>
      <c r="C11807" s="2">
        <f>HYPERLINK("https://cao.dolgi.msk.ru/account/1089111667/", 1089111667)</f>
        <v>1089111667</v>
      </c>
      <c r="D11807" t="s">
        <v>9731</v>
      </c>
      <c r="E11807">
        <v>-3618.44</v>
      </c>
      <c r="F11807">
        <v>-1.1200000000000001</v>
      </c>
      <c r="G11807" t="s">
        <v>12</v>
      </c>
      <c r="I11807" t="s">
        <v>1050</v>
      </c>
    </row>
    <row r="11808" spans="1:9" hidden="1" x14ac:dyDescent="0.25">
      <c r="A11808" t="s">
        <v>9732</v>
      </c>
      <c r="B11808" t="s">
        <v>10</v>
      </c>
      <c r="C11808" s="2">
        <f>HYPERLINK("https://cao.dolgi.msk.ru/account/1080308973/", 1080308973)</f>
        <v>1080308973</v>
      </c>
      <c r="D11808" t="s">
        <v>9733</v>
      </c>
      <c r="E11808">
        <v>-5837.32</v>
      </c>
      <c r="F11808">
        <v>-1.17</v>
      </c>
      <c r="G11808" t="s">
        <v>12</v>
      </c>
      <c r="I11808" t="s">
        <v>1050</v>
      </c>
    </row>
    <row r="11809" spans="1:9" hidden="1" x14ac:dyDescent="0.25">
      <c r="A11809" t="s">
        <v>9732</v>
      </c>
      <c r="B11809" t="s">
        <v>16</v>
      </c>
      <c r="C11809" s="2">
        <f>HYPERLINK("https://cao.dolgi.msk.ru/account/1080308981/", 1080308981)</f>
        <v>1080308981</v>
      </c>
      <c r="D11809" t="s">
        <v>9734</v>
      </c>
      <c r="E11809">
        <v>-10998.82</v>
      </c>
      <c r="F11809">
        <v>-1.26</v>
      </c>
      <c r="G11809" t="s">
        <v>12</v>
      </c>
      <c r="I11809" t="s">
        <v>1050</v>
      </c>
    </row>
    <row r="11810" spans="1:9" hidden="1" x14ac:dyDescent="0.25">
      <c r="A11810" t="s">
        <v>9732</v>
      </c>
      <c r="B11810" t="s">
        <v>18</v>
      </c>
      <c r="C11810" s="2">
        <f>HYPERLINK("https://cao.dolgi.msk.ru/account/1080309001/", 1080309001)</f>
        <v>1080309001</v>
      </c>
      <c r="D11810" t="s">
        <v>9735</v>
      </c>
      <c r="E11810">
        <v>-6785.63</v>
      </c>
      <c r="F11810">
        <v>-1.24</v>
      </c>
      <c r="G11810" t="s">
        <v>12</v>
      </c>
      <c r="I11810" t="s">
        <v>1050</v>
      </c>
    </row>
    <row r="11811" spans="1:9" hidden="1" x14ac:dyDescent="0.25">
      <c r="A11811" t="s">
        <v>9732</v>
      </c>
      <c r="B11811" t="s">
        <v>20</v>
      </c>
      <c r="C11811" s="2">
        <f>HYPERLINK("https://cao.dolgi.msk.ru/account/1080309028/", 1080309028)</f>
        <v>1080309028</v>
      </c>
      <c r="D11811" t="s">
        <v>9736</v>
      </c>
      <c r="E11811">
        <v>-6543.86</v>
      </c>
      <c r="F11811">
        <v>-1.43</v>
      </c>
      <c r="G11811" t="s">
        <v>12</v>
      </c>
      <c r="I11811" t="s">
        <v>1050</v>
      </c>
    </row>
    <row r="11812" spans="1:9" hidden="1" x14ac:dyDescent="0.25">
      <c r="A11812" t="s">
        <v>9732</v>
      </c>
      <c r="B11812" t="s">
        <v>21</v>
      </c>
      <c r="C11812" s="2">
        <f>HYPERLINK("https://cao.dolgi.msk.ru/account/1080309036/", 1080309036)</f>
        <v>1080309036</v>
      </c>
      <c r="D11812" t="s">
        <v>1082</v>
      </c>
      <c r="E11812">
        <v>-5192.93</v>
      </c>
      <c r="F11812">
        <v>-0.98</v>
      </c>
      <c r="G11812" t="s">
        <v>12</v>
      </c>
      <c r="I11812" t="s">
        <v>1050</v>
      </c>
    </row>
    <row r="11813" spans="1:9" hidden="1" x14ac:dyDescent="0.25">
      <c r="A11813" t="s">
        <v>9732</v>
      </c>
      <c r="B11813" t="s">
        <v>22</v>
      </c>
      <c r="C11813" s="2">
        <f>HYPERLINK("https://cao.dolgi.msk.ru/account/1080309044/", 1080309044)</f>
        <v>1080309044</v>
      </c>
      <c r="D11813" t="s">
        <v>9737</v>
      </c>
      <c r="E11813">
        <v>-5079.84</v>
      </c>
      <c r="F11813">
        <v>-1.02</v>
      </c>
      <c r="G11813" t="s">
        <v>12</v>
      </c>
      <c r="I11813" t="s">
        <v>1050</v>
      </c>
    </row>
    <row r="11814" spans="1:9" hidden="1" x14ac:dyDescent="0.25">
      <c r="A11814" t="s">
        <v>9732</v>
      </c>
      <c r="B11814" t="s">
        <v>23</v>
      </c>
      <c r="C11814" s="2">
        <f>HYPERLINK("https://cao.dolgi.msk.ru/account/1080309052/", 1080309052)</f>
        <v>1080309052</v>
      </c>
      <c r="D11814" t="s">
        <v>9738</v>
      </c>
      <c r="E11814">
        <v>-346.8</v>
      </c>
      <c r="F11814">
        <v>-0.19</v>
      </c>
      <c r="G11814" t="s">
        <v>12</v>
      </c>
      <c r="I11814" t="s">
        <v>1050</v>
      </c>
    </row>
    <row r="11815" spans="1:9" hidden="1" x14ac:dyDescent="0.25">
      <c r="A11815" t="s">
        <v>9732</v>
      </c>
      <c r="B11815" t="s">
        <v>24</v>
      </c>
      <c r="C11815" s="2">
        <f>HYPERLINK("https://cao.dolgi.msk.ru/account/1080309079/", 1080309079)</f>
        <v>1080309079</v>
      </c>
      <c r="D11815" t="s">
        <v>9739</v>
      </c>
      <c r="E11815">
        <v>-4211.7700000000004</v>
      </c>
      <c r="F11815">
        <v>-1.24</v>
      </c>
      <c r="G11815" t="s">
        <v>12</v>
      </c>
      <c r="I11815" t="s">
        <v>1050</v>
      </c>
    </row>
    <row r="11816" spans="1:9" hidden="1" x14ac:dyDescent="0.25">
      <c r="A11816" t="s">
        <v>9732</v>
      </c>
      <c r="B11816" t="s">
        <v>27</v>
      </c>
      <c r="C11816" s="2">
        <f>HYPERLINK("https://cao.dolgi.msk.ru/account/1080309087/", 1080309087)</f>
        <v>1080309087</v>
      </c>
      <c r="D11816" t="s">
        <v>9740</v>
      </c>
      <c r="E11816">
        <v>-8751.4699999999993</v>
      </c>
      <c r="F11816">
        <v>-1.67</v>
      </c>
      <c r="G11816" t="s">
        <v>12</v>
      </c>
      <c r="I11816" t="s">
        <v>1050</v>
      </c>
    </row>
    <row r="11817" spans="1:9" hidden="1" x14ac:dyDescent="0.25">
      <c r="A11817" t="s">
        <v>9732</v>
      </c>
      <c r="B11817" t="s">
        <v>29</v>
      </c>
      <c r="C11817" s="2">
        <f>HYPERLINK("https://cao.dolgi.msk.ru/account/1080309095/", 1080309095)</f>
        <v>1080309095</v>
      </c>
      <c r="D11817" t="s">
        <v>9741</v>
      </c>
      <c r="E11817">
        <v>-2783.25</v>
      </c>
      <c r="F11817">
        <v>-1.17</v>
      </c>
      <c r="G11817" t="s">
        <v>12</v>
      </c>
      <c r="I11817" t="s">
        <v>1050</v>
      </c>
    </row>
    <row r="11818" spans="1:9" hidden="1" x14ac:dyDescent="0.25">
      <c r="A11818" t="s">
        <v>9732</v>
      </c>
      <c r="B11818" t="s">
        <v>29</v>
      </c>
      <c r="C11818" s="2">
        <f>HYPERLINK("https://cao.dolgi.msk.ru/account/1089124468/", 1089124468)</f>
        <v>1089124468</v>
      </c>
      <c r="D11818" t="s">
        <v>9742</v>
      </c>
      <c r="E11818">
        <v>-1864.79</v>
      </c>
      <c r="F11818">
        <v>-1.1299999999999999</v>
      </c>
      <c r="G11818" t="s">
        <v>12</v>
      </c>
      <c r="I11818" t="s">
        <v>1050</v>
      </c>
    </row>
    <row r="11819" spans="1:9" hidden="1" x14ac:dyDescent="0.25">
      <c r="A11819" t="s">
        <v>9732</v>
      </c>
      <c r="B11819" t="s">
        <v>31</v>
      </c>
      <c r="C11819" s="2">
        <f>HYPERLINK("https://cao.dolgi.msk.ru/account/1080309108/", 1080309108)</f>
        <v>1080309108</v>
      </c>
      <c r="D11819" t="s">
        <v>15</v>
      </c>
      <c r="E11819">
        <v>3896.64</v>
      </c>
      <c r="F11819">
        <v>0.91</v>
      </c>
      <c r="G11819" t="s">
        <v>12</v>
      </c>
      <c r="I11819" t="s">
        <v>1050</v>
      </c>
    </row>
    <row r="11820" spans="1:9" hidden="1" x14ac:dyDescent="0.25">
      <c r="A11820" t="s">
        <v>9732</v>
      </c>
      <c r="B11820" t="s">
        <v>33</v>
      </c>
      <c r="C11820" s="2">
        <f>HYPERLINK("https://cao.dolgi.msk.ru/account/1080309116/", 1080309116)</f>
        <v>1080309116</v>
      </c>
      <c r="D11820" t="s">
        <v>9743</v>
      </c>
      <c r="E11820">
        <v>-7307.84</v>
      </c>
      <c r="F11820">
        <v>-1.1200000000000001</v>
      </c>
      <c r="G11820" t="s">
        <v>12</v>
      </c>
      <c r="I11820" t="s">
        <v>1050</v>
      </c>
    </row>
    <row r="11821" spans="1:9" hidden="1" x14ac:dyDescent="0.25">
      <c r="A11821" t="s">
        <v>9732</v>
      </c>
      <c r="B11821" t="s">
        <v>34</v>
      </c>
      <c r="C11821" s="2">
        <f>HYPERLINK("https://cao.dolgi.msk.ru/account/1080309124/", 1080309124)</f>
        <v>1080309124</v>
      </c>
      <c r="D11821" t="s">
        <v>9744</v>
      </c>
      <c r="E11821">
        <v>-5711.43</v>
      </c>
      <c r="F11821">
        <v>-1.21</v>
      </c>
      <c r="G11821" t="s">
        <v>12</v>
      </c>
      <c r="I11821" t="s">
        <v>1050</v>
      </c>
    </row>
    <row r="11822" spans="1:9" hidden="1" x14ac:dyDescent="0.25">
      <c r="A11822" t="s">
        <v>9732</v>
      </c>
      <c r="B11822" t="s">
        <v>36</v>
      </c>
      <c r="C11822" s="2">
        <f>HYPERLINK("https://cao.dolgi.msk.ru/account/1080326135/", 1080326135)</f>
        <v>1080326135</v>
      </c>
      <c r="D11822" t="s">
        <v>9745</v>
      </c>
      <c r="E11822">
        <v>-1.31</v>
      </c>
      <c r="F11822">
        <v>0</v>
      </c>
      <c r="G11822" t="s">
        <v>12</v>
      </c>
      <c r="I11822" t="s">
        <v>1050</v>
      </c>
    </row>
    <row r="11823" spans="1:9" hidden="1" x14ac:dyDescent="0.25">
      <c r="A11823" t="s">
        <v>9732</v>
      </c>
      <c r="B11823" t="s">
        <v>38</v>
      </c>
      <c r="C11823" s="2">
        <f>HYPERLINK("https://cao.dolgi.msk.ru/account/1080309159/", 1080309159)</f>
        <v>1080309159</v>
      </c>
      <c r="D11823" t="s">
        <v>9746</v>
      </c>
      <c r="E11823">
        <v>-4794.54</v>
      </c>
      <c r="F11823">
        <v>-1.24</v>
      </c>
      <c r="G11823" t="s">
        <v>12</v>
      </c>
      <c r="I11823" t="s">
        <v>1050</v>
      </c>
    </row>
    <row r="11824" spans="1:9" hidden="1" x14ac:dyDescent="0.25">
      <c r="A11824" t="s">
        <v>9732</v>
      </c>
      <c r="B11824" t="s">
        <v>39</v>
      </c>
      <c r="C11824" s="2">
        <f>HYPERLINK("https://cao.dolgi.msk.ru/account/1080309167/", 1080309167)</f>
        <v>1080309167</v>
      </c>
      <c r="D11824" t="s">
        <v>9747</v>
      </c>
      <c r="E11824">
        <v>-7448.08</v>
      </c>
      <c r="F11824">
        <v>-1.19</v>
      </c>
      <c r="G11824" t="s">
        <v>12</v>
      </c>
      <c r="I11824" t="s">
        <v>1050</v>
      </c>
    </row>
    <row r="11825" spans="1:9" hidden="1" x14ac:dyDescent="0.25">
      <c r="A11825" t="s">
        <v>9732</v>
      </c>
      <c r="B11825" t="s">
        <v>40</v>
      </c>
      <c r="C11825" s="2">
        <f>HYPERLINK("https://cao.dolgi.msk.ru/account/1080309175/", 1080309175)</f>
        <v>1080309175</v>
      </c>
      <c r="D11825" t="s">
        <v>9748</v>
      </c>
      <c r="E11825">
        <v>-5831.39</v>
      </c>
      <c r="F11825">
        <v>-1.2</v>
      </c>
      <c r="G11825" t="s">
        <v>12</v>
      </c>
      <c r="I11825" t="s">
        <v>1050</v>
      </c>
    </row>
    <row r="11826" spans="1:9" hidden="1" x14ac:dyDescent="0.25">
      <c r="A11826" t="s">
        <v>9732</v>
      </c>
      <c r="B11826" t="s">
        <v>41</v>
      </c>
      <c r="C11826" s="2">
        <f>HYPERLINK("https://cao.dolgi.msk.ru/account/1080309183/", 1080309183)</f>
        <v>1080309183</v>
      </c>
      <c r="D11826" t="s">
        <v>9749</v>
      </c>
      <c r="E11826">
        <v>-6446.64</v>
      </c>
      <c r="F11826">
        <v>-0.89</v>
      </c>
      <c r="G11826" t="s">
        <v>12</v>
      </c>
      <c r="I11826" t="s">
        <v>1050</v>
      </c>
    </row>
    <row r="11827" spans="1:9" hidden="1" x14ac:dyDescent="0.25">
      <c r="A11827" t="s">
        <v>9732</v>
      </c>
      <c r="B11827" t="s">
        <v>42</v>
      </c>
      <c r="C11827" s="2">
        <f>HYPERLINK("https://cao.dolgi.msk.ru/account/1080309191/", 1080309191)</f>
        <v>1080309191</v>
      </c>
      <c r="D11827" t="s">
        <v>9750</v>
      </c>
      <c r="E11827">
        <v>-6139.99</v>
      </c>
      <c r="F11827">
        <v>-1.1200000000000001</v>
      </c>
      <c r="G11827" t="s">
        <v>12</v>
      </c>
      <c r="I11827" t="s">
        <v>1050</v>
      </c>
    </row>
    <row r="11828" spans="1:9" hidden="1" x14ac:dyDescent="0.25">
      <c r="A11828" t="s">
        <v>9732</v>
      </c>
      <c r="B11828" t="s">
        <v>44</v>
      </c>
      <c r="C11828" s="2">
        <f>HYPERLINK("https://cao.dolgi.msk.ru/account/1080309204/", 1080309204)</f>
        <v>1080309204</v>
      </c>
      <c r="D11828" t="s">
        <v>9751</v>
      </c>
      <c r="E11828">
        <v>-4337.7700000000004</v>
      </c>
      <c r="F11828">
        <v>-1.07</v>
      </c>
      <c r="G11828" t="s">
        <v>12</v>
      </c>
      <c r="I11828" t="s">
        <v>1050</v>
      </c>
    </row>
    <row r="11829" spans="1:9" hidden="1" x14ac:dyDescent="0.25">
      <c r="A11829" t="s">
        <v>9732</v>
      </c>
      <c r="B11829" t="s">
        <v>66</v>
      </c>
      <c r="C11829" s="2">
        <f>HYPERLINK("https://cao.dolgi.msk.ru/account/1080309212/", 1080309212)</f>
        <v>1080309212</v>
      </c>
      <c r="D11829" t="s">
        <v>9752</v>
      </c>
      <c r="E11829">
        <v>-3790.24</v>
      </c>
      <c r="F11829">
        <v>-1.2</v>
      </c>
      <c r="G11829" t="s">
        <v>12</v>
      </c>
      <c r="I11829" t="s">
        <v>1050</v>
      </c>
    </row>
    <row r="11830" spans="1:9" hidden="1" x14ac:dyDescent="0.25">
      <c r="A11830" t="s">
        <v>9732</v>
      </c>
      <c r="B11830" t="s">
        <v>68</v>
      </c>
      <c r="C11830" s="2">
        <f>HYPERLINK("https://cao.dolgi.msk.ru/account/1080309239/", 1080309239)</f>
        <v>1080309239</v>
      </c>
      <c r="D11830" t="s">
        <v>9753</v>
      </c>
      <c r="E11830">
        <v>-2806.01</v>
      </c>
      <c r="F11830">
        <v>-0.95</v>
      </c>
      <c r="G11830" t="s">
        <v>12</v>
      </c>
      <c r="I11830" t="s">
        <v>1050</v>
      </c>
    </row>
    <row r="11831" spans="1:9" hidden="1" x14ac:dyDescent="0.25">
      <c r="A11831" t="s">
        <v>9732</v>
      </c>
      <c r="B11831" t="s">
        <v>70</v>
      </c>
      <c r="C11831" s="2">
        <f>HYPERLINK("https://cao.dolgi.msk.ru/account/1080309247/", 1080309247)</f>
        <v>1080309247</v>
      </c>
      <c r="D11831" t="s">
        <v>9754</v>
      </c>
      <c r="E11831">
        <v>-6303.44</v>
      </c>
      <c r="F11831">
        <v>-1.2</v>
      </c>
      <c r="G11831" t="s">
        <v>12</v>
      </c>
      <c r="I11831" t="s">
        <v>1050</v>
      </c>
    </row>
    <row r="11832" spans="1:9" hidden="1" x14ac:dyDescent="0.25">
      <c r="A11832" t="s">
        <v>9732</v>
      </c>
      <c r="B11832" t="s">
        <v>72</v>
      </c>
      <c r="C11832" s="2">
        <f>HYPERLINK("https://cao.dolgi.msk.ru/account/1080309255/", 1080309255)</f>
        <v>1080309255</v>
      </c>
      <c r="D11832" t="s">
        <v>9755</v>
      </c>
      <c r="E11832">
        <v>-725.67</v>
      </c>
      <c r="F11832">
        <v>-0.15</v>
      </c>
      <c r="G11832" t="s">
        <v>12</v>
      </c>
      <c r="I11832" t="s">
        <v>1050</v>
      </c>
    </row>
    <row r="11833" spans="1:9" hidden="1" x14ac:dyDescent="0.25">
      <c r="A11833" t="s">
        <v>9732</v>
      </c>
      <c r="B11833" t="s">
        <v>74</v>
      </c>
      <c r="C11833" s="2">
        <f>HYPERLINK("https://cao.dolgi.msk.ru/account/1080309263/", 1080309263)</f>
        <v>1080309263</v>
      </c>
      <c r="D11833" t="s">
        <v>9756</v>
      </c>
      <c r="E11833">
        <v>-5932.29</v>
      </c>
      <c r="F11833">
        <v>-1.0900000000000001</v>
      </c>
      <c r="G11833" t="s">
        <v>12</v>
      </c>
      <c r="I11833" t="s">
        <v>1050</v>
      </c>
    </row>
    <row r="11834" spans="1:9" x14ac:dyDescent="0.25">
      <c r="A11834" t="s">
        <v>9732</v>
      </c>
      <c r="B11834" t="s">
        <v>76</v>
      </c>
      <c r="C11834" s="2">
        <f>HYPERLINK("https://cao.dolgi.msk.ru/account/1080309271/", 1080309271)</f>
        <v>1080309271</v>
      </c>
      <c r="D11834" t="s">
        <v>9757</v>
      </c>
      <c r="E11834">
        <v>4607.8900000000003</v>
      </c>
      <c r="F11834">
        <v>1.1100000000000001</v>
      </c>
      <c r="G11834" t="s">
        <v>12</v>
      </c>
      <c r="I11834" t="s">
        <v>1050</v>
      </c>
    </row>
    <row r="11835" spans="1:9" hidden="1" x14ac:dyDescent="0.25">
      <c r="A11835" t="s">
        <v>9732</v>
      </c>
      <c r="B11835" t="s">
        <v>78</v>
      </c>
      <c r="C11835" s="2">
        <f>HYPERLINK("https://cao.dolgi.msk.ru/account/1080309298/", 1080309298)</f>
        <v>1080309298</v>
      </c>
      <c r="D11835" t="s">
        <v>9758</v>
      </c>
      <c r="E11835">
        <v>-3145.47</v>
      </c>
      <c r="F11835">
        <v>-1.1399999999999999</v>
      </c>
      <c r="G11835" t="s">
        <v>12</v>
      </c>
      <c r="I11835" t="s">
        <v>1050</v>
      </c>
    </row>
    <row r="11836" spans="1:9" hidden="1" x14ac:dyDescent="0.25">
      <c r="A11836" t="s">
        <v>9732</v>
      </c>
      <c r="B11836" t="s">
        <v>80</v>
      </c>
      <c r="C11836" s="2">
        <f>HYPERLINK("https://cao.dolgi.msk.ru/account/1080309319/", 1080309319)</f>
        <v>1080309319</v>
      </c>
      <c r="D11836" t="s">
        <v>9759</v>
      </c>
      <c r="E11836">
        <v>22.83</v>
      </c>
      <c r="F11836">
        <v>0</v>
      </c>
      <c r="G11836" t="s">
        <v>12</v>
      </c>
      <c r="I11836" t="s">
        <v>1050</v>
      </c>
    </row>
    <row r="11837" spans="1:9" hidden="1" x14ac:dyDescent="0.25">
      <c r="A11837" t="s">
        <v>9732</v>
      </c>
      <c r="B11837" t="s">
        <v>82</v>
      </c>
      <c r="C11837" s="2">
        <f>HYPERLINK("https://cao.dolgi.msk.ru/account/1080309327/", 1080309327)</f>
        <v>1080309327</v>
      </c>
      <c r="D11837" t="s">
        <v>9760</v>
      </c>
      <c r="E11837">
        <v>-5332.62</v>
      </c>
      <c r="F11837">
        <v>-0.81</v>
      </c>
      <c r="G11837" t="s">
        <v>12</v>
      </c>
      <c r="I11837" t="s">
        <v>1050</v>
      </c>
    </row>
    <row r="11838" spans="1:9" hidden="1" x14ac:dyDescent="0.25">
      <c r="A11838" t="s">
        <v>9732</v>
      </c>
      <c r="B11838" t="s">
        <v>84</v>
      </c>
      <c r="C11838" s="2">
        <f>HYPERLINK("https://cao.dolgi.msk.ru/account/1080309335/", 1080309335)</f>
        <v>1080309335</v>
      </c>
      <c r="D11838" t="s">
        <v>9761</v>
      </c>
      <c r="E11838">
        <v>-11800.67</v>
      </c>
      <c r="F11838">
        <v>-1.8</v>
      </c>
      <c r="G11838" t="s">
        <v>12</v>
      </c>
      <c r="I11838" t="s">
        <v>1050</v>
      </c>
    </row>
    <row r="11839" spans="1:9" hidden="1" x14ac:dyDescent="0.25">
      <c r="A11839" t="s">
        <v>9732</v>
      </c>
      <c r="B11839" t="s">
        <v>86</v>
      </c>
      <c r="C11839" s="2">
        <f>HYPERLINK("https://cao.dolgi.msk.ru/account/1080309343/", 1080309343)</f>
        <v>1080309343</v>
      </c>
      <c r="D11839" t="s">
        <v>9762</v>
      </c>
      <c r="E11839">
        <v>-5171.88</v>
      </c>
      <c r="F11839">
        <v>-1.18</v>
      </c>
      <c r="G11839" t="s">
        <v>12</v>
      </c>
      <c r="I11839" t="s">
        <v>1050</v>
      </c>
    </row>
    <row r="11840" spans="1:9" x14ac:dyDescent="0.25">
      <c r="A11840" t="s">
        <v>9732</v>
      </c>
      <c r="B11840" t="s">
        <v>88</v>
      </c>
      <c r="C11840" s="2">
        <f>HYPERLINK("https://cao.dolgi.msk.ru/account/1080309351/", 1080309351)</f>
        <v>1080309351</v>
      </c>
      <c r="D11840" t="s">
        <v>9763</v>
      </c>
      <c r="E11840">
        <v>15350.8</v>
      </c>
      <c r="F11840">
        <v>2.38</v>
      </c>
      <c r="G11840" t="s">
        <v>12</v>
      </c>
      <c r="I11840" t="s">
        <v>1050</v>
      </c>
    </row>
    <row r="11841" spans="1:9" hidden="1" x14ac:dyDescent="0.25">
      <c r="A11841" t="s">
        <v>9732</v>
      </c>
      <c r="B11841" t="s">
        <v>90</v>
      </c>
      <c r="C11841" s="2">
        <f>HYPERLINK("https://cao.dolgi.msk.ru/account/1080309378/", 1080309378)</f>
        <v>1080309378</v>
      </c>
      <c r="D11841" t="s">
        <v>9764</v>
      </c>
      <c r="E11841">
        <v>-5405.07</v>
      </c>
      <c r="F11841">
        <v>-1.1599999999999999</v>
      </c>
      <c r="G11841" t="s">
        <v>12</v>
      </c>
      <c r="I11841" t="s">
        <v>1050</v>
      </c>
    </row>
    <row r="11842" spans="1:9" hidden="1" x14ac:dyDescent="0.25">
      <c r="A11842" t="s">
        <v>9732</v>
      </c>
      <c r="B11842" t="s">
        <v>92</v>
      </c>
      <c r="C11842" s="2">
        <f>HYPERLINK("https://cao.dolgi.msk.ru/account/1080309386/", 1080309386)</f>
        <v>1080309386</v>
      </c>
      <c r="D11842" t="s">
        <v>9765</v>
      </c>
      <c r="E11842">
        <v>3173.85</v>
      </c>
      <c r="F11842">
        <v>0.63</v>
      </c>
      <c r="G11842" t="s">
        <v>12</v>
      </c>
      <c r="I11842" t="s">
        <v>1050</v>
      </c>
    </row>
    <row r="11843" spans="1:9" hidden="1" x14ac:dyDescent="0.25">
      <c r="A11843" t="s">
        <v>9732</v>
      </c>
      <c r="B11843" t="s">
        <v>94</v>
      </c>
      <c r="C11843" s="2">
        <f>HYPERLINK("https://cao.dolgi.msk.ru/account/1080309394/", 1080309394)</f>
        <v>1080309394</v>
      </c>
      <c r="D11843" t="s">
        <v>9766</v>
      </c>
      <c r="E11843">
        <v>-4780.1899999999996</v>
      </c>
      <c r="F11843">
        <v>-0.97</v>
      </c>
      <c r="G11843" t="s">
        <v>12</v>
      </c>
      <c r="I11843" t="s">
        <v>1050</v>
      </c>
    </row>
    <row r="11844" spans="1:9" hidden="1" x14ac:dyDescent="0.25">
      <c r="A11844" t="s">
        <v>9732</v>
      </c>
      <c r="B11844" t="s">
        <v>96</v>
      </c>
      <c r="C11844" s="2">
        <f>HYPERLINK("https://cao.dolgi.msk.ru/account/1080309407/", 1080309407)</f>
        <v>1080309407</v>
      </c>
      <c r="D11844" t="s">
        <v>9767</v>
      </c>
      <c r="E11844">
        <v>-4135.7</v>
      </c>
      <c r="F11844">
        <v>-1.1299999999999999</v>
      </c>
      <c r="G11844" t="s">
        <v>12</v>
      </c>
      <c r="I11844" t="s">
        <v>1050</v>
      </c>
    </row>
    <row r="11845" spans="1:9" hidden="1" x14ac:dyDescent="0.25">
      <c r="A11845" t="s">
        <v>9732</v>
      </c>
      <c r="B11845" t="s">
        <v>96</v>
      </c>
      <c r="C11845" s="2">
        <f>HYPERLINK("https://cao.dolgi.msk.ru/account/1083272419/", 1083272419)</f>
        <v>1083272419</v>
      </c>
      <c r="D11845" t="s">
        <v>9767</v>
      </c>
      <c r="E11845">
        <v>215.85</v>
      </c>
      <c r="G11845" t="s">
        <v>14</v>
      </c>
      <c r="I11845" t="s">
        <v>1050</v>
      </c>
    </row>
    <row r="11846" spans="1:9" hidden="1" x14ac:dyDescent="0.25">
      <c r="A11846" t="s">
        <v>9732</v>
      </c>
      <c r="B11846" t="s">
        <v>98</v>
      </c>
      <c r="C11846" s="2">
        <f>HYPERLINK("https://cao.dolgi.msk.ru/account/1080309415/", 1080309415)</f>
        <v>1080309415</v>
      </c>
      <c r="D11846" t="s">
        <v>9768</v>
      </c>
      <c r="E11846">
        <v>-247.88</v>
      </c>
      <c r="F11846">
        <v>-0.08</v>
      </c>
      <c r="G11846" t="s">
        <v>12</v>
      </c>
      <c r="I11846" t="s">
        <v>1050</v>
      </c>
    </row>
    <row r="11847" spans="1:9" hidden="1" x14ac:dyDescent="0.25">
      <c r="A11847" t="s">
        <v>9732</v>
      </c>
      <c r="B11847" t="s">
        <v>100</v>
      </c>
      <c r="C11847" s="2">
        <f>HYPERLINK("https://cao.dolgi.msk.ru/account/1080309423/", 1080309423)</f>
        <v>1080309423</v>
      </c>
      <c r="D11847" t="s">
        <v>9769</v>
      </c>
      <c r="E11847">
        <v>-6984.75</v>
      </c>
      <c r="F11847">
        <v>-1.43</v>
      </c>
      <c r="G11847" t="s">
        <v>12</v>
      </c>
      <c r="I11847" t="s">
        <v>1050</v>
      </c>
    </row>
    <row r="11848" spans="1:9" hidden="1" x14ac:dyDescent="0.25">
      <c r="A11848" t="s">
        <v>9732</v>
      </c>
      <c r="B11848" t="s">
        <v>102</v>
      </c>
      <c r="C11848" s="2">
        <f>HYPERLINK("https://cao.dolgi.msk.ru/account/1080309431/", 1080309431)</f>
        <v>1080309431</v>
      </c>
      <c r="D11848" t="s">
        <v>9770</v>
      </c>
      <c r="E11848">
        <v>-6711.98</v>
      </c>
      <c r="F11848">
        <v>-0.89</v>
      </c>
      <c r="G11848" t="s">
        <v>12</v>
      </c>
      <c r="I11848" t="s">
        <v>1050</v>
      </c>
    </row>
    <row r="11849" spans="1:9" hidden="1" x14ac:dyDescent="0.25">
      <c r="A11849" t="s">
        <v>9732</v>
      </c>
      <c r="B11849" t="s">
        <v>104</v>
      </c>
      <c r="C11849" s="2">
        <f>HYPERLINK("https://cao.dolgi.msk.ru/account/1080309458/", 1080309458)</f>
        <v>1080309458</v>
      </c>
      <c r="D11849" t="s">
        <v>9771</v>
      </c>
      <c r="E11849">
        <v>-152.08000000000001</v>
      </c>
      <c r="F11849">
        <v>-0.04</v>
      </c>
      <c r="G11849" t="s">
        <v>12</v>
      </c>
      <c r="I11849" t="s">
        <v>1050</v>
      </c>
    </row>
    <row r="11850" spans="1:9" hidden="1" x14ac:dyDescent="0.25">
      <c r="A11850" t="s">
        <v>9732</v>
      </c>
      <c r="B11850" t="s">
        <v>106</v>
      </c>
      <c r="C11850" s="2">
        <f>HYPERLINK("https://cao.dolgi.msk.ru/account/1080309466/", 1080309466)</f>
        <v>1080309466</v>
      </c>
      <c r="D11850" t="s">
        <v>9772</v>
      </c>
      <c r="E11850">
        <v>-2710.98</v>
      </c>
      <c r="F11850">
        <v>-1.18</v>
      </c>
      <c r="G11850" t="s">
        <v>12</v>
      </c>
      <c r="I11850" t="s">
        <v>1050</v>
      </c>
    </row>
    <row r="11851" spans="1:9" hidden="1" x14ac:dyDescent="0.25">
      <c r="A11851" t="s">
        <v>9732</v>
      </c>
      <c r="B11851" t="s">
        <v>108</v>
      </c>
      <c r="C11851" s="2">
        <f>HYPERLINK("https://cao.dolgi.msk.ru/account/1080309474/", 1080309474)</f>
        <v>1080309474</v>
      </c>
      <c r="D11851" t="s">
        <v>9773</v>
      </c>
      <c r="E11851">
        <v>-3645.48</v>
      </c>
      <c r="F11851">
        <v>-1.25</v>
      </c>
      <c r="G11851" t="s">
        <v>12</v>
      </c>
      <c r="I11851" t="s">
        <v>1050</v>
      </c>
    </row>
    <row r="11852" spans="1:9" hidden="1" x14ac:dyDescent="0.25">
      <c r="A11852" t="s">
        <v>9732</v>
      </c>
      <c r="B11852" t="s">
        <v>110</v>
      </c>
      <c r="C11852" s="2">
        <f>HYPERLINK("https://cao.dolgi.msk.ru/account/1080309482/", 1080309482)</f>
        <v>1080309482</v>
      </c>
      <c r="D11852" t="s">
        <v>9774</v>
      </c>
      <c r="E11852">
        <v>-8539.39</v>
      </c>
      <c r="F11852">
        <v>-2.83</v>
      </c>
      <c r="G11852" t="s">
        <v>12</v>
      </c>
      <c r="I11852" t="s">
        <v>1050</v>
      </c>
    </row>
    <row r="11853" spans="1:9" hidden="1" x14ac:dyDescent="0.25">
      <c r="A11853" t="s">
        <v>9732</v>
      </c>
      <c r="B11853" t="s">
        <v>112</v>
      </c>
      <c r="C11853" s="2">
        <f>HYPERLINK("https://cao.dolgi.msk.ru/account/1080309503/", 1080309503)</f>
        <v>1080309503</v>
      </c>
      <c r="D11853" t="s">
        <v>9775</v>
      </c>
      <c r="E11853">
        <v>-10359.89</v>
      </c>
      <c r="F11853">
        <v>-1.36</v>
      </c>
      <c r="G11853" t="s">
        <v>12</v>
      </c>
      <c r="I11853" t="s">
        <v>1050</v>
      </c>
    </row>
    <row r="11854" spans="1:9" hidden="1" x14ac:dyDescent="0.25">
      <c r="A11854" t="s">
        <v>9732</v>
      </c>
      <c r="B11854" t="s">
        <v>114</v>
      </c>
      <c r="C11854" s="2">
        <f>HYPERLINK("https://cao.dolgi.msk.ru/account/1080309511/", 1080309511)</f>
        <v>1080309511</v>
      </c>
      <c r="D11854" t="s">
        <v>9776</v>
      </c>
      <c r="E11854">
        <v>-4778.76</v>
      </c>
      <c r="F11854">
        <v>-1.23</v>
      </c>
      <c r="G11854" t="s">
        <v>12</v>
      </c>
      <c r="I11854" t="s">
        <v>1050</v>
      </c>
    </row>
    <row r="11855" spans="1:9" hidden="1" x14ac:dyDescent="0.25">
      <c r="A11855" t="s">
        <v>9732</v>
      </c>
      <c r="B11855" t="s">
        <v>116</v>
      </c>
      <c r="C11855" s="2">
        <f>HYPERLINK("https://cao.dolgi.msk.ru/account/1080309538/", 1080309538)</f>
        <v>1080309538</v>
      </c>
      <c r="D11855" t="s">
        <v>9777</v>
      </c>
      <c r="E11855">
        <v>2.04</v>
      </c>
      <c r="F11855">
        <v>0</v>
      </c>
      <c r="G11855" t="s">
        <v>12</v>
      </c>
      <c r="I11855" t="s">
        <v>1050</v>
      </c>
    </row>
    <row r="11856" spans="1:9" hidden="1" x14ac:dyDescent="0.25">
      <c r="A11856" t="s">
        <v>9732</v>
      </c>
      <c r="B11856" t="s">
        <v>118</v>
      </c>
      <c r="C11856" s="2">
        <f>HYPERLINK("https://cao.dolgi.msk.ru/account/1080309546/", 1080309546)</f>
        <v>1080309546</v>
      </c>
      <c r="D11856" t="s">
        <v>9778</v>
      </c>
      <c r="E11856">
        <v>-6729.9</v>
      </c>
      <c r="F11856">
        <v>-1.1499999999999999</v>
      </c>
      <c r="G11856" t="s">
        <v>12</v>
      </c>
      <c r="I11856" t="s">
        <v>1050</v>
      </c>
    </row>
    <row r="11857" spans="1:9" hidden="1" x14ac:dyDescent="0.25">
      <c r="A11857" t="s">
        <v>9732</v>
      </c>
      <c r="B11857" t="s">
        <v>120</v>
      </c>
      <c r="C11857" s="2">
        <f>HYPERLINK("https://cao.dolgi.msk.ru/account/1080309554/", 1080309554)</f>
        <v>1080309554</v>
      </c>
      <c r="D11857" t="s">
        <v>9779</v>
      </c>
      <c r="E11857">
        <v>-2627.96</v>
      </c>
      <c r="F11857">
        <v>-1.25</v>
      </c>
      <c r="G11857" t="s">
        <v>12</v>
      </c>
      <c r="I11857" t="s">
        <v>1050</v>
      </c>
    </row>
    <row r="11858" spans="1:9" hidden="1" x14ac:dyDescent="0.25">
      <c r="A11858" t="s">
        <v>9732</v>
      </c>
      <c r="B11858" t="s">
        <v>122</v>
      </c>
      <c r="C11858" s="2">
        <f>HYPERLINK("https://cao.dolgi.msk.ru/account/1080309562/", 1080309562)</f>
        <v>1080309562</v>
      </c>
      <c r="D11858" t="s">
        <v>9780</v>
      </c>
      <c r="E11858">
        <v>-4250.8100000000004</v>
      </c>
      <c r="F11858">
        <v>-1.08</v>
      </c>
      <c r="G11858" t="s">
        <v>12</v>
      </c>
      <c r="I11858" t="s">
        <v>1050</v>
      </c>
    </row>
    <row r="11859" spans="1:9" hidden="1" x14ac:dyDescent="0.25">
      <c r="A11859" t="s">
        <v>9732</v>
      </c>
      <c r="B11859" t="s">
        <v>124</v>
      </c>
      <c r="C11859" s="2">
        <f>HYPERLINK("https://cao.dolgi.msk.ru/account/1080309589/", 1080309589)</f>
        <v>1080309589</v>
      </c>
      <c r="D11859" t="s">
        <v>9781</v>
      </c>
      <c r="E11859">
        <v>-3943.41</v>
      </c>
      <c r="F11859">
        <v>-1.41</v>
      </c>
      <c r="G11859" t="s">
        <v>12</v>
      </c>
      <c r="I11859" t="s">
        <v>1050</v>
      </c>
    </row>
    <row r="11860" spans="1:9" hidden="1" x14ac:dyDescent="0.25">
      <c r="A11860" t="s">
        <v>9732</v>
      </c>
      <c r="B11860" t="s">
        <v>126</v>
      </c>
      <c r="C11860" s="2">
        <f>HYPERLINK("https://cao.dolgi.msk.ru/account/1080309597/", 1080309597)</f>
        <v>1080309597</v>
      </c>
      <c r="D11860" t="s">
        <v>9782</v>
      </c>
      <c r="E11860">
        <v>-6753.14</v>
      </c>
      <c r="F11860">
        <v>-1.1499999999999999</v>
      </c>
      <c r="G11860" t="s">
        <v>12</v>
      </c>
      <c r="I11860" t="s">
        <v>1050</v>
      </c>
    </row>
    <row r="11861" spans="1:9" hidden="1" x14ac:dyDescent="0.25">
      <c r="A11861" t="s">
        <v>9732</v>
      </c>
      <c r="B11861" t="s">
        <v>128</v>
      </c>
      <c r="C11861" s="2">
        <f>HYPERLINK("https://cao.dolgi.msk.ru/account/1080309618/", 1080309618)</f>
        <v>1080309618</v>
      </c>
      <c r="D11861" t="s">
        <v>9783</v>
      </c>
      <c r="E11861">
        <v>-3323.27</v>
      </c>
      <c r="F11861">
        <v>-1.23</v>
      </c>
      <c r="G11861" t="s">
        <v>12</v>
      </c>
      <c r="I11861" t="s">
        <v>1050</v>
      </c>
    </row>
    <row r="11862" spans="1:9" hidden="1" x14ac:dyDescent="0.25">
      <c r="A11862" t="s">
        <v>9732</v>
      </c>
      <c r="B11862" t="s">
        <v>130</v>
      </c>
      <c r="C11862" s="2">
        <f>HYPERLINK("https://cao.dolgi.msk.ru/account/1080309626/", 1080309626)</f>
        <v>1080309626</v>
      </c>
      <c r="D11862" t="s">
        <v>9784</v>
      </c>
      <c r="E11862">
        <v>-6128.31</v>
      </c>
      <c r="F11862">
        <v>-1.59</v>
      </c>
      <c r="G11862" t="s">
        <v>12</v>
      </c>
      <c r="I11862" t="s">
        <v>1050</v>
      </c>
    </row>
    <row r="11863" spans="1:9" hidden="1" x14ac:dyDescent="0.25">
      <c r="A11863" t="s">
        <v>9732</v>
      </c>
      <c r="B11863" t="s">
        <v>132</v>
      </c>
      <c r="C11863" s="2">
        <f>HYPERLINK("https://cao.dolgi.msk.ru/account/1080309634/", 1080309634)</f>
        <v>1080309634</v>
      </c>
      <c r="D11863" t="s">
        <v>9785</v>
      </c>
      <c r="E11863">
        <v>-2497.35</v>
      </c>
      <c r="F11863">
        <v>-1.2</v>
      </c>
      <c r="G11863" t="s">
        <v>12</v>
      </c>
      <c r="I11863" t="s">
        <v>1050</v>
      </c>
    </row>
    <row r="11864" spans="1:9" hidden="1" x14ac:dyDescent="0.25">
      <c r="A11864" t="s">
        <v>9732</v>
      </c>
      <c r="B11864" t="s">
        <v>133</v>
      </c>
      <c r="C11864" s="2">
        <f>HYPERLINK("https://cao.dolgi.msk.ru/account/1080309642/", 1080309642)</f>
        <v>1080309642</v>
      </c>
      <c r="D11864" t="s">
        <v>9786</v>
      </c>
      <c r="E11864">
        <v>-4583.78</v>
      </c>
      <c r="F11864">
        <v>-1.19</v>
      </c>
      <c r="G11864" t="s">
        <v>12</v>
      </c>
      <c r="I11864" t="s">
        <v>1050</v>
      </c>
    </row>
    <row r="11865" spans="1:9" hidden="1" x14ac:dyDescent="0.25">
      <c r="A11865" t="s">
        <v>9732</v>
      </c>
      <c r="B11865" t="s">
        <v>135</v>
      </c>
      <c r="C11865" s="2">
        <f>HYPERLINK("https://cao.dolgi.msk.ru/account/1080309669/", 1080309669)</f>
        <v>1080309669</v>
      </c>
      <c r="D11865" t="s">
        <v>9787</v>
      </c>
      <c r="E11865">
        <v>-4069.12</v>
      </c>
      <c r="F11865">
        <v>-1.31</v>
      </c>
      <c r="G11865" t="s">
        <v>12</v>
      </c>
      <c r="I11865" t="s">
        <v>1050</v>
      </c>
    </row>
    <row r="11866" spans="1:9" hidden="1" x14ac:dyDescent="0.25">
      <c r="A11866" t="s">
        <v>9732</v>
      </c>
      <c r="B11866" t="s">
        <v>137</v>
      </c>
      <c r="C11866" s="2">
        <f>HYPERLINK("https://cao.dolgi.msk.ru/account/1080309677/", 1080309677)</f>
        <v>1080309677</v>
      </c>
      <c r="D11866" t="s">
        <v>9788</v>
      </c>
      <c r="E11866">
        <v>0</v>
      </c>
      <c r="F11866">
        <v>0</v>
      </c>
      <c r="G11866" t="s">
        <v>12</v>
      </c>
      <c r="I11866" t="s">
        <v>1050</v>
      </c>
    </row>
    <row r="11867" spans="1:9" hidden="1" x14ac:dyDescent="0.25">
      <c r="A11867" t="s">
        <v>9732</v>
      </c>
      <c r="B11867" t="s">
        <v>139</v>
      </c>
      <c r="C11867" s="2">
        <f>HYPERLINK("https://cao.dolgi.msk.ru/account/1080309685/", 1080309685)</f>
        <v>1080309685</v>
      </c>
      <c r="D11867" t="s">
        <v>9789</v>
      </c>
      <c r="E11867">
        <v>-8192.27</v>
      </c>
      <c r="F11867">
        <v>-1.17</v>
      </c>
      <c r="G11867" t="s">
        <v>12</v>
      </c>
      <c r="I11867" t="s">
        <v>1050</v>
      </c>
    </row>
    <row r="11868" spans="1:9" hidden="1" x14ac:dyDescent="0.25">
      <c r="A11868" t="s">
        <v>9732</v>
      </c>
      <c r="B11868" t="s">
        <v>141</v>
      </c>
      <c r="C11868" s="2">
        <f>HYPERLINK("https://cao.dolgi.msk.ru/account/1080309693/", 1080309693)</f>
        <v>1080309693</v>
      </c>
      <c r="D11868" t="s">
        <v>9790</v>
      </c>
      <c r="E11868">
        <v>-8674.51</v>
      </c>
      <c r="F11868">
        <v>-1.57</v>
      </c>
      <c r="G11868" t="s">
        <v>12</v>
      </c>
      <c r="I11868" t="s">
        <v>1050</v>
      </c>
    </row>
    <row r="11869" spans="1:9" hidden="1" x14ac:dyDescent="0.25">
      <c r="A11869" t="s">
        <v>9732</v>
      </c>
      <c r="B11869" t="s">
        <v>143</v>
      </c>
      <c r="C11869" s="2">
        <f>HYPERLINK("https://cao.dolgi.msk.ru/account/1080309706/", 1080309706)</f>
        <v>1080309706</v>
      </c>
      <c r="D11869" t="s">
        <v>9791</v>
      </c>
      <c r="E11869">
        <v>-4859.8</v>
      </c>
      <c r="F11869">
        <v>-1.31</v>
      </c>
      <c r="G11869" t="s">
        <v>12</v>
      </c>
      <c r="I11869" t="s">
        <v>1050</v>
      </c>
    </row>
    <row r="11870" spans="1:9" hidden="1" x14ac:dyDescent="0.25">
      <c r="A11870" t="s">
        <v>9732</v>
      </c>
      <c r="B11870" t="s">
        <v>145</v>
      </c>
      <c r="C11870" s="2">
        <f>HYPERLINK("https://cao.dolgi.msk.ru/account/1080309714/", 1080309714)</f>
        <v>1080309714</v>
      </c>
      <c r="D11870" t="s">
        <v>9792</v>
      </c>
      <c r="E11870">
        <v>-2427.48</v>
      </c>
      <c r="F11870">
        <v>-1.21</v>
      </c>
      <c r="G11870" t="s">
        <v>12</v>
      </c>
      <c r="I11870" t="s">
        <v>1050</v>
      </c>
    </row>
    <row r="11871" spans="1:9" hidden="1" x14ac:dyDescent="0.25">
      <c r="A11871" t="s">
        <v>9732</v>
      </c>
      <c r="B11871" t="s">
        <v>147</v>
      </c>
      <c r="C11871" s="2">
        <f>HYPERLINK("https://cao.dolgi.msk.ru/account/1080309722/", 1080309722)</f>
        <v>1080309722</v>
      </c>
      <c r="D11871" t="s">
        <v>9793</v>
      </c>
      <c r="E11871">
        <v>-3701.4</v>
      </c>
      <c r="F11871">
        <v>-1.08</v>
      </c>
      <c r="G11871" t="s">
        <v>12</v>
      </c>
      <c r="I11871" t="s">
        <v>1050</v>
      </c>
    </row>
    <row r="11872" spans="1:9" hidden="1" x14ac:dyDescent="0.25">
      <c r="A11872" t="s">
        <v>9732</v>
      </c>
      <c r="B11872" t="s">
        <v>149</v>
      </c>
      <c r="C11872" s="2">
        <f>HYPERLINK("https://cao.dolgi.msk.ru/account/1080309749/", 1080309749)</f>
        <v>1080309749</v>
      </c>
      <c r="D11872" t="s">
        <v>9794</v>
      </c>
      <c r="E11872">
        <v>-18190.86</v>
      </c>
      <c r="F11872">
        <v>-4.26</v>
      </c>
      <c r="G11872" t="s">
        <v>12</v>
      </c>
      <c r="I11872" t="s">
        <v>1050</v>
      </c>
    </row>
    <row r="11873" spans="1:9" hidden="1" x14ac:dyDescent="0.25">
      <c r="A11873" t="s">
        <v>9732</v>
      </c>
      <c r="B11873" t="s">
        <v>149</v>
      </c>
      <c r="C11873" s="2">
        <f>HYPERLINK("https://cao.dolgi.msk.ru/account/1080323006/", 1080323006)</f>
        <v>1080323006</v>
      </c>
      <c r="D11873" t="s">
        <v>15</v>
      </c>
      <c r="E11873">
        <v>-25.5</v>
      </c>
      <c r="G11873" t="s">
        <v>14</v>
      </c>
      <c r="I11873" t="s">
        <v>1050</v>
      </c>
    </row>
    <row r="11874" spans="1:9" hidden="1" x14ac:dyDescent="0.25">
      <c r="A11874" t="s">
        <v>9732</v>
      </c>
      <c r="B11874" t="s">
        <v>151</v>
      </c>
      <c r="C11874" s="2">
        <f>HYPERLINK("https://cao.dolgi.msk.ru/account/1080309757/", 1080309757)</f>
        <v>1080309757</v>
      </c>
      <c r="D11874" t="s">
        <v>9795</v>
      </c>
      <c r="E11874">
        <v>111.59</v>
      </c>
      <c r="F11874">
        <v>0.04</v>
      </c>
      <c r="G11874" t="s">
        <v>12</v>
      </c>
      <c r="I11874" t="s">
        <v>1050</v>
      </c>
    </row>
    <row r="11875" spans="1:9" hidden="1" x14ac:dyDescent="0.25">
      <c r="A11875" t="s">
        <v>9732</v>
      </c>
      <c r="B11875" t="s">
        <v>153</v>
      </c>
      <c r="C11875" s="2">
        <f>HYPERLINK("https://cao.dolgi.msk.ru/account/1080309765/", 1080309765)</f>
        <v>1080309765</v>
      </c>
      <c r="D11875" t="s">
        <v>9796</v>
      </c>
      <c r="E11875">
        <v>-6523.68</v>
      </c>
      <c r="F11875">
        <v>-1.19</v>
      </c>
      <c r="G11875" t="s">
        <v>12</v>
      </c>
      <c r="I11875" t="s">
        <v>1050</v>
      </c>
    </row>
    <row r="11876" spans="1:9" hidden="1" x14ac:dyDescent="0.25">
      <c r="A11876" t="s">
        <v>9732</v>
      </c>
      <c r="B11876" t="s">
        <v>155</v>
      </c>
      <c r="C11876" s="2">
        <f>HYPERLINK("https://cao.dolgi.msk.ru/account/1080309773/", 1080309773)</f>
        <v>1080309773</v>
      </c>
      <c r="D11876" t="s">
        <v>9797</v>
      </c>
      <c r="E11876">
        <v>-6228.45</v>
      </c>
      <c r="F11876">
        <v>-1.2</v>
      </c>
      <c r="G11876" t="s">
        <v>12</v>
      </c>
      <c r="I11876" t="s">
        <v>1050</v>
      </c>
    </row>
    <row r="11877" spans="1:9" hidden="1" x14ac:dyDescent="0.25">
      <c r="A11877" t="s">
        <v>9732</v>
      </c>
      <c r="B11877" t="s">
        <v>157</v>
      </c>
      <c r="C11877" s="2">
        <f>HYPERLINK("https://cao.dolgi.msk.ru/account/1080309781/", 1080309781)</f>
        <v>1080309781</v>
      </c>
      <c r="D11877" t="s">
        <v>9798</v>
      </c>
      <c r="E11877">
        <v>-8998.4500000000007</v>
      </c>
      <c r="F11877">
        <v>-2.2599999999999998</v>
      </c>
      <c r="G11877" t="s">
        <v>12</v>
      </c>
      <c r="I11877" t="s">
        <v>1050</v>
      </c>
    </row>
    <row r="11878" spans="1:9" hidden="1" x14ac:dyDescent="0.25">
      <c r="A11878" t="s">
        <v>9732</v>
      </c>
      <c r="B11878" t="s">
        <v>159</v>
      </c>
      <c r="C11878" s="2">
        <f>HYPERLINK("https://cao.dolgi.msk.ru/account/1080309802/", 1080309802)</f>
        <v>1080309802</v>
      </c>
      <c r="D11878" t="s">
        <v>9799</v>
      </c>
      <c r="E11878">
        <v>109.1</v>
      </c>
      <c r="F11878">
        <v>0.03</v>
      </c>
      <c r="G11878" t="s">
        <v>12</v>
      </c>
      <c r="I11878" t="s">
        <v>1050</v>
      </c>
    </row>
    <row r="11879" spans="1:9" hidden="1" x14ac:dyDescent="0.25">
      <c r="A11879" t="s">
        <v>9732</v>
      </c>
      <c r="B11879" t="s">
        <v>161</v>
      </c>
      <c r="C11879" s="2">
        <f>HYPERLINK("https://cao.dolgi.msk.ru/account/1080309829/", 1080309829)</f>
        <v>1080309829</v>
      </c>
      <c r="D11879" t="s">
        <v>9800</v>
      </c>
      <c r="E11879">
        <v>-761.82</v>
      </c>
      <c r="F11879">
        <v>-0.24</v>
      </c>
      <c r="G11879" t="s">
        <v>12</v>
      </c>
      <c r="I11879" t="s">
        <v>1050</v>
      </c>
    </row>
    <row r="11880" spans="1:9" hidden="1" x14ac:dyDescent="0.25">
      <c r="A11880" t="s">
        <v>9732</v>
      </c>
      <c r="B11880" t="s">
        <v>163</v>
      </c>
      <c r="C11880" s="2">
        <f>HYPERLINK("https://cao.dolgi.msk.ru/account/1080309837/", 1080309837)</f>
        <v>1080309837</v>
      </c>
      <c r="D11880" t="s">
        <v>9801</v>
      </c>
      <c r="E11880">
        <v>-3840.38</v>
      </c>
      <c r="F11880">
        <v>-1.45</v>
      </c>
      <c r="G11880" t="s">
        <v>12</v>
      </c>
      <c r="I11880" t="s">
        <v>1050</v>
      </c>
    </row>
    <row r="11881" spans="1:9" hidden="1" x14ac:dyDescent="0.25">
      <c r="A11881" t="s">
        <v>9732</v>
      </c>
      <c r="B11881" t="s">
        <v>571</v>
      </c>
      <c r="C11881" s="2">
        <f>HYPERLINK("https://cao.dolgi.msk.ru/account/1080309845/", 1080309845)</f>
        <v>1080309845</v>
      </c>
      <c r="D11881" t="s">
        <v>9802</v>
      </c>
      <c r="E11881">
        <v>-3675.56</v>
      </c>
      <c r="F11881">
        <v>-1.21</v>
      </c>
      <c r="G11881" t="s">
        <v>12</v>
      </c>
      <c r="I11881" t="s">
        <v>1050</v>
      </c>
    </row>
    <row r="11882" spans="1:9" hidden="1" x14ac:dyDescent="0.25">
      <c r="A11882" t="s">
        <v>9732</v>
      </c>
      <c r="B11882" t="s">
        <v>682</v>
      </c>
      <c r="C11882" s="2">
        <f>HYPERLINK("https://cao.dolgi.msk.ru/account/1080309853/", 1080309853)</f>
        <v>1080309853</v>
      </c>
      <c r="D11882" t="s">
        <v>9803</v>
      </c>
      <c r="E11882">
        <v>-5637.59</v>
      </c>
      <c r="F11882">
        <v>-1.18</v>
      </c>
      <c r="G11882" t="s">
        <v>12</v>
      </c>
      <c r="I11882" t="s">
        <v>1050</v>
      </c>
    </row>
    <row r="11883" spans="1:9" hidden="1" x14ac:dyDescent="0.25">
      <c r="A11883" t="s">
        <v>9732</v>
      </c>
      <c r="B11883" t="s">
        <v>578</v>
      </c>
      <c r="C11883" s="2">
        <f>HYPERLINK("https://cao.dolgi.msk.ru/account/1080309861/", 1080309861)</f>
        <v>1080309861</v>
      </c>
      <c r="D11883" t="s">
        <v>9804</v>
      </c>
      <c r="E11883">
        <v>-4677.29</v>
      </c>
      <c r="F11883">
        <v>-1.1200000000000001</v>
      </c>
      <c r="G11883" t="s">
        <v>12</v>
      </c>
      <c r="I11883" t="s">
        <v>1050</v>
      </c>
    </row>
    <row r="11884" spans="1:9" hidden="1" x14ac:dyDescent="0.25">
      <c r="A11884" t="s">
        <v>9732</v>
      </c>
      <c r="B11884" t="s">
        <v>580</v>
      </c>
      <c r="C11884" s="2">
        <f>HYPERLINK("https://cao.dolgi.msk.ru/account/1080309888/", 1080309888)</f>
        <v>1080309888</v>
      </c>
      <c r="D11884" t="s">
        <v>9805</v>
      </c>
      <c r="E11884">
        <v>-5584.18</v>
      </c>
      <c r="F11884">
        <v>-1.1599999999999999</v>
      </c>
      <c r="G11884" t="s">
        <v>12</v>
      </c>
      <c r="I11884" t="s">
        <v>1050</v>
      </c>
    </row>
    <row r="11885" spans="1:9" hidden="1" x14ac:dyDescent="0.25">
      <c r="A11885" t="s">
        <v>9732</v>
      </c>
      <c r="B11885" t="s">
        <v>686</v>
      </c>
      <c r="C11885" s="2">
        <f>HYPERLINK("https://cao.dolgi.msk.ru/account/1080309896/", 1080309896)</f>
        <v>1080309896</v>
      </c>
      <c r="D11885" t="s">
        <v>9806</v>
      </c>
      <c r="E11885">
        <v>-3418.26</v>
      </c>
      <c r="F11885">
        <v>-1.02</v>
      </c>
      <c r="G11885" t="s">
        <v>12</v>
      </c>
      <c r="I11885" t="s">
        <v>1050</v>
      </c>
    </row>
    <row r="11886" spans="1:9" hidden="1" x14ac:dyDescent="0.25">
      <c r="A11886" t="s">
        <v>9732</v>
      </c>
      <c r="B11886" t="s">
        <v>582</v>
      </c>
      <c r="C11886" s="2">
        <f>HYPERLINK("https://cao.dolgi.msk.ru/account/1080309909/", 1080309909)</f>
        <v>1080309909</v>
      </c>
      <c r="D11886" t="s">
        <v>9807</v>
      </c>
      <c r="E11886">
        <v>-6806.67</v>
      </c>
      <c r="F11886">
        <v>-1.06</v>
      </c>
      <c r="G11886" t="s">
        <v>12</v>
      </c>
      <c r="I11886" t="s">
        <v>1050</v>
      </c>
    </row>
    <row r="11887" spans="1:9" hidden="1" x14ac:dyDescent="0.25">
      <c r="A11887" t="s">
        <v>9732</v>
      </c>
      <c r="B11887" t="s">
        <v>584</v>
      </c>
      <c r="C11887" s="2">
        <f>HYPERLINK("https://cao.dolgi.msk.ru/account/1080309917/", 1080309917)</f>
        <v>1080309917</v>
      </c>
      <c r="D11887" t="s">
        <v>9808</v>
      </c>
      <c r="E11887">
        <v>1814.05</v>
      </c>
      <c r="F11887">
        <v>0.71</v>
      </c>
      <c r="G11887" t="s">
        <v>12</v>
      </c>
      <c r="I11887" t="s">
        <v>1050</v>
      </c>
    </row>
    <row r="11888" spans="1:9" hidden="1" x14ac:dyDescent="0.25">
      <c r="A11888" t="s">
        <v>9732</v>
      </c>
      <c r="B11888" t="s">
        <v>586</v>
      </c>
      <c r="C11888" s="2">
        <f>HYPERLINK("https://cao.dolgi.msk.ru/account/1080309925/", 1080309925)</f>
        <v>1080309925</v>
      </c>
      <c r="D11888" t="s">
        <v>9809</v>
      </c>
      <c r="E11888">
        <v>-2250.9</v>
      </c>
      <c r="F11888">
        <v>-1.04</v>
      </c>
      <c r="G11888" t="s">
        <v>12</v>
      </c>
      <c r="I11888" t="s">
        <v>1050</v>
      </c>
    </row>
    <row r="11889" spans="1:9" hidden="1" x14ac:dyDescent="0.25">
      <c r="A11889" t="s">
        <v>9732</v>
      </c>
      <c r="B11889" t="s">
        <v>588</v>
      </c>
      <c r="C11889" s="2">
        <f>HYPERLINK("https://cao.dolgi.msk.ru/account/1080309933/", 1080309933)</f>
        <v>1080309933</v>
      </c>
      <c r="D11889" t="s">
        <v>9810</v>
      </c>
      <c r="E11889">
        <v>-3701.95</v>
      </c>
      <c r="F11889">
        <v>-1.23</v>
      </c>
      <c r="G11889" t="s">
        <v>12</v>
      </c>
      <c r="I11889" t="s">
        <v>1050</v>
      </c>
    </row>
    <row r="11890" spans="1:9" hidden="1" x14ac:dyDescent="0.25">
      <c r="A11890" t="s">
        <v>9732</v>
      </c>
      <c r="B11890" t="s">
        <v>590</v>
      </c>
      <c r="C11890" s="2">
        <f>HYPERLINK("https://cao.dolgi.msk.ru/account/1080309941/", 1080309941)</f>
        <v>1080309941</v>
      </c>
      <c r="D11890" t="s">
        <v>9811</v>
      </c>
      <c r="E11890">
        <v>-3327.18</v>
      </c>
      <c r="F11890">
        <v>-1.07</v>
      </c>
      <c r="G11890" t="s">
        <v>12</v>
      </c>
      <c r="I11890" t="s">
        <v>1050</v>
      </c>
    </row>
    <row r="11891" spans="1:9" hidden="1" x14ac:dyDescent="0.25">
      <c r="A11891" t="s">
        <v>9732</v>
      </c>
      <c r="B11891" t="s">
        <v>693</v>
      </c>
      <c r="C11891" s="2">
        <f>HYPERLINK("https://cao.dolgi.msk.ru/account/1080309968/", 1080309968)</f>
        <v>1080309968</v>
      </c>
      <c r="D11891" t="s">
        <v>9812</v>
      </c>
      <c r="E11891">
        <v>-5814.19</v>
      </c>
      <c r="F11891">
        <v>-1.29</v>
      </c>
      <c r="G11891" t="s">
        <v>12</v>
      </c>
      <c r="I11891" t="s">
        <v>1050</v>
      </c>
    </row>
    <row r="11892" spans="1:9" hidden="1" x14ac:dyDescent="0.25">
      <c r="A11892" t="s">
        <v>9732</v>
      </c>
      <c r="B11892" t="s">
        <v>694</v>
      </c>
      <c r="C11892" s="2">
        <f>HYPERLINK("https://cao.dolgi.msk.ru/account/1080309976/", 1080309976)</f>
        <v>1080309976</v>
      </c>
      <c r="D11892" t="s">
        <v>9813</v>
      </c>
      <c r="E11892">
        <v>1568.95</v>
      </c>
      <c r="F11892">
        <v>0.4</v>
      </c>
      <c r="G11892" t="s">
        <v>12</v>
      </c>
      <c r="I11892" t="s">
        <v>1050</v>
      </c>
    </row>
    <row r="11893" spans="1:9" hidden="1" x14ac:dyDescent="0.25">
      <c r="A11893" t="s">
        <v>9732</v>
      </c>
      <c r="B11893" t="s">
        <v>696</v>
      </c>
      <c r="C11893" s="2">
        <f>HYPERLINK("https://cao.dolgi.msk.ru/account/1080309984/", 1080309984)</f>
        <v>1080309984</v>
      </c>
      <c r="D11893" t="s">
        <v>9814</v>
      </c>
      <c r="E11893">
        <v>-4752.8</v>
      </c>
      <c r="F11893">
        <v>-1.1499999999999999</v>
      </c>
      <c r="G11893" t="s">
        <v>12</v>
      </c>
      <c r="I11893" t="s">
        <v>1050</v>
      </c>
    </row>
    <row r="11894" spans="1:9" hidden="1" x14ac:dyDescent="0.25">
      <c r="A11894" t="s">
        <v>9732</v>
      </c>
      <c r="B11894" t="s">
        <v>698</v>
      </c>
      <c r="C11894" s="2">
        <f>HYPERLINK("https://cao.dolgi.msk.ru/account/1080309992/", 1080309992)</f>
        <v>1080309992</v>
      </c>
      <c r="D11894" t="s">
        <v>9815</v>
      </c>
      <c r="E11894">
        <v>-4048.76</v>
      </c>
      <c r="F11894">
        <v>-1.19</v>
      </c>
      <c r="G11894" t="s">
        <v>12</v>
      </c>
      <c r="I11894" t="s">
        <v>1050</v>
      </c>
    </row>
    <row r="11895" spans="1:9" hidden="1" x14ac:dyDescent="0.25">
      <c r="A11895" t="s">
        <v>9816</v>
      </c>
      <c r="B11895" t="s">
        <v>10</v>
      </c>
      <c r="C11895" s="2">
        <f>HYPERLINK("https://cao.dolgi.msk.ru/account/1080064569/", 1080064569)</f>
        <v>1080064569</v>
      </c>
      <c r="D11895" t="s">
        <v>9817</v>
      </c>
      <c r="E11895">
        <v>-1551.12</v>
      </c>
      <c r="F11895">
        <v>-0.28000000000000003</v>
      </c>
      <c r="G11895" t="s">
        <v>12</v>
      </c>
      <c r="I11895" t="s">
        <v>230</v>
      </c>
    </row>
    <row r="11896" spans="1:9" hidden="1" x14ac:dyDescent="0.25">
      <c r="A11896" t="s">
        <v>9816</v>
      </c>
      <c r="B11896" t="s">
        <v>16</v>
      </c>
      <c r="C11896" s="2">
        <f>HYPERLINK("https://cao.dolgi.msk.ru/account/1080064577/", 1080064577)</f>
        <v>1080064577</v>
      </c>
      <c r="D11896" t="s">
        <v>9818</v>
      </c>
      <c r="E11896">
        <v>-1297.74</v>
      </c>
      <c r="F11896">
        <v>-0.25</v>
      </c>
      <c r="G11896" t="s">
        <v>12</v>
      </c>
      <c r="I11896" t="s">
        <v>230</v>
      </c>
    </row>
    <row r="11897" spans="1:9" hidden="1" x14ac:dyDescent="0.25">
      <c r="A11897" t="s">
        <v>9816</v>
      </c>
      <c r="B11897" t="s">
        <v>18</v>
      </c>
      <c r="C11897" s="2">
        <f>HYPERLINK("https://cao.dolgi.msk.ru/account/1080064585/", 1080064585)</f>
        <v>1080064585</v>
      </c>
      <c r="D11897" t="s">
        <v>9819</v>
      </c>
      <c r="E11897">
        <v>-6100.15</v>
      </c>
      <c r="F11897">
        <v>-1.1399999999999999</v>
      </c>
      <c r="G11897" t="s">
        <v>12</v>
      </c>
      <c r="I11897" t="s">
        <v>230</v>
      </c>
    </row>
    <row r="11898" spans="1:9" hidden="1" x14ac:dyDescent="0.25">
      <c r="A11898" t="s">
        <v>9816</v>
      </c>
      <c r="B11898" t="s">
        <v>20</v>
      </c>
      <c r="C11898" s="2">
        <f>HYPERLINK("https://cao.dolgi.msk.ru/account/1080064593/", 1080064593)</f>
        <v>1080064593</v>
      </c>
      <c r="D11898" t="s">
        <v>9820</v>
      </c>
      <c r="E11898">
        <v>-5376.66</v>
      </c>
      <c r="F11898">
        <v>-2.0099999999999998</v>
      </c>
      <c r="G11898" t="s">
        <v>12</v>
      </c>
      <c r="H11898" t="s">
        <v>7</v>
      </c>
      <c r="I11898" t="s">
        <v>230</v>
      </c>
    </row>
    <row r="11899" spans="1:9" hidden="1" x14ac:dyDescent="0.25">
      <c r="A11899" t="s">
        <v>9816</v>
      </c>
      <c r="B11899" t="s">
        <v>20</v>
      </c>
      <c r="C11899" s="2">
        <f>HYPERLINK("https://cao.dolgi.msk.ru/account/1080064606/", 1080064606)</f>
        <v>1080064606</v>
      </c>
      <c r="D11899" t="s">
        <v>15</v>
      </c>
      <c r="E11899">
        <v>0.2</v>
      </c>
      <c r="F11899">
        <v>0</v>
      </c>
      <c r="G11899" t="s">
        <v>12</v>
      </c>
      <c r="H11899" t="s">
        <v>7</v>
      </c>
      <c r="I11899" t="s">
        <v>230</v>
      </c>
    </row>
    <row r="11900" spans="1:9" hidden="1" x14ac:dyDescent="0.25">
      <c r="A11900" t="s">
        <v>9816</v>
      </c>
      <c r="B11900" t="s">
        <v>21</v>
      </c>
      <c r="C11900" s="2">
        <f>HYPERLINK("https://cao.dolgi.msk.ru/account/1080064614/", 1080064614)</f>
        <v>1080064614</v>
      </c>
      <c r="D11900" t="s">
        <v>15</v>
      </c>
      <c r="E11900">
        <v>-4683.7299999999996</v>
      </c>
      <c r="F11900">
        <v>-1.37</v>
      </c>
      <c r="G11900" t="s">
        <v>12</v>
      </c>
      <c r="I11900" t="s">
        <v>230</v>
      </c>
    </row>
    <row r="11901" spans="1:9" hidden="1" x14ac:dyDescent="0.25">
      <c r="A11901" t="s">
        <v>9816</v>
      </c>
      <c r="B11901" t="s">
        <v>22</v>
      </c>
      <c r="C11901" s="2">
        <f>HYPERLINK("https://cao.dolgi.msk.ru/account/1080064622/", 1080064622)</f>
        <v>1080064622</v>
      </c>
      <c r="D11901" t="s">
        <v>9821</v>
      </c>
      <c r="E11901">
        <v>-322.02999999999997</v>
      </c>
      <c r="F11901">
        <v>-0.06</v>
      </c>
      <c r="G11901" t="s">
        <v>12</v>
      </c>
      <c r="I11901" t="s">
        <v>230</v>
      </c>
    </row>
    <row r="11902" spans="1:9" hidden="1" x14ac:dyDescent="0.25">
      <c r="A11902" t="s">
        <v>9816</v>
      </c>
      <c r="B11902" t="s">
        <v>23</v>
      </c>
      <c r="C11902" s="2">
        <f>HYPERLINK("https://cao.dolgi.msk.ru/account/1080064649/", 1080064649)</f>
        <v>1080064649</v>
      </c>
      <c r="D11902" t="s">
        <v>9822</v>
      </c>
      <c r="E11902">
        <v>-5859.91</v>
      </c>
      <c r="F11902">
        <v>-1.1399999999999999</v>
      </c>
      <c r="G11902" t="s">
        <v>12</v>
      </c>
      <c r="I11902" t="s">
        <v>230</v>
      </c>
    </row>
    <row r="11903" spans="1:9" hidden="1" x14ac:dyDescent="0.25">
      <c r="A11903" t="s">
        <v>9816</v>
      </c>
      <c r="B11903" t="s">
        <v>24</v>
      </c>
      <c r="C11903" s="2">
        <f>HYPERLINK("https://cao.dolgi.msk.ru/account/1080064657/", 1080064657)</f>
        <v>1080064657</v>
      </c>
      <c r="D11903" t="s">
        <v>9823</v>
      </c>
      <c r="E11903">
        <v>-10403.91</v>
      </c>
      <c r="F11903">
        <v>-1.32</v>
      </c>
      <c r="G11903" t="s">
        <v>12</v>
      </c>
      <c r="I11903" t="s">
        <v>230</v>
      </c>
    </row>
    <row r="11904" spans="1:9" hidden="1" x14ac:dyDescent="0.25">
      <c r="A11904" t="s">
        <v>9816</v>
      </c>
      <c r="B11904" t="s">
        <v>27</v>
      </c>
      <c r="C11904" s="2">
        <f>HYPERLINK("https://cao.dolgi.msk.ru/account/1080064665/", 1080064665)</f>
        <v>1080064665</v>
      </c>
      <c r="D11904" t="s">
        <v>9824</v>
      </c>
      <c r="E11904">
        <v>-5945.45</v>
      </c>
      <c r="F11904">
        <v>-1.18</v>
      </c>
      <c r="G11904" t="s">
        <v>12</v>
      </c>
      <c r="I11904" t="s">
        <v>230</v>
      </c>
    </row>
    <row r="11905" spans="1:9" x14ac:dyDescent="0.25">
      <c r="A11905" t="s">
        <v>9816</v>
      </c>
      <c r="B11905" t="s">
        <v>29</v>
      </c>
      <c r="C11905" s="2">
        <f>HYPERLINK("https://cao.dolgi.msk.ru/account/1080064673/", 1080064673)</f>
        <v>1080064673</v>
      </c>
      <c r="D11905" t="s">
        <v>9825</v>
      </c>
      <c r="E11905">
        <v>10592.3</v>
      </c>
      <c r="F11905">
        <v>1.58</v>
      </c>
      <c r="G11905" t="s">
        <v>12</v>
      </c>
      <c r="I11905" t="s">
        <v>230</v>
      </c>
    </row>
    <row r="11906" spans="1:9" hidden="1" x14ac:dyDescent="0.25">
      <c r="A11906" t="s">
        <v>9816</v>
      </c>
      <c r="B11906" t="s">
        <v>31</v>
      </c>
      <c r="C11906" s="2">
        <f>HYPERLINK("https://cao.dolgi.msk.ru/account/1080064681/", 1080064681)</f>
        <v>1080064681</v>
      </c>
      <c r="D11906" t="s">
        <v>9826</v>
      </c>
      <c r="E11906">
        <v>-2947.86</v>
      </c>
      <c r="F11906">
        <v>-1.1599999999999999</v>
      </c>
      <c r="G11906" t="s">
        <v>12</v>
      </c>
      <c r="I11906" t="s">
        <v>230</v>
      </c>
    </row>
    <row r="11907" spans="1:9" hidden="1" x14ac:dyDescent="0.25">
      <c r="A11907" t="s">
        <v>9816</v>
      </c>
      <c r="B11907" t="s">
        <v>33</v>
      </c>
      <c r="C11907" s="2">
        <f>HYPERLINK("https://cao.dolgi.msk.ru/account/1080064702/", 1080064702)</f>
        <v>1080064702</v>
      </c>
      <c r="D11907" t="s">
        <v>9827</v>
      </c>
      <c r="E11907">
        <v>-8598.7199999999993</v>
      </c>
      <c r="F11907">
        <v>-1.31</v>
      </c>
      <c r="G11907" t="s">
        <v>12</v>
      </c>
      <c r="I11907" t="s">
        <v>230</v>
      </c>
    </row>
    <row r="11908" spans="1:9" hidden="1" x14ac:dyDescent="0.25">
      <c r="A11908" t="s">
        <v>9816</v>
      </c>
      <c r="B11908" t="s">
        <v>34</v>
      </c>
      <c r="C11908" s="2">
        <f>HYPERLINK("https://cao.dolgi.msk.ru/account/1080064729/", 1080064729)</f>
        <v>1080064729</v>
      </c>
      <c r="D11908" t="s">
        <v>9828</v>
      </c>
      <c r="E11908">
        <v>44.58</v>
      </c>
      <c r="F11908">
        <v>0.01</v>
      </c>
      <c r="G11908" t="s">
        <v>12</v>
      </c>
      <c r="I11908" t="s">
        <v>230</v>
      </c>
    </row>
    <row r="11909" spans="1:9" x14ac:dyDescent="0.25">
      <c r="A11909" t="s">
        <v>9816</v>
      </c>
      <c r="B11909" t="s">
        <v>36</v>
      </c>
      <c r="C11909" s="2">
        <f>HYPERLINK("https://cao.dolgi.msk.ru/account/1080064737/", 1080064737)</f>
        <v>1080064737</v>
      </c>
      <c r="D11909" t="s">
        <v>9829</v>
      </c>
      <c r="E11909">
        <v>14802.95</v>
      </c>
      <c r="F11909">
        <v>2.41</v>
      </c>
      <c r="G11909" t="s">
        <v>12</v>
      </c>
      <c r="I11909" t="s">
        <v>230</v>
      </c>
    </row>
    <row r="11910" spans="1:9" hidden="1" x14ac:dyDescent="0.25">
      <c r="A11910" t="s">
        <v>9816</v>
      </c>
      <c r="B11910" t="s">
        <v>36</v>
      </c>
      <c r="C11910" s="2">
        <f>HYPERLINK("https://cao.dolgi.msk.ru/account/1080064745/", 1080064745)</f>
        <v>1080064745</v>
      </c>
      <c r="D11910" t="s">
        <v>15</v>
      </c>
      <c r="E11910">
        <v>0</v>
      </c>
      <c r="G11910" t="s">
        <v>14</v>
      </c>
      <c r="I11910" t="s">
        <v>230</v>
      </c>
    </row>
    <row r="11911" spans="1:9" x14ac:dyDescent="0.25">
      <c r="A11911" t="s">
        <v>9816</v>
      </c>
      <c r="B11911" t="s">
        <v>38</v>
      </c>
      <c r="C11911" s="2">
        <f>HYPERLINK("https://cao.dolgi.msk.ru/account/1080064753/", 1080064753)</f>
        <v>1080064753</v>
      </c>
      <c r="D11911" t="s">
        <v>9830</v>
      </c>
      <c r="E11911">
        <v>19192.43</v>
      </c>
      <c r="F11911">
        <v>3.22</v>
      </c>
      <c r="G11911" t="s">
        <v>12</v>
      </c>
      <c r="I11911" t="s">
        <v>230</v>
      </c>
    </row>
    <row r="11912" spans="1:9" x14ac:dyDescent="0.25">
      <c r="A11912" t="s">
        <v>9816</v>
      </c>
      <c r="B11912" t="s">
        <v>39</v>
      </c>
      <c r="C11912" s="2">
        <f>HYPERLINK("https://cao.dolgi.msk.ru/account/1080064761/", 1080064761)</f>
        <v>1080064761</v>
      </c>
      <c r="D11912" t="s">
        <v>9831</v>
      </c>
      <c r="E11912">
        <v>28576.18</v>
      </c>
      <c r="F11912">
        <v>11.08</v>
      </c>
      <c r="G11912" t="s">
        <v>12</v>
      </c>
      <c r="I11912" t="s">
        <v>230</v>
      </c>
    </row>
    <row r="11913" spans="1:9" x14ac:dyDescent="0.25">
      <c r="A11913" t="s">
        <v>9816</v>
      </c>
      <c r="B11913" t="s">
        <v>39</v>
      </c>
      <c r="C11913" s="2">
        <f>HYPERLINK("https://cao.dolgi.msk.ru/account/1083270763/", 1083270763)</f>
        <v>1083270763</v>
      </c>
      <c r="D11913" t="s">
        <v>9832</v>
      </c>
      <c r="E11913">
        <v>6996.05</v>
      </c>
      <c r="F11913">
        <v>2.0499999999999998</v>
      </c>
      <c r="G11913" t="s">
        <v>12</v>
      </c>
      <c r="I11913" t="s">
        <v>230</v>
      </c>
    </row>
    <row r="11914" spans="1:9" hidden="1" x14ac:dyDescent="0.25">
      <c r="A11914" t="s">
        <v>9816</v>
      </c>
      <c r="B11914" t="s">
        <v>40</v>
      </c>
      <c r="C11914" s="2">
        <f>HYPERLINK("https://cao.dolgi.msk.ru/account/1080064788/", 1080064788)</f>
        <v>1080064788</v>
      </c>
      <c r="D11914" t="s">
        <v>9833</v>
      </c>
      <c r="E11914">
        <v>-8633.74</v>
      </c>
      <c r="F11914">
        <v>-1.1200000000000001</v>
      </c>
      <c r="G11914" t="s">
        <v>12</v>
      </c>
      <c r="I11914" t="s">
        <v>230</v>
      </c>
    </row>
    <row r="11915" spans="1:9" hidden="1" x14ac:dyDescent="0.25">
      <c r="A11915" t="s">
        <v>9816</v>
      </c>
      <c r="B11915" t="s">
        <v>41</v>
      </c>
      <c r="C11915" s="2">
        <f>HYPERLINK("https://cao.dolgi.msk.ru/account/1080064796/", 1080064796)</f>
        <v>1080064796</v>
      </c>
      <c r="D11915" t="s">
        <v>9834</v>
      </c>
      <c r="E11915">
        <v>0</v>
      </c>
      <c r="G11915" t="s">
        <v>14</v>
      </c>
      <c r="I11915" t="s">
        <v>230</v>
      </c>
    </row>
    <row r="11916" spans="1:9" hidden="1" x14ac:dyDescent="0.25">
      <c r="A11916" t="s">
        <v>9816</v>
      </c>
      <c r="B11916" t="s">
        <v>41</v>
      </c>
      <c r="C11916" s="2">
        <f>HYPERLINK("https://cao.dolgi.msk.ru/account/1080064809/", 1080064809)</f>
        <v>1080064809</v>
      </c>
      <c r="D11916" t="s">
        <v>9835</v>
      </c>
      <c r="E11916">
        <v>-7109.14</v>
      </c>
      <c r="F11916">
        <v>-1.21</v>
      </c>
      <c r="G11916" t="s">
        <v>12</v>
      </c>
      <c r="I11916" t="s">
        <v>230</v>
      </c>
    </row>
    <row r="11917" spans="1:9" hidden="1" x14ac:dyDescent="0.25">
      <c r="A11917" t="s">
        <v>9816</v>
      </c>
      <c r="B11917" t="s">
        <v>42</v>
      </c>
      <c r="C11917" s="2">
        <f>HYPERLINK("https://cao.dolgi.msk.ru/account/1080064817/", 1080064817)</f>
        <v>1080064817</v>
      </c>
      <c r="D11917" t="s">
        <v>9836</v>
      </c>
      <c r="E11917">
        <v>-5832.87</v>
      </c>
      <c r="F11917">
        <v>-1.23</v>
      </c>
      <c r="G11917" t="s">
        <v>12</v>
      </c>
      <c r="I11917" t="s">
        <v>230</v>
      </c>
    </row>
    <row r="11918" spans="1:9" hidden="1" x14ac:dyDescent="0.25">
      <c r="A11918" t="s">
        <v>9816</v>
      </c>
      <c r="B11918" t="s">
        <v>44</v>
      </c>
      <c r="C11918" s="2">
        <f>HYPERLINK("https://cao.dolgi.msk.ru/account/1080064825/", 1080064825)</f>
        <v>1080064825</v>
      </c>
      <c r="D11918" t="s">
        <v>9837</v>
      </c>
      <c r="E11918">
        <v>-8967.02</v>
      </c>
      <c r="F11918">
        <v>-0.82</v>
      </c>
      <c r="G11918" t="s">
        <v>12</v>
      </c>
      <c r="I11918" t="s">
        <v>230</v>
      </c>
    </row>
    <row r="11919" spans="1:9" hidden="1" x14ac:dyDescent="0.25">
      <c r="A11919" t="s">
        <v>9816</v>
      </c>
      <c r="B11919" t="s">
        <v>66</v>
      </c>
      <c r="C11919" s="2">
        <f>HYPERLINK("https://cao.dolgi.msk.ru/account/1080064833/", 1080064833)</f>
        <v>1080064833</v>
      </c>
      <c r="D11919" t="s">
        <v>9838</v>
      </c>
      <c r="E11919">
        <v>-1189.8399999999999</v>
      </c>
      <c r="F11919">
        <v>-1.24</v>
      </c>
      <c r="G11919" t="s">
        <v>12</v>
      </c>
      <c r="H11919" t="s">
        <v>7</v>
      </c>
      <c r="I11919" t="s">
        <v>230</v>
      </c>
    </row>
    <row r="11920" spans="1:9" hidden="1" x14ac:dyDescent="0.25">
      <c r="A11920" t="s">
        <v>9816</v>
      </c>
      <c r="B11920" t="s">
        <v>66</v>
      </c>
      <c r="C11920" s="2">
        <f>HYPERLINK("https://cao.dolgi.msk.ru/account/1080064972/", 1080064972)</f>
        <v>1080064972</v>
      </c>
      <c r="D11920" t="s">
        <v>9839</v>
      </c>
      <c r="E11920">
        <v>-2752.52</v>
      </c>
      <c r="F11920">
        <v>-1.47</v>
      </c>
      <c r="G11920" t="s">
        <v>12</v>
      </c>
      <c r="H11920" t="s">
        <v>7</v>
      </c>
      <c r="I11920" t="s">
        <v>230</v>
      </c>
    </row>
    <row r="11921" spans="1:9" hidden="1" x14ac:dyDescent="0.25">
      <c r="A11921" t="s">
        <v>9816</v>
      </c>
      <c r="B11921" t="s">
        <v>66</v>
      </c>
      <c r="C11921" s="2">
        <f>HYPERLINK("https://cao.dolgi.msk.ru/account/1080065262/", 1080065262)</f>
        <v>1080065262</v>
      </c>
      <c r="D11921" t="s">
        <v>9839</v>
      </c>
      <c r="E11921">
        <v>-1936.87</v>
      </c>
      <c r="F11921">
        <v>-1.2</v>
      </c>
      <c r="G11921" t="s">
        <v>12</v>
      </c>
      <c r="H11921" t="s">
        <v>7</v>
      </c>
      <c r="I11921" t="s">
        <v>230</v>
      </c>
    </row>
    <row r="11922" spans="1:9" hidden="1" x14ac:dyDescent="0.25">
      <c r="A11922" t="s">
        <v>9816</v>
      </c>
      <c r="B11922" t="s">
        <v>68</v>
      </c>
      <c r="C11922" s="2">
        <f>HYPERLINK("https://cao.dolgi.msk.ru/account/1080064841/", 1080064841)</f>
        <v>1080064841</v>
      </c>
      <c r="D11922" t="s">
        <v>9840</v>
      </c>
      <c r="E11922">
        <v>-10012.76</v>
      </c>
      <c r="F11922">
        <v>-1.37</v>
      </c>
      <c r="G11922" t="s">
        <v>12</v>
      </c>
      <c r="I11922" t="s">
        <v>230</v>
      </c>
    </row>
    <row r="11923" spans="1:9" hidden="1" x14ac:dyDescent="0.25">
      <c r="A11923" t="s">
        <v>9816</v>
      </c>
      <c r="B11923" t="s">
        <v>70</v>
      </c>
      <c r="C11923" s="2">
        <f>HYPERLINK("https://cao.dolgi.msk.ru/account/1080064868/", 1080064868)</f>
        <v>1080064868</v>
      </c>
      <c r="D11923" t="s">
        <v>9841</v>
      </c>
      <c r="E11923">
        <v>-4455.87</v>
      </c>
      <c r="F11923">
        <v>-1.27</v>
      </c>
      <c r="G11923" t="s">
        <v>12</v>
      </c>
      <c r="I11923" t="s">
        <v>230</v>
      </c>
    </row>
    <row r="11924" spans="1:9" hidden="1" x14ac:dyDescent="0.25">
      <c r="A11924" t="s">
        <v>9816</v>
      </c>
      <c r="B11924" t="s">
        <v>72</v>
      </c>
      <c r="C11924" s="2">
        <f>HYPERLINK("https://cao.dolgi.msk.ru/account/1080064884/", 1080064884)</f>
        <v>1080064884</v>
      </c>
      <c r="D11924" t="s">
        <v>9842</v>
      </c>
      <c r="E11924">
        <v>-10999.45</v>
      </c>
      <c r="F11924">
        <v>-1.17</v>
      </c>
      <c r="G11924" t="s">
        <v>12</v>
      </c>
      <c r="I11924" t="s">
        <v>230</v>
      </c>
    </row>
    <row r="11925" spans="1:9" hidden="1" x14ac:dyDescent="0.25">
      <c r="A11925" t="s">
        <v>9816</v>
      </c>
      <c r="B11925" t="s">
        <v>74</v>
      </c>
      <c r="C11925" s="2">
        <f>HYPERLINK("https://cao.dolgi.msk.ru/account/1080064876/", 1080064876)</f>
        <v>1080064876</v>
      </c>
      <c r="D11925" t="s">
        <v>9843</v>
      </c>
      <c r="E11925">
        <v>-7102.52</v>
      </c>
      <c r="F11925">
        <v>-1.26</v>
      </c>
      <c r="G11925" t="s">
        <v>12</v>
      </c>
      <c r="I11925" t="s">
        <v>230</v>
      </c>
    </row>
    <row r="11926" spans="1:9" hidden="1" x14ac:dyDescent="0.25">
      <c r="A11926" t="s">
        <v>9816</v>
      </c>
      <c r="B11926" t="s">
        <v>76</v>
      </c>
      <c r="C11926" s="2">
        <f>HYPERLINK("https://cao.dolgi.msk.ru/account/1080064892/", 1080064892)</f>
        <v>1080064892</v>
      </c>
      <c r="D11926" t="s">
        <v>9844</v>
      </c>
      <c r="E11926">
        <v>200.5</v>
      </c>
      <c r="F11926">
        <v>0.03</v>
      </c>
      <c r="G11926" t="s">
        <v>12</v>
      </c>
      <c r="I11926" t="s">
        <v>230</v>
      </c>
    </row>
    <row r="11927" spans="1:9" hidden="1" x14ac:dyDescent="0.25">
      <c r="A11927" t="s">
        <v>9816</v>
      </c>
      <c r="B11927" t="s">
        <v>78</v>
      </c>
      <c r="C11927" s="2">
        <f>HYPERLINK("https://cao.dolgi.msk.ru/account/1080064905/", 1080064905)</f>
        <v>1080064905</v>
      </c>
      <c r="D11927" t="s">
        <v>9845</v>
      </c>
      <c r="E11927">
        <v>-7358.75</v>
      </c>
      <c r="F11927">
        <v>-1.1299999999999999</v>
      </c>
      <c r="G11927" t="s">
        <v>12</v>
      </c>
      <c r="I11927" t="s">
        <v>230</v>
      </c>
    </row>
    <row r="11928" spans="1:9" hidden="1" x14ac:dyDescent="0.25">
      <c r="A11928" t="s">
        <v>9816</v>
      </c>
      <c r="B11928" t="s">
        <v>80</v>
      </c>
      <c r="C11928" s="2">
        <f>HYPERLINK("https://cao.dolgi.msk.ru/account/1080064913/", 1080064913)</f>
        <v>1080064913</v>
      </c>
      <c r="D11928" t="s">
        <v>9846</v>
      </c>
      <c r="E11928">
        <v>81.12</v>
      </c>
      <c r="F11928">
        <v>0.01</v>
      </c>
      <c r="G11928" t="s">
        <v>12</v>
      </c>
      <c r="I11928" t="s">
        <v>230</v>
      </c>
    </row>
    <row r="11929" spans="1:9" hidden="1" x14ac:dyDescent="0.25">
      <c r="A11929" t="s">
        <v>9816</v>
      </c>
      <c r="B11929" t="s">
        <v>82</v>
      </c>
      <c r="C11929" s="2">
        <f>HYPERLINK("https://cao.dolgi.msk.ru/account/1080064921/", 1080064921)</f>
        <v>1080064921</v>
      </c>
      <c r="D11929" t="s">
        <v>9847</v>
      </c>
      <c r="E11929">
        <v>-4422.62</v>
      </c>
      <c r="F11929">
        <v>-1.99</v>
      </c>
      <c r="G11929" t="s">
        <v>12</v>
      </c>
      <c r="H11929" t="s">
        <v>7</v>
      </c>
      <c r="I11929" t="s">
        <v>230</v>
      </c>
    </row>
    <row r="11930" spans="1:9" hidden="1" x14ac:dyDescent="0.25">
      <c r="A11930" t="s">
        <v>9816</v>
      </c>
      <c r="B11930" t="s">
        <v>82</v>
      </c>
      <c r="C11930" s="2">
        <f>HYPERLINK("https://cao.dolgi.msk.ru/account/1080064956/", 1080064956)</f>
        <v>1080064956</v>
      </c>
      <c r="D11930" t="s">
        <v>9847</v>
      </c>
      <c r="E11930">
        <v>-3808.48</v>
      </c>
      <c r="F11930">
        <v>-0.91</v>
      </c>
      <c r="G11930" t="s">
        <v>12</v>
      </c>
      <c r="H11930" t="s">
        <v>7</v>
      </c>
      <c r="I11930" t="s">
        <v>230</v>
      </c>
    </row>
    <row r="11931" spans="1:9" hidden="1" x14ac:dyDescent="0.25">
      <c r="A11931" t="s">
        <v>9816</v>
      </c>
      <c r="B11931" t="s">
        <v>84</v>
      </c>
      <c r="C11931" s="2">
        <f>HYPERLINK("https://cao.dolgi.msk.ru/account/1080064948/", 1080064948)</f>
        <v>1080064948</v>
      </c>
      <c r="D11931" t="s">
        <v>9848</v>
      </c>
      <c r="E11931">
        <v>-6903.35</v>
      </c>
      <c r="F11931">
        <v>-0.98</v>
      </c>
      <c r="G11931" t="s">
        <v>12</v>
      </c>
      <c r="I11931" t="s">
        <v>230</v>
      </c>
    </row>
    <row r="11932" spans="1:9" hidden="1" x14ac:dyDescent="0.25">
      <c r="A11932" t="s">
        <v>9816</v>
      </c>
      <c r="B11932" t="s">
        <v>86</v>
      </c>
      <c r="C11932" s="2">
        <f>HYPERLINK("https://cao.dolgi.msk.ru/account/1080064964/", 1080064964)</f>
        <v>1080064964</v>
      </c>
      <c r="D11932" t="s">
        <v>15</v>
      </c>
      <c r="E11932">
        <v>-7613.45</v>
      </c>
      <c r="F11932">
        <v>-1.37</v>
      </c>
      <c r="G11932" t="s">
        <v>12</v>
      </c>
      <c r="I11932" t="s">
        <v>230</v>
      </c>
    </row>
    <row r="11933" spans="1:9" hidden="1" x14ac:dyDescent="0.25">
      <c r="A11933" t="s">
        <v>9816</v>
      </c>
      <c r="B11933" t="s">
        <v>88</v>
      </c>
      <c r="C11933" s="2">
        <f>HYPERLINK("https://cao.dolgi.msk.ru/account/1080064999/", 1080064999)</f>
        <v>1080064999</v>
      </c>
      <c r="D11933" t="s">
        <v>9849</v>
      </c>
      <c r="E11933">
        <v>-99.19</v>
      </c>
      <c r="F11933">
        <v>-0.02</v>
      </c>
      <c r="G11933" t="s">
        <v>12</v>
      </c>
      <c r="I11933" t="s">
        <v>230</v>
      </c>
    </row>
    <row r="11934" spans="1:9" hidden="1" x14ac:dyDescent="0.25">
      <c r="A11934" t="s">
        <v>9816</v>
      </c>
      <c r="B11934" t="s">
        <v>90</v>
      </c>
      <c r="C11934" s="2">
        <f>HYPERLINK("https://cao.dolgi.msk.ru/account/1080065019/", 1080065019)</f>
        <v>1080065019</v>
      </c>
      <c r="D11934" t="s">
        <v>9850</v>
      </c>
      <c r="E11934">
        <v>4855.07</v>
      </c>
      <c r="F11934">
        <v>0.83</v>
      </c>
      <c r="G11934" t="s">
        <v>12</v>
      </c>
      <c r="I11934" t="s">
        <v>230</v>
      </c>
    </row>
    <row r="11935" spans="1:9" hidden="1" x14ac:dyDescent="0.25">
      <c r="A11935" t="s">
        <v>9816</v>
      </c>
      <c r="B11935" t="s">
        <v>92</v>
      </c>
      <c r="C11935" s="2">
        <f>HYPERLINK("https://cao.dolgi.msk.ru/account/1080065027/", 1080065027)</f>
        <v>1080065027</v>
      </c>
      <c r="D11935" t="s">
        <v>15</v>
      </c>
      <c r="E11935">
        <v>-3155.63</v>
      </c>
      <c r="F11935">
        <v>-1.22</v>
      </c>
      <c r="G11935" t="s">
        <v>12</v>
      </c>
      <c r="I11935" t="s">
        <v>230</v>
      </c>
    </row>
    <row r="11936" spans="1:9" hidden="1" x14ac:dyDescent="0.25">
      <c r="A11936" t="s">
        <v>9816</v>
      </c>
      <c r="B11936" t="s">
        <v>94</v>
      </c>
      <c r="C11936" s="2">
        <f>HYPERLINK("https://cao.dolgi.msk.ru/account/1080065035/", 1080065035)</f>
        <v>1080065035</v>
      </c>
      <c r="D11936" t="s">
        <v>9851</v>
      </c>
      <c r="E11936">
        <v>0</v>
      </c>
      <c r="F11936">
        <v>0</v>
      </c>
      <c r="G11936" t="s">
        <v>12</v>
      </c>
      <c r="I11936" t="s">
        <v>230</v>
      </c>
    </row>
    <row r="11937" spans="1:9" hidden="1" x14ac:dyDescent="0.25">
      <c r="A11937" t="s">
        <v>9816</v>
      </c>
      <c r="B11937" t="s">
        <v>96</v>
      </c>
      <c r="C11937" s="2">
        <f>HYPERLINK("https://cao.dolgi.msk.ru/account/1080065043/", 1080065043)</f>
        <v>1080065043</v>
      </c>
      <c r="D11937" t="s">
        <v>9852</v>
      </c>
      <c r="E11937">
        <v>-8400.26</v>
      </c>
      <c r="F11937">
        <v>-1.1399999999999999</v>
      </c>
      <c r="G11937" t="s">
        <v>12</v>
      </c>
      <c r="I11937" t="s">
        <v>230</v>
      </c>
    </row>
    <row r="11938" spans="1:9" hidden="1" x14ac:dyDescent="0.25">
      <c r="A11938" t="s">
        <v>9816</v>
      </c>
      <c r="B11938" t="s">
        <v>98</v>
      </c>
      <c r="C11938" s="2">
        <f>HYPERLINK("https://cao.dolgi.msk.ru/account/1080065051/", 1080065051)</f>
        <v>1080065051</v>
      </c>
      <c r="D11938" t="s">
        <v>9853</v>
      </c>
      <c r="E11938">
        <v>-4973.92</v>
      </c>
      <c r="F11938">
        <v>-0.82</v>
      </c>
      <c r="G11938" t="s">
        <v>12</v>
      </c>
      <c r="I11938" t="s">
        <v>230</v>
      </c>
    </row>
    <row r="11939" spans="1:9" hidden="1" x14ac:dyDescent="0.25">
      <c r="A11939" t="s">
        <v>9816</v>
      </c>
      <c r="B11939" t="s">
        <v>100</v>
      </c>
      <c r="C11939" s="2">
        <f>HYPERLINK("https://cao.dolgi.msk.ru/account/1080065078/", 1080065078)</f>
        <v>1080065078</v>
      </c>
      <c r="D11939" t="s">
        <v>9854</v>
      </c>
      <c r="E11939">
        <v>-6619.08</v>
      </c>
      <c r="F11939">
        <v>-1.45</v>
      </c>
      <c r="G11939" t="s">
        <v>12</v>
      </c>
      <c r="I11939" t="s">
        <v>230</v>
      </c>
    </row>
    <row r="11940" spans="1:9" hidden="1" x14ac:dyDescent="0.25">
      <c r="A11940" t="s">
        <v>9816</v>
      </c>
      <c r="B11940" t="s">
        <v>102</v>
      </c>
      <c r="C11940" s="2">
        <f>HYPERLINK("https://cao.dolgi.msk.ru/account/1080065086/", 1080065086)</f>
        <v>1080065086</v>
      </c>
      <c r="D11940" t="s">
        <v>9855</v>
      </c>
      <c r="E11940">
        <v>100.02</v>
      </c>
      <c r="F11940">
        <v>0.01</v>
      </c>
      <c r="G11940" t="s">
        <v>12</v>
      </c>
      <c r="I11940" t="s">
        <v>230</v>
      </c>
    </row>
    <row r="11941" spans="1:9" hidden="1" x14ac:dyDescent="0.25">
      <c r="A11941" t="s">
        <v>9816</v>
      </c>
      <c r="B11941" t="s">
        <v>102</v>
      </c>
      <c r="C11941" s="2">
        <f>HYPERLINK("https://cao.dolgi.msk.ru/account/1080065094/", 1080065094)</f>
        <v>1080065094</v>
      </c>
      <c r="D11941" t="s">
        <v>15</v>
      </c>
      <c r="G11941" t="s">
        <v>14</v>
      </c>
      <c r="I11941" t="s">
        <v>230</v>
      </c>
    </row>
    <row r="11942" spans="1:9" x14ac:dyDescent="0.25">
      <c r="A11942" t="s">
        <v>9816</v>
      </c>
      <c r="B11942" t="s">
        <v>104</v>
      </c>
      <c r="C11942" s="2">
        <f>HYPERLINK("https://cao.dolgi.msk.ru/account/1080065107/", 1080065107)</f>
        <v>1080065107</v>
      </c>
      <c r="D11942" t="s">
        <v>9856</v>
      </c>
      <c r="E11942">
        <v>12081.79</v>
      </c>
      <c r="F11942">
        <v>1.67</v>
      </c>
      <c r="G11942" t="s">
        <v>12</v>
      </c>
      <c r="I11942" t="s">
        <v>230</v>
      </c>
    </row>
    <row r="11943" spans="1:9" hidden="1" x14ac:dyDescent="0.25">
      <c r="A11943" t="s">
        <v>9816</v>
      </c>
      <c r="B11943" t="s">
        <v>106</v>
      </c>
      <c r="C11943" s="2">
        <f>HYPERLINK("https://cao.dolgi.msk.ru/account/1080065115/", 1080065115)</f>
        <v>1080065115</v>
      </c>
      <c r="D11943" t="s">
        <v>9857</v>
      </c>
      <c r="E11943">
        <v>0</v>
      </c>
      <c r="F11943">
        <v>0</v>
      </c>
      <c r="G11943" t="s">
        <v>12</v>
      </c>
      <c r="I11943" t="s">
        <v>230</v>
      </c>
    </row>
    <row r="11944" spans="1:9" hidden="1" x14ac:dyDescent="0.25">
      <c r="A11944" t="s">
        <v>9816</v>
      </c>
      <c r="B11944" t="s">
        <v>108</v>
      </c>
      <c r="C11944" s="2">
        <f>HYPERLINK("https://cao.dolgi.msk.ru/account/1080065123/", 1080065123)</f>
        <v>1080065123</v>
      </c>
      <c r="D11944" t="s">
        <v>9858</v>
      </c>
      <c r="E11944">
        <v>-5127.67</v>
      </c>
      <c r="F11944">
        <v>-1.21</v>
      </c>
      <c r="G11944" t="s">
        <v>12</v>
      </c>
      <c r="I11944" t="s">
        <v>230</v>
      </c>
    </row>
    <row r="11945" spans="1:9" hidden="1" x14ac:dyDescent="0.25">
      <c r="A11945" t="s">
        <v>9816</v>
      </c>
      <c r="B11945" t="s">
        <v>110</v>
      </c>
      <c r="C11945" s="2">
        <f>HYPERLINK("https://cao.dolgi.msk.ru/account/1080065131/", 1080065131)</f>
        <v>1080065131</v>
      </c>
      <c r="D11945" t="s">
        <v>9859</v>
      </c>
      <c r="E11945">
        <v>0</v>
      </c>
      <c r="F11945">
        <v>0</v>
      </c>
      <c r="G11945" t="s">
        <v>12</v>
      </c>
      <c r="I11945" t="s">
        <v>230</v>
      </c>
    </row>
    <row r="11946" spans="1:9" hidden="1" x14ac:dyDescent="0.25">
      <c r="A11946" t="s">
        <v>9816</v>
      </c>
      <c r="B11946" t="s">
        <v>112</v>
      </c>
      <c r="C11946" s="2">
        <f>HYPERLINK("https://cao.dolgi.msk.ru/account/1080065158/", 1080065158)</f>
        <v>1080065158</v>
      </c>
      <c r="D11946" t="s">
        <v>9860</v>
      </c>
      <c r="E11946">
        <v>-6201.18</v>
      </c>
      <c r="F11946">
        <v>-1.22</v>
      </c>
      <c r="G11946" t="s">
        <v>12</v>
      </c>
      <c r="I11946" t="s">
        <v>230</v>
      </c>
    </row>
    <row r="11947" spans="1:9" hidden="1" x14ac:dyDescent="0.25">
      <c r="A11947" t="s">
        <v>9816</v>
      </c>
      <c r="B11947" t="s">
        <v>114</v>
      </c>
      <c r="C11947" s="2">
        <f>HYPERLINK("https://cao.dolgi.msk.ru/account/1080065166/", 1080065166)</f>
        <v>1080065166</v>
      </c>
      <c r="D11947" t="s">
        <v>9861</v>
      </c>
      <c r="E11947">
        <v>-1740.35</v>
      </c>
      <c r="F11947">
        <v>-1.19</v>
      </c>
      <c r="G11947" t="s">
        <v>12</v>
      </c>
      <c r="H11947" t="s">
        <v>7</v>
      </c>
      <c r="I11947" t="s">
        <v>230</v>
      </c>
    </row>
    <row r="11948" spans="1:9" hidden="1" x14ac:dyDescent="0.25">
      <c r="A11948" t="s">
        <v>9816</v>
      </c>
      <c r="B11948" t="s">
        <v>114</v>
      </c>
      <c r="C11948" s="2">
        <f>HYPERLINK("https://cao.dolgi.msk.ru/account/1080065174/", 1080065174)</f>
        <v>1080065174</v>
      </c>
      <c r="D11948" t="s">
        <v>9861</v>
      </c>
      <c r="E11948">
        <v>-1512.46</v>
      </c>
      <c r="F11948">
        <v>-1.3</v>
      </c>
      <c r="G11948" t="s">
        <v>12</v>
      </c>
      <c r="H11948" t="s">
        <v>7</v>
      </c>
      <c r="I11948" t="s">
        <v>230</v>
      </c>
    </row>
    <row r="11949" spans="1:9" hidden="1" x14ac:dyDescent="0.25">
      <c r="A11949" t="s">
        <v>9816</v>
      </c>
      <c r="B11949" t="s">
        <v>114</v>
      </c>
      <c r="C11949" s="2">
        <f>HYPERLINK("https://cao.dolgi.msk.ru/account/1080065289/", 1080065289)</f>
        <v>1080065289</v>
      </c>
      <c r="D11949" t="s">
        <v>9861</v>
      </c>
      <c r="E11949">
        <v>-416.77</v>
      </c>
      <c r="F11949">
        <v>-0.21</v>
      </c>
      <c r="G11949" t="s">
        <v>12</v>
      </c>
      <c r="H11949" t="s">
        <v>7</v>
      </c>
      <c r="I11949" t="s">
        <v>230</v>
      </c>
    </row>
    <row r="11950" spans="1:9" hidden="1" x14ac:dyDescent="0.25">
      <c r="A11950" t="s">
        <v>9816</v>
      </c>
      <c r="B11950" t="s">
        <v>116</v>
      </c>
      <c r="C11950" s="2">
        <f>HYPERLINK("https://cao.dolgi.msk.ru/account/1080065182/", 1080065182)</f>
        <v>1080065182</v>
      </c>
      <c r="D11950" t="s">
        <v>9862</v>
      </c>
      <c r="E11950">
        <v>-1094.1300000000001</v>
      </c>
      <c r="F11950">
        <v>-0.19</v>
      </c>
      <c r="G11950" t="s">
        <v>12</v>
      </c>
      <c r="I11950" t="s">
        <v>230</v>
      </c>
    </row>
    <row r="11951" spans="1:9" hidden="1" x14ac:dyDescent="0.25">
      <c r="A11951" t="s">
        <v>9816</v>
      </c>
      <c r="B11951" t="s">
        <v>118</v>
      </c>
      <c r="C11951" s="2">
        <f>HYPERLINK("https://cao.dolgi.msk.ru/account/1080065211/", 1080065211)</f>
        <v>1080065211</v>
      </c>
      <c r="D11951" t="s">
        <v>9863</v>
      </c>
      <c r="E11951">
        <v>-10310.08</v>
      </c>
      <c r="F11951">
        <v>-1.43</v>
      </c>
      <c r="G11951" t="s">
        <v>12</v>
      </c>
      <c r="I11951" t="s">
        <v>230</v>
      </c>
    </row>
    <row r="11952" spans="1:9" hidden="1" x14ac:dyDescent="0.25">
      <c r="A11952" t="s">
        <v>9816</v>
      </c>
      <c r="B11952" t="s">
        <v>120</v>
      </c>
      <c r="C11952" s="2">
        <f>HYPERLINK("https://cao.dolgi.msk.ru/account/1080065238/", 1080065238)</f>
        <v>1080065238</v>
      </c>
      <c r="D11952" t="s">
        <v>9864</v>
      </c>
      <c r="E11952">
        <v>-4220.88</v>
      </c>
      <c r="F11952">
        <v>-1.18</v>
      </c>
      <c r="G11952" t="s">
        <v>12</v>
      </c>
      <c r="I11952" t="s">
        <v>230</v>
      </c>
    </row>
    <row r="11953" spans="1:9" hidden="1" x14ac:dyDescent="0.25">
      <c r="A11953" t="s">
        <v>9816</v>
      </c>
      <c r="B11953" t="s">
        <v>122</v>
      </c>
      <c r="C11953" s="2">
        <f>HYPERLINK("https://cao.dolgi.msk.ru/account/1080065246/", 1080065246)</f>
        <v>1080065246</v>
      </c>
      <c r="D11953" t="s">
        <v>9865</v>
      </c>
      <c r="E11953">
        <v>-7567.19</v>
      </c>
      <c r="F11953">
        <v>-1.37</v>
      </c>
      <c r="G11953" t="s">
        <v>12</v>
      </c>
      <c r="I11953" t="s">
        <v>230</v>
      </c>
    </row>
    <row r="11954" spans="1:9" hidden="1" x14ac:dyDescent="0.25">
      <c r="A11954" t="s">
        <v>9816</v>
      </c>
      <c r="B11954" t="s">
        <v>124</v>
      </c>
      <c r="C11954" s="2">
        <f>HYPERLINK("https://cao.dolgi.msk.ru/account/1080065254/", 1080065254)</f>
        <v>1080065254</v>
      </c>
      <c r="D11954" t="s">
        <v>9866</v>
      </c>
      <c r="E11954">
        <v>-5837.24</v>
      </c>
      <c r="F11954">
        <v>-1.25</v>
      </c>
      <c r="G11954" t="s">
        <v>12</v>
      </c>
      <c r="I11954" t="s">
        <v>230</v>
      </c>
    </row>
    <row r="11955" spans="1:9" hidden="1" x14ac:dyDescent="0.25">
      <c r="A11955" t="s">
        <v>9867</v>
      </c>
      <c r="B11955" t="s">
        <v>10</v>
      </c>
      <c r="C11955" s="2">
        <f>HYPERLINK("https://cao.dolgi.msk.ru/account/1083305647/", 1083305647)</f>
        <v>1083305647</v>
      </c>
      <c r="E11955">
        <v>0</v>
      </c>
      <c r="G11955" t="s">
        <v>14</v>
      </c>
    </row>
    <row r="11956" spans="1:9" hidden="1" x14ac:dyDescent="0.25">
      <c r="A11956" t="s">
        <v>9867</v>
      </c>
      <c r="B11956" t="s">
        <v>16</v>
      </c>
      <c r="C11956" s="2">
        <f>HYPERLINK("https://cao.dolgi.msk.ru/account/1083305655/", 1083305655)</f>
        <v>1083305655</v>
      </c>
      <c r="E11956">
        <v>0</v>
      </c>
      <c r="G11956" t="s">
        <v>14</v>
      </c>
    </row>
    <row r="11957" spans="1:9" hidden="1" x14ac:dyDescent="0.25">
      <c r="A11957" t="s">
        <v>9867</v>
      </c>
      <c r="B11957" t="s">
        <v>18</v>
      </c>
      <c r="C11957" s="2">
        <f>HYPERLINK("https://cao.dolgi.msk.ru/account/1083305671/", 1083305671)</f>
        <v>1083305671</v>
      </c>
      <c r="E11957">
        <v>0</v>
      </c>
      <c r="G11957" t="s">
        <v>14</v>
      </c>
    </row>
    <row r="11958" spans="1:9" hidden="1" x14ac:dyDescent="0.25">
      <c r="A11958" t="s">
        <v>9867</v>
      </c>
      <c r="B11958" t="s">
        <v>20</v>
      </c>
      <c r="C11958" s="2">
        <f>HYPERLINK("https://cao.dolgi.msk.ru/account/1083305698/", 1083305698)</f>
        <v>1083305698</v>
      </c>
      <c r="E11958">
        <v>0</v>
      </c>
      <c r="G11958" t="s">
        <v>14</v>
      </c>
    </row>
    <row r="11959" spans="1:9" hidden="1" x14ac:dyDescent="0.25">
      <c r="A11959" t="s">
        <v>9867</v>
      </c>
      <c r="B11959" t="s">
        <v>21</v>
      </c>
      <c r="C11959" s="2">
        <f>HYPERLINK("https://cao.dolgi.msk.ru/account/1083305719/", 1083305719)</f>
        <v>1083305719</v>
      </c>
      <c r="E11959">
        <v>0</v>
      </c>
      <c r="G11959" t="s">
        <v>14</v>
      </c>
    </row>
    <row r="11960" spans="1:9" hidden="1" x14ac:dyDescent="0.25">
      <c r="A11960" t="s">
        <v>9867</v>
      </c>
      <c r="B11960" t="s">
        <v>22</v>
      </c>
      <c r="C11960" s="2">
        <f>HYPERLINK("https://cao.dolgi.msk.ru/account/1083305735/", 1083305735)</f>
        <v>1083305735</v>
      </c>
      <c r="E11960">
        <v>0</v>
      </c>
      <c r="G11960" t="s">
        <v>14</v>
      </c>
    </row>
    <row r="11961" spans="1:9" hidden="1" x14ac:dyDescent="0.25">
      <c r="A11961" t="s">
        <v>9867</v>
      </c>
      <c r="B11961" t="s">
        <v>23</v>
      </c>
      <c r="C11961" s="2">
        <f>HYPERLINK("https://cao.dolgi.msk.ru/account/1083305743/", 1083305743)</f>
        <v>1083305743</v>
      </c>
      <c r="E11961">
        <v>0</v>
      </c>
      <c r="G11961" t="s">
        <v>14</v>
      </c>
    </row>
    <row r="11962" spans="1:9" hidden="1" x14ac:dyDescent="0.25">
      <c r="A11962" t="s">
        <v>9867</v>
      </c>
      <c r="B11962" t="s">
        <v>24</v>
      </c>
      <c r="C11962" s="2">
        <f>HYPERLINK("https://cao.dolgi.msk.ru/account/1083306033/", 1083306033)</f>
        <v>1083306033</v>
      </c>
      <c r="E11962">
        <v>0</v>
      </c>
      <c r="G11962" t="s">
        <v>14</v>
      </c>
    </row>
    <row r="11963" spans="1:9" hidden="1" x14ac:dyDescent="0.25">
      <c r="A11963" t="s">
        <v>9867</v>
      </c>
      <c r="B11963" t="s">
        <v>27</v>
      </c>
      <c r="C11963" s="2">
        <f>HYPERLINK("https://cao.dolgi.msk.ru/account/1083306076/", 1083306076)</f>
        <v>1083306076</v>
      </c>
      <c r="E11963">
        <v>0</v>
      </c>
      <c r="G11963" t="s">
        <v>14</v>
      </c>
    </row>
    <row r="11964" spans="1:9" hidden="1" x14ac:dyDescent="0.25">
      <c r="A11964" t="s">
        <v>9867</v>
      </c>
      <c r="B11964" t="s">
        <v>29</v>
      </c>
      <c r="C11964" s="2">
        <f>HYPERLINK("https://cao.dolgi.msk.ru/account/1083306105/", 1083306105)</f>
        <v>1083306105</v>
      </c>
      <c r="E11964">
        <v>0</v>
      </c>
      <c r="G11964" t="s">
        <v>14</v>
      </c>
    </row>
    <row r="11965" spans="1:9" hidden="1" x14ac:dyDescent="0.25">
      <c r="A11965" t="s">
        <v>9867</v>
      </c>
      <c r="B11965" t="s">
        <v>31</v>
      </c>
      <c r="C11965" s="2">
        <f>HYPERLINK("https://cao.dolgi.msk.ru/account/1083306121/", 1083306121)</f>
        <v>1083306121</v>
      </c>
      <c r="E11965">
        <v>0</v>
      </c>
      <c r="G11965" t="s">
        <v>14</v>
      </c>
    </row>
    <row r="11966" spans="1:9" hidden="1" x14ac:dyDescent="0.25">
      <c r="A11966" t="s">
        <v>9867</v>
      </c>
      <c r="B11966" t="s">
        <v>33</v>
      </c>
      <c r="C11966" s="2">
        <f>HYPERLINK("https://cao.dolgi.msk.ru/account/1083306156/", 1083306156)</f>
        <v>1083306156</v>
      </c>
      <c r="E11966">
        <v>0</v>
      </c>
      <c r="G11966" t="s">
        <v>14</v>
      </c>
    </row>
    <row r="11967" spans="1:9" hidden="1" x14ac:dyDescent="0.25">
      <c r="A11967" t="s">
        <v>9867</v>
      </c>
      <c r="B11967" t="s">
        <v>34</v>
      </c>
      <c r="C11967" s="2">
        <f>HYPERLINK("https://cao.dolgi.msk.ru/account/1083306172/", 1083306172)</f>
        <v>1083306172</v>
      </c>
      <c r="E11967">
        <v>0</v>
      </c>
      <c r="G11967" t="s">
        <v>14</v>
      </c>
    </row>
    <row r="11968" spans="1:9" hidden="1" x14ac:dyDescent="0.25">
      <c r="A11968" t="s">
        <v>9867</v>
      </c>
      <c r="B11968" t="s">
        <v>36</v>
      </c>
      <c r="C11968" s="2">
        <f>HYPERLINK("https://cao.dolgi.msk.ru/account/1083306201/", 1083306201)</f>
        <v>1083306201</v>
      </c>
      <c r="E11968">
        <v>0</v>
      </c>
      <c r="G11968" t="s">
        <v>14</v>
      </c>
    </row>
    <row r="11969" spans="1:9" hidden="1" x14ac:dyDescent="0.25">
      <c r="A11969" t="s">
        <v>9867</v>
      </c>
      <c r="B11969" t="s">
        <v>38</v>
      </c>
      <c r="C11969" s="2">
        <f>HYPERLINK("https://cao.dolgi.msk.ru/account/1083306236/", 1083306236)</f>
        <v>1083306236</v>
      </c>
      <c r="E11969">
        <v>0</v>
      </c>
      <c r="G11969" t="s">
        <v>14</v>
      </c>
    </row>
    <row r="11970" spans="1:9" hidden="1" x14ac:dyDescent="0.25">
      <c r="A11970" t="s">
        <v>9867</v>
      </c>
      <c r="B11970" t="s">
        <v>39</v>
      </c>
      <c r="C11970" s="2">
        <f>HYPERLINK("https://cao.dolgi.msk.ru/account/1083306252/", 1083306252)</f>
        <v>1083306252</v>
      </c>
      <c r="E11970">
        <v>0</v>
      </c>
      <c r="G11970" t="s">
        <v>14</v>
      </c>
    </row>
    <row r="11971" spans="1:9" hidden="1" x14ac:dyDescent="0.25">
      <c r="A11971" t="s">
        <v>9867</v>
      </c>
      <c r="B11971" t="s">
        <v>40</v>
      </c>
      <c r="C11971" s="2">
        <f>HYPERLINK("https://cao.dolgi.msk.ru/account/1083306287/", 1083306287)</f>
        <v>1083306287</v>
      </c>
      <c r="E11971">
        <v>0</v>
      </c>
      <c r="G11971" t="s">
        <v>14</v>
      </c>
    </row>
    <row r="11972" spans="1:9" hidden="1" x14ac:dyDescent="0.25">
      <c r="A11972" t="s">
        <v>9867</v>
      </c>
      <c r="B11972" t="s">
        <v>41</v>
      </c>
      <c r="C11972" s="2">
        <f>HYPERLINK("https://cao.dolgi.msk.ru/account/1083306308/", 1083306308)</f>
        <v>1083306308</v>
      </c>
      <c r="E11972">
        <v>0</v>
      </c>
      <c r="G11972" t="s">
        <v>14</v>
      </c>
    </row>
    <row r="11973" spans="1:9" hidden="1" x14ac:dyDescent="0.25">
      <c r="A11973" t="s">
        <v>9867</v>
      </c>
      <c r="B11973" t="s">
        <v>42</v>
      </c>
      <c r="C11973" s="2">
        <f>HYPERLINK("https://cao.dolgi.msk.ru/account/1083306324/", 1083306324)</f>
        <v>1083306324</v>
      </c>
      <c r="E11973">
        <v>0</v>
      </c>
      <c r="G11973" t="s">
        <v>14</v>
      </c>
    </row>
    <row r="11974" spans="1:9" hidden="1" x14ac:dyDescent="0.25">
      <c r="A11974" t="s">
        <v>9867</v>
      </c>
      <c r="B11974" t="s">
        <v>44</v>
      </c>
      <c r="C11974" s="2">
        <f>HYPERLINK("https://cao.dolgi.msk.ru/account/1083306359/", 1083306359)</f>
        <v>1083306359</v>
      </c>
      <c r="E11974">
        <v>0</v>
      </c>
      <c r="G11974" t="s">
        <v>14</v>
      </c>
    </row>
    <row r="11975" spans="1:9" hidden="1" x14ac:dyDescent="0.25">
      <c r="A11975" t="s">
        <v>9867</v>
      </c>
      <c r="B11975" t="s">
        <v>66</v>
      </c>
      <c r="C11975" s="2">
        <f>HYPERLINK("https://cao.dolgi.msk.ru/account/1083306367/", 1083306367)</f>
        <v>1083306367</v>
      </c>
      <c r="E11975">
        <v>0</v>
      </c>
      <c r="G11975" t="s">
        <v>14</v>
      </c>
    </row>
    <row r="11976" spans="1:9" hidden="1" x14ac:dyDescent="0.25">
      <c r="A11976" t="s">
        <v>9867</v>
      </c>
      <c r="B11976" t="s">
        <v>68</v>
      </c>
      <c r="C11976" s="2">
        <f>HYPERLINK("https://cao.dolgi.msk.ru/account/1083306375/", 1083306375)</f>
        <v>1083306375</v>
      </c>
      <c r="E11976">
        <v>0</v>
      </c>
      <c r="G11976" t="s">
        <v>14</v>
      </c>
    </row>
    <row r="11977" spans="1:9" hidden="1" x14ac:dyDescent="0.25">
      <c r="A11977" t="s">
        <v>9868</v>
      </c>
      <c r="B11977" t="s">
        <v>18</v>
      </c>
      <c r="C11977" s="2">
        <f>HYPERLINK("https://cao.dolgi.msk.ru/account/1080017375/", 1080017375)</f>
        <v>1080017375</v>
      </c>
      <c r="D11977" t="s">
        <v>9869</v>
      </c>
      <c r="E11977">
        <v>-88.11</v>
      </c>
      <c r="G11977" t="s">
        <v>14</v>
      </c>
      <c r="I11977" t="s">
        <v>13</v>
      </c>
    </row>
    <row r="11978" spans="1:9" hidden="1" x14ac:dyDescent="0.25">
      <c r="A11978" t="s">
        <v>9868</v>
      </c>
      <c r="B11978" t="s">
        <v>18</v>
      </c>
      <c r="C11978" s="2">
        <f>HYPERLINK("https://cao.dolgi.msk.ru/account/1083387339/", 1083387339)</f>
        <v>1083387339</v>
      </c>
      <c r="D11978" t="s">
        <v>9869</v>
      </c>
      <c r="E11978">
        <v>-18298.93</v>
      </c>
      <c r="F11978">
        <v>-1.24</v>
      </c>
      <c r="G11978" t="s">
        <v>12</v>
      </c>
      <c r="I11978" t="s">
        <v>13</v>
      </c>
    </row>
    <row r="11979" spans="1:9" hidden="1" x14ac:dyDescent="0.25">
      <c r="A11979" t="s">
        <v>9868</v>
      </c>
      <c r="B11979" t="s">
        <v>20</v>
      </c>
      <c r="C11979" s="2">
        <f>HYPERLINK("https://cao.dolgi.msk.ru/account/1080017383/", 1080017383)</f>
        <v>1080017383</v>
      </c>
      <c r="D11979" t="s">
        <v>9870</v>
      </c>
      <c r="E11979">
        <v>554.86</v>
      </c>
      <c r="G11979" t="s">
        <v>14</v>
      </c>
      <c r="I11979" t="s">
        <v>13</v>
      </c>
    </row>
    <row r="11980" spans="1:9" hidden="1" x14ac:dyDescent="0.25">
      <c r="A11980" t="s">
        <v>9868</v>
      </c>
      <c r="B11980" t="s">
        <v>20</v>
      </c>
      <c r="C11980" s="2">
        <f>HYPERLINK("https://cao.dolgi.msk.ru/account/1083387427/", 1083387427)</f>
        <v>1083387427</v>
      </c>
      <c r="D11980" t="s">
        <v>9870</v>
      </c>
      <c r="E11980">
        <v>-18526.919999999998</v>
      </c>
      <c r="F11980">
        <v>-1.17</v>
      </c>
      <c r="G11980" t="s">
        <v>12</v>
      </c>
      <c r="I11980" t="s">
        <v>13</v>
      </c>
    </row>
    <row r="11981" spans="1:9" hidden="1" x14ac:dyDescent="0.25">
      <c r="A11981" t="s">
        <v>9868</v>
      </c>
      <c r="B11981" t="s">
        <v>21</v>
      </c>
      <c r="C11981" s="2">
        <f>HYPERLINK("https://cao.dolgi.msk.ru/account/1080017391/", 1080017391)</f>
        <v>1080017391</v>
      </c>
      <c r="D11981" t="s">
        <v>9871</v>
      </c>
      <c r="E11981">
        <v>-22.42</v>
      </c>
      <c r="G11981" t="s">
        <v>14</v>
      </c>
      <c r="I11981" t="s">
        <v>13</v>
      </c>
    </row>
    <row r="11982" spans="1:9" hidden="1" x14ac:dyDescent="0.25">
      <c r="A11982" t="s">
        <v>9868</v>
      </c>
      <c r="B11982" t="s">
        <v>21</v>
      </c>
      <c r="C11982" s="2">
        <f>HYPERLINK("https://cao.dolgi.msk.ru/account/1083387435/", 1083387435)</f>
        <v>1083387435</v>
      </c>
      <c r="D11982" t="s">
        <v>9871</v>
      </c>
      <c r="E11982">
        <v>0</v>
      </c>
      <c r="F11982">
        <v>0</v>
      </c>
      <c r="G11982" t="s">
        <v>12</v>
      </c>
      <c r="I11982" t="s">
        <v>13</v>
      </c>
    </row>
    <row r="11983" spans="1:9" hidden="1" x14ac:dyDescent="0.25">
      <c r="A11983" t="s">
        <v>9868</v>
      </c>
      <c r="B11983" t="s">
        <v>22</v>
      </c>
      <c r="C11983" s="2">
        <f>HYPERLINK("https://cao.dolgi.msk.ru/account/1080017404/", 1080017404)</f>
        <v>1080017404</v>
      </c>
      <c r="D11983" t="s">
        <v>9872</v>
      </c>
      <c r="E11983">
        <v>0</v>
      </c>
      <c r="G11983" t="s">
        <v>14</v>
      </c>
      <c r="I11983" t="s">
        <v>13</v>
      </c>
    </row>
    <row r="11984" spans="1:9" hidden="1" x14ac:dyDescent="0.25">
      <c r="A11984" t="s">
        <v>9868</v>
      </c>
      <c r="B11984" t="s">
        <v>22</v>
      </c>
      <c r="C11984" s="2">
        <f>HYPERLINK("https://cao.dolgi.msk.ru/account/1083387267/", 1083387267)</f>
        <v>1083387267</v>
      </c>
      <c r="D11984" t="s">
        <v>9872</v>
      </c>
      <c r="E11984">
        <v>0</v>
      </c>
      <c r="F11984">
        <v>0</v>
      </c>
      <c r="G11984" t="s">
        <v>12</v>
      </c>
      <c r="I11984" t="s">
        <v>13</v>
      </c>
    </row>
    <row r="11985" spans="1:9" hidden="1" x14ac:dyDescent="0.25">
      <c r="A11985" t="s">
        <v>9868</v>
      </c>
      <c r="B11985" t="s">
        <v>22</v>
      </c>
      <c r="C11985" s="2">
        <f>HYPERLINK("https://cao.dolgi.msk.ru/account/1083387398/", 1083387398)</f>
        <v>1083387398</v>
      </c>
      <c r="D11985" t="s">
        <v>9872</v>
      </c>
      <c r="E11985">
        <v>0</v>
      </c>
      <c r="F11985">
        <v>0</v>
      </c>
      <c r="G11985" t="s">
        <v>12</v>
      </c>
      <c r="I11985" t="s">
        <v>13</v>
      </c>
    </row>
    <row r="11986" spans="1:9" hidden="1" x14ac:dyDescent="0.25">
      <c r="A11986" t="s">
        <v>9868</v>
      </c>
      <c r="B11986" t="s">
        <v>22</v>
      </c>
      <c r="C11986" s="2">
        <f>HYPERLINK("https://cao.dolgi.msk.ru/account/1089118682/", 1089118682)</f>
        <v>1089118682</v>
      </c>
      <c r="D11986" t="s">
        <v>9872</v>
      </c>
      <c r="E11986">
        <v>-2328.56</v>
      </c>
      <c r="G11986" t="s">
        <v>14</v>
      </c>
      <c r="I11986" t="s">
        <v>13</v>
      </c>
    </row>
    <row r="11987" spans="1:9" hidden="1" x14ac:dyDescent="0.25">
      <c r="A11987" t="s">
        <v>9868</v>
      </c>
      <c r="B11987" t="s">
        <v>23</v>
      </c>
      <c r="C11987" s="2">
        <f>HYPERLINK("https://cao.dolgi.msk.ru/account/1080017412/", 1080017412)</f>
        <v>1080017412</v>
      </c>
      <c r="D11987" t="s">
        <v>9873</v>
      </c>
      <c r="E11987">
        <v>52.98</v>
      </c>
      <c r="G11987" t="s">
        <v>14</v>
      </c>
      <c r="H11987" t="s">
        <v>7</v>
      </c>
      <c r="I11987" t="s">
        <v>13</v>
      </c>
    </row>
    <row r="11988" spans="1:9" hidden="1" x14ac:dyDescent="0.25">
      <c r="A11988" t="s">
        <v>9868</v>
      </c>
      <c r="B11988" t="s">
        <v>23</v>
      </c>
      <c r="C11988" s="2">
        <f>HYPERLINK("https://cao.dolgi.msk.ru/account/1080017439/", 1080017439)</f>
        <v>1080017439</v>
      </c>
      <c r="D11988" t="s">
        <v>9873</v>
      </c>
      <c r="E11988">
        <v>27.55</v>
      </c>
      <c r="G11988" t="s">
        <v>14</v>
      </c>
      <c r="H11988" t="s">
        <v>7</v>
      </c>
      <c r="I11988" t="s">
        <v>13</v>
      </c>
    </row>
    <row r="11989" spans="1:9" hidden="1" x14ac:dyDescent="0.25">
      <c r="A11989" t="s">
        <v>9868</v>
      </c>
      <c r="B11989" t="s">
        <v>23</v>
      </c>
      <c r="C11989" s="2">
        <f>HYPERLINK("https://cao.dolgi.msk.ru/account/1080017455/", 1080017455)</f>
        <v>1080017455</v>
      </c>
      <c r="D11989" t="s">
        <v>9873</v>
      </c>
      <c r="E11989">
        <v>2793.89</v>
      </c>
      <c r="G11989" t="s">
        <v>14</v>
      </c>
      <c r="H11989" t="s">
        <v>7</v>
      </c>
      <c r="I11989" t="s">
        <v>13</v>
      </c>
    </row>
    <row r="11990" spans="1:9" hidden="1" x14ac:dyDescent="0.25">
      <c r="A11990" t="s">
        <v>9868</v>
      </c>
      <c r="B11990" t="s">
        <v>23</v>
      </c>
      <c r="C11990" s="2">
        <f>HYPERLINK("https://cao.dolgi.msk.ru/account/1083387304/", 1083387304)</f>
        <v>1083387304</v>
      </c>
      <c r="D11990" t="s">
        <v>9873</v>
      </c>
      <c r="E11990">
        <v>-4117.26</v>
      </c>
      <c r="F11990">
        <v>-1.17</v>
      </c>
      <c r="G11990" t="s">
        <v>12</v>
      </c>
      <c r="H11990" t="s">
        <v>7</v>
      </c>
      <c r="I11990" t="s">
        <v>13</v>
      </c>
    </row>
    <row r="11991" spans="1:9" hidden="1" x14ac:dyDescent="0.25">
      <c r="A11991" t="s">
        <v>9868</v>
      </c>
      <c r="B11991" t="s">
        <v>23</v>
      </c>
      <c r="C11991" s="2">
        <f>HYPERLINK("https://cao.dolgi.msk.ru/account/1083387347/", 1083387347)</f>
        <v>1083387347</v>
      </c>
      <c r="D11991" t="s">
        <v>9873</v>
      </c>
      <c r="E11991">
        <v>0</v>
      </c>
      <c r="F11991">
        <v>0</v>
      </c>
      <c r="G11991" t="s">
        <v>12</v>
      </c>
      <c r="H11991" t="s">
        <v>7</v>
      </c>
      <c r="I11991" t="s">
        <v>13</v>
      </c>
    </row>
    <row r="11992" spans="1:9" hidden="1" x14ac:dyDescent="0.25">
      <c r="A11992" t="s">
        <v>9868</v>
      </c>
      <c r="B11992" t="s">
        <v>23</v>
      </c>
      <c r="C11992" s="2">
        <f>HYPERLINK("https://cao.dolgi.msk.ru/account/1083387443/", 1083387443)</f>
        <v>1083387443</v>
      </c>
      <c r="D11992" t="s">
        <v>9873</v>
      </c>
      <c r="E11992">
        <v>-4324.75</v>
      </c>
      <c r="F11992">
        <v>-1.1200000000000001</v>
      </c>
      <c r="G11992" t="s">
        <v>12</v>
      </c>
      <c r="H11992" t="s">
        <v>7</v>
      </c>
      <c r="I11992" t="s">
        <v>13</v>
      </c>
    </row>
    <row r="11993" spans="1:9" hidden="1" x14ac:dyDescent="0.25">
      <c r="A11993" t="s">
        <v>9868</v>
      </c>
      <c r="B11993" t="s">
        <v>24</v>
      </c>
      <c r="C11993" s="2">
        <f>HYPERLINK("https://cao.dolgi.msk.ru/account/1080017463/", 1080017463)</f>
        <v>1080017463</v>
      </c>
      <c r="D11993" t="s">
        <v>9874</v>
      </c>
      <c r="E11993">
        <v>49.23</v>
      </c>
      <c r="G11993" t="s">
        <v>14</v>
      </c>
      <c r="I11993" t="s">
        <v>13</v>
      </c>
    </row>
    <row r="11994" spans="1:9" hidden="1" x14ac:dyDescent="0.25">
      <c r="A11994" t="s">
        <v>9868</v>
      </c>
      <c r="B11994" t="s">
        <v>24</v>
      </c>
      <c r="C11994" s="2">
        <f>HYPERLINK("https://cao.dolgi.msk.ru/account/1083387363/", 1083387363)</f>
        <v>1083387363</v>
      </c>
      <c r="D11994" t="s">
        <v>9874</v>
      </c>
      <c r="E11994">
        <v>-11128.4</v>
      </c>
      <c r="F11994">
        <v>-0.71</v>
      </c>
      <c r="G11994" t="s">
        <v>12</v>
      </c>
      <c r="I11994" t="s">
        <v>13</v>
      </c>
    </row>
    <row r="11995" spans="1:9" hidden="1" x14ac:dyDescent="0.25">
      <c r="A11995" t="s">
        <v>9868</v>
      </c>
      <c r="B11995" t="s">
        <v>27</v>
      </c>
      <c r="C11995" s="2">
        <f>HYPERLINK("https://cao.dolgi.msk.ru/account/1080017471/", 1080017471)</f>
        <v>1080017471</v>
      </c>
      <c r="D11995" t="s">
        <v>736</v>
      </c>
      <c r="E11995">
        <v>-9965.2800000000007</v>
      </c>
      <c r="G11995" t="s">
        <v>14</v>
      </c>
      <c r="I11995" t="s">
        <v>13</v>
      </c>
    </row>
    <row r="11996" spans="1:9" hidden="1" x14ac:dyDescent="0.25">
      <c r="A11996" t="s">
        <v>9868</v>
      </c>
      <c r="B11996" t="s">
        <v>27</v>
      </c>
      <c r="C11996" s="2">
        <f>HYPERLINK("https://cao.dolgi.msk.ru/account/1083387312/", 1083387312)</f>
        <v>1083387312</v>
      </c>
      <c r="D11996" t="s">
        <v>736</v>
      </c>
      <c r="E11996">
        <v>-15758.33</v>
      </c>
      <c r="F11996">
        <v>-1.1399999999999999</v>
      </c>
      <c r="G11996" t="s">
        <v>12</v>
      </c>
      <c r="I11996" t="s">
        <v>13</v>
      </c>
    </row>
    <row r="11997" spans="1:9" hidden="1" x14ac:dyDescent="0.25">
      <c r="A11997" t="s">
        <v>9868</v>
      </c>
      <c r="B11997" t="s">
        <v>29</v>
      </c>
      <c r="C11997" s="2">
        <f>HYPERLINK("https://cao.dolgi.msk.ru/account/1080017498/", 1080017498)</f>
        <v>1080017498</v>
      </c>
      <c r="D11997" t="s">
        <v>9875</v>
      </c>
      <c r="E11997">
        <v>11586.97</v>
      </c>
      <c r="G11997" t="s">
        <v>14</v>
      </c>
      <c r="H11997" t="s">
        <v>7</v>
      </c>
      <c r="I11997" t="s">
        <v>13</v>
      </c>
    </row>
    <row r="11998" spans="1:9" hidden="1" x14ac:dyDescent="0.25">
      <c r="A11998" t="s">
        <v>9868</v>
      </c>
      <c r="B11998" t="s">
        <v>29</v>
      </c>
      <c r="C11998" s="2">
        <f>HYPERLINK("https://cao.dolgi.msk.ru/account/1080017519/", 1080017519)</f>
        <v>1080017519</v>
      </c>
      <c r="D11998" t="s">
        <v>9876</v>
      </c>
      <c r="E11998">
        <v>-37.479999999999997</v>
      </c>
      <c r="G11998" t="s">
        <v>14</v>
      </c>
      <c r="H11998" t="s">
        <v>7</v>
      </c>
      <c r="I11998" t="s">
        <v>13</v>
      </c>
    </row>
    <row r="11999" spans="1:9" hidden="1" x14ac:dyDescent="0.25">
      <c r="A11999" t="s">
        <v>9868</v>
      </c>
      <c r="B11999" t="s">
        <v>29</v>
      </c>
      <c r="C11999" s="2">
        <f>HYPERLINK("https://cao.dolgi.msk.ru/account/1080017527/", 1080017527)</f>
        <v>1080017527</v>
      </c>
      <c r="D11999" t="s">
        <v>9875</v>
      </c>
      <c r="E11999">
        <v>-65.489999999999995</v>
      </c>
      <c r="G11999" t="s">
        <v>14</v>
      </c>
      <c r="H11999" t="s">
        <v>7</v>
      </c>
      <c r="I11999" t="s">
        <v>13</v>
      </c>
    </row>
    <row r="12000" spans="1:9" hidden="1" x14ac:dyDescent="0.25">
      <c r="A12000" t="s">
        <v>9868</v>
      </c>
      <c r="B12000" t="s">
        <v>29</v>
      </c>
      <c r="C12000" s="2">
        <f>HYPERLINK("https://cao.dolgi.msk.ru/account/1083387275/", 1083387275)</f>
        <v>1083387275</v>
      </c>
      <c r="D12000" t="s">
        <v>9875</v>
      </c>
      <c r="E12000">
        <v>-5774.87</v>
      </c>
      <c r="F12000">
        <v>-1.0900000000000001</v>
      </c>
      <c r="G12000" t="s">
        <v>12</v>
      </c>
      <c r="H12000" t="s">
        <v>7</v>
      </c>
      <c r="I12000" t="s">
        <v>13</v>
      </c>
    </row>
    <row r="12001" spans="1:9" hidden="1" x14ac:dyDescent="0.25">
      <c r="A12001" t="s">
        <v>9868</v>
      </c>
      <c r="B12001" t="s">
        <v>29</v>
      </c>
      <c r="C12001" s="2">
        <f>HYPERLINK("https://cao.dolgi.msk.ru/account/1083387451/", 1083387451)</f>
        <v>1083387451</v>
      </c>
      <c r="D12001" t="s">
        <v>9875</v>
      </c>
      <c r="E12001">
        <v>0</v>
      </c>
      <c r="F12001">
        <v>0</v>
      </c>
      <c r="G12001" t="s">
        <v>12</v>
      </c>
      <c r="H12001" t="s">
        <v>7</v>
      </c>
      <c r="I12001" t="s">
        <v>13</v>
      </c>
    </row>
    <row r="12002" spans="1:9" hidden="1" x14ac:dyDescent="0.25">
      <c r="A12002" t="s">
        <v>9868</v>
      </c>
      <c r="B12002" t="s">
        <v>29</v>
      </c>
      <c r="C12002" s="2">
        <f>HYPERLINK("https://cao.dolgi.msk.ru/account/1083387478/", 1083387478)</f>
        <v>1083387478</v>
      </c>
      <c r="D12002" t="s">
        <v>9876</v>
      </c>
      <c r="E12002">
        <v>-2235.5300000000002</v>
      </c>
      <c r="F12002">
        <v>-1.03</v>
      </c>
      <c r="G12002" t="s">
        <v>12</v>
      </c>
      <c r="H12002" t="s">
        <v>7</v>
      </c>
      <c r="I12002" t="s">
        <v>13</v>
      </c>
    </row>
    <row r="12003" spans="1:9" hidden="1" x14ac:dyDescent="0.25">
      <c r="A12003" t="s">
        <v>9868</v>
      </c>
      <c r="B12003" t="s">
        <v>31</v>
      </c>
      <c r="C12003" s="2">
        <f>HYPERLINK("https://cao.dolgi.msk.ru/account/1080017535/", 1080017535)</f>
        <v>1080017535</v>
      </c>
      <c r="D12003" t="s">
        <v>9877</v>
      </c>
      <c r="E12003">
        <v>10.82</v>
      </c>
      <c r="G12003" t="s">
        <v>14</v>
      </c>
      <c r="I12003" t="s">
        <v>13</v>
      </c>
    </row>
    <row r="12004" spans="1:9" hidden="1" x14ac:dyDescent="0.25">
      <c r="A12004" t="s">
        <v>9868</v>
      </c>
      <c r="B12004" t="s">
        <v>31</v>
      </c>
      <c r="C12004" s="2">
        <f>HYPERLINK("https://cao.dolgi.msk.ru/account/1083387283/", 1083387283)</f>
        <v>1083387283</v>
      </c>
      <c r="D12004" t="s">
        <v>9877</v>
      </c>
      <c r="E12004">
        <v>-10257.42</v>
      </c>
      <c r="F12004">
        <v>-1.02</v>
      </c>
      <c r="G12004" t="s">
        <v>12</v>
      </c>
      <c r="I12004" t="s">
        <v>13</v>
      </c>
    </row>
    <row r="12005" spans="1:9" hidden="1" x14ac:dyDescent="0.25">
      <c r="A12005" t="s">
        <v>9868</v>
      </c>
      <c r="B12005" t="s">
        <v>33</v>
      </c>
      <c r="C12005" s="2">
        <f>HYPERLINK("https://cao.dolgi.msk.ru/account/1080017543/", 1080017543)</f>
        <v>1080017543</v>
      </c>
      <c r="D12005" t="s">
        <v>9878</v>
      </c>
      <c r="E12005">
        <v>1909.88</v>
      </c>
      <c r="G12005" t="s">
        <v>14</v>
      </c>
      <c r="I12005" t="s">
        <v>13</v>
      </c>
    </row>
    <row r="12006" spans="1:9" hidden="1" x14ac:dyDescent="0.25">
      <c r="A12006" t="s">
        <v>9868</v>
      </c>
      <c r="B12006" t="s">
        <v>33</v>
      </c>
      <c r="C12006" s="2">
        <f>HYPERLINK("https://cao.dolgi.msk.ru/account/1083387371/", 1083387371)</f>
        <v>1083387371</v>
      </c>
      <c r="D12006" t="s">
        <v>9878</v>
      </c>
      <c r="E12006">
        <v>-10614.05</v>
      </c>
      <c r="F12006">
        <v>-1.1599999999999999</v>
      </c>
      <c r="G12006" t="s">
        <v>12</v>
      </c>
      <c r="I12006" t="s">
        <v>13</v>
      </c>
    </row>
    <row r="12007" spans="1:9" hidden="1" x14ac:dyDescent="0.25">
      <c r="A12007" t="s">
        <v>9868</v>
      </c>
      <c r="B12007" t="s">
        <v>34</v>
      </c>
      <c r="C12007" s="2">
        <f>HYPERLINK("https://cao.dolgi.msk.ru/account/1080017551/", 1080017551)</f>
        <v>1080017551</v>
      </c>
      <c r="D12007" t="s">
        <v>1082</v>
      </c>
      <c r="E12007">
        <v>-22.38</v>
      </c>
      <c r="F12007">
        <v>-9.77</v>
      </c>
      <c r="G12007" t="s">
        <v>14</v>
      </c>
      <c r="H12007" t="s">
        <v>7</v>
      </c>
      <c r="I12007" t="s">
        <v>13</v>
      </c>
    </row>
    <row r="12008" spans="1:9" hidden="1" x14ac:dyDescent="0.25">
      <c r="A12008" t="s">
        <v>9868</v>
      </c>
      <c r="B12008" t="s">
        <v>34</v>
      </c>
      <c r="C12008" s="2">
        <f>HYPERLINK("https://cao.dolgi.msk.ru/account/1080017578/", 1080017578)</f>
        <v>1080017578</v>
      </c>
      <c r="D12008" t="s">
        <v>1082</v>
      </c>
      <c r="E12008">
        <v>-51.75</v>
      </c>
      <c r="G12008" t="s">
        <v>14</v>
      </c>
      <c r="H12008" t="s">
        <v>7</v>
      </c>
      <c r="I12008" t="s">
        <v>13</v>
      </c>
    </row>
    <row r="12009" spans="1:9" hidden="1" x14ac:dyDescent="0.25">
      <c r="A12009" t="s">
        <v>9868</v>
      </c>
      <c r="B12009" t="s">
        <v>34</v>
      </c>
      <c r="C12009" s="2">
        <f>HYPERLINK("https://cao.dolgi.msk.ru/account/1083387291/", 1083387291)</f>
        <v>1083387291</v>
      </c>
      <c r="D12009" t="s">
        <v>1082</v>
      </c>
      <c r="E12009">
        <v>-12208.49</v>
      </c>
      <c r="F12009">
        <v>-1.1599999999999999</v>
      </c>
      <c r="G12009" t="s">
        <v>12</v>
      </c>
      <c r="H12009" t="s">
        <v>7</v>
      </c>
      <c r="I12009" t="s">
        <v>13</v>
      </c>
    </row>
    <row r="12010" spans="1:9" hidden="1" x14ac:dyDescent="0.25">
      <c r="A12010" t="s">
        <v>9868</v>
      </c>
      <c r="B12010" t="s">
        <v>34</v>
      </c>
      <c r="C12010" s="2">
        <f>HYPERLINK("https://cao.dolgi.msk.ru/account/1083387355/", 1083387355)</f>
        <v>1083387355</v>
      </c>
      <c r="D12010" t="s">
        <v>1082</v>
      </c>
      <c r="E12010">
        <v>-4675.51</v>
      </c>
      <c r="F12010">
        <v>-1.49</v>
      </c>
      <c r="G12010" t="s">
        <v>12</v>
      </c>
      <c r="H12010" t="s">
        <v>7</v>
      </c>
      <c r="I12010" t="s">
        <v>13</v>
      </c>
    </row>
    <row r="12011" spans="1:9" x14ac:dyDescent="0.25">
      <c r="A12011" t="s">
        <v>9868</v>
      </c>
      <c r="B12011" t="s">
        <v>34</v>
      </c>
      <c r="C12011" s="2">
        <f>HYPERLINK("https://cao.dolgi.msk.ru/account/1083387419/", 1083387419)</f>
        <v>1083387419</v>
      </c>
      <c r="D12011" t="s">
        <v>1082</v>
      </c>
      <c r="E12011">
        <v>129151.49</v>
      </c>
      <c r="F12011">
        <v>45.47</v>
      </c>
      <c r="G12011" t="s">
        <v>12</v>
      </c>
      <c r="H12011" t="s">
        <v>7</v>
      </c>
      <c r="I12011" t="s">
        <v>13</v>
      </c>
    </row>
    <row r="12012" spans="1:9" hidden="1" x14ac:dyDescent="0.25">
      <c r="A12012" t="s">
        <v>9868</v>
      </c>
      <c r="B12012" t="s">
        <v>34</v>
      </c>
      <c r="C12012" s="2">
        <f>HYPERLINK("https://cao.dolgi.msk.ru/account/1089131537/", 1089131537)</f>
        <v>1089131537</v>
      </c>
      <c r="D12012" t="s">
        <v>1082</v>
      </c>
      <c r="E12012">
        <v>518.30999999999995</v>
      </c>
      <c r="G12012" t="s">
        <v>14</v>
      </c>
      <c r="H12012" t="s">
        <v>7</v>
      </c>
      <c r="I12012" t="s">
        <v>13</v>
      </c>
    </row>
    <row r="12013" spans="1:9" hidden="1" x14ac:dyDescent="0.25">
      <c r="A12013" t="s">
        <v>9879</v>
      </c>
      <c r="B12013" t="s">
        <v>41</v>
      </c>
      <c r="C12013" s="2">
        <f>HYPERLINK("https://cao.dolgi.msk.ru/account/1083308346/", 1083308346)</f>
        <v>1083308346</v>
      </c>
      <c r="D12013" t="s">
        <v>15</v>
      </c>
      <c r="E12013">
        <v>16.899999999999999</v>
      </c>
      <c r="F12013">
        <v>0</v>
      </c>
      <c r="G12013" t="s">
        <v>12</v>
      </c>
      <c r="I12013" t="s">
        <v>13</v>
      </c>
    </row>
    <row r="12014" spans="1:9" hidden="1" x14ac:dyDescent="0.25">
      <c r="A12014" t="s">
        <v>9879</v>
      </c>
      <c r="B12014" t="s">
        <v>42</v>
      </c>
      <c r="C12014" s="2">
        <f>HYPERLINK("https://cao.dolgi.msk.ru/account/1083308354/", 1083308354)</f>
        <v>1083308354</v>
      </c>
      <c r="D12014" t="s">
        <v>9880</v>
      </c>
      <c r="E12014">
        <v>-18827.88</v>
      </c>
      <c r="F12014">
        <v>-1.26</v>
      </c>
      <c r="G12014" t="s">
        <v>12</v>
      </c>
      <c r="I12014" t="s">
        <v>13</v>
      </c>
    </row>
    <row r="12015" spans="1:9" hidden="1" x14ac:dyDescent="0.25">
      <c r="A12015" t="s">
        <v>9879</v>
      </c>
      <c r="B12015" t="s">
        <v>44</v>
      </c>
      <c r="C12015" s="2">
        <f>HYPERLINK("https://cao.dolgi.msk.ru/account/1083308362/", 1083308362)</f>
        <v>1083308362</v>
      </c>
      <c r="D12015" t="s">
        <v>15</v>
      </c>
      <c r="E12015">
        <v>522.91</v>
      </c>
      <c r="G12015" t="s">
        <v>14</v>
      </c>
      <c r="I12015" t="s">
        <v>13</v>
      </c>
    </row>
    <row r="12016" spans="1:9" hidden="1" x14ac:dyDescent="0.25">
      <c r="A12016" t="s">
        <v>9879</v>
      </c>
      <c r="B12016" t="s">
        <v>44</v>
      </c>
      <c r="C12016" s="2">
        <f>HYPERLINK("https://cao.dolgi.msk.ru/account/1083308506/", 1083308506)</f>
        <v>1083308506</v>
      </c>
      <c r="D12016" t="s">
        <v>15</v>
      </c>
      <c r="E12016">
        <v>314.16000000000003</v>
      </c>
      <c r="G12016" t="s">
        <v>14</v>
      </c>
      <c r="I12016" t="s">
        <v>13</v>
      </c>
    </row>
    <row r="12017" spans="1:9" hidden="1" x14ac:dyDescent="0.25">
      <c r="A12017" t="s">
        <v>9879</v>
      </c>
      <c r="B12017" t="s">
        <v>44</v>
      </c>
      <c r="C12017" s="2">
        <f>HYPERLINK("https://cao.dolgi.msk.ru/account/1083308514/", 1083308514)</f>
        <v>1083308514</v>
      </c>
      <c r="D12017" t="s">
        <v>9881</v>
      </c>
      <c r="E12017">
        <v>-8666.89</v>
      </c>
      <c r="F12017">
        <v>-1.1599999999999999</v>
      </c>
      <c r="G12017" t="s">
        <v>12</v>
      </c>
      <c r="I12017" t="s">
        <v>13</v>
      </c>
    </row>
    <row r="12018" spans="1:9" x14ac:dyDescent="0.25">
      <c r="A12018" t="s">
        <v>9879</v>
      </c>
      <c r="B12018" t="s">
        <v>66</v>
      </c>
      <c r="C12018" s="2">
        <f>HYPERLINK("https://cao.dolgi.msk.ru/account/1083308565/", 1083308565)</f>
        <v>1083308565</v>
      </c>
      <c r="D12018" t="s">
        <v>9882</v>
      </c>
      <c r="E12018">
        <v>9898.2000000000007</v>
      </c>
      <c r="F12018">
        <v>13.27</v>
      </c>
      <c r="G12018" t="s">
        <v>12</v>
      </c>
      <c r="H12018" t="s">
        <v>7</v>
      </c>
      <c r="I12018" t="s">
        <v>13</v>
      </c>
    </row>
    <row r="12019" spans="1:9" hidden="1" x14ac:dyDescent="0.25">
      <c r="A12019" t="s">
        <v>9879</v>
      </c>
      <c r="B12019" t="s">
        <v>66</v>
      </c>
      <c r="C12019" s="2">
        <f>HYPERLINK("https://cao.dolgi.msk.ru/account/1083308602/", 1083308602)</f>
        <v>1083308602</v>
      </c>
      <c r="D12019" t="s">
        <v>9883</v>
      </c>
      <c r="E12019">
        <v>4531.0600000000004</v>
      </c>
      <c r="F12019">
        <v>0.68</v>
      </c>
      <c r="G12019" t="s">
        <v>12</v>
      </c>
      <c r="H12019" t="s">
        <v>7</v>
      </c>
      <c r="I12019" t="s">
        <v>13</v>
      </c>
    </row>
    <row r="12020" spans="1:9" x14ac:dyDescent="0.25">
      <c r="A12020" t="s">
        <v>9879</v>
      </c>
      <c r="B12020" t="s">
        <v>66</v>
      </c>
      <c r="C12020" s="2">
        <f>HYPERLINK("https://cao.dolgi.msk.ru/account/1083308688/", 1083308688)</f>
        <v>1083308688</v>
      </c>
      <c r="D12020" t="s">
        <v>9883</v>
      </c>
      <c r="E12020">
        <v>33195.35</v>
      </c>
      <c r="F12020">
        <v>12.04</v>
      </c>
      <c r="G12020" t="s">
        <v>12</v>
      </c>
      <c r="H12020" t="s">
        <v>7</v>
      </c>
      <c r="I12020" t="s">
        <v>13</v>
      </c>
    </row>
    <row r="12021" spans="1:9" x14ac:dyDescent="0.25">
      <c r="A12021" t="s">
        <v>9879</v>
      </c>
      <c r="B12021" t="s">
        <v>66</v>
      </c>
      <c r="C12021" s="2">
        <f>HYPERLINK("https://cao.dolgi.msk.ru/account/1083308696/", 1083308696)</f>
        <v>1083308696</v>
      </c>
      <c r="D12021" t="s">
        <v>9883</v>
      </c>
      <c r="E12021">
        <v>6836.8</v>
      </c>
      <c r="F12021">
        <v>8.49</v>
      </c>
      <c r="G12021" t="s">
        <v>12</v>
      </c>
      <c r="H12021" t="s">
        <v>7</v>
      </c>
      <c r="I12021" t="s">
        <v>13</v>
      </c>
    </row>
    <row r="12022" spans="1:9" x14ac:dyDescent="0.25">
      <c r="A12022" t="s">
        <v>9879</v>
      </c>
      <c r="B12022" t="s">
        <v>66</v>
      </c>
      <c r="C12022" s="2">
        <f>HYPERLINK("https://cao.dolgi.msk.ru/account/1083318413/", 1083318413)</f>
        <v>1083318413</v>
      </c>
      <c r="D12022" t="s">
        <v>9883</v>
      </c>
      <c r="E12022">
        <v>9916.4</v>
      </c>
      <c r="F12022">
        <v>3.47</v>
      </c>
      <c r="G12022" t="s">
        <v>12</v>
      </c>
      <c r="H12022" t="s">
        <v>7</v>
      </c>
      <c r="I12022" t="s">
        <v>13</v>
      </c>
    </row>
    <row r="12023" spans="1:9" x14ac:dyDescent="0.25">
      <c r="A12023" t="s">
        <v>9879</v>
      </c>
      <c r="B12023" t="s">
        <v>68</v>
      </c>
      <c r="C12023" s="2">
        <f>HYPERLINK("https://cao.dolgi.msk.ru/account/1083308936/", 1083308936)</f>
        <v>1083308936</v>
      </c>
      <c r="D12023" t="s">
        <v>9884</v>
      </c>
      <c r="E12023">
        <v>28693.86</v>
      </c>
      <c r="F12023">
        <v>6.38</v>
      </c>
      <c r="G12023" t="s">
        <v>12</v>
      </c>
      <c r="H12023" t="s">
        <v>7</v>
      </c>
      <c r="I12023" t="s">
        <v>13</v>
      </c>
    </row>
    <row r="12024" spans="1:9" x14ac:dyDescent="0.25">
      <c r="A12024" t="s">
        <v>9879</v>
      </c>
      <c r="B12024" t="s">
        <v>68</v>
      </c>
      <c r="C12024" s="2">
        <f>HYPERLINK("https://cao.dolgi.msk.ru/account/1083308944/", 1083308944)</f>
        <v>1083308944</v>
      </c>
      <c r="D12024" t="s">
        <v>9884</v>
      </c>
      <c r="E12024">
        <v>19165.07</v>
      </c>
      <c r="F12024">
        <v>4.9400000000000004</v>
      </c>
      <c r="G12024" t="s">
        <v>12</v>
      </c>
      <c r="H12024" t="s">
        <v>7</v>
      </c>
      <c r="I12024" t="s">
        <v>13</v>
      </c>
    </row>
    <row r="12025" spans="1:9" x14ac:dyDescent="0.25">
      <c r="A12025" t="s">
        <v>9879</v>
      </c>
      <c r="B12025" t="s">
        <v>68</v>
      </c>
      <c r="C12025" s="2">
        <f>HYPERLINK("https://cao.dolgi.msk.ru/account/1083309357/", 1083309357)</f>
        <v>1083309357</v>
      </c>
      <c r="D12025" t="s">
        <v>9884</v>
      </c>
      <c r="E12025">
        <v>171290.03</v>
      </c>
      <c r="F12025">
        <v>66.569999999999993</v>
      </c>
      <c r="G12025" t="s">
        <v>12</v>
      </c>
      <c r="H12025" t="s">
        <v>7</v>
      </c>
      <c r="I12025" t="s">
        <v>13</v>
      </c>
    </row>
    <row r="12026" spans="1:9" hidden="1" x14ac:dyDescent="0.25">
      <c r="A12026" t="s">
        <v>9879</v>
      </c>
      <c r="B12026" t="s">
        <v>70</v>
      </c>
      <c r="C12026" s="2">
        <f>HYPERLINK("https://cao.dolgi.msk.ru/account/1083309437/", 1083309437)</f>
        <v>1083309437</v>
      </c>
      <c r="D12026" t="s">
        <v>15</v>
      </c>
      <c r="E12026">
        <v>-21393.360000000001</v>
      </c>
      <c r="F12026">
        <v>-2.87</v>
      </c>
      <c r="G12026" t="s">
        <v>12</v>
      </c>
      <c r="I12026" t="s">
        <v>13</v>
      </c>
    </row>
    <row r="12027" spans="1:9" hidden="1" x14ac:dyDescent="0.25">
      <c r="A12027" t="s">
        <v>9879</v>
      </c>
      <c r="B12027" t="s">
        <v>70</v>
      </c>
      <c r="C12027" s="2">
        <f>HYPERLINK("https://cao.dolgi.msk.ru/account/1083309445/", 1083309445)</f>
        <v>1083309445</v>
      </c>
      <c r="D12027" t="s">
        <v>15</v>
      </c>
      <c r="E12027">
        <v>-90.06</v>
      </c>
      <c r="G12027" t="s">
        <v>14</v>
      </c>
      <c r="I12027" t="s">
        <v>13</v>
      </c>
    </row>
    <row r="12028" spans="1:9" hidden="1" x14ac:dyDescent="0.25">
      <c r="A12028" t="s">
        <v>9879</v>
      </c>
      <c r="B12028" t="s">
        <v>70</v>
      </c>
      <c r="C12028" s="2">
        <f>HYPERLINK("https://cao.dolgi.msk.ru/account/1083309453/", 1083309453)</f>
        <v>1083309453</v>
      </c>
      <c r="D12028" t="s">
        <v>15</v>
      </c>
      <c r="E12028">
        <v>1635.59</v>
      </c>
      <c r="G12028" t="s">
        <v>14</v>
      </c>
      <c r="I12028" t="s">
        <v>13</v>
      </c>
    </row>
    <row r="12029" spans="1:9" hidden="1" x14ac:dyDescent="0.25">
      <c r="A12029" t="s">
        <v>9879</v>
      </c>
      <c r="B12029" t="s">
        <v>70</v>
      </c>
      <c r="C12029" s="2">
        <f>HYPERLINK("https://cao.dolgi.msk.ru/account/1083309461/", 1083309461)</f>
        <v>1083309461</v>
      </c>
      <c r="D12029" t="s">
        <v>15</v>
      </c>
      <c r="E12029">
        <v>1030.0999999999999</v>
      </c>
      <c r="G12029" t="s">
        <v>14</v>
      </c>
      <c r="I12029" t="s">
        <v>13</v>
      </c>
    </row>
    <row r="12030" spans="1:9" hidden="1" x14ac:dyDescent="0.25">
      <c r="A12030" t="s">
        <v>9879</v>
      </c>
      <c r="B12030" t="s">
        <v>76</v>
      </c>
      <c r="C12030" s="2">
        <f>HYPERLINK("https://cao.dolgi.msk.ru/account/1083309488/", 1083309488)</f>
        <v>1083309488</v>
      </c>
      <c r="D12030" t="s">
        <v>9885</v>
      </c>
      <c r="E12030">
        <v>-10041.06</v>
      </c>
      <c r="F12030">
        <v>-1.19</v>
      </c>
      <c r="G12030" t="s">
        <v>12</v>
      </c>
      <c r="I12030" t="s">
        <v>13</v>
      </c>
    </row>
    <row r="12031" spans="1:9" hidden="1" x14ac:dyDescent="0.25">
      <c r="A12031" t="s">
        <v>9879</v>
      </c>
      <c r="B12031" t="s">
        <v>78</v>
      </c>
      <c r="C12031" s="2">
        <f>HYPERLINK("https://cao.dolgi.msk.ru/account/1083309496/", 1083309496)</f>
        <v>1083309496</v>
      </c>
      <c r="D12031" t="s">
        <v>9886</v>
      </c>
      <c r="E12031">
        <v>-10437.33</v>
      </c>
      <c r="F12031">
        <v>-1.19</v>
      </c>
      <c r="G12031" t="s">
        <v>12</v>
      </c>
      <c r="I12031" t="s">
        <v>13</v>
      </c>
    </row>
    <row r="12032" spans="1:9" hidden="1" x14ac:dyDescent="0.25">
      <c r="A12032" t="s">
        <v>9879</v>
      </c>
      <c r="B12032" t="s">
        <v>80</v>
      </c>
      <c r="C12032" s="2">
        <f>HYPERLINK("https://cao.dolgi.msk.ru/account/1083309517/", 1083309517)</f>
        <v>1083309517</v>
      </c>
      <c r="D12032" t="s">
        <v>9887</v>
      </c>
      <c r="E12032">
        <v>7575.7</v>
      </c>
      <c r="F12032">
        <v>1</v>
      </c>
      <c r="G12032" t="s">
        <v>12</v>
      </c>
      <c r="I12032" t="s">
        <v>13</v>
      </c>
    </row>
    <row r="12033" spans="1:9" hidden="1" x14ac:dyDescent="0.25">
      <c r="A12033" t="s">
        <v>9879</v>
      </c>
      <c r="B12033" t="s">
        <v>82</v>
      </c>
      <c r="C12033" s="2">
        <f>HYPERLINK("https://cao.dolgi.msk.ru/account/1083309533/", 1083309533)</f>
        <v>1083309533</v>
      </c>
      <c r="D12033" t="s">
        <v>9888</v>
      </c>
      <c r="E12033">
        <v>-4413.78</v>
      </c>
      <c r="F12033">
        <v>-1.66</v>
      </c>
      <c r="G12033" t="s">
        <v>12</v>
      </c>
      <c r="H12033" t="s">
        <v>7</v>
      </c>
      <c r="I12033" t="s">
        <v>13</v>
      </c>
    </row>
    <row r="12034" spans="1:9" hidden="1" x14ac:dyDescent="0.25">
      <c r="A12034" t="s">
        <v>9879</v>
      </c>
      <c r="B12034" t="s">
        <v>82</v>
      </c>
      <c r="C12034" s="2">
        <f>HYPERLINK("https://cao.dolgi.msk.ru/account/1083309592/", 1083309592)</f>
        <v>1083309592</v>
      </c>
      <c r="D12034" t="s">
        <v>9888</v>
      </c>
      <c r="E12034">
        <v>-1343.42</v>
      </c>
      <c r="F12034">
        <v>-1.1200000000000001</v>
      </c>
      <c r="G12034" t="s">
        <v>12</v>
      </c>
      <c r="H12034" t="s">
        <v>7</v>
      </c>
      <c r="I12034" t="s">
        <v>13</v>
      </c>
    </row>
    <row r="12035" spans="1:9" x14ac:dyDescent="0.25">
      <c r="A12035" t="s">
        <v>9879</v>
      </c>
      <c r="B12035" t="s">
        <v>82</v>
      </c>
      <c r="C12035" s="2">
        <f>HYPERLINK("https://cao.dolgi.msk.ru/account/1083318421/", 1083318421)</f>
        <v>1083318421</v>
      </c>
      <c r="D12035" t="s">
        <v>9888</v>
      </c>
      <c r="E12035">
        <v>37485.35</v>
      </c>
      <c r="F12035">
        <v>17.48</v>
      </c>
      <c r="G12035" t="s">
        <v>12</v>
      </c>
      <c r="H12035" t="s">
        <v>7</v>
      </c>
      <c r="I12035" t="s">
        <v>13</v>
      </c>
    </row>
    <row r="12036" spans="1:9" hidden="1" x14ac:dyDescent="0.25">
      <c r="A12036" t="s">
        <v>9889</v>
      </c>
      <c r="B12036" t="s">
        <v>10</v>
      </c>
      <c r="C12036" s="2">
        <f>HYPERLINK("https://cao.dolgi.msk.ru/account/1080029982/", 1080029982)</f>
        <v>1080029982</v>
      </c>
      <c r="D12036" t="s">
        <v>15</v>
      </c>
      <c r="G12036" t="s">
        <v>14</v>
      </c>
      <c r="I12036" t="s">
        <v>13</v>
      </c>
    </row>
    <row r="12037" spans="1:9" hidden="1" x14ac:dyDescent="0.25">
      <c r="A12037" t="s">
        <v>9889</v>
      </c>
      <c r="B12037" t="s">
        <v>16</v>
      </c>
      <c r="C12037" s="2">
        <f>HYPERLINK("https://cao.dolgi.msk.ru/account/1080029974/", 1080029974)</f>
        <v>1080029974</v>
      </c>
      <c r="D12037" t="s">
        <v>15</v>
      </c>
      <c r="G12037" t="s">
        <v>14</v>
      </c>
      <c r="I12037" t="s">
        <v>13</v>
      </c>
    </row>
    <row r="12038" spans="1:9" hidden="1" x14ac:dyDescent="0.25">
      <c r="A12038" t="s">
        <v>9889</v>
      </c>
      <c r="B12038" t="s">
        <v>18</v>
      </c>
      <c r="C12038" s="2">
        <f>HYPERLINK("https://cao.dolgi.msk.ru/account/1080030027/", 1080030027)</f>
        <v>1080030027</v>
      </c>
      <c r="D12038" t="s">
        <v>9890</v>
      </c>
      <c r="E12038">
        <v>3949.64</v>
      </c>
      <c r="F12038">
        <v>0.64</v>
      </c>
      <c r="G12038" t="s">
        <v>12</v>
      </c>
      <c r="I12038" t="s">
        <v>13</v>
      </c>
    </row>
    <row r="12039" spans="1:9" hidden="1" x14ac:dyDescent="0.25">
      <c r="A12039" t="s">
        <v>9889</v>
      </c>
      <c r="B12039" t="s">
        <v>237</v>
      </c>
      <c r="C12039" s="2">
        <f>HYPERLINK("https://cao.dolgi.msk.ru/account/1080030019/", 1080030019)</f>
        <v>1080030019</v>
      </c>
      <c r="D12039" t="s">
        <v>9891</v>
      </c>
      <c r="E12039">
        <v>-4331.99</v>
      </c>
      <c r="F12039">
        <v>-1.27</v>
      </c>
      <c r="G12039" t="s">
        <v>12</v>
      </c>
      <c r="I12039" t="s">
        <v>13</v>
      </c>
    </row>
    <row r="12040" spans="1:9" hidden="1" x14ac:dyDescent="0.25">
      <c r="A12040" t="s">
        <v>9889</v>
      </c>
      <c r="B12040" t="s">
        <v>20</v>
      </c>
      <c r="C12040" s="2">
        <f>HYPERLINK("https://cao.dolgi.msk.ru/account/1080034263/", 1080034263)</f>
        <v>1080034263</v>
      </c>
      <c r="D12040" t="s">
        <v>15</v>
      </c>
      <c r="E12040">
        <v>1126.5999999999999</v>
      </c>
      <c r="F12040">
        <v>0.22</v>
      </c>
      <c r="G12040" t="s">
        <v>12</v>
      </c>
      <c r="I12040" t="s">
        <v>13</v>
      </c>
    </row>
    <row r="12041" spans="1:9" hidden="1" x14ac:dyDescent="0.25">
      <c r="A12041" t="s">
        <v>9889</v>
      </c>
      <c r="B12041" t="s">
        <v>21</v>
      </c>
      <c r="C12041" s="2">
        <f>HYPERLINK("https://cao.dolgi.msk.ru/account/1080034271/", 1080034271)</f>
        <v>1080034271</v>
      </c>
      <c r="D12041" t="s">
        <v>9892</v>
      </c>
      <c r="E12041">
        <v>0</v>
      </c>
      <c r="F12041">
        <v>0</v>
      </c>
      <c r="G12041" t="s">
        <v>12</v>
      </c>
      <c r="I12041" t="s">
        <v>13</v>
      </c>
    </row>
    <row r="12042" spans="1:9" hidden="1" x14ac:dyDescent="0.25">
      <c r="A12042" t="s">
        <v>9889</v>
      </c>
      <c r="B12042" t="s">
        <v>22</v>
      </c>
      <c r="C12042" s="2">
        <f>HYPERLINK("https://cao.dolgi.msk.ru/account/1080030043/", 1080030043)</f>
        <v>1080030043</v>
      </c>
      <c r="D12042" t="s">
        <v>15</v>
      </c>
      <c r="E12042">
        <v>-7486.98</v>
      </c>
      <c r="F12042">
        <v>-1.18</v>
      </c>
      <c r="G12042" t="s">
        <v>12</v>
      </c>
      <c r="I12042" t="s">
        <v>13</v>
      </c>
    </row>
    <row r="12043" spans="1:9" hidden="1" x14ac:dyDescent="0.25">
      <c r="A12043" t="s">
        <v>9889</v>
      </c>
      <c r="B12043" t="s">
        <v>245</v>
      </c>
      <c r="C12043" s="2">
        <f>HYPERLINK("https://cao.dolgi.msk.ru/account/1080030035/", 1080030035)</f>
        <v>1080030035</v>
      </c>
      <c r="D12043" t="s">
        <v>9893</v>
      </c>
      <c r="E12043">
        <v>-4024.83</v>
      </c>
      <c r="F12043">
        <v>-0.94</v>
      </c>
      <c r="G12043" t="s">
        <v>12</v>
      </c>
      <c r="I12043" t="s">
        <v>13</v>
      </c>
    </row>
    <row r="12044" spans="1:9" hidden="1" x14ac:dyDescent="0.25">
      <c r="A12044" t="s">
        <v>9889</v>
      </c>
      <c r="B12044" t="s">
        <v>23</v>
      </c>
      <c r="C12044" s="2">
        <f>HYPERLINK("https://cao.dolgi.msk.ru/account/1080034298/", 1080034298)</f>
        <v>1080034298</v>
      </c>
      <c r="D12044" t="s">
        <v>9894</v>
      </c>
      <c r="E12044">
        <v>-4536.17</v>
      </c>
      <c r="F12044">
        <v>-1.36</v>
      </c>
      <c r="G12044" t="s">
        <v>12</v>
      </c>
      <c r="I12044" t="s">
        <v>13</v>
      </c>
    </row>
    <row r="12045" spans="1:9" hidden="1" x14ac:dyDescent="0.25">
      <c r="A12045" t="s">
        <v>9889</v>
      </c>
      <c r="B12045" t="s">
        <v>24</v>
      </c>
      <c r="C12045" s="2">
        <f>HYPERLINK("https://cao.dolgi.msk.ru/account/1080034319/", 1080034319)</f>
        <v>1080034319</v>
      </c>
      <c r="D12045" t="s">
        <v>9895</v>
      </c>
      <c r="E12045">
        <v>0</v>
      </c>
      <c r="F12045">
        <v>0</v>
      </c>
      <c r="G12045" t="s">
        <v>12</v>
      </c>
      <c r="I12045" t="s">
        <v>13</v>
      </c>
    </row>
    <row r="12046" spans="1:9" hidden="1" x14ac:dyDescent="0.25">
      <c r="A12046" t="s">
        <v>9889</v>
      </c>
      <c r="B12046" t="s">
        <v>27</v>
      </c>
      <c r="C12046" s="2">
        <f>HYPERLINK("https://cao.dolgi.msk.ru/account/1080034327/", 1080034327)</f>
        <v>1080034327</v>
      </c>
      <c r="D12046" t="s">
        <v>15</v>
      </c>
      <c r="E12046">
        <v>-1906.88</v>
      </c>
      <c r="F12046">
        <v>-1.06</v>
      </c>
      <c r="G12046" t="s">
        <v>12</v>
      </c>
      <c r="H12046" t="s">
        <v>7</v>
      </c>
      <c r="I12046" t="s">
        <v>13</v>
      </c>
    </row>
    <row r="12047" spans="1:9" hidden="1" x14ac:dyDescent="0.25">
      <c r="A12047" t="s">
        <v>9889</v>
      </c>
      <c r="B12047" t="s">
        <v>27</v>
      </c>
      <c r="C12047" s="2">
        <f>HYPERLINK("https://cao.dolgi.msk.ru/account/1080034335/", 1080034335)</f>
        <v>1080034335</v>
      </c>
      <c r="D12047" t="s">
        <v>9896</v>
      </c>
      <c r="E12047">
        <v>-744.61</v>
      </c>
      <c r="F12047">
        <v>-0.36</v>
      </c>
      <c r="G12047" t="s">
        <v>12</v>
      </c>
      <c r="H12047" t="s">
        <v>7</v>
      </c>
      <c r="I12047" t="s">
        <v>13</v>
      </c>
    </row>
    <row r="12048" spans="1:9" hidden="1" x14ac:dyDescent="0.25">
      <c r="A12048" t="s">
        <v>9889</v>
      </c>
      <c r="B12048" t="s">
        <v>27</v>
      </c>
      <c r="C12048" s="2">
        <f>HYPERLINK("https://cao.dolgi.msk.ru/account/1080034343/", 1080034343)</f>
        <v>1080034343</v>
      </c>
      <c r="D12048" t="s">
        <v>62</v>
      </c>
      <c r="E12048">
        <v>-2358.6</v>
      </c>
      <c r="F12048">
        <v>-1.06</v>
      </c>
      <c r="G12048" t="s">
        <v>12</v>
      </c>
      <c r="H12048" t="s">
        <v>7</v>
      </c>
      <c r="I12048" t="s">
        <v>13</v>
      </c>
    </row>
    <row r="12049" spans="1:9" hidden="1" x14ac:dyDescent="0.25">
      <c r="A12049" t="s">
        <v>9889</v>
      </c>
      <c r="B12049" t="s">
        <v>27</v>
      </c>
      <c r="C12049" s="2">
        <f>HYPERLINK("https://cao.dolgi.msk.ru/account/1080034351/", 1080034351)</f>
        <v>1080034351</v>
      </c>
      <c r="D12049" t="s">
        <v>62</v>
      </c>
      <c r="E12049">
        <v>-3402.6</v>
      </c>
      <c r="F12049">
        <v>-1.54</v>
      </c>
      <c r="G12049" t="s">
        <v>12</v>
      </c>
      <c r="H12049" t="s">
        <v>7</v>
      </c>
      <c r="I12049" t="s">
        <v>13</v>
      </c>
    </row>
    <row r="12050" spans="1:9" hidden="1" x14ac:dyDescent="0.25">
      <c r="A12050" t="s">
        <v>9889</v>
      </c>
      <c r="B12050" t="s">
        <v>29</v>
      </c>
      <c r="C12050" s="2">
        <f>HYPERLINK("https://cao.dolgi.msk.ru/account/1080034378/", 1080034378)</f>
        <v>1080034378</v>
      </c>
      <c r="D12050" t="s">
        <v>15</v>
      </c>
      <c r="E12050">
        <v>-1010.03</v>
      </c>
      <c r="F12050">
        <v>-0.31</v>
      </c>
      <c r="G12050" t="s">
        <v>12</v>
      </c>
      <c r="I12050" t="s">
        <v>13</v>
      </c>
    </row>
    <row r="12051" spans="1:9" hidden="1" x14ac:dyDescent="0.25">
      <c r="A12051" t="s">
        <v>9889</v>
      </c>
      <c r="B12051" t="s">
        <v>31</v>
      </c>
      <c r="C12051" s="2">
        <f>HYPERLINK("https://cao.dolgi.msk.ru/account/1080034386/", 1080034386)</f>
        <v>1080034386</v>
      </c>
      <c r="D12051" t="s">
        <v>9897</v>
      </c>
      <c r="E12051">
        <v>-30.09</v>
      </c>
      <c r="F12051">
        <v>0</v>
      </c>
      <c r="G12051" t="s">
        <v>12</v>
      </c>
      <c r="I12051" t="s">
        <v>13</v>
      </c>
    </row>
    <row r="12052" spans="1:9" hidden="1" x14ac:dyDescent="0.25">
      <c r="A12052" t="s">
        <v>9889</v>
      </c>
      <c r="B12052" t="s">
        <v>33</v>
      </c>
      <c r="C12052" s="2">
        <f>HYPERLINK("https://cao.dolgi.msk.ru/account/1080034255/", 1080034255)</f>
        <v>1080034255</v>
      </c>
      <c r="D12052" t="s">
        <v>9898</v>
      </c>
      <c r="E12052">
        <v>0</v>
      </c>
      <c r="F12052">
        <v>0</v>
      </c>
      <c r="G12052" t="s">
        <v>12</v>
      </c>
      <c r="I12052" t="s">
        <v>13</v>
      </c>
    </row>
    <row r="12053" spans="1:9" hidden="1" x14ac:dyDescent="0.25">
      <c r="A12053" t="s">
        <v>9889</v>
      </c>
      <c r="B12053" t="s">
        <v>34</v>
      </c>
      <c r="C12053" s="2">
        <f>HYPERLINK("https://cao.dolgi.msk.ru/account/1080034394/", 1080034394)</f>
        <v>1080034394</v>
      </c>
      <c r="D12053" t="s">
        <v>9899</v>
      </c>
      <c r="E12053">
        <v>-7286.3</v>
      </c>
      <c r="F12053">
        <v>-1.0900000000000001</v>
      </c>
      <c r="G12053" t="s">
        <v>12</v>
      </c>
      <c r="I12053" t="s">
        <v>13</v>
      </c>
    </row>
    <row r="12054" spans="1:9" hidden="1" x14ac:dyDescent="0.25">
      <c r="A12054" t="s">
        <v>9889</v>
      </c>
      <c r="B12054" t="s">
        <v>36</v>
      </c>
      <c r="C12054" s="2">
        <f>HYPERLINK("https://cao.dolgi.msk.ru/account/1080034407/", 1080034407)</f>
        <v>1080034407</v>
      </c>
      <c r="D12054" t="s">
        <v>9900</v>
      </c>
      <c r="E12054">
        <v>-316.89</v>
      </c>
      <c r="F12054">
        <v>-0.04</v>
      </c>
      <c r="G12054" t="s">
        <v>12</v>
      </c>
      <c r="H12054" t="s">
        <v>7</v>
      </c>
      <c r="I12054" t="s">
        <v>13</v>
      </c>
    </row>
    <row r="12055" spans="1:9" hidden="1" x14ac:dyDescent="0.25">
      <c r="A12055" t="s">
        <v>9889</v>
      </c>
      <c r="B12055" t="s">
        <v>36</v>
      </c>
      <c r="C12055" s="2">
        <f>HYPERLINK("https://cao.dolgi.msk.ru/account/1080325095/", 1080325095)</f>
        <v>1080325095</v>
      </c>
      <c r="D12055" t="s">
        <v>15</v>
      </c>
      <c r="E12055">
        <v>0</v>
      </c>
      <c r="F12055">
        <v>0</v>
      </c>
      <c r="G12055" t="s">
        <v>12</v>
      </c>
      <c r="H12055" t="s">
        <v>7</v>
      </c>
      <c r="I12055" t="s">
        <v>13</v>
      </c>
    </row>
    <row r="12056" spans="1:9" hidden="1" x14ac:dyDescent="0.25">
      <c r="A12056" t="s">
        <v>9889</v>
      </c>
      <c r="B12056" t="s">
        <v>38</v>
      </c>
      <c r="C12056" s="2">
        <f>HYPERLINK("https://cao.dolgi.msk.ru/account/1080034458/", 1080034458)</f>
        <v>1080034458</v>
      </c>
      <c r="D12056" t="s">
        <v>9901</v>
      </c>
      <c r="E12056">
        <v>-11249.71</v>
      </c>
      <c r="F12056">
        <v>-1.23</v>
      </c>
      <c r="G12056" t="s">
        <v>12</v>
      </c>
      <c r="I12056" t="s">
        <v>13</v>
      </c>
    </row>
    <row r="12057" spans="1:9" hidden="1" x14ac:dyDescent="0.25">
      <c r="A12057" t="s">
        <v>9889</v>
      </c>
      <c r="B12057" t="s">
        <v>39</v>
      </c>
      <c r="C12057" s="2">
        <f>HYPERLINK("https://cao.dolgi.msk.ru/account/1080034415/", 1080034415)</f>
        <v>1080034415</v>
      </c>
      <c r="D12057" t="s">
        <v>9902</v>
      </c>
      <c r="E12057">
        <v>-8245.32</v>
      </c>
      <c r="F12057">
        <v>-1.21</v>
      </c>
      <c r="G12057" t="s">
        <v>12</v>
      </c>
      <c r="I12057" t="s">
        <v>13</v>
      </c>
    </row>
    <row r="12058" spans="1:9" hidden="1" x14ac:dyDescent="0.25">
      <c r="A12058" t="s">
        <v>9889</v>
      </c>
      <c r="B12058" t="s">
        <v>40</v>
      </c>
      <c r="C12058" s="2">
        <f>HYPERLINK("https://cao.dolgi.msk.ru/account/1080034423/", 1080034423)</f>
        <v>1080034423</v>
      </c>
      <c r="D12058" t="s">
        <v>9903</v>
      </c>
      <c r="E12058">
        <v>-22146.720000000001</v>
      </c>
      <c r="F12058">
        <v>-3.07</v>
      </c>
      <c r="G12058" t="s">
        <v>12</v>
      </c>
      <c r="I12058" t="s">
        <v>13</v>
      </c>
    </row>
    <row r="12059" spans="1:9" hidden="1" x14ac:dyDescent="0.25">
      <c r="A12059" t="s">
        <v>9889</v>
      </c>
      <c r="B12059" t="s">
        <v>802</v>
      </c>
      <c r="C12059" s="2">
        <f>HYPERLINK("https://cao.dolgi.msk.ru/account/1080034431/", 1080034431)</f>
        <v>1080034431</v>
      </c>
      <c r="D12059" t="s">
        <v>15</v>
      </c>
      <c r="G12059" t="s">
        <v>14</v>
      </c>
      <c r="I12059" t="s">
        <v>13</v>
      </c>
    </row>
    <row r="12060" spans="1:9" hidden="1" x14ac:dyDescent="0.25">
      <c r="A12060" t="s">
        <v>9904</v>
      </c>
      <c r="B12060" t="s">
        <v>10</v>
      </c>
      <c r="C12060" s="2">
        <f>HYPERLINK("https://cao.dolgi.msk.ru/account/1080069378/", 1080069378)</f>
        <v>1080069378</v>
      </c>
      <c r="D12060" t="s">
        <v>9905</v>
      </c>
      <c r="E12060">
        <v>-6879.09</v>
      </c>
      <c r="F12060">
        <v>-1.03</v>
      </c>
      <c r="G12060" t="s">
        <v>12</v>
      </c>
      <c r="I12060" t="s">
        <v>230</v>
      </c>
    </row>
    <row r="12061" spans="1:9" hidden="1" x14ac:dyDescent="0.25">
      <c r="A12061" t="s">
        <v>9904</v>
      </c>
      <c r="B12061" t="s">
        <v>16</v>
      </c>
      <c r="C12061" s="2">
        <f>HYPERLINK("https://cao.dolgi.msk.ru/account/1080069394/", 1080069394)</f>
        <v>1080069394</v>
      </c>
      <c r="D12061" t="s">
        <v>9906</v>
      </c>
      <c r="E12061">
        <v>-7791.02</v>
      </c>
      <c r="F12061">
        <v>-1.1499999999999999</v>
      </c>
      <c r="G12061" t="s">
        <v>12</v>
      </c>
      <c r="I12061" t="s">
        <v>230</v>
      </c>
    </row>
    <row r="12062" spans="1:9" x14ac:dyDescent="0.25">
      <c r="A12062" t="s">
        <v>9904</v>
      </c>
      <c r="B12062" t="s">
        <v>18</v>
      </c>
      <c r="C12062" s="2">
        <f>HYPERLINK("https://cao.dolgi.msk.ru/account/1080069407/", 1080069407)</f>
        <v>1080069407</v>
      </c>
      <c r="D12062" t="s">
        <v>9907</v>
      </c>
      <c r="E12062">
        <v>24719.71</v>
      </c>
      <c r="F12062">
        <v>3.93</v>
      </c>
      <c r="G12062" t="s">
        <v>12</v>
      </c>
      <c r="I12062" t="s">
        <v>230</v>
      </c>
    </row>
    <row r="12063" spans="1:9" hidden="1" x14ac:dyDescent="0.25">
      <c r="A12063" t="s">
        <v>9904</v>
      </c>
      <c r="B12063" t="s">
        <v>20</v>
      </c>
      <c r="C12063" s="2">
        <f>HYPERLINK("https://cao.dolgi.msk.ru/account/1080069423/", 1080069423)</f>
        <v>1080069423</v>
      </c>
      <c r="D12063" t="s">
        <v>9908</v>
      </c>
      <c r="E12063">
        <v>-5796.54</v>
      </c>
      <c r="F12063">
        <v>-1.33</v>
      </c>
      <c r="G12063" t="s">
        <v>12</v>
      </c>
      <c r="I12063" t="s">
        <v>230</v>
      </c>
    </row>
    <row r="12064" spans="1:9" hidden="1" x14ac:dyDescent="0.25">
      <c r="A12064" t="s">
        <v>9904</v>
      </c>
      <c r="B12064" t="s">
        <v>21</v>
      </c>
      <c r="C12064" s="2">
        <f>HYPERLINK("https://cao.dolgi.msk.ru/account/1080069431/", 1080069431)</f>
        <v>1080069431</v>
      </c>
      <c r="D12064" t="s">
        <v>62</v>
      </c>
      <c r="E12064">
        <v>-2771.43</v>
      </c>
      <c r="F12064">
        <v>-1.1499999999999999</v>
      </c>
      <c r="G12064" t="s">
        <v>12</v>
      </c>
      <c r="I12064" t="s">
        <v>230</v>
      </c>
    </row>
    <row r="12065" spans="1:9" hidden="1" x14ac:dyDescent="0.25">
      <c r="A12065" t="s">
        <v>9904</v>
      </c>
      <c r="B12065" t="s">
        <v>22</v>
      </c>
      <c r="C12065" s="2">
        <f>HYPERLINK("https://cao.dolgi.msk.ru/account/1080069458/", 1080069458)</f>
        <v>1080069458</v>
      </c>
      <c r="D12065" t="s">
        <v>9909</v>
      </c>
      <c r="E12065">
        <v>-7087.88</v>
      </c>
      <c r="F12065">
        <v>-1.01</v>
      </c>
      <c r="G12065" t="s">
        <v>12</v>
      </c>
      <c r="I12065" t="s">
        <v>230</v>
      </c>
    </row>
    <row r="12066" spans="1:9" hidden="1" x14ac:dyDescent="0.25">
      <c r="A12066" t="s">
        <v>9904</v>
      </c>
      <c r="B12066" t="s">
        <v>23</v>
      </c>
      <c r="C12066" s="2">
        <f>HYPERLINK("https://cao.dolgi.msk.ru/account/1080069466/", 1080069466)</f>
        <v>1080069466</v>
      </c>
      <c r="D12066" t="s">
        <v>9910</v>
      </c>
      <c r="E12066">
        <v>-8231.33</v>
      </c>
      <c r="F12066">
        <v>-1.17</v>
      </c>
      <c r="G12066" t="s">
        <v>12</v>
      </c>
      <c r="I12066" t="s">
        <v>230</v>
      </c>
    </row>
    <row r="12067" spans="1:9" hidden="1" x14ac:dyDescent="0.25">
      <c r="A12067" t="s">
        <v>9904</v>
      </c>
      <c r="B12067" t="s">
        <v>24</v>
      </c>
      <c r="C12067" s="2">
        <f>HYPERLINK("https://cao.dolgi.msk.ru/account/1080069474/", 1080069474)</f>
        <v>1080069474</v>
      </c>
      <c r="D12067" t="s">
        <v>9911</v>
      </c>
      <c r="E12067">
        <v>-6693.66</v>
      </c>
      <c r="F12067">
        <v>-1.2</v>
      </c>
      <c r="G12067" t="s">
        <v>12</v>
      </c>
      <c r="I12067" t="s">
        <v>230</v>
      </c>
    </row>
    <row r="12068" spans="1:9" hidden="1" x14ac:dyDescent="0.25">
      <c r="A12068" t="s">
        <v>9904</v>
      </c>
      <c r="B12068" t="s">
        <v>27</v>
      </c>
      <c r="C12068" s="2">
        <f>HYPERLINK("https://cao.dolgi.msk.ru/account/1080069482/", 1080069482)</f>
        <v>1080069482</v>
      </c>
      <c r="D12068" t="s">
        <v>9912</v>
      </c>
      <c r="E12068">
        <v>1.89</v>
      </c>
      <c r="F12068">
        <v>0</v>
      </c>
      <c r="G12068" t="s">
        <v>12</v>
      </c>
      <c r="I12068" t="s">
        <v>230</v>
      </c>
    </row>
    <row r="12069" spans="1:9" hidden="1" x14ac:dyDescent="0.25">
      <c r="A12069" t="s">
        <v>9904</v>
      </c>
      <c r="B12069" t="s">
        <v>29</v>
      </c>
      <c r="C12069" s="2">
        <f>HYPERLINK("https://cao.dolgi.msk.ru/account/1080069503/", 1080069503)</f>
        <v>1080069503</v>
      </c>
      <c r="D12069" t="s">
        <v>9913</v>
      </c>
      <c r="E12069">
        <v>-9084.64</v>
      </c>
      <c r="F12069">
        <v>-1.1599999999999999</v>
      </c>
      <c r="G12069" t="s">
        <v>12</v>
      </c>
      <c r="I12069" t="s">
        <v>230</v>
      </c>
    </row>
    <row r="12070" spans="1:9" hidden="1" x14ac:dyDescent="0.25">
      <c r="A12070" t="s">
        <v>9904</v>
      </c>
      <c r="B12070" t="s">
        <v>31</v>
      </c>
      <c r="C12070" s="2">
        <f>HYPERLINK("https://cao.dolgi.msk.ru/account/1080069511/", 1080069511)</f>
        <v>1080069511</v>
      </c>
      <c r="D12070" t="s">
        <v>9914</v>
      </c>
      <c r="E12070">
        <v>0</v>
      </c>
      <c r="F12070">
        <v>0</v>
      </c>
      <c r="G12070" t="s">
        <v>12</v>
      </c>
      <c r="H12070" t="s">
        <v>7</v>
      </c>
      <c r="I12070" t="s">
        <v>230</v>
      </c>
    </row>
    <row r="12071" spans="1:9" x14ac:dyDescent="0.25">
      <c r="A12071" t="s">
        <v>9904</v>
      </c>
      <c r="B12071" t="s">
        <v>31</v>
      </c>
      <c r="C12071" s="2">
        <f>HYPERLINK("https://cao.dolgi.msk.ru/account/1080069538/", 1080069538)</f>
        <v>1080069538</v>
      </c>
      <c r="D12071" t="s">
        <v>9915</v>
      </c>
      <c r="E12071">
        <v>239889.59</v>
      </c>
      <c r="F12071">
        <v>45.42</v>
      </c>
      <c r="G12071" t="s">
        <v>12</v>
      </c>
      <c r="H12071" t="s">
        <v>7</v>
      </c>
      <c r="I12071" t="s">
        <v>230</v>
      </c>
    </row>
    <row r="12072" spans="1:9" hidden="1" x14ac:dyDescent="0.25">
      <c r="A12072" t="s">
        <v>9904</v>
      </c>
      <c r="B12072" t="s">
        <v>33</v>
      </c>
      <c r="C12072" s="2">
        <f>HYPERLINK("https://cao.dolgi.msk.ru/account/1080069546/", 1080069546)</f>
        <v>1080069546</v>
      </c>
      <c r="D12072" t="s">
        <v>9916</v>
      </c>
      <c r="E12072">
        <v>-670.42</v>
      </c>
      <c r="F12072">
        <v>-0.23</v>
      </c>
      <c r="G12072" t="s">
        <v>12</v>
      </c>
      <c r="I12072" t="s">
        <v>230</v>
      </c>
    </row>
    <row r="12073" spans="1:9" hidden="1" x14ac:dyDescent="0.25">
      <c r="A12073" t="s">
        <v>9904</v>
      </c>
      <c r="B12073" t="s">
        <v>34</v>
      </c>
      <c r="C12073" s="2">
        <f>HYPERLINK("https://cao.dolgi.msk.ru/account/1080069554/", 1080069554)</f>
        <v>1080069554</v>
      </c>
      <c r="D12073" t="s">
        <v>9917</v>
      </c>
      <c r="E12073">
        <v>-6997.17</v>
      </c>
      <c r="F12073">
        <v>-1.1200000000000001</v>
      </c>
      <c r="G12073" t="s">
        <v>12</v>
      </c>
      <c r="I12073" t="s">
        <v>230</v>
      </c>
    </row>
    <row r="12074" spans="1:9" hidden="1" x14ac:dyDescent="0.25">
      <c r="A12074" t="s">
        <v>9904</v>
      </c>
      <c r="B12074" t="s">
        <v>36</v>
      </c>
      <c r="C12074" s="2">
        <f>HYPERLINK("https://cao.dolgi.msk.ru/account/1080069562/", 1080069562)</f>
        <v>1080069562</v>
      </c>
      <c r="D12074" t="s">
        <v>9918</v>
      </c>
      <c r="E12074">
        <v>-4065.25</v>
      </c>
      <c r="F12074">
        <v>-1.19</v>
      </c>
      <c r="G12074" t="s">
        <v>12</v>
      </c>
      <c r="I12074" t="s">
        <v>230</v>
      </c>
    </row>
    <row r="12075" spans="1:9" hidden="1" x14ac:dyDescent="0.25">
      <c r="A12075" t="s">
        <v>9904</v>
      </c>
      <c r="B12075" t="s">
        <v>38</v>
      </c>
      <c r="C12075" s="2">
        <f>HYPERLINK("https://cao.dolgi.msk.ru/account/1080069589/", 1080069589)</f>
        <v>1080069589</v>
      </c>
      <c r="D12075" t="s">
        <v>9919</v>
      </c>
      <c r="E12075">
        <v>-5297.59</v>
      </c>
      <c r="F12075">
        <v>-1.23</v>
      </c>
      <c r="G12075" t="s">
        <v>12</v>
      </c>
      <c r="I12075" t="s">
        <v>230</v>
      </c>
    </row>
    <row r="12076" spans="1:9" hidden="1" x14ac:dyDescent="0.25">
      <c r="A12076" t="s">
        <v>9904</v>
      </c>
      <c r="B12076" t="s">
        <v>39</v>
      </c>
      <c r="C12076" s="2">
        <f>HYPERLINK("https://cao.dolgi.msk.ru/account/1080069597/", 1080069597)</f>
        <v>1080069597</v>
      </c>
      <c r="D12076" t="s">
        <v>9920</v>
      </c>
      <c r="E12076">
        <v>-6246.24</v>
      </c>
      <c r="F12076">
        <v>-1.25</v>
      </c>
      <c r="G12076" t="s">
        <v>12</v>
      </c>
      <c r="I12076" t="s">
        <v>230</v>
      </c>
    </row>
    <row r="12077" spans="1:9" x14ac:dyDescent="0.25">
      <c r="A12077" t="s">
        <v>9904</v>
      </c>
      <c r="B12077" t="s">
        <v>40</v>
      </c>
      <c r="C12077" s="2">
        <f>HYPERLINK("https://cao.dolgi.msk.ru/account/1080069618/", 1080069618)</f>
        <v>1080069618</v>
      </c>
      <c r="D12077" t="s">
        <v>9921</v>
      </c>
      <c r="E12077">
        <v>44264.01</v>
      </c>
      <c r="F12077">
        <v>17.98</v>
      </c>
      <c r="G12077" t="s">
        <v>12</v>
      </c>
      <c r="I12077" t="s">
        <v>230</v>
      </c>
    </row>
    <row r="12078" spans="1:9" hidden="1" x14ac:dyDescent="0.25">
      <c r="A12078" t="s">
        <v>9904</v>
      </c>
      <c r="B12078" t="s">
        <v>41</v>
      </c>
      <c r="C12078" s="2">
        <f>HYPERLINK("https://cao.dolgi.msk.ru/account/1080069626/", 1080069626)</f>
        <v>1080069626</v>
      </c>
      <c r="D12078" t="s">
        <v>9922</v>
      </c>
      <c r="E12078">
        <v>-11807.21</v>
      </c>
      <c r="F12078">
        <v>-2.2599999999999998</v>
      </c>
      <c r="G12078" t="s">
        <v>12</v>
      </c>
      <c r="I12078" t="s">
        <v>230</v>
      </c>
    </row>
    <row r="12079" spans="1:9" x14ac:dyDescent="0.25">
      <c r="A12079" t="s">
        <v>9904</v>
      </c>
      <c r="B12079" t="s">
        <v>42</v>
      </c>
      <c r="C12079" s="2">
        <f>HYPERLINK("https://cao.dolgi.msk.ru/account/1080069634/", 1080069634)</f>
        <v>1080069634</v>
      </c>
      <c r="D12079" t="s">
        <v>9923</v>
      </c>
      <c r="E12079">
        <v>52279.83</v>
      </c>
      <c r="F12079">
        <v>7.04</v>
      </c>
      <c r="G12079" t="s">
        <v>12</v>
      </c>
      <c r="I12079" t="s">
        <v>230</v>
      </c>
    </row>
    <row r="12080" spans="1:9" hidden="1" x14ac:dyDescent="0.25">
      <c r="A12080" t="s">
        <v>9904</v>
      </c>
      <c r="B12080" t="s">
        <v>44</v>
      </c>
      <c r="C12080" s="2">
        <f>HYPERLINK("https://cao.dolgi.msk.ru/account/1080069642/", 1080069642)</f>
        <v>1080069642</v>
      </c>
      <c r="D12080" t="s">
        <v>9924</v>
      </c>
      <c r="E12080">
        <v>-6364.97</v>
      </c>
      <c r="F12080">
        <v>-1.27</v>
      </c>
      <c r="G12080" t="s">
        <v>12</v>
      </c>
      <c r="I12080" t="s">
        <v>230</v>
      </c>
    </row>
    <row r="12081" spans="1:9" hidden="1" x14ac:dyDescent="0.25">
      <c r="A12081" t="s">
        <v>9904</v>
      </c>
      <c r="B12081" t="s">
        <v>66</v>
      </c>
      <c r="C12081" s="2">
        <f>HYPERLINK("https://cao.dolgi.msk.ru/account/1080069669/", 1080069669)</f>
        <v>1080069669</v>
      </c>
      <c r="D12081" t="s">
        <v>9925</v>
      </c>
      <c r="E12081">
        <v>-1550.36</v>
      </c>
      <c r="F12081">
        <v>-0.46</v>
      </c>
      <c r="G12081" t="s">
        <v>12</v>
      </c>
      <c r="I12081" t="s">
        <v>230</v>
      </c>
    </row>
    <row r="12082" spans="1:9" hidden="1" x14ac:dyDescent="0.25">
      <c r="A12082" t="s">
        <v>9904</v>
      </c>
      <c r="B12082" t="s">
        <v>68</v>
      </c>
      <c r="C12082" s="2">
        <f>HYPERLINK("https://cao.dolgi.msk.ru/account/1080069677/", 1080069677)</f>
        <v>1080069677</v>
      </c>
      <c r="D12082" t="s">
        <v>9926</v>
      </c>
      <c r="E12082">
        <v>143.41</v>
      </c>
      <c r="F12082">
        <v>0.04</v>
      </c>
      <c r="G12082" t="s">
        <v>12</v>
      </c>
      <c r="I12082" t="s">
        <v>230</v>
      </c>
    </row>
    <row r="12083" spans="1:9" hidden="1" x14ac:dyDescent="0.25">
      <c r="A12083" t="s">
        <v>9904</v>
      </c>
      <c r="B12083" t="s">
        <v>70</v>
      </c>
      <c r="C12083" s="2">
        <f>HYPERLINK("https://cao.dolgi.msk.ru/account/1080069685/", 1080069685)</f>
        <v>1080069685</v>
      </c>
      <c r="D12083" t="s">
        <v>62</v>
      </c>
      <c r="E12083">
        <v>-10017.42</v>
      </c>
      <c r="F12083">
        <v>-1.26</v>
      </c>
      <c r="G12083" t="s">
        <v>12</v>
      </c>
      <c r="I12083" t="s">
        <v>230</v>
      </c>
    </row>
    <row r="12084" spans="1:9" hidden="1" x14ac:dyDescent="0.25">
      <c r="A12084" t="s">
        <v>9904</v>
      </c>
      <c r="B12084" t="s">
        <v>72</v>
      </c>
      <c r="C12084" s="2">
        <f>HYPERLINK("https://cao.dolgi.msk.ru/account/1080069693/", 1080069693)</f>
        <v>1080069693</v>
      </c>
      <c r="D12084" t="s">
        <v>9927</v>
      </c>
      <c r="E12084">
        <v>-7002.43</v>
      </c>
      <c r="F12084">
        <v>-1.39</v>
      </c>
      <c r="G12084" t="s">
        <v>12</v>
      </c>
      <c r="I12084" t="s">
        <v>230</v>
      </c>
    </row>
    <row r="12085" spans="1:9" hidden="1" x14ac:dyDescent="0.25">
      <c r="A12085" t="s">
        <v>9904</v>
      </c>
      <c r="B12085" t="s">
        <v>74</v>
      </c>
      <c r="C12085" s="2">
        <f>HYPERLINK("https://cao.dolgi.msk.ru/account/1080069706/", 1080069706)</f>
        <v>1080069706</v>
      </c>
      <c r="D12085" t="s">
        <v>9928</v>
      </c>
      <c r="E12085">
        <v>1161.8599999999999</v>
      </c>
      <c r="F12085">
        <v>0.19</v>
      </c>
      <c r="G12085" t="s">
        <v>12</v>
      </c>
      <c r="I12085" t="s">
        <v>230</v>
      </c>
    </row>
    <row r="12086" spans="1:9" hidden="1" x14ac:dyDescent="0.25">
      <c r="A12086" t="s">
        <v>9904</v>
      </c>
      <c r="B12086" t="s">
        <v>76</v>
      </c>
      <c r="C12086" s="2">
        <f>HYPERLINK("https://cao.dolgi.msk.ru/account/1080069714/", 1080069714)</f>
        <v>1080069714</v>
      </c>
      <c r="D12086" t="s">
        <v>9929</v>
      </c>
      <c r="E12086">
        <v>-3986.76</v>
      </c>
      <c r="F12086">
        <v>-0.76</v>
      </c>
      <c r="G12086" t="s">
        <v>12</v>
      </c>
      <c r="I12086" t="s">
        <v>230</v>
      </c>
    </row>
    <row r="12087" spans="1:9" hidden="1" x14ac:dyDescent="0.25">
      <c r="A12087" t="s">
        <v>9904</v>
      </c>
      <c r="B12087" t="s">
        <v>78</v>
      </c>
      <c r="C12087" s="2">
        <f>HYPERLINK("https://cao.dolgi.msk.ru/account/1080069722/", 1080069722)</f>
        <v>1080069722</v>
      </c>
      <c r="D12087" t="s">
        <v>9930</v>
      </c>
      <c r="E12087">
        <v>-5002.08</v>
      </c>
      <c r="F12087">
        <v>-1.19</v>
      </c>
      <c r="G12087" t="s">
        <v>12</v>
      </c>
      <c r="I12087" t="s">
        <v>230</v>
      </c>
    </row>
    <row r="12088" spans="1:9" hidden="1" x14ac:dyDescent="0.25">
      <c r="A12088" t="s">
        <v>9904</v>
      </c>
      <c r="B12088" t="s">
        <v>80</v>
      </c>
      <c r="C12088" s="2">
        <f>HYPERLINK("https://cao.dolgi.msk.ru/account/1080069749/", 1080069749)</f>
        <v>1080069749</v>
      </c>
      <c r="D12088" t="s">
        <v>9931</v>
      </c>
      <c r="E12088">
        <v>-5766.76</v>
      </c>
      <c r="F12088">
        <v>-1.24</v>
      </c>
      <c r="G12088" t="s">
        <v>12</v>
      </c>
      <c r="I12088" t="s">
        <v>230</v>
      </c>
    </row>
    <row r="12089" spans="1:9" hidden="1" x14ac:dyDescent="0.25">
      <c r="A12089" t="s">
        <v>9904</v>
      </c>
      <c r="B12089" t="s">
        <v>82</v>
      </c>
      <c r="C12089" s="2">
        <f>HYPERLINK("https://cao.dolgi.msk.ru/account/1080069757/", 1080069757)</f>
        <v>1080069757</v>
      </c>
      <c r="D12089" t="s">
        <v>9932</v>
      </c>
      <c r="E12089">
        <v>0</v>
      </c>
      <c r="F12089">
        <v>0</v>
      </c>
      <c r="G12089" t="s">
        <v>12</v>
      </c>
      <c r="I12089" t="s">
        <v>230</v>
      </c>
    </row>
    <row r="12090" spans="1:9" hidden="1" x14ac:dyDescent="0.25">
      <c r="A12090" t="s">
        <v>9904</v>
      </c>
      <c r="B12090" t="s">
        <v>84</v>
      </c>
      <c r="C12090" s="2">
        <f>HYPERLINK("https://cao.dolgi.msk.ru/account/1080069765/", 1080069765)</f>
        <v>1080069765</v>
      </c>
      <c r="D12090" t="s">
        <v>9933</v>
      </c>
      <c r="E12090">
        <v>-36745.199999999997</v>
      </c>
      <c r="F12090">
        <v>-5.63</v>
      </c>
      <c r="G12090" t="s">
        <v>12</v>
      </c>
      <c r="I12090" t="s">
        <v>230</v>
      </c>
    </row>
    <row r="12091" spans="1:9" x14ac:dyDescent="0.25">
      <c r="A12091" t="s">
        <v>9904</v>
      </c>
      <c r="B12091" t="s">
        <v>86</v>
      </c>
      <c r="C12091" s="2">
        <f>HYPERLINK("https://cao.dolgi.msk.ru/account/1080069773/", 1080069773)</f>
        <v>1080069773</v>
      </c>
      <c r="D12091" t="s">
        <v>736</v>
      </c>
      <c r="E12091">
        <v>178883.41</v>
      </c>
      <c r="F12091">
        <v>27.7</v>
      </c>
      <c r="G12091" t="s">
        <v>12</v>
      </c>
      <c r="I12091" t="s">
        <v>230</v>
      </c>
    </row>
    <row r="12092" spans="1:9" hidden="1" x14ac:dyDescent="0.25">
      <c r="A12092" t="s">
        <v>9904</v>
      </c>
      <c r="B12092" t="s">
        <v>88</v>
      </c>
      <c r="C12092" s="2">
        <f>HYPERLINK("https://cao.dolgi.msk.ru/account/1080069781/", 1080069781)</f>
        <v>1080069781</v>
      </c>
      <c r="D12092" t="s">
        <v>9934</v>
      </c>
      <c r="E12092">
        <v>-4765.1099999999997</v>
      </c>
      <c r="F12092">
        <v>-1.29</v>
      </c>
      <c r="G12092" t="s">
        <v>12</v>
      </c>
      <c r="I12092" t="s">
        <v>230</v>
      </c>
    </row>
    <row r="12093" spans="1:9" hidden="1" x14ac:dyDescent="0.25">
      <c r="A12093" t="s">
        <v>9904</v>
      </c>
      <c r="B12093" t="s">
        <v>90</v>
      </c>
      <c r="C12093" s="2">
        <f>HYPERLINK("https://cao.dolgi.msk.ru/account/1080069802/", 1080069802)</f>
        <v>1080069802</v>
      </c>
      <c r="D12093" t="s">
        <v>9935</v>
      </c>
      <c r="E12093">
        <v>-6839.71</v>
      </c>
      <c r="F12093">
        <v>-1.04</v>
      </c>
      <c r="G12093" t="s">
        <v>12</v>
      </c>
      <c r="I12093" t="s">
        <v>230</v>
      </c>
    </row>
    <row r="12094" spans="1:9" hidden="1" x14ac:dyDescent="0.25">
      <c r="A12094" t="s">
        <v>9904</v>
      </c>
      <c r="B12094" t="s">
        <v>92</v>
      </c>
      <c r="C12094" s="2">
        <f>HYPERLINK("https://cao.dolgi.msk.ru/account/1080069829/", 1080069829)</f>
        <v>1080069829</v>
      </c>
      <c r="D12094" t="s">
        <v>9936</v>
      </c>
      <c r="E12094">
        <v>24.08</v>
      </c>
      <c r="F12094">
        <v>0</v>
      </c>
      <c r="G12094" t="s">
        <v>12</v>
      </c>
      <c r="I12094" t="s">
        <v>230</v>
      </c>
    </row>
    <row r="12095" spans="1:9" hidden="1" x14ac:dyDescent="0.25">
      <c r="A12095" t="s">
        <v>9904</v>
      </c>
      <c r="B12095" t="s">
        <v>94</v>
      </c>
      <c r="C12095" s="2">
        <f>HYPERLINK("https://cao.dolgi.msk.ru/account/1080069837/", 1080069837)</f>
        <v>1080069837</v>
      </c>
      <c r="D12095" t="s">
        <v>9937</v>
      </c>
      <c r="E12095">
        <v>-9585.7199999999993</v>
      </c>
      <c r="F12095">
        <v>-1.1599999999999999</v>
      </c>
      <c r="G12095" t="s">
        <v>12</v>
      </c>
      <c r="I12095" t="s">
        <v>230</v>
      </c>
    </row>
    <row r="12096" spans="1:9" hidden="1" x14ac:dyDescent="0.25">
      <c r="A12096" t="s">
        <v>9904</v>
      </c>
      <c r="B12096" t="s">
        <v>96</v>
      </c>
      <c r="C12096" s="2">
        <f>HYPERLINK("https://cao.dolgi.msk.ru/account/1080069845/", 1080069845)</f>
        <v>1080069845</v>
      </c>
      <c r="D12096" t="s">
        <v>9938</v>
      </c>
      <c r="E12096">
        <v>-5720.28</v>
      </c>
      <c r="F12096">
        <v>-1.22</v>
      </c>
      <c r="G12096" t="s">
        <v>12</v>
      </c>
      <c r="I12096" t="s">
        <v>230</v>
      </c>
    </row>
    <row r="12097" spans="1:9" hidden="1" x14ac:dyDescent="0.25">
      <c r="A12097" t="s">
        <v>9904</v>
      </c>
      <c r="B12097" t="s">
        <v>98</v>
      </c>
      <c r="C12097" s="2">
        <f>HYPERLINK("https://cao.dolgi.msk.ru/account/1080069853/", 1080069853)</f>
        <v>1080069853</v>
      </c>
      <c r="D12097" t="s">
        <v>9939</v>
      </c>
      <c r="E12097">
        <v>-6598.46</v>
      </c>
      <c r="F12097">
        <v>-1.1499999999999999</v>
      </c>
      <c r="G12097" t="s">
        <v>12</v>
      </c>
      <c r="I12097" t="s">
        <v>230</v>
      </c>
    </row>
    <row r="12098" spans="1:9" hidden="1" x14ac:dyDescent="0.25">
      <c r="A12098" t="s">
        <v>9904</v>
      </c>
      <c r="B12098" t="s">
        <v>102</v>
      </c>
      <c r="C12098" s="2">
        <f>HYPERLINK("https://cao.dolgi.msk.ru/account/1080069888/", 1080069888)</f>
        <v>1080069888</v>
      </c>
      <c r="D12098" t="s">
        <v>9940</v>
      </c>
      <c r="E12098">
        <v>-11394.77</v>
      </c>
      <c r="F12098">
        <v>-1.22</v>
      </c>
      <c r="G12098" t="s">
        <v>12</v>
      </c>
      <c r="I12098" t="s">
        <v>230</v>
      </c>
    </row>
    <row r="12099" spans="1:9" hidden="1" x14ac:dyDescent="0.25">
      <c r="A12099" t="s">
        <v>9904</v>
      </c>
      <c r="B12099" t="s">
        <v>104</v>
      </c>
      <c r="C12099" s="2">
        <f>HYPERLINK("https://cao.dolgi.msk.ru/account/1080069896/", 1080069896)</f>
        <v>1080069896</v>
      </c>
      <c r="D12099" t="s">
        <v>9941</v>
      </c>
      <c r="E12099">
        <v>0</v>
      </c>
      <c r="F12099">
        <v>0</v>
      </c>
      <c r="G12099" t="s">
        <v>12</v>
      </c>
      <c r="I12099" t="s">
        <v>230</v>
      </c>
    </row>
    <row r="12100" spans="1:9" hidden="1" x14ac:dyDescent="0.25">
      <c r="A12100" t="s">
        <v>9904</v>
      </c>
      <c r="B12100" t="s">
        <v>106</v>
      </c>
      <c r="C12100" s="2">
        <f>HYPERLINK("https://cao.dolgi.msk.ru/account/1080069917/", 1080069917)</f>
        <v>1080069917</v>
      </c>
      <c r="D12100" t="s">
        <v>9942</v>
      </c>
      <c r="E12100">
        <v>-4881.6000000000004</v>
      </c>
      <c r="F12100">
        <v>-0.88</v>
      </c>
      <c r="G12100" t="s">
        <v>12</v>
      </c>
      <c r="I12100" t="s">
        <v>230</v>
      </c>
    </row>
    <row r="12101" spans="1:9" hidden="1" x14ac:dyDescent="0.25">
      <c r="A12101" t="s">
        <v>9904</v>
      </c>
      <c r="B12101" t="s">
        <v>108</v>
      </c>
      <c r="C12101" s="2">
        <f>HYPERLINK("https://cao.dolgi.msk.ru/account/1080069925/", 1080069925)</f>
        <v>1080069925</v>
      </c>
      <c r="D12101" t="s">
        <v>9943</v>
      </c>
      <c r="E12101">
        <v>-4419.3</v>
      </c>
      <c r="F12101">
        <v>-1.1200000000000001</v>
      </c>
      <c r="G12101" t="s">
        <v>12</v>
      </c>
      <c r="I12101" t="s">
        <v>230</v>
      </c>
    </row>
    <row r="12102" spans="1:9" hidden="1" x14ac:dyDescent="0.25">
      <c r="A12102" t="s">
        <v>9904</v>
      </c>
      <c r="B12102" t="s">
        <v>108</v>
      </c>
      <c r="C12102" s="2">
        <f>HYPERLINK("https://cao.dolgi.msk.ru/account/1083272857/", 1083272857)</f>
        <v>1083272857</v>
      </c>
      <c r="D12102" t="s">
        <v>15</v>
      </c>
      <c r="E12102">
        <v>-2838.06</v>
      </c>
      <c r="F12102">
        <v>-1.3</v>
      </c>
      <c r="G12102" t="s">
        <v>12</v>
      </c>
      <c r="I12102" t="s">
        <v>230</v>
      </c>
    </row>
    <row r="12103" spans="1:9" hidden="1" x14ac:dyDescent="0.25">
      <c r="A12103" t="s">
        <v>9904</v>
      </c>
      <c r="B12103" t="s">
        <v>110</v>
      </c>
      <c r="C12103" s="2">
        <f>HYPERLINK("https://cao.dolgi.msk.ru/account/1080069933/", 1080069933)</f>
        <v>1080069933</v>
      </c>
      <c r="D12103" t="s">
        <v>9944</v>
      </c>
      <c r="E12103">
        <v>0</v>
      </c>
      <c r="F12103">
        <v>0</v>
      </c>
      <c r="G12103" t="s">
        <v>12</v>
      </c>
      <c r="I12103" t="s">
        <v>230</v>
      </c>
    </row>
    <row r="12104" spans="1:9" hidden="1" x14ac:dyDescent="0.25">
      <c r="A12104" t="s">
        <v>9904</v>
      </c>
      <c r="B12104" t="s">
        <v>112</v>
      </c>
      <c r="C12104" s="2">
        <f>HYPERLINK("https://cao.dolgi.msk.ru/account/1080069941/", 1080069941)</f>
        <v>1080069941</v>
      </c>
      <c r="D12104" t="s">
        <v>9945</v>
      </c>
      <c r="E12104">
        <v>-21.26</v>
      </c>
      <c r="F12104">
        <v>0</v>
      </c>
      <c r="G12104" t="s">
        <v>12</v>
      </c>
      <c r="I12104" t="s">
        <v>230</v>
      </c>
    </row>
    <row r="12105" spans="1:9" hidden="1" x14ac:dyDescent="0.25">
      <c r="A12105" t="s">
        <v>9904</v>
      </c>
      <c r="B12105" t="s">
        <v>114</v>
      </c>
      <c r="C12105" s="2">
        <f>HYPERLINK("https://cao.dolgi.msk.ru/account/1080069968/", 1080069968)</f>
        <v>1080069968</v>
      </c>
      <c r="D12105" t="s">
        <v>9946</v>
      </c>
      <c r="E12105">
        <v>-3780.23</v>
      </c>
      <c r="F12105">
        <v>-1.25</v>
      </c>
      <c r="G12105" t="s">
        <v>12</v>
      </c>
      <c r="I12105" t="s">
        <v>230</v>
      </c>
    </row>
    <row r="12106" spans="1:9" hidden="1" x14ac:dyDescent="0.25">
      <c r="A12106" t="s">
        <v>9904</v>
      </c>
      <c r="B12106" t="s">
        <v>116</v>
      </c>
      <c r="C12106" s="2">
        <f>HYPERLINK("https://cao.dolgi.msk.ru/account/1080069976/", 1080069976)</f>
        <v>1080069976</v>
      </c>
      <c r="D12106" t="s">
        <v>9947</v>
      </c>
      <c r="E12106">
        <v>-2490.64</v>
      </c>
      <c r="F12106">
        <v>-0.32</v>
      </c>
      <c r="G12106" t="s">
        <v>12</v>
      </c>
      <c r="I12106" t="s">
        <v>230</v>
      </c>
    </row>
    <row r="12107" spans="1:9" hidden="1" x14ac:dyDescent="0.25">
      <c r="A12107" t="s">
        <v>9904</v>
      </c>
      <c r="B12107" t="s">
        <v>118</v>
      </c>
      <c r="C12107" s="2">
        <f>HYPERLINK("https://cao.dolgi.msk.ru/account/1080069984/", 1080069984)</f>
        <v>1080069984</v>
      </c>
      <c r="D12107" t="s">
        <v>9948</v>
      </c>
      <c r="E12107">
        <v>-10101.34</v>
      </c>
      <c r="F12107">
        <v>-1.31</v>
      </c>
      <c r="G12107" t="s">
        <v>12</v>
      </c>
      <c r="I12107" t="s">
        <v>230</v>
      </c>
    </row>
    <row r="12108" spans="1:9" hidden="1" x14ac:dyDescent="0.25">
      <c r="A12108" t="s">
        <v>9904</v>
      </c>
      <c r="B12108" t="s">
        <v>120</v>
      </c>
      <c r="C12108" s="2">
        <f>HYPERLINK("https://cao.dolgi.msk.ru/account/1080069992/", 1080069992)</f>
        <v>1080069992</v>
      </c>
      <c r="D12108" t="s">
        <v>9949</v>
      </c>
      <c r="E12108">
        <v>-5392.82</v>
      </c>
      <c r="F12108">
        <v>-1.1100000000000001</v>
      </c>
      <c r="G12108" t="s">
        <v>12</v>
      </c>
      <c r="I12108" t="s">
        <v>230</v>
      </c>
    </row>
    <row r="12109" spans="1:9" hidden="1" x14ac:dyDescent="0.25">
      <c r="A12109" t="s">
        <v>9904</v>
      </c>
      <c r="B12109" t="s">
        <v>122</v>
      </c>
      <c r="C12109" s="2">
        <f>HYPERLINK("https://cao.dolgi.msk.ru/account/1080070002/", 1080070002)</f>
        <v>1080070002</v>
      </c>
      <c r="D12109" t="s">
        <v>9950</v>
      </c>
      <c r="E12109">
        <v>-10605.06</v>
      </c>
      <c r="F12109">
        <v>-1.25</v>
      </c>
      <c r="G12109" t="s">
        <v>12</v>
      </c>
      <c r="I12109" t="s">
        <v>230</v>
      </c>
    </row>
    <row r="12110" spans="1:9" hidden="1" x14ac:dyDescent="0.25">
      <c r="A12110" t="s">
        <v>9904</v>
      </c>
      <c r="B12110" t="s">
        <v>124</v>
      </c>
      <c r="C12110" s="2">
        <f>HYPERLINK("https://cao.dolgi.msk.ru/account/1080070029/", 1080070029)</f>
        <v>1080070029</v>
      </c>
      <c r="D12110" t="s">
        <v>15</v>
      </c>
      <c r="G12110" t="s">
        <v>14</v>
      </c>
      <c r="I12110" t="s">
        <v>230</v>
      </c>
    </row>
    <row r="12111" spans="1:9" hidden="1" x14ac:dyDescent="0.25">
      <c r="A12111" t="s">
        <v>9904</v>
      </c>
      <c r="B12111" t="s">
        <v>126</v>
      </c>
      <c r="C12111" s="2">
        <f>HYPERLINK("https://cao.dolgi.msk.ru/account/1080070037/", 1080070037)</f>
        <v>1080070037</v>
      </c>
      <c r="D12111" t="s">
        <v>9951</v>
      </c>
      <c r="E12111">
        <v>-8011.85</v>
      </c>
      <c r="F12111">
        <v>-1.0900000000000001</v>
      </c>
      <c r="G12111" t="s">
        <v>12</v>
      </c>
      <c r="I12111" t="s">
        <v>230</v>
      </c>
    </row>
    <row r="12112" spans="1:9" hidden="1" x14ac:dyDescent="0.25">
      <c r="A12112" t="s">
        <v>9904</v>
      </c>
      <c r="B12112" t="s">
        <v>128</v>
      </c>
      <c r="C12112" s="2">
        <f>HYPERLINK("https://cao.dolgi.msk.ru/account/1080070045/", 1080070045)</f>
        <v>1080070045</v>
      </c>
      <c r="D12112" t="s">
        <v>9952</v>
      </c>
      <c r="E12112">
        <v>-111.88</v>
      </c>
      <c r="F12112">
        <v>-0.02</v>
      </c>
      <c r="G12112" t="s">
        <v>12</v>
      </c>
      <c r="I12112" t="s">
        <v>230</v>
      </c>
    </row>
    <row r="12113" spans="1:9" hidden="1" x14ac:dyDescent="0.25">
      <c r="A12113" t="s">
        <v>9904</v>
      </c>
      <c r="B12113" t="s">
        <v>130</v>
      </c>
      <c r="C12113" s="2">
        <f>HYPERLINK("https://cao.dolgi.msk.ru/account/1080070053/", 1080070053)</f>
        <v>1080070053</v>
      </c>
      <c r="D12113" t="s">
        <v>9953</v>
      </c>
      <c r="E12113">
        <v>-267.94</v>
      </c>
      <c r="F12113">
        <v>-0.1</v>
      </c>
      <c r="G12113" t="s">
        <v>12</v>
      </c>
      <c r="I12113" t="s">
        <v>230</v>
      </c>
    </row>
    <row r="12114" spans="1:9" x14ac:dyDescent="0.25">
      <c r="A12114" t="s">
        <v>9904</v>
      </c>
      <c r="B12114" t="s">
        <v>132</v>
      </c>
      <c r="C12114" s="2">
        <f>HYPERLINK("https://cao.dolgi.msk.ru/account/1080070061/", 1080070061)</f>
        <v>1080070061</v>
      </c>
      <c r="D12114" t="s">
        <v>9954</v>
      </c>
      <c r="E12114">
        <v>25194.14</v>
      </c>
      <c r="F12114">
        <v>3.21</v>
      </c>
      <c r="G12114" t="s">
        <v>12</v>
      </c>
      <c r="I12114" t="s">
        <v>230</v>
      </c>
    </row>
    <row r="12115" spans="1:9" hidden="1" x14ac:dyDescent="0.25">
      <c r="A12115" t="s">
        <v>9904</v>
      </c>
      <c r="B12115" t="s">
        <v>133</v>
      </c>
      <c r="C12115" s="2">
        <f>HYPERLINK("https://cao.dolgi.msk.ru/account/1080070088/", 1080070088)</f>
        <v>1080070088</v>
      </c>
      <c r="D12115" t="s">
        <v>9955</v>
      </c>
      <c r="E12115">
        <v>-10591.27</v>
      </c>
      <c r="F12115">
        <v>-1.18</v>
      </c>
      <c r="G12115" t="s">
        <v>12</v>
      </c>
      <c r="I12115" t="s">
        <v>230</v>
      </c>
    </row>
    <row r="12116" spans="1:9" hidden="1" x14ac:dyDescent="0.25">
      <c r="A12116" t="s">
        <v>9904</v>
      </c>
      <c r="B12116" t="s">
        <v>135</v>
      </c>
      <c r="C12116" s="2">
        <f>HYPERLINK("https://cao.dolgi.msk.ru/account/1080070096/", 1080070096)</f>
        <v>1080070096</v>
      </c>
      <c r="D12116" t="s">
        <v>9956</v>
      </c>
      <c r="E12116">
        <v>-2342.11</v>
      </c>
      <c r="F12116">
        <v>-0.38</v>
      </c>
      <c r="G12116" t="s">
        <v>12</v>
      </c>
      <c r="I12116" t="s">
        <v>230</v>
      </c>
    </row>
    <row r="12117" spans="1:9" hidden="1" x14ac:dyDescent="0.25">
      <c r="A12117" t="s">
        <v>9904</v>
      </c>
      <c r="B12117" t="s">
        <v>137</v>
      </c>
      <c r="C12117" s="2">
        <f>HYPERLINK("https://cao.dolgi.msk.ru/account/1080070109/", 1080070109)</f>
        <v>1080070109</v>
      </c>
      <c r="D12117" t="s">
        <v>9957</v>
      </c>
      <c r="E12117">
        <v>0</v>
      </c>
      <c r="F12117">
        <v>0</v>
      </c>
      <c r="G12117" t="s">
        <v>12</v>
      </c>
      <c r="I12117" t="s">
        <v>230</v>
      </c>
    </row>
    <row r="12118" spans="1:9" hidden="1" x14ac:dyDescent="0.25">
      <c r="A12118" t="s">
        <v>9904</v>
      </c>
      <c r="B12118" t="s">
        <v>139</v>
      </c>
      <c r="C12118" s="2">
        <f>HYPERLINK("https://cao.dolgi.msk.ru/account/1080070117/", 1080070117)</f>
        <v>1080070117</v>
      </c>
      <c r="D12118" t="s">
        <v>9958</v>
      </c>
      <c r="E12118">
        <v>-12008.02</v>
      </c>
      <c r="F12118">
        <v>-2.0299999999999998</v>
      </c>
      <c r="G12118" t="s">
        <v>12</v>
      </c>
      <c r="I12118" t="s">
        <v>230</v>
      </c>
    </row>
    <row r="12119" spans="1:9" hidden="1" x14ac:dyDescent="0.25">
      <c r="A12119" t="s">
        <v>9904</v>
      </c>
      <c r="B12119" t="s">
        <v>141</v>
      </c>
      <c r="C12119" s="2">
        <f>HYPERLINK("https://cao.dolgi.msk.ru/account/1080070125/", 1080070125)</f>
        <v>1080070125</v>
      </c>
      <c r="D12119" t="s">
        <v>9959</v>
      </c>
      <c r="E12119">
        <v>0</v>
      </c>
      <c r="F12119">
        <v>0</v>
      </c>
      <c r="G12119" t="s">
        <v>12</v>
      </c>
      <c r="I12119" t="s">
        <v>230</v>
      </c>
    </row>
    <row r="12120" spans="1:9" hidden="1" x14ac:dyDescent="0.25">
      <c r="A12120" t="s">
        <v>9904</v>
      </c>
      <c r="B12120" t="s">
        <v>143</v>
      </c>
      <c r="C12120" s="2">
        <f>HYPERLINK("https://cao.dolgi.msk.ru/account/1080070133/", 1080070133)</f>
        <v>1080070133</v>
      </c>
      <c r="D12120" t="s">
        <v>9960</v>
      </c>
      <c r="E12120">
        <v>10.26</v>
      </c>
      <c r="F12120">
        <v>0</v>
      </c>
      <c r="G12120" t="s">
        <v>12</v>
      </c>
      <c r="I12120" t="s">
        <v>230</v>
      </c>
    </row>
    <row r="12121" spans="1:9" hidden="1" x14ac:dyDescent="0.25">
      <c r="A12121" t="s">
        <v>9904</v>
      </c>
      <c r="B12121" t="s">
        <v>145</v>
      </c>
      <c r="C12121" s="2">
        <f>HYPERLINK("https://cao.dolgi.msk.ru/account/1080070141/", 1080070141)</f>
        <v>1080070141</v>
      </c>
      <c r="D12121" t="s">
        <v>9961</v>
      </c>
      <c r="E12121">
        <v>-612.98</v>
      </c>
      <c r="F12121">
        <v>-0.16</v>
      </c>
      <c r="G12121" t="s">
        <v>12</v>
      </c>
      <c r="I12121" t="s">
        <v>230</v>
      </c>
    </row>
    <row r="12122" spans="1:9" hidden="1" x14ac:dyDescent="0.25">
      <c r="A12122" t="s">
        <v>9904</v>
      </c>
      <c r="B12122" t="s">
        <v>147</v>
      </c>
      <c r="C12122" s="2">
        <f>HYPERLINK("https://cao.dolgi.msk.ru/account/1080070168/", 1080070168)</f>
        <v>1080070168</v>
      </c>
      <c r="D12122" t="s">
        <v>15</v>
      </c>
      <c r="E12122">
        <v>-3916.22</v>
      </c>
      <c r="F12122">
        <v>-0.94</v>
      </c>
      <c r="G12122" t="s">
        <v>12</v>
      </c>
      <c r="I12122" t="s">
        <v>230</v>
      </c>
    </row>
    <row r="12123" spans="1:9" hidden="1" x14ac:dyDescent="0.25">
      <c r="A12123" t="s">
        <v>9904</v>
      </c>
      <c r="B12123" t="s">
        <v>149</v>
      </c>
      <c r="C12123" s="2">
        <f>HYPERLINK("https://cao.dolgi.msk.ru/account/1080070176/", 1080070176)</f>
        <v>1080070176</v>
      </c>
      <c r="D12123" t="s">
        <v>9962</v>
      </c>
      <c r="E12123">
        <v>-7631.35</v>
      </c>
      <c r="F12123">
        <v>-1.29</v>
      </c>
      <c r="G12123" t="s">
        <v>12</v>
      </c>
      <c r="I12123" t="s">
        <v>230</v>
      </c>
    </row>
    <row r="12124" spans="1:9" hidden="1" x14ac:dyDescent="0.25">
      <c r="A12124" t="s">
        <v>9904</v>
      </c>
      <c r="B12124" t="s">
        <v>151</v>
      </c>
      <c r="C12124" s="2">
        <f>HYPERLINK("https://cao.dolgi.msk.ru/account/1080070184/", 1080070184)</f>
        <v>1080070184</v>
      </c>
      <c r="D12124" t="s">
        <v>9963</v>
      </c>
      <c r="E12124">
        <v>0</v>
      </c>
      <c r="F12124">
        <v>0</v>
      </c>
      <c r="G12124" t="s">
        <v>12</v>
      </c>
      <c r="I12124" t="s">
        <v>230</v>
      </c>
    </row>
    <row r="12125" spans="1:9" hidden="1" x14ac:dyDescent="0.25">
      <c r="A12125" t="s">
        <v>9904</v>
      </c>
      <c r="B12125" t="s">
        <v>153</v>
      </c>
      <c r="C12125" s="2">
        <f>HYPERLINK("https://cao.dolgi.msk.ru/account/1080070192/", 1080070192)</f>
        <v>1080070192</v>
      </c>
      <c r="D12125" t="s">
        <v>9964</v>
      </c>
      <c r="E12125">
        <v>-15585.44</v>
      </c>
      <c r="F12125">
        <v>-2.97</v>
      </c>
      <c r="G12125" t="s">
        <v>12</v>
      </c>
      <c r="I12125" t="s">
        <v>230</v>
      </c>
    </row>
    <row r="12126" spans="1:9" x14ac:dyDescent="0.25">
      <c r="A12126" t="s">
        <v>9904</v>
      </c>
      <c r="B12126" t="s">
        <v>155</v>
      </c>
      <c r="C12126" s="2">
        <f>HYPERLINK("https://cao.dolgi.msk.ru/account/1080070205/", 1080070205)</f>
        <v>1080070205</v>
      </c>
      <c r="D12126" t="s">
        <v>9965</v>
      </c>
      <c r="E12126">
        <v>8765.25</v>
      </c>
      <c r="F12126">
        <v>2.87</v>
      </c>
      <c r="G12126" t="s">
        <v>12</v>
      </c>
      <c r="I12126" t="s">
        <v>230</v>
      </c>
    </row>
    <row r="12127" spans="1:9" hidden="1" x14ac:dyDescent="0.25">
      <c r="A12127" t="s">
        <v>9904</v>
      </c>
      <c r="B12127" t="s">
        <v>155</v>
      </c>
      <c r="C12127" s="2">
        <f>HYPERLINK("https://cao.dolgi.msk.ru/account/1089118332/", 1089118332)</f>
        <v>1089118332</v>
      </c>
      <c r="D12127" t="s">
        <v>15</v>
      </c>
      <c r="E12127">
        <v>0</v>
      </c>
      <c r="G12127" t="s">
        <v>14</v>
      </c>
      <c r="I12127" t="s">
        <v>230</v>
      </c>
    </row>
    <row r="12128" spans="1:9" hidden="1" x14ac:dyDescent="0.25">
      <c r="A12128" t="s">
        <v>9904</v>
      </c>
      <c r="B12128" t="s">
        <v>157</v>
      </c>
      <c r="C12128" s="2">
        <f>HYPERLINK("https://cao.dolgi.msk.ru/account/1080070213/", 1080070213)</f>
        <v>1080070213</v>
      </c>
      <c r="D12128" t="s">
        <v>9966</v>
      </c>
      <c r="E12128">
        <v>-6815.69</v>
      </c>
      <c r="F12128">
        <v>-1.25</v>
      </c>
      <c r="G12128" t="s">
        <v>12</v>
      </c>
      <c r="I12128" t="s">
        <v>230</v>
      </c>
    </row>
    <row r="12129" spans="1:9" hidden="1" x14ac:dyDescent="0.25">
      <c r="A12129" t="s">
        <v>9904</v>
      </c>
      <c r="B12129" t="s">
        <v>159</v>
      </c>
      <c r="C12129" s="2">
        <f>HYPERLINK("https://cao.dolgi.msk.ru/account/1080070221/", 1080070221)</f>
        <v>1080070221</v>
      </c>
      <c r="D12129" t="s">
        <v>9967</v>
      </c>
      <c r="E12129">
        <v>-4078.53</v>
      </c>
      <c r="F12129">
        <v>-1.23</v>
      </c>
      <c r="G12129" t="s">
        <v>12</v>
      </c>
      <c r="I12129" t="s">
        <v>230</v>
      </c>
    </row>
    <row r="12130" spans="1:9" hidden="1" x14ac:dyDescent="0.25">
      <c r="A12130" t="s">
        <v>9904</v>
      </c>
      <c r="B12130" t="s">
        <v>161</v>
      </c>
      <c r="C12130" s="2">
        <f>HYPERLINK("https://cao.dolgi.msk.ru/account/1080070248/", 1080070248)</f>
        <v>1080070248</v>
      </c>
      <c r="D12130" t="s">
        <v>9968</v>
      </c>
      <c r="E12130">
        <v>0</v>
      </c>
      <c r="F12130">
        <v>0</v>
      </c>
      <c r="G12130" t="s">
        <v>12</v>
      </c>
      <c r="I12130" t="s">
        <v>230</v>
      </c>
    </row>
    <row r="12131" spans="1:9" hidden="1" x14ac:dyDescent="0.25">
      <c r="A12131" t="s">
        <v>9904</v>
      </c>
      <c r="B12131" t="s">
        <v>163</v>
      </c>
      <c r="C12131" s="2">
        <f>HYPERLINK("https://cao.dolgi.msk.ru/account/1080070256/", 1080070256)</f>
        <v>1080070256</v>
      </c>
      <c r="D12131" t="s">
        <v>9969</v>
      </c>
      <c r="E12131">
        <v>0</v>
      </c>
      <c r="F12131">
        <v>0</v>
      </c>
      <c r="G12131" t="s">
        <v>12</v>
      </c>
      <c r="I12131" t="s">
        <v>230</v>
      </c>
    </row>
    <row r="12132" spans="1:9" hidden="1" x14ac:dyDescent="0.25">
      <c r="A12132" t="s">
        <v>9904</v>
      </c>
      <c r="B12132" t="s">
        <v>571</v>
      </c>
      <c r="C12132" s="2">
        <f>HYPERLINK("https://cao.dolgi.msk.ru/account/1080070264/", 1080070264)</f>
        <v>1080070264</v>
      </c>
      <c r="D12132" t="s">
        <v>9970</v>
      </c>
      <c r="E12132">
        <v>-8046.55</v>
      </c>
      <c r="F12132">
        <v>-1.0900000000000001</v>
      </c>
      <c r="G12132" t="s">
        <v>12</v>
      </c>
      <c r="I12132" t="s">
        <v>230</v>
      </c>
    </row>
    <row r="12133" spans="1:9" hidden="1" x14ac:dyDescent="0.25">
      <c r="A12133" t="s">
        <v>9904</v>
      </c>
      <c r="B12133" t="s">
        <v>9971</v>
      </c>
      <c r="C12133" s="2">
        <f>HYPERLINK("https://cao.dolgi.msk.ru/account/1080070272/", 1080070272)</f>
        <v>1080070272</v>
      </c>
      <c r="D12133" t="s">
        <v>15</v>
      </c>
      <c r="E12133">
        <v>-14458.02</v>
      </c>
      <c r="F12133">
        <v>-1.38</v>
      </c>
      <c r="G12133" t="s">
        <v>12</v>
      </c>
      <c r="I12133" t="s">
        <v>230</v>
      </c>
    </row>
    <row r="12134" spans="1:9" hidden="1" x14ac:dyDescent="0.25">
      <c r="A12134" t="s">
        <v>9904</v>
      </c>
      <c r="B12134" t="s">
        <v>578</v>
      </c>
      <c r="C12134" s="2">
        <f>HYPERLINK("https://cao.dolgi.msk.ru/account/1080070299/", 1080070299)</f>
        <v>1080070299</v>
      </c>
      <c r="D12134" t="s">
        <v>9972</v>
      </c>
      <c r="E12134">
        <v>-5644.82</v>
      </c>
      <c r="F12134">
        <v>-1.71</v>
      </c>
      <c r="G12134" t="s">
        <v>12</v>
      </c>
      <c r="I12134" t="s">
        <v>230</v>
      </c>
    </row>
    <row r="12135" spans="1:9" hidden="1" x14ac:dyDescent="0.25">
      <c r="A12135" t="s">
        <v>9904</v>
      </c>
      <c r="B12135" t="s">
        <v>580</v>
      </c>
      <c r="C12135" s="2">
        <f>HYPERLINK("https://cao.dolgi.msk.ru/account/1080070301/", 1080070301)</f>
        <v>1080070301</v>
      </c>
      <c r="D12135" t="s">
        <v>9973</v>
      </c>
      <c r="E12135">
        <v>3674.24</v>
      </c>
      <c r="F12135">
        <v>0.94</v>
      </c>
      <c r="G12135" t="s">
        <v>12</v>
      </c>
      <c r="I12135" t="s">
        <v>230</v>
      </c>
    </row>
    <row r="12136" spans="1:9" hidden="1" x14ac:dyDescent="0.25">
      <c r="A12136" t="s">
        <v>9904</v>
      </c>
      <c r="B12136" t="s">
        <v>686</v>
      </c>
      <c r="C12136" s="2">
        <f>HYPERLINK("https://cao.dolgi.msk.ru/account/1080070328/", 1080070328)</f>
        <v>1080070328</v>
      </c>
      <c r="D12136" t="s">
        <v>9974</v>
      </c>
      <c r="E12136">
        <v>46.58</v>
      </c>
      <c r="G12136" t="s">
        <v>14</v>
      </c>
      <c r="I12136" t="s">
        <v>230</v>
      </c>
    </row>
    <row r="12137" spans="1:9" hidden="1" x14ac:dyDescent="0.25">
      <c r="A12137" t="s">
        <v>9904</v>
      </c>
      <c r="B12137" t="s">
        <v>686</v>
      </c>
      <c r="C12137" s="2">
        <f>HYPERLINK("https://cao.dolgi.msk.ru/account/1080070336/", 1080070336)</f>
        <v>1080070336</v>
      </c>
      <c r="D12137" t="s">
        <v>9975</v>
      </c>
      <c r="E12137">
        <v>-8019.73</v>
      </c>
      <c r="F12137">
        <v>-1.36</v>
      </c>
      <c r="G12137" t="s">
        <v>12</v>
      </c>
      <c r="I12137" t="s">
        <v>230</v>
      </c>
    </row>
    <row r="12138" spans="1:9" hidden="1" x14ac:dyDescent="0.25">
      <c r="A12138" t="s">
        <v>9904</v>
      </c>
      <c r="B12138" t="s">
        <v>686</v>
      </c>
      <c r="C12138" s="2">
        <f>HYPERLINK("https://cao.dolgi.msk.ru/account/1080070344/", 1080070344)</f>
        <v>1080070344</v>
      </c>
      <c r="D12138" t="s">
        <v>9975</v>
      </c>
      <c r="E12138">
        <v>1189.81</v>
      </c>
      <c r="G12138" t="s">
        <v>14</v>
      </c>
      <c r="I12138" t="s">
        <v>230</v>
      </c>
    </row>
    <row r="12139" spans="1:9" x14ac:dyDescent="0.25">
      <c r="A12139" t="s">
        <v>9976</v>
      </c>
      <c r="B12139" t="s">
        <v>10</v>
      </c>
      <c r="C12139" s="2">
        <f>HYPERLINK("https://cao.dolgi.msk.ru/account/1080105906/", 1080105906)</f>
        <v>1080105906</v>
      </c>
      <c r="D12139" t="s">
        <v>9977</v>
      </c>
      <c r="E12139">
        <v>11269.45</v>
      </c>
      <c r="F12139">
        <v>1.67</v>
      </c>
      <c r="G12139" t="s">
        <v>12</v>
      </c>
      <c r="I12139" t="s">
        <v>230</v>
      </c>
    </row>
    <row r="12140" spans="1:9" hidden="1" x14ac:dyDescent="0.25">
      <c r="A12140" t="s">
        <v>9976</v>
      </c>
      <c r="B12140" t="s">
        <v>16</v>
      </c>
      <c r="C12140" s="2">
        <f>HYPERLINK("https://cao.dolgi.msk.ru/account/1080105914/", 1080105914)</f>
        <v>1080105914</v>
      </c>
      <c r="D12140" t="s">
        <v>9978</v>
      </c>
      <c r="E12140">
        <v>-5698.09</v>
      </c>
      <c r="F12140">
        <v>-1.01</v>
      </c>
      <c r="G12140" t="s">
        <v>12</v>
      </c>
      <c r="I12140" t="s">
        <v>230</v>
      </c>
    </row>
    <row r="12141" spans="1:9" hidden="1" x14ac:dyDescent="0.25">
      <c r="A12141" t="s">
        <v>9976</v>
      </c>
      <c r="B12141" t="s">
        <v>18</v>
      </c>
      <c r="C12141" s="2">
        <f>HYPERLINK("https://cao.dolgi.msk.ru/account/1080105922/", 1080105922)</f>
        <v>1080105922</v>
      </c>
      <c r="D12141" t="s">
        <v>9979</v>
      </c>
      <c r="E12141">
        <v>-5037.8100000000004</v>
      </c>
      <c r="F12141">
        <v>-0.98</v>
      </c>
      <c r="G12141" t="s">
        <v>12</v>
      </c>
      <c r="I12141" t="s">
        <v>230</v>
      </c>
    </row>
    <row r="12142" spans="1:9" hidden="1" x14ac:dyDescent="0.25">
      <c r="A12142" t="s">
        <v>9976</v>
      </c>
      <c r="B12142" t="s">
        <v>20</v>
      </c>
      <c r="C12142" s="2">
        <f>HYPERLINK("https://cao.dolgi.msk.ru/account/1080105949/", 1080105949)</f>
        <v>1080105949</v>
      </c>
      <c r="D12142" t="s">
        <v>9980</v>
      </c>
      <c r="E12142">
        <v>-4730.3</v>
      </c>
      <c r="F12142">
        <v>-1.1200000000000001</v>
      </c>
      <c r="G12142" t="s">
        <v>12</v>
      </c>
      <c r="I12142" t="s">
        <v>230</v>
      </c>
    </row>
    <row r="12143" spans="1:9" hidden="1" x14ac:dyDescent="0.25">
      <c r="A12143" t="s">
        <v>9976</v>
      </c>
      <c r="B12143" t="s">
        <v>21</v>
      </c>
      <c r="C12143" s="2">
        <f>HYPERLINK("https://cao.dolgi.msk.ru/account/1080108576/", 1080108576)</f>
        <v>1080108576</v>
      </c>
      <c r="D12143" t="s">
        <v>9981</v>
      </c>
      <c r="E12143">
        <v>-5309.08</v>
      </c>
      <c r="F12143">
        <v>-1.05</v>
      </c>
      <c r="G12143" t="s">
        <v>12</v>
      </c>
      <c r="I12143" t="s">
        <v>230</v>
      </c>
    </row>
    <row r="12144" spans="1:9" hidden="1" x14ac:dyDescent="0.25">
      <c r="A12144" t="s">
        <v>9976</v>
      </c>
      <c r="B12144" t="s">
        <v>22</v>
      </c>
      <c r="C12144" s="2">
        <f>HYPERLINK("https://cao.dolgi.msk.ru/account/1080105957/", 1080105957)</f>
        <v>1080105957</v>
      </c>
      <c r="D12144" t="s">
        <v>9982</v>
      </c>
      <c r="E12144">
        <v>-5754.73</v>
      </c>
      <c r="F12144">
        <v>-1.02</v>
      </c>
      <c r="G12144" t="s">
        <v>12</v>
      </c>
      <c r="I12144" t="s">
        <v>230</v>
      </c>
    </row>
    <row r="12145" spans="1:9" hidden="1" x14ac:dyDescent="0.25">
      <c r="A12145" t="s">
        <v>9976</v>
      </c>
      <c r="B12145" t="s">
        <v>23</v>
      </c>
      <c r="C12145" s="2">
        <f>HYPERLINK("https://cao.dolgi.msk.ru/account/1080105965/", 1080105965)</f>
        <v>1080105965</v>
      </c>
      <c r="D12145" t="s">
        <v>9983</v>
      </c>
      <c r="E12145">
        <v>8693.49</v>
      </c>
      <c r="F12145">
        <v>1</v>
      </c>
      <c r="G12145" t="s">
        <v>12</v>
      </c>
      <c r="I12145" t="s">
        <v>230</v>
      </c>
    </row>
    <row r="12146" spans="1:9" hidden="1" x14ac:dyDescent="0.25">
      <c r="A12146" t="s">
        <v>9976</v>
      </c>
      <c r="B12146" t="s">
        <v>23</v>
      </c>
      <c r="C12146" s="2">
        <f>HYPERLINK("https://cao.dolgi.msk.ru/account/1080326477/", 1080326477)</f>
        <v>1080326477</v>
      </c>
      <c r="D12146" t="s">
        <v>15</v>
      </c>
      <c r="E12146">
        <v>3879.98</v>
      </c>
      <c r="F12146">
        <v>1</v>
      </c>
      <c r="G12146" t="s">
        <v>12</v>
      </c>
      <c r="I12146" t="s">
        <v>230</v>
      </c>
    </row>
    <row r="12147" spans="1:9" hidden="1" x14ac:dyDescent="0.25">
      <c r="A12147" t="s">
        <v>9976</v>
      </c>
      <c r="B12147" t="s">
        <v>24</v>
      </c>
      <c r="C12147" s="2">
        <f>HYPERLINK("https://cao.dolgi.msk.ru/account/1080105973/", 1080105973)</f>
        <v>1080105973</v>
      </c>
      <c r="D12147" t="s">
        <v>9984</v>
      </c>
      <c r="E12147">
        <v>990.41</v>
      </c>
      <c r="F12147">
        <v>0.19</v>
      </c>
      <c r="G12147" t="s">
        <v>12</v>
      </c>
      <c r="I12147" t="s">
        <v>230</v>
      </c>
    </row>
    <row r="12148" spans="1:9" hidden="1" x14ac:dyDescent="0.25">
      <c r="A12148" t="s">
        <v>9976</v>
      </c>
      <c r="B12148" t="s">
        <v>27</v>
      </c>
      <c r="C12148" s="2">
        <f>HYPERLINK("https://cao.dolgi.msk.ru/account/1080105981/", 1080105981)</f>
        <v>1080105981</v>
      </c>
      <c r="D12148" t="s">
        <v>9985</v>
      </c>
      <c r="E12148">
        <v>-6964.4</v>
      </c>
      <c r="F12148">
        <v>-1.27</v>
      </c>
      <c r="G12148" t="s">
        <v>12</v>
      </c>
      <c r="I12148" t="s">
        <v>230</v>
      </c>
    </row>
    <row r="12149" spans="1:9" hidden="1" x14ac:dyDescent="0.25">
      <c r="A12149" t="s">
        <v>9976</v>
      </c>
      <c r="B12149" t="s">
        <v>29</v>
      </c>
      <c r="C12149" s="2">
        <f>HYPERLINK("https://cao.dolgi.msk.ru/account/1080106001/", 1080106001)</f>
        <v>1080106001</v>
      </c>
      <c r="D12149" t="s">
        <v>9986</v>
      </c>
      <c r="E12149">
        <v>-5299.56</v>
      </c>
      <c r="F12149">
        <v>-1.1299999999999999</v>
      </c>
      <c r="G12149" t="s">
        <v>12</v>
      </c>
      <c r="I12149" t="s">
        <v>230</v>
      </c>
    </row>
    <row r="12150" spans="1:9" hidden="1" x14ac:dyDescent="0.25">
      <c r="A12150" t="s">
        <v>9976</v>
      </c>
      <c r="B12150" t="s">
        <v>31</v>
      </c>
      <c r="C12150" s="2">
        <f>HYPERLINK("https://cao.dolgi.msk.ru/account/1080106028/", 1080106028)</f>
        <v>1080106028</v>
      </c>
      <c r="D12150" t="s">
        <v>9987</v>
      </c>
      <c r="E12150">
        <v>-9553.91</v>
      </c>
      <c r="F12150">
        <v>-1.02</v>
      </c>
      <c r="G12150" t="s">
        <v>12</v>
      </c>
      <c r="I12150" t="s">
        <v>230</v>
      </c>
    </row>
    <row r="12151" spans="1:9" hidden="1" x14ac:dyDescent="0.25">
      <c r="A12151" t="s">
        <v>9976</v>
      </c>
      <c r="B12151" t="s">
        <v>33</v>
      </c>
      <c r="C12151" s="2">
        <f>HYPERLINK("https://cao.dolgi.msk.ru/account/1080106036/", 1080106036)</f>
        <v>1080106036</v>
      </c>
      <c r="D12151" t="s">
        <v>9988</v>
      </c>
      <c r="E12151">
        <v>-2920.33</v>
      </c>
      <c r="F12151">
        <v>-1.19</v>
      </c>
      <c r="G12151" t="s">
        <v>12</v>
      </c>
      <c r="I12151" t="s">
        <v>230</v>
      </c>
    </row>
    <row r="12152" spans="1:9" hidden="1" x14ac:dyDescent="0.25">
      <c r="A12152" t="s">
        <v>9976</v>
      </c>
      <c r="B12152" t="s">
        <v>33</v>
      </c>
      <c r="C12152" s="2">
        <f>HYPERLINK("https://cao.dolgi.msk.ru/account/1083272136/", 1083272136)</f>
        <v>1083272136</v>
      </c>
      <c r="D12152" t="s">
        <v>9989</v>
      </c>
      <c r="E12152">
        <v>-2201.5</v>
      </c>
      <c r="F12152">
        <v>-1.1000000000000001</v>
      </c>
      <c r="G12152" t="s">
        <v>12</v>
      </c>
      <c r="I12152" t="s">
        <v>230</v>
      </c>
    </row>
    <row r="12153" spans="1:9" hidden="1" x14ac:dyDescent="0.25">
      <c r="A12153" t="s">
        <v>9976</v>
      </c>
      <c r="B12153" t="s">
        <v>34</v>
      </c>
      <c r="C12153" s="2">
        <f>HYPERLINK("https://cao.dolgi.msk.ru/account/1080106044/", 1080106044)</f>
        <v>1080106044</v>
      </c>
      <c r="D12153" t="s">
        <v>9990</v>
      </c>
      <c r="E12153">
        <v>0</v>
      </c>
      <c r="F12153">
        <v>0</v>
      </c>
      <c r="G12153" t="s">
        <v>12</v>
      </c>
      <c r="I12153" t="s">
        <v>230</v>
      </c>
    </row>
    <row r="12154" spans="1:9" hidden="1" x14ac:dyDescent="0.25">
      <c r="A12154" t="s">
        <v>9976</v>
      </c>
      <c r="B12154" t="s">
        <v>36</v>
      </c>
      <c r="C12154" s="2">
        <f>HYPERLINK("https://cao.dolgi.msk.ru/account/1080106052/", 1080106052)</f>
        <v>1080106052</v>
      </c>
      <c r="D12154" t="s">
        <v>9991</v>
      </c>
      <c r="E12154">
        <v>-3812.96</v>
      </c>
      <c r="F12154">
        <v>-1</v>
      </c>
      <c r="G12154" t="s">
        <v>12</v>
      </c>
      <c r="I12154" t="s">
        <v>230</v>
      </c>
    </row>
    <row r="12155" spans="1:9" hidden="1" x14ac:dyDescent="0.25">
      <c r="A12155" t="s">
        <v>9976</v>
      </c>
      <c r="B12155" t="s">
        <v>38</v>
      </c>
      <c r="C12155" s="2">
        <f>HYPERLINK("https://cao.dolgi.msk.ru/account/1080106079/", 1080106079)</f>
        <v>1080106079</v>
      </c>
      <c r="D12155" t="s">
        <v>9992</v>
      </c>
      <c r="E12155">
        <v>49.26</v>
      </c>
      <c r="F12155">
        <v>0.01</v>
      </c>
      <c r="G12155" t="s">
        <v>12</v>
      </c>
      <c r="I12155" t="s">
        <v>230</v>
      </c>
    </row>
    <row r="12156" spans="1:9" hidden="1" x14ac:dyDescent="0.25">
      <c r="A12156" t="s">
        <v>9976</v>
      </c>
      <c r="B12156" t="s">
        <v>39</v>
      </c>
      <c r="C12156" s="2">
        <f>HYPERLINK("https://cao.dolgi.msk.ru/account/1080106087/", 1080106087)</f>
        <v>1080106087</v>
      </c>
      <c r="D12156" t="s">
        <v>9993</v>
      </c>
      <c r="E12156">
        <v>-5116.16</v>
      </c>
      <c r="F12156">
        <v>-1.0900000000000001</v>
      </c>
      <c r="G12156" t="s">
        <v>12</v>
      </c>
      <c r="I12156" t="s">
        <v>230</v>
      </c>
    </row>
    <row r="12157" spans="1:9" hidden="1" x14ac:dyDescent="0.25">
      <c r="A12157" t="s">
        <v>9976</v>
      </c>
      <c r="B12157" t="s">
        <v>40</v>
      </c>
      <c r="C12157" s="2">
        <f>HYPERLINK("https://cao.dolgi.msk.ru/account/1080106095/", 1080106095)</f>
        <v>1080106095</v>
      </c>
      <c r="D12157" t="s">
        <v>9994</v>
      </c>
      <c r="E12157">
        <v>-34.79</v>
      </c>
      <c r="F12157">
        <v>-0.01</v>
      </c>
      <c r="G12157" t="s">
        <v>12</v>
      </c>
      <c r="I12157" t="s">
        <v>230</v>
      </c>
    </row>
    <row r="12158" spans="1:9" hidden="1" x14ac:dyDescent="0.25">
      <c r="A12158" t="s">
        <v>9976</v>
      </c>
      <c r="B12158" t="s">
        <v>41</v>
      </c>
      <c r="C12158" s="2">
        <f>HYPERLINK("https://cao.dolgi.msk.ru/account/1080106108/", 1080106108)</f>
        <v>1080106108</v>
      </c>
      <c r="D12158" t="s">
        <v>9995</v>
      </c>
      <c r="E12158">
        <v>314.95</v>
      </c>
      <c r="F12158">
        <v>0.04</v>
      </c>
      <c r="G12158" t="s">
        <v>12</v>
      </c>
      <c r="I12158" t="s">
        <v>230</v>
      </c>
    </row>
    <row r="12159" spans="1:9" hidden="1" x14ac:dyDescent="0.25">
      <c r="A12159" t="s">
        <v>9976</v>
      </c>
      <c r="B12159" t="s">
        <v>41</v>
      </c>
      <c r="C12159" s="2">
        <f>HYPERLINK("https://cao.dolgi.msk.ru/account/1089124193/", 1089124193)</f>
        <v>1089124193</v>
      </c>
      <c r="D12159" t="s">
        <v>15</v>
      </c>
      <c r="E12159">
        <v>0</v>
      </c>
      <c r="G12159" t="s">
        <v>14</v>
      </c>
      <c r="I12159" t="s">
        <v>230</v>
      </c>
    </row>
    <row r="12160" spans="1:9" hidden="1" x14ac:dyDescent="0.25">
      <c r="A12160" t="s">
        <v>9976</v>
      </c>
      <c r="B12160" t="s">
        <v>42</v>
      </c>
      <c r="C12160" s="2">
        <f>HYPERLINK("https://cao.dolgi.msk.ru/account/1080106116/", 1080106116)</f>
        <v>1080106116</v>
      </c>
      <c r="D12160" t="s">
        <v>9996</v>
      </c>
      <c r="E12160">
        <v>-9112.2099999999991</v>
      </c>
      <c r="F12160">
        <v>-1.1499999999999999</v>
      </c>
      <c r="G12160" t="s">
        <v>12</v>
      </c>
      <c r="I12160" t="s">
        <v>230</v>
      </c>
    </row>
    <row r="12161" spans="1:9" hidden="1" x14ac:dyDescent="0.25">
      <c r="A12161" t="s">
        <v>9976</v>
      </c>
      <c r="B12161" t="s">
        <v>44</v>
      </c>
      <c r="C12161" s="2">
        <f>HYPERLINK("https://cao.dolgi.msk.ru/account/1080106124/", 1080106124)</f>
        <v>1080106124</v>
      </c>
      <c r="D12161" t="s">
        <v>9997</v>
      </c>
      <c r="E12161">
        <v>-5739.15</v>
      </c>
      <c r="F12161">
        <v>-1.08</v>
      </c>
      <c r="G12161" t="s">
        <v>12</v>
      </c>
      <c r="I12161" t="s">
        <v>230</v>
      </c>
    </row>
    <row r="12162" spans="1:9" hidden="1" x14ac:dyDescent="0.25">
      <c r="A12162" t="s">
        <v>9976</v>
      </c>
      <c r="B12162" t="s">
        <v>66</v>
      </c>
      <c r="C12162" s="2">
        <f>HYPERLINK("https://cao.dolgi.msk.ru/account/1080106132/", 1080106132)</f>
        <v>1080106132</v>
      </c>
      <c r="D12162" t="s">
        <v>9998</v>
      </c>
      <c r="E12162">
        <v>-8936.33</v>
      </c>
      <c r="F12162">
        <v>-0.94</v>
      </c>
      <c r="G12162" t="s">
        <v>12</v>
      </c>
      <c r="I12162" t="s">
        <v>230</v>
      </c>
    </row>
    <row r="12163" spans="1:9" hidden="1" x14ac:dyDescent="0.25">
      <c r="A12163" t="s">
        <v>9976</v>
      </c>
      <c r="B12163" t="s">
        <v>68</v>
      </c>
      <c r="C12163" s="2">
        <f>HYPERLINK("https://cao.dolgi.msk.ru/account/1080106159/", 1080106159)</f>
        <v>1080106159</v>
      </c>
      <c r="D12163" t="s">
        <v>9999</v>
      </c>
      <c r="E12163">
        <v>-7276.57</v>
      </c>
      <c r="F12163">
        <v>-1.1599999999999999</v>
      </c>
      <c r="G12163" t="s">
        <v>12</v>
      </c>
      <c r="I12163" t="s">
        <v>230</v>
      </c>
    </row>
    <row r="12164" spans="1:9" hidden="1" x14ac:dyDescent="0.25">
      <c r="A12164" t="s">
        <v>9976</v>
      </c>
      <c r="B12164" t="s">
        <v>72</v>
      </c>
      <c r="C12164" s="2">
        <f>HYPERLINK("https://cao.dolgi.msk.ru/account/1080106175/", 1080106175)</f>
        <v>1080106175</v>
      </c>
      <c r="D12164" t="s">
        <v>10000</v>
      </c>
      <c r="E12164">
        <v>-7544.88</v>
      </c>
      <c r="F12164">
        <v>-1.01</v>
      </c>
      <c r="G12164" t="s">
        <v>12</v>
      </c>
      <c r="I12164" t="s">
        <v>230</v>
      </c>
    </row>
    <row r="12165" spans="1:9" hidden="1" x14ac:dyDescent="0.25">
      <c r="A12165" t="s">
        <v>9976</v>
      </c>
      <c r="B12165" t="s">
        <v>74</v>
      </c>
      <c r="C12165" s="2">
        <f>HYPERLINK("https://cao.dolgi.msk.ru/account/1080106183/", 1080106183)</f>
        <v>1080106183</v>
      </c>
      <c r="D12165" t="s">
        <v>10001</v>
      </c>
      <c r="E12165">
        <v>-6097.69</v>
      </c>
      <c r="F12165">
        <v>-1.02</v>
      </c>
      <c r="G12165" t="s">
        <v>12</v>
      </c>
      <c r="I12165" t="s">
        <v>230</v>
      </c>
    </row>
    <row r="12166" spans="1:9" hidden="1" x14ac:dyDescent="0.25">
      <c r="A12166" t="s">
        <v>9976</v>
      </c>
      <c r="B12166" t="s">
        <v>76</v>
      </c>
      <c r="C12166" s="2">
        <f>HYPERLINK("https://cao.dolgi.msk.ru/account/1080106191/", 1080106191)</f>
        <v>1080106191</v>
      </c>
      <c r="D12166" t="s">
        <v>10002</v>
      </c>
      <c r="E12166">
        <v>-10294.42</v>
      </c>
      <c r="F12166">
        <v>-1.17</v>
      </c>
      <c r="G12166" t="s">
        <v>12</v>
      </c>
      <c r="I12166" t="s">
        <v>230</v>
      </c>
    </row>
    <row r="12167" spans="1:9" hidden="1" x14ac:dyDescent="0.25">
      <c r="A12167" t="s">
        <v>9976</v>
      </c>
      <c r="B12167" t="s">
        <v>78</v>
      </c>
      <c r="C12167" s="2">
        <f>HYPERLINK("https://cao.dolgi.msk.ru/account/1080106204/", 1080106204)</f>
        <v>1080106204</v>
      </c>
      <c r="D12167" t="s">
        <v>10003</v>
      </c>
      <c r="E12167">
        <v>-7631.2</v>
      </c>
      <c r="F12167">
        <v>-1.01</v>
      </c>
      <c r="G12167" t="s">
        <v>12</v>
      </c>
      <c r="I12167" t="s">
        <v>230</v>
      </c>
    </row>
    <row r="12168" spans="1:9" hidden="1" x14ac:dyDescent="0.25">
      <c r="A12168" t="s">
        <v>9976</v>
      </c>
      <c r="B12168" t="s">
        <v>80</v>
      </c>
      <c r="C12168" s="2">
        <f>HYPERLINK("https://cao.dolgi.msk.ru/account/1080106212/", 1080106212)</f>
        <v>1080106212</v>
      </c>
      <c r="D12168" t="s">
        <v>10004</v>
      </c>
      <c r="E12168">
        <v>-4064.24</v>
      </c>
      <c r="F12168">
        <v>-1</v>
      </c>
      <c r="G12168" t="s">
        <v>12</v>
      </c>
      <c r="I12168" t="s">
        <v>230</v>
      </c>
    </row>
    <row r="12169" spans="1:9" hidden="1" x14ac:dyDescent="0.25">
      <c r="A12169" t="s">
        <v>9976</v>
      </c>
      <c r="B12169" t="s">
        <v>82</v>
      </c>
      <c r="C12169" s="2">
        <f>HYPERLINK("https://cao.dolgi.msk.ru/account/1080106239/", 1080106239)</f>
        <v>1080106239</v>
      </c>
      <c r="D12169" t="s">
        <v>10005</v>
      </c>
      <c r="E12169">
        <v>-115.53</v>
      </c>
      <c r="F12169">
        <v>-0.01</v>
      </c>
      <c r="G12169" t="s">
        <v>12</v>
      </c>
      <c r="I12169" t="s">
        <v>230</v>
      </c>
    </row>
    <row r="12170" spans="1:9" hidden="1" x14ac:dyDescent="0.25">
      <c r="A12170" t="s">
        <v>9976</v>
      </c>
      <c r="B12170" t="s">
        <v>84</v>
      </c>
      <c r="C12170" s="2">
        <f>HYPERLINK("https://cao.dolgi.msk.ru/account/1080106247/", 1080106247)</f>
        <v>1080106247</v>
      </c>
      <c r="D12170" t="s">
        <v>10006</v>
      </c>
      <c r="E12170">
        <v>-5906.59</v>
      </c>
      <c r="F12170">
        <v>-0.91</v>
      </c>
      <c r="G12170" t="s">
        <v>12</v>
      </c>
      <c r="I12170" t="s">
        <v>230</v>
      </c>
    </row>
    <row r="12171" spans="1:9" x14ac:dyDescent="0.25">
      <c r="A12171" t="s">
        <v>9976</v>
      </c>
      <c r="B12171" t="s">
        <v>86</v>
      </c>
      <c r="C12171" s="2">
        <f>HYPERLINK("https://cao.dolgi.msk.ru/account/1080106255/", 1080106255)</f>
        <v>1080106255</v>
      </c>
      <c r="D12171" t="s">
        <v>10007</v>
      </c>
      <c r="E12171">
        <v>11923.38</v>
      </c>
      <c r="F12171">
        <v>2.4300000000000002</v>
      </c>
      <c r="G12171" t="s">
        <v>12</v>
      </c>
      <c r="I12171" t="s">
        <v>230</v>
      </c>
    </row>
    <row r="12172" spans="1:9" hidden="1" x14ac:dyDescent="0.25">
      <c r="A12172" t="s">
        <v>9976</v>
      </c>
      <c r="B12172" t="s">
        <v>86</v>
      </c>
      <c r="C12172" s="2">
        <f>HYPERLINK("https://cao.dolgi.msk.ru/account/1089131895/", 1089131895)</f>
        <v>1089131895</v>
      </c>
      <c r="D12172" t="s">
        <v>10008</v>
      </c>
      <c r="E12172">
        <v>-4072.67</v>
      </c>
      <c r="F12172">
        <v>-1</v>
      </c>
      <c r="G12172" t="s">
        <v>12</v>
      </c>
      <c r="I12172" t="s">
        <v>230</v>
      </c>
    </row>
    <row r="12173" spans="1:9" hidden="1" x14ac:dyDescent="0.25">
      <c r="A12173" t="s">
        <v>9976</v>
      </c>
      <c r="B12173" t="s">
        <v>88</v>
      </c>
      <c r="C12173" s="2">
        <f>HYPERLINK("https://cao.dolgi.msk.ru/account/1080106263/", 1080106263)</f>
        <v>1080106263</v>
      </c>
      <c r="D12173" t="s">
        <v>10009</v>
      </c>
      <c r="E12173">
        <v>-7780.04</v>
      </c>
      <c r="F12173">
        <v>-1.04</v>
      </c>
      <c r="G12173" t="s">
        <v>12</v>
      </c>
      <c r="I12173" t="s">
        <v>230</v>
      </c>
    </row>
    <row r="12174" spans="1:9" hidden="1" x14ac:dyDescent="0.25">
      <c r="A12174" t="s">
        <v>9976</v>
      </c>
      <c r="B12174" t="s">
        <v>90</v>
      </c>
      <c r="C12174" s="2">
        <f>HYPERLINK("https://cao.dolgi.msk.ru/account/1080106271/", 1080106271)</f>
        <v>1080106271</v>
      </c>
      <c r="D12174" t="s">
        <v>10010</v>
      </c>
      <c r="E12174">
        <v>-657.19</v>
      </c>
      <c r="F12174">
        <v>-0.06</v>
      </c>
      <c r="G12174" t="s">
        <v>12</v>
      </c>
      <c r="I12174" t="s">
        <v>230</v>
      </c>
    </row>
    <row r="12175" spans="1:9" hidden="1" x14ac:dyDescent="0.25">
      <c r="A12175" t="s">
        <v>9976</v>
      </c>
      <c r="B12175" t="s">
        <v>92</v>
      </c>
      <c r="C12175" s="2">
        <f>HYPERLINK("https://cao.dolgi.msk.ru/account/1080106298/", 1080106298)</f>
        <v>1080106298</v>
      </c>
      <c r="D12175" t="s">
        <v>10011</v>
      </c>
      <c r="E12175">
        <v>-5408.97</v>
      </c>
      <c r="F12175">
        <v>-1.08</v>
      </c>
      <c r="G12175" t="s">
        <v>12</v>
      </c>
      <c r="I12175" t="s">
        <v>230</v>
      </c>
    </row>
    <row r="12176" spans="1:9" hidden="1" x14ac:dyDescent="0.25">
      <c r="A12176" t="s">
        <v>9976</v>
      </c>
      <c r="B12176" t="s">
        <v>94</v>
      </c>
      <c r="C12176" s="2">
        <f>HYPERLINK("https://cao.dolgi.msk.ru/account/1080106319/", 1080106319)</f>
        <v>1080106319</v>
      </c>
      <c r="D12176" t="s">
        <v>10012</v>
      </c>
      <c r="E12176">
        <v>-4243.29</v>
      </c>
      <c r="F12176">
        <v>-0.85</v>
      </c>
      <c r="G12176" t="s">
        <v>12</v>
      </c>
      <c r="I12176" t="s">
        <v>230</v>
      </c>
    </row>
    <row r="12177" spans="1:9" hidden="1" x14ac:dyDescent="0.25">
      <c r="A12177" t="s">
        <v>9976</v>
      </c>
      <c r="B12177" t="s">
        <v>96</v>
      </c>
      <c r="C12177" s="2">
        <f>HYPERLINK("https://cao.dolgi.msk.ru/account/1080106327/", 1080106327)</f>
        <v>1080106327</v>
      </c>
      <c r="D12177" t="s">
        <v>10013</v>
      </c>
      <c r="E12177">
        <v>0</v>
      </c>
      <c r="F12177">
        <v>0</v>
      </c>
      <c r="G12177" t="s">
        <v>12</v>
      </c>
      <c r="I12177" t="s">
        <v>230</v>
      </c>
    </row>
    <row r="12178" spans="1:9" hidden="1" x14ac:dyDescent="0.25">
      <c r="A12178" t="s">
        <v>9976</v>
      </c>
      <c r="B12178" t="s">
        <v>98</v>
      </c>
      <c r="C12178" s="2">
        <f>HYPERLINK("https://cao.dolgi.msk.ru/account/1080106335/", 1080106335)</f>
        <v>1080106335</v>
      </c>
      <c r="D12178" t="s">
        <v>10014</v>
      </c>
      <c r="E12178">
        <v>-6097.73</v>
      </c>
      <c r="F12178">
        <v>-1.01</v>
      </c>
      <c r="G12178" t="s">
        <v>12</v>
      </c>
      <c r="I12178" t="s">
        <v>230</v>
      </c>
    </row>
    <row r="12179" spans="1:9" x14ac:dyDescent="0.25">
      <c r="A12179" t="s">
        <v>9976</v>
      </c>
      <c r="B12179" t="s">
        <v>100</v>
      </c>
      <c r="C12179" s="2">
        <f>HYPERLINK("https://cao.dolgi.msk.ru/account/1080106343/", 1080106343)</f>
        <v>1080106343</v>
      </c>
      <c r="D12179" t="s">
        <v>10015</v>
      </c>
      <c r="E12179">
        <v>61958.03</v>
      </c>
      <c r="F12179">
        <v>6.19</v>
      </c>
      <c r="G12179" t="s">
        <v>12</v>
      </c>
      <c r="I12179" t="s">
        <v>230</v>
      </c>
    </row>
    <row r="12180" spans="1:9" hidden="1" x14ac:dyDescent="0.25">
      <c r="A12180" t="s">
        <v>9976</v>
      </c>
      <c r="B12180" t="s">
        <v>102</v>
      </c>
      <c r="C12180" s="2">
        <f>HYPERLINK("https://cao.dolgi.msk.ru/account/1080108584/", 1080108584)</f>
        <v>1080108584</v>
      </c>
      <c r="D12180" t="s">
        <v>10016</v>
      </c>
      <c r="E12180">
        <v>-6771.69</v>
      </c>
      <c r="F12180">
        <v>-1.03</v>
      </c>
      <c r="G12180" t="s">
        <v>12</v>
      </c>
      <c r="I12180" t="s">
        <v>230</v>
      </c>
    </row>
    <row r="12181" spans="1:9" hidden="1" x14ac:dyDescent="0.25">
      <c r="A12181" t="s">
        <v>9976</v>
      </c>
      <c r="B12181" t="s">
        <v>104</v>
      </c>
      <c r="C12181" s="2">
        <f>HYPERLINK("https://cao.dolgi.msk.ru/account/1080106378/", 1080106378)</f>
        <v>1080106378</v>
      </c>
      <c r="D12181" t="s">
        <v>10017</v>
      </c>
      <c r="E12181">
        <v>-14253.27</v>
      </c>
      <c r="F12181">
        <v>-1.01</v>
      </c>
      <c r="G12181" t="s">
        <v>12</v>
      </c>
      <c r="I12181" t="s">
        <v>230</v>
      </c>
    </row>
    <row r="12182" spans="1:9" x14ac:dyDescent="0.25">
      <c r="A12182" t="s">
        <v>9976</v>
      </c>
      <c r="B12182" t="s">
        <v>106</v>
      </c>
      <c r="C12182" s="2">
        <f>HYPERLINK("https://cao.dolgi.msk.ru/account/1080106386/", 1080106386)</f>
        <v>1080106386</v>
      </c>
      <c r="D12182" t="s">
        <v>10018</v>
      </c>
      <c r="E12182">
        <v>23047.69</v>
      </c>
      <c r="F12182">
        <v>1.82</v>
      </c>
      <c r="G12182" t="s">
        <v>12</v>
      </c>
      <c r="I12182" t="s">
        <v>230</v>
      </c>
    </row>
    <row r="12183" spans="1:9" hidden="1" x14ac:dyDescent="0.25">
      <c r="A12183" t="s">
        <v>9976</v>
      </c>
      <c r="B12183" t="s">
        <v>108</v>
      </c>
      <c r="C12183" s="2">
        <f>HYPERLINK("https://cao.dolgi.msk.ru/account/1080106394/", 1080106394)</f>
        <v>1080106394</v>
      </c>
      <c r="D12183" t="s">
        <v>10019</v>
      </c>
      <c r="E12183">
        <v>-7461.34</v>
      </c>
      <c r="F12183">
        <v>-1.41</v>
      </c>
      <c r="G12183" t="s">
        <v>12</v>
      </c>
      <c r="I12183" t="s">
        <v>230</v>
      </c>
    </row>
    <row r="12184" spans="1:9" hidden="1" x14ac:dyDescent="0.25">
      <c r="A12184" t="s">
        <v>9976</v>
      </c>
      <c r="B12184" t="s">
        <v>110</v>
      </c>
      <c r="C12184" s="2">
        <f>HYPERLINK("https://cao.dolgi.msk.ru/account/1080106407/", 1080106407)</f>
        <v>1080106407</v>
      </c>
      <c r="D12184" t="s">
        <v>10020</v>
      </c>
      <c r="E12184">
        <v>-5305.56</v>
      </c>
      <c r="F12184">
        <v>-1.1299999999999999</v>
      </c>
      <c r="G12184" t="s">
        <v>12</v>
      </c>
      <c r="I12184" t="s">
        <v>230</v>
      </c>
    </row>
    <row r="12185" spans="1:9" hidden="1" x14ac:dyDescent="0.25">
      <c r="A12185" t="s">
        <v>9976</v>
      </c>
      <c r="B12185" t="s">
        <v>112</v>
      </c>
      <c r="C12185" s="2">
        <f>HYPERLINK("https://cao.dolgi.msk.ru/account/1080106415/", 1080106415)</f>
        <v>1080106415</v>
      </c>
      <c r="D12185" t="s">
        <v>15</v>
      </c>
      <c r="E12185">
        <v>-18.920000000000002</v>
      </c>
      <c r="F12185">
        <v>0</v>
      </c>
      <c r="G12185" t="s">
        <v>12</v>
      </c>
      <c r="I12185" t="s">
        <v>230</v>
      </c>
    </row>
    <row r="12186" spans="1:9" hidden="1" x14ac:dyDescent="0.25">
      <c r="A12186" t="s">
        <v>9976</v>
      </c>
      <c r="B12186" t="s">
        <v>114</v>
      </c>
      <c r="C12186" s="2">
        <f>HYPERLINK("https://cao.dolgi.msk.ru/account/1080106423/", 1080106423)</f>
        <v>1080106423</v>
      </c>
      <c r="D12186" t="s">
        <v>10021</v>
      </c>
      <c r="E12186">
        <v>-5047.55</v>
      </c>
      <c r="F12186">
        <v>-1.2</v>
      </c>
      <c r="G12186" t="s">
        <v>12</v>
      </c>
      <c r="I12186" t="s">
        <v>230</v>
      </c>
    </row>
    <row r="12187" spans="1:9" hidden="1" x14ac:dyDescent="0.25">
      <c r="A12187" t="s">
        <v>9976</v>
      </c>
      <c r="B12187" t="s">
        <v>116</v>
      </c>
      <c r="C12187" s="2">
        <f>HYPERLINK("https://cao.dolgi.msk.ru/account/1080106431/", 1080106431)</f>
        <v>1080106431</v>
      </c>
      <c r="D12187" t="s">
        <v>10022</v>
      </c>
      <c r="E12187">
        <v>1064.53</v>
      </c>
      <c r="F12187">
        <v>0.21</v>
      </c>
      <c r="G12187" t="s">
        <v>12</v>
      </c>
      <c r="I12187" t="s">
        <v>230</v>
      </c>
    </row>
    <row r="12188" spans="1:9" hidden="1" x14ac:dyDescent="0.25">
      <c r="A12188" t="s">
        <v>9976</v>
      </c>
      <c r="B12188" t="s">
        <v>118</v>
      </c>
      <c r="C12188" s="2">
        <f>HYPERLINK("https://cao.dolgi.msk.ru/account/1080106458/", 1080106458)</f>
        <v>1080106458</v>
      </c>
      <c r="D12188" t="s">
        <v>10023</v>
      </c>
      <c r="E12188">
        <v>-5084.32</v>
      </c>
      <c r="F12188">
        <v>-1.05</v>
      </c>
      <c r="G12188" t="s">
        <v>12</v>
      </c>
      <c r="I12188" t="s">
        <v>230</v>
      </c>
    </row>
    <row r="12189" spans="1:9" hidden="1" x14ac:dyDescent="0.25">
      <c r="A12189" t="s">
        <v>9976</v>
      </c>
      <c r="B12189" t="s">
        <v>120</v>
      </c>
      <c r="C12189" s="2">
        <f>HYPERLINK("https://cao.dolgi.msk.ru/account/1080324578/", 1080324578)</f>
        <v>1080324578</v>
      </c>
      <c r="D12189" t="s">
        <v>10024</v>
      </c>
      <c r="E12189">
        <v>7665.8</v>
      </c>
      <c r="F12189">
        <v>1</v>
      </c>
      <c r="G12189" t="s">
        <v>12</v>
      </c>
      <c r="I12189" t="s">
        <v>230</v>
      </c>
    </row>
    <row r="12190" spans="1:9" hidden="1" x14ac:dyDescent="0.25">
      <c r="A12190" t="s">
        <v>9976</v>
      </c>
      <c r="B12190" t="s">
        <v>122</v>
      </c>
      <c r="C12190" s="2">
        <f>HYPERLINK("https://cao.dolgi.msk.ru/account/1080106474/", 1080106474)</f>
        <v>1080106474</v>
      </c>
      <c r="D12190" t="s">
        <v>10025</v>
      </c>
      <c r="E12190">
        <v>-17.850000000000001</v>
      </c>
      <c r="F12190">
        <v>0</v>
      </c>
      <c r="G12190" t="s">
        <v>12</v>
      </c>
      <c r="I12190" t="s">
        <v>230</v>
      </c>
    </row>
    <row r="12191" spans="1:9" hidden="1" x14ac:dyDescent="0.25">
      <c r="A12191" t="s">
        <v>9976</v>
      </c>
      <c r="B12191" t="s">
        <v>124</v>
      </c>
      <c r="C12191" s="2">
        <f>HYPERLINK("https://cao.dolgi.msk.ru/account/1080106482/", 1080106482)</f>
        <v>1080106482</v>
      </c>
      <c r="D12191" t="s">
        <v>10026</v>
      </c>
      <c r="E12191">
        <v>-4179.7700000000004</v>
      </c>
      <c r="F12191">
        <v>-1.04</v>
      </c>
      <c r="G12191" t="s">
        <v>12</v>
      </c>
      <c r="I12191" t="s">
        <v>230</v>
      </c>
    </row>
    <row r="12192" spans="1:9" hidden="1" x14ac:dyDescent="0.25">
      <c r="A12192" t="s">
        <v>9976</v>
      </c>
      <c r="B12192" t="s">
        <v>126</v>
      </c>
      <c r="C12192" s="2">
        <f>HYPERLINK("https://cao.dolgi.msk.ru/account/1080106503/", 1080106503)</f>
        <v>1080106503</v>
      </c>
      <c r="D12192" t="s">
        <v>10027</v>
      </c>
      <c r="E12192">
        <v>-1138.02</v>
      </c>
      <c r="F12192">
        <v>-0.22</v>
      </c>
      <c r="G12192" t="s">
        <v>12</v>
      </c>
      <c r="I12192" t="s">
        <v>230</v>
      </c>
    </row>
    <row r="12193" spans="1:9" hidden="1" x14ac:dyDescent="0.25">
      <c r="A12193" t="s">
        <v>9976</v>
      </c>
      <c r="B12193" t="s">
        <v>128</v>
      </c>
      <c r="C12193" s="2">
        <f>HYPERLINK("https://cao.dolgi.msk.ru/account/1080106511/", 1080106511)</f>
        <v>1080106511</v>
      </c>
      <c r="D12193" t="s">
        <v>10028</v>
      </c>
      <c r="E12193">
        <v>0</v>
      </c>
      <c r="F12193">
        <v>0</v>
      </c>
      <c r="G12193" t="s">
        <v>12</v>
      </c>
      <c r="I12193" t="s">
        <v>230</v>
      </c>
    </row>
    <row r="12194" spans="1:9" hidden="1" x14ac:dyDescent="0.25">
      <c r="A12194" t="s">
        <v>9976</v>
      </c>
      <c r="B12194" t="s">
        <v>130</v>
      </c>
      <c r="C12194" s="2">
        <f>HYPERLINK("https://cao.dolgi.msk.ru/account/1080106538/", 1080106538)</f>
        <v>1080106538</v>
      </c>
      <c r="D12194" t="s">
        <v>10029</v>
      </c>
      <c r="E12194">
        <v>-82.45</v>
      </c>
      <c r="F12194">
        <v>-0.02</v>
      </c>
      <c r="G12194" t="s">
        <v>12</v>
      </c>
      <c r="I12194" t="s">
        <v>230</v>
      </c>
    </row>
    <row r="12195" spans="1:9" hidden="1" x14ac:dyDescent="0.25">
      <c r="A12195" t="s">
        <v>9976</v>
      </c>
      <c r="B12195" t="s">
        <v>132</v>
      </c>
      <c r="C12195" s="2">
        <f>HYPERLINK("https://cao.dolgi.msk.ru/account/1080106546/", 1080106546)</f>
        <v>1080106546</v>
      </c>
      <c r="D12195" t="s">
        <v>10030</v>
      </c>
      <c r="E12195">
        <v>-5942.95</v>
      </c>
      <c r="F12195">
        <v>-0.94</v>
      </c>
      <c r="G12195" t="s">
        <v>12</v>
      </c>
      <c r="I12195" t="s">
        <v>230</v>
      </c>
    </row>
    <row r="12196" spans="1:9" hidden="1" x14ac:dyDescent="0.25">
      <c r="A12196" t="s">
        <v>9976</v>
      </c>
      <c r="B12196" t="s">
        <v>133</v>
      </c>
      <c r="C12196" s="2">
        <f>HYPERLINK("https://cao.dolgi.msk.ru/account/1080106554/", 1080106554)</f>
        <v>1080106554</v>
      </c>
      <c r="D12196" t="s">
        <v>10031</v>
      </c>
      <c r="E12196">
        <v>-224.32</v>
      </c>
      <c r="F12196">
        <v>-0.04</v>
      </c>
      <c r="G12196" t="s">
        <v>12</v>
      </c>
      <c r="I12196" t="s">
        <v>230</v>
      </c>
    </row>
    <row r="12197" spans="1:9" hidden="1" x14ac:dyDescent="0.25">
      <c r="A12197" t="s">
        <v>9976</v>
      </c>
      <c r="B12197" t="s">
        <v>135</v>
      </c>
      <c r="C12197" s="2">
        <f>HYPERLINK("https://cao.dolgi.msk.ru/account/1080106562/", 1080106562)</f>
        <v>1080106562</v>
      </c>
      <c r="D12197" t="s">
        <v>10032</v>
      </c>
      <c r="E12197">
        <v>61.04</v>
      </c>
      <c r="G12197" t="s">
        <v>14</v>
      </c>
      <c r="I12197" t="s">
        <v>230</v>
      </c>
    </row>
    <row r="12198" spans="1:9" hidden="1" x14ac:dyDescent="0.25">
      <c r="A12198" t="s">
        <v>9976</v>
      </c>
      <c r="B12198" t="s">
        <v>135</v>
      </c>
      <c r="C12198" s="2">
        <f>HYPERLINK("https://cao.dolgi.msk.ru/account/1089126885/", 1089126885)</f>
        <v>1089126885</v>
      </c>
      <c r="D12198" t="s">
        <v>10033</v>
      </c>
      <c r="E12198">
        <v>-204</v>
      </c>
      <c r="F12198">
        <v>-0.03</v>
      </c>
      <c r="G12198" t="s">
        <v>12</v>
      </c>
      <c r="I12198" t="s">
        <v>230</v>
      </c>
    </row>
    <row r="12199" spans="1:9" hidden="1" x14ac:dyDescent="0.25">
      <c r="A12199" t="s">
        <v>9976</v>
      </c>
      <c r="B12199" t="s">
        <v>137</v>
      </c>
      <c r="C12199" s="2">
        <f>HYPERLINK("https://cao.dolgi.msk.ru/account/1080106589/", 1080106589)</f>
        <v>1080106589</v>
      </c>
      <c r="D12199" t="s">
        <v>10034</v>
      </c>
      <c r="E12199">
        <v>-1242.6600000000001</v>
      </c>
      <c r="F12199">
        <v>-0.15</v>
      </c>
      <c r="G12199" t="s">
        <v>12</v>
      </c>
      <c r="I12199" t="s">
        <v>230</v>
      </c>
    </row>
    <row r="12200" spans="1:9" hidden="1" x14ac:dyDescent="0.25">
      <c r="A12200" t="s">
        <v>9976</v>
      </c>
      <c r="B12200" t="s">
        <v>139</v>
      </c>
      <c r="C12200" s="2">
        <f>HYPERLINK("https://cao.dolgi.msk.ru/account/1080106597/", 1080106597)</f>
        <v>1080106597</v>
      </c>
      <c r="D12200" t="s">
        <v>10035</v>
      </c>
      <c r="E12200">
        <v>-5496.15</v>
      </c>
      <c r="F12200">
        <v>-1.03</v>
      </c>
      <c r="G12200" t="s">
        <v>12</v>
      </c>
      <c r="I12200" t="s">
        <v>230</v>
      </c>
    </row>
    <row r="12201" spans="1:9" hidden="1" x14ac:dyDescent="0.25">
      <c r="A12201" t="s">
        <v>9976</v>
      </c>
      <c r="B12201" t="s">
        <v>141</v>
      </c>
      <c r="C12201" s="2">
        <f>HYPERLINK("https://cao.dolgi.msk.ru/account/1080106618/", 1080106618)</f>
        <v>1080106618</v>
      </c>
      <c r="D12201" t="s">
        <v>10036</v>
      </c>
      <c r="E12201">
        <v>628.37</v>
      </c>
      <c r="F12201">
        <v>7.0000000000000007E-2</v>
      </c>
      <c r="G12201" t="s">
        <v>12</v>
      </c>
      <c r="I12201" t="s">
        <v>230</v>
      </c>
    </row>
    <row r="12202" spans="1:9" hidden="1" x14ac:dyDescent="0.25">
      <c r="A12202" t="s">
        <v>9976</v>
      </c>
      <c r="B12202" t="s">
        <v>143</v>
      </c>
      <c r="C12202" s="2">
        <f>HYPERLINK("https://cao.dolgi.msk.ru/account/1080106626/", 1080106626)</f>
        <v>1080106626</v>
      </c>
      <c r="D12202" t="s">
        <v>10037</v>
      </c>
      <c r="E12202">
        <v>-4386.53</v>
      </c>
      <c r="F12202">
        <v>-1.03</v>
      </c>
      <c r="G12202" t="s">
        <v>12</v>
      </c>
      <c r="I12202" t="s">
        <v>230</v>
      </c>
    </row>
    <row r="12203" spans="1:9" hidden="1" x14ac:dyDescent="0.25">
      <c r="A12203" t="s">
        <v>9976</v>
      </c>
      <c r="B12203" t="s">
        <v>145</v>
      </c>
      <c r="C12203" s="2">
        <f>HYPERLINK("https://cao.dolgi.msk.ru/account/1080106634/", 1080106634)</f>
        <v>1080106634</v>
      </c>
      <c r="D12203" t="s">
        <v>10038</v>
      </c>
      <c r="E12203">
        <v>-11395.45</v>
      </c>
      <c r="F12203">
        <v>-1.61</v>
      </c>
      <c r="G12203" t="s">
        <v>12</v>
      </c>
      <c r="I12203" t="s">
        <v>230</v>
      </c>
    </row>
    <row r="12204" spans="1:9" hidden="1" x14ac:dyDescent="0.25">
      <c r="A12204" t="s">
        <v>9976</v>
      </c>
      <c r="B12204" t="s">
        <v>147</v>
      </c>
      <c r="C12204" s="2">
        <f>HYPERLINK("https://cao.dolgi.msk.ru/account/1080106642/", 1080106642)</f>
        <v>1080106642</v>
      </c>
      <c r="D12204" t="s">
        <v>10039</v>
      </c>
      <c r="E12204">
        <v>-8959</v>
      </c>
      <c r="F12204">
        <v>-1.02</v>
      </c>
      <c r="G12204" t="s">
        <v>12</v>
      </c>
      <c r="I12204" t="s">
        <v>230</v>
      </c>
    </row>
    <row r="12205" spans="1:9" hidden="1" x14ac:dyDescent="0.25">
      <c r="A12205" t="s">
        <v>9976</v>
      </c>
      <c r="B12205" t="s">
        <v>149</v>
      </c>
      <c r="C12205" s="2">
        <f>HYPERLINK("https://cao.dolgi.msk.ru/account/1080106669/", 1080106669)</f>
        <v>1080106669</v>
      </c>
      <c r="D12205" t="s">
        <v>10040</v>
      </c>
      <c r="E12205">
        <v>-2998.4</v>
      </c>
      <c r="F12205">
        <v>-0.98</v>
      </c>
      <c r="G12205" t="s">
        <v>12</v>
      </c>
      <c r="I12205" t="s">
        <v>230</v>
      </c>
    </row>
    <row r="12206" spans="1:9" hidden="1" x14ac:dyDescent="0.25">
      <c r="A12206" t="s">
        <v>9976</v>
      </c>
      <c r="B12206" t="s">
        <v>151</v>
      </c>
      <c r="C12206" s="2">
        <f>HYPERLINK("https://cao.dolgi.msk.ru/account/1080106677/", 1080106677)</f>
        <v>1080106677</v>
      </c>
      <c r="D12206" t="s">
        <v>10041</v>
      </c>
      <c r="E12206">
        <v>-4917.18</v>
      </c>
      <c r="F12206">
        <v>-1</v>
      </c>
      <c r="G12206" t="s">
        <v>12</v>
      </c>
      <c r="I12206" t="s">
        <v>230</v>
      </c>
    </row>
    <row r="12207" spans="1:9" hidden="1" x14ac:dyDescent="0.25">
      <c r="A12207" t="s">
        <v>9976</v>
      </c>
      <c r="B12207" t="s">
        <v>153</v>
      </c>
      <c r="C12207" s="2">
        <f>HYPERLINK("https://cao.dolgi.msk.ru/account/1080106685/", 1080106685)</f>
        <v>1080106685</v>
      </c>
      <c r="D12207" t="s">
        <v>10042</v>
      </c>
      <c r="E12207">
        <v>-5671.15</v>
      </c>
      <c r="F12207">
        <v>-1.01</v>
      </c>
      <c r="G12207" t="s">
        <v>12</v>
      </c>
      <c r="I12207" t="s">
        <v>230</v>
      </c>
    </row>
    <row r="12208" spans="1:9" hidden="1" x14ac:dyDescent="0.25">
      <c r="A12208" t="s">
        <v>9976</v>
      </c>
      <c r="B12208" t="s">
        <v>155</v>
      </c>
      <c r="C12208" s="2">
        <f>HYPERLINK("https://cao.dolgi.msk.ru/account/1080106693/", 1080106693)</f>
        <v>1080106693</v>
      </c>
      <c r="D12208" t="s">
        <v>10043</v>
      </c>
      <c r="E12208">
        <v>-5305.44</v>
      </c>
      <c r="F12208">
        <v>-1.02</v>
      </c>
      <c r="G12208" t="s">
        <v>12</v>
      </c>
      <c r="I12208" t="s">
        <v>230</v>
      </c>
    </row>
    <row r="12209" spans="1:9" hidden="1" x14ac:dyDescent="0.25">
      <c r="A12209" t="s">
        <v>9976</v>
      </c>
      <c r="B12209" t="s">
        <v>157</v>
      </c>
      <c r="C12209" s="2">
        <f>HYPERLINK("https://cao.dolgi.msk.ru/account/1080106706/", 1080106706)</f>
        <v>1080106706</v>
      </c>
      <c r="D12209" t="s">
        <v>10044</v>
      </c>
      <c r="E12209">
        <v>-9172.24</v>
      </c>
      <c r="F12209">
        <v>-2.85</v>
      </c>
      <c r="G12209" t="s">
        <v>12</v>
      </c>
      <c r="I12209" t="s">
        <v>230</v>
      </c>
    </row>
    <row r="12210" spans="1:9" hidden="1" x14ac:dyDescent="0.25">
      <c r="A12210" t="s">
        <v>9976</v>
      </c>
      <c r="B12210" t="s">
        <v>159</v>
      </c>
      <c r="C12210" s="2">
        <f>HYPERLINK("https://cao.dolgi.msk.ru/account/1080106714/", 1080106714)</f>
        <v>1080106714</v>
      </c>
      <c r="D12210" t="s">
        <v>10045</v>
      </c>
      <c r="E12210">
        <v>-5140.25</v>
      </c>
      <c r="F12210">
        <v>-1.02</v>
      </c>
      <c r="G12210" t="s">
        <v>12</v>
      </c>
      <c r="I12210" t="s">
        <v>230</v>
      </c>
    </row>
    <row r="12211" spans="1:9" hidden="1" x14ac:dyDescent="0.25">
      <c r="A12211" t="s">
        <v>9976</v>
      </c>
      <c r="B12211" t="s">
        <v>161</v>
      </c>
      <c r="C12211" s="2">
        <f>HYPERLINK("https://cao.dolgi.msk.ru/account/1080106722/", 1080106722)</f>
        <v>1080106722</v>
      </c>
      <c r="D12211" t="s">
        <v>10046</v>
      </c>
      <c r="E12211">
        <v>-1466.11</v>
      </c>
      <c r="F12211">
        <v>-0.36</v>
      </c>
      <c r="G12211" t="s">
        <v>12</v>
      </c>
      <c r="I12211" t="s">
        <v>230</v>
      </c>
    </row>
    <row r="12212" spans="1:9" x14ac:dyDescent="0.25">
      <c r="A12212" t="s">
        <v>9976</v>
      </c>
      <c r="B12212" t="s">
        <v>163</v>
      </c>
      <c r="C12212" s="2">
        <f>HYPERLINK("https://cao.dolgi.msk.ru/account/1080106749/", 1080106749)</f>
        <v>1080106749</v>
      </c>
      <c r="D12212" t="s">
        <v>15</v>
      </c>
      <c r="E12212">
        <v>19574.66</v>
      </c>
      <c r="F12212">
        <v>1.74</v>
      </c>
      <c r="G12212" t="s">
        <v>12</v>
      </c>
      <c r="I12212" t="s">
        <v>230</v>
      </c>
    </row>
    <row r="12213" spans="1:9" hidden="1" x14ac:dyDescent="0.25">
      <c r="A12213" t="s">
        <v>9976</v>
      </c>
      <c r="B12213" t="s">
        <v>571</v>
      </c>
      <c r="C12213" s="2">
        <f>HYPERLINK("https://cao.dolgi.msk.ru/account/1080106757/", 1080106757)</f>
        <v>1080106757</v>
      </c>
      <c r="D12213" t="s">
        <v>10047</v>
      </c>
      <c r="E12213">
        <v>-4336.7</v>
      </c>
      <c r="F12213">
        <v>-1.17</v>
      </c>
      <c r="G12213" t="s">
        <v>12</v>
      </c>
      <c r="I12213" t="s">
        <v>230</v>
      </c>
    </row>
    <row r="12214" spans="1:9" hidden="1" x14ac:dyDescent="0.25">
      <c r="A12214" t="s">
        <v>9976</v>
      </c>
      <c r="B12214" t="s">
        <v>682</v>
      </c>
      <c r="C12214" s="2">
        <f>HYPERLINK("https://cao.dolgi.msk.ru/account/1080106765/", 1080106765)</f>
        <v>1080106765</v>
      </c>
      <c r="D12214" t="s">
        <v>10048</v>
      </c>
      <c r="E12214">
        <v>-10570.17</v>
      </c>
      <c r="F12214">
        <v>-1.01</v>
      </c>
      <c r="G12214" t="s">
        <v>12</v>
      </c>
      <c r="I12214" t="s">
        <v>230</v>
      </c>
    </row>
    <row r="12215" spans="1:9" hidden="1" x14ac:dyDescent="0.25">
      <c r="A12215" t="s">
        <v>9976</v>
      </c>
      <c r="B12215" t="s">
        <v>578</v>
      </c>
      <c r="C12215" s="2">
        <f>HYPERLINK("https://cao.dolgi.msk.ru/account/1080106773/", 1080106773)</f>
        <v>1080106773</v>
      </c>
      <c r="D12215" t="s">
        <v>15</v>
      </c>
      <c r="E12215">
        <v>-55.71</v>
      </c>
      <c r="F12215">
        <v>-0.01</v>
      </c>
      <c r="G12215" t="s">
        <v>12</v>
      </c>
      <c r="I12215" t="s">
        <v>230</v>
      </c>
    </row>
    <row r="12216" spans="1:9" hidden="1" x14ac:dyDescent="0.25">
      <c r="A12216" t="s">
        <v>9976</v>
      </c>
      <c r="B12216" t="s">
        <v>580</v>
      </c>
      <c r="C12216" s="2">
        <f>HYPERLINK("https://cao.dolgi.msk.ru/account/1080106781/", 1080106781)</f>
        <v>1080106781</v>
      </c>
      <c r="D12216" t="s">
        <v>10049</v>
      </c>
      <c r="E12216">
        <v>-9140.2999999999993</v>
      </c>
      <c r="F12216">
        <v>-1.1000000000000001</v>
      </c>
      <c r="G12216" t="s">
        <v>12</v>
      </c>
      <c r="I12216" t="s">
        <v>230</v>
      </c>
    </row>
    <row r="12217" spans="1:9" hidden="1" x14ac:dyDescent="0.25">
      <c r="A12217" t="s">
        <v>9976</v>
      </c>
      <c r="B12217" t="s">
        <v>686</v>
      </c>
      <c r="C12217" s="2">
        <f>HYPERLINK("https://cao.dolgi.msk.ru/account/1080106802/", 1080106802)</f>
        <v>1080106802</v>
      </c>
      <c r="D12217" t="s">
        <v>10050</v>
      </c>
      <c r="E12217">
        <v>-4137.28</v>
      </c>
      <c r="F12217">
        <v>-1.22</v>
      </c>
      <c r="G12217" t="s">
        <v>12</v>
      </c>
      <c r="I12217" t="s">
        <v>230</v>
      </c>
    </row>
    <row r="12218" spans="1:9" hidden="1" x14ac:dyDescent="0.25">
      <c r="A12218" t="s">
        <v>9976</v>
      </c>
      <c r="B12218" t="s">
        <v>686</v>
      </c>
      <c r="C12218" s="2">
        <f>HYPERLINK("https://cao.dolgi.msk.ru/account/1080323911/", 1080323911)</f>
        <v>1080323911</v>
      </c>
      <c r="D12218" t="s">
        <v>10051</v>
      </c>
      <c r="E12218">
        <v>-3473.25</v>
      </c>
      <c r="F12218">
        <v>-1.01</v>
      </c>
      <c r="G12218" t="s">
        <v>12</v>
      </c>
      <c r="I12218" t="s">
        <v>230</v>
      </c>
    </row>
    <row r="12219" spans="1:9" hidden="1" x14ac:dyDescent="0.25">
      <c r="A12219" t="s">
        <v>9976</v>
      </c>
      <c r="B12219" t="s">
        <v>582</v>
      </c>
      <c r="C12219" s="2">
        <f>HYPERLINK("https://cao.dolgi.msk.ru/account/1080106829/", 1080106829)</f>
        <v>1080106829</v>
      </c>
      <c r="D12219" t="s">
        <v>10052</v>
      </c>
      <c r="E12219">
        <v>5771.63</v>
      </c>
      <c r="F12219">
        <v>1</v>
      </c>
      <c r="G12219" t="s">
        <v>12</v>
      </c>
      <c r="I12219" t="s">
        <v>230</v>
      </c>
    </row>
    <row r="12220" spans="1:9" hidden="1" x14ac:dyDescent="0.25">
      <c r="A12220" t="s">
        <v>9976</v>
      </c>
      <c r="B12220" t="s">
        <v>584</v>
      </c>
      <c r="C12220" s="2">
        <f>HYPERLINK("https://cao.dolgi.msk.ru/account/1080106837/", 1080106837)</f>
        <v>1080106837</v>
      </c>
      <c r="D12220" t="s">
        <v>10053</v>
      </c>
      <c r="E12220">
        <v>-4177.93</v>
      </c>
      <c r="F12220">
        <v>-1.08</v>
      </c>
      <c r="G12220" t="s">
        <v>12</v>
      </c>
      <c r="I12220" t="s">
        <v>230</v>
      </c>
    </row>
    <row r="12221" spans="1:9" hidden="1" x14ac:dyDescent="0.25">
      <c r="A12221" t="s">
        <v>9976</v>
      </c>
      <c r="B12221" t="s">
        <v>586</v>
      </c>
      <c r="C12221" s="2">
        <f>HYPERLINK("https://cao.dolgi.msk.ru/account/1080106845/", 1080106845)</f>
        <v>1080106845</v>
      </c>
      <c r="D12221" t="s">
        <v>10054</v>
      </c>
      <c r="E12221">
        <v>-7486.89</v>
      </c>
      <c r="F12221">
        <v>-0.93</v>
      </c>
      <c r="G12221" t="s">
        <v>12</v>
      </c>
      <c r="I12221" t="s">
        <v>230</v>
      </c>
    </row>
    <row r="12222" spans="1:9" hidden="1" x14ac:dyDescent="0.25">
      <c r="A12222" t="s">
        <v>9976</v>
      </c>
      <c r="B12222" t="s">
        <v>588</v>
      </c>
      <c r="C12222" s="2">
        <f>HYPERLINK("https://cao.dolgi.msk.ru/account/1080106853/", 1080106853)</f>
        <v>1080106853</v>
      </c>
      <c r="D12222" t="s">
        <v>10055</v>
      </c>
      <c r="E12222">
        <v>-13207.58</v>
      </c>
      <c r="F12222">
        <v>-2.02</v>
      </c>
      <c r="G12222" t="s">
        <v>12</v>
      </c>
      <c r="I12222" t="s">
        <v>230</v>
      </c>
    </row>
    <row r="12223" spans="1:9" hidden="1" x14ac:dyDescent="0.25">
      <c r="A12223" t="s">
        <v>9976</v>
      </c>
      <c r="B12223" t="s">
        <v>590</v>
      </c>
      <c r="C12223" s="2">
        <f>HYPERLINK("https://cao.dolgi.msk.ru/account/1080106861/", 1080106861)</f>
        <v>1080106861</v>
      </c>
      <c r="D12223" t="s">
        <v>10056</v>
      </c>
      <c r="E12223">
        <v>-5731.02</v>
      </c>
      <c r="F12223">
        <v>-1.01</v>
      </c>
      <c r="G12223" t="s">
        <v>12</v>
      </c>
      <c r="I12223" t="s">
        <v>230</v>
      </c>
    </row>
    <row r="12224" spans="1:9" hidden="1" x14ac:dyDescent="0.25">
      <c r="A12224" t="s">
        <v>9976</v>
      </c>
      <c r="B12224" t="s">
        <v>693</v>
      </c>
      <c r="C12224" s="2">
        <f>HYPERLINK("https://cao.dolgi.msk.ru/account/1080106888/", 1080106888)</f>
        <v>1080106888</v>
      </c>
      <c r="D12224" t="s">
        <v>10057</v>
      </c>
      <c r="E12224">
        <v>-12877.39</v>
      </c>
      <c r="F12224">
        <v>-2.2999999999999998</v>
      </c>
      <c r="G12224" t="s">
        <v>12</v>
      </c>
      <c r="I12224" t="s">
        <v>230</v>
      </c>
    </row>
    <row r="12225" spans="1:9" x14ac:dyDescent="0.25">
      <c r="A12225" t="s">
        <v>9976</v>
      </c>
      <c r="B12225" t="s">
        <v>694</v>
      </c>
      <c r="C12225" s="2">
        <f>HYPERLINK("https://cao.dolgi.msk.ru/account/1080106896/", 1080106896)</f>
        <v>1080106896</v>
      </c>
      <c r="D12225" t="s">
        <v>10058</v>
      </c>
      <c r="E12225">
        <v>46326.64</v>
      </c>
      <c r="F12225">
        <v>7.08</v>
      </c>
      <c r="G12225" t="s">
        <v>12</v>
      </c>
      <c r="I12225" t="s">
        <v>230</v>
      </c>
    </row>
    <row r="12226" spans="1:9" hidden="1" x14ac:dyDescent="0.25">
      <c r="A12226" t="s">
        <v>9976</v>
      </c>
      <c r="B12226" t="s">
        <v>696</v>
      </c>
      <c r="C12226" s="2">
        <f>HYPERLINK("https://cao.dolgi.msk.ru/account/1080106909/", 1080106909)</f>
        <v>1080106909</v>
      </c>
      <c r="D12226" t="s">
        <v>10059</v>
      </c>
      <c r="E12226">
        <v>-4975.1000000000004</v>
      </c>
      <c r="F12226">
        <v>-1.02</v>
      </c>
      <c r="G12226" t="s">
        <v>12</v>
      </c>
      <c r="I12226" t="s">
        <v>230</v>
      </c>
    </row>
    <row r="12227" spans="1:9" hidden="1" x14ac:dyDescent="0.25">
      <c r="A12227" t="s">
        <v>9976</v>
      </c>
      <c r="B12227" t="s">
        <v>698</v>
      </c>
      <c r="C12227" s="2">
        <f>HYPERLINK("https://cao.dolgi.msk.ru/account/1080106917/", 1080106917)</f>
        <v>1080106917</v>
      </c>
      <c r="D12227" t="s">
        <v>10049</v>
      </c>
      <c r="E12227">
        <v>0</v>
      </c>
      <c r="F12227">
        <v>0</v>
      </c>
      <c r="G12227" t="s">
        <v>12</v>
      </c>
      <c r="I12227" t="s">
        <v>230</v>
      </c>
    </row>
    <row r="12228" spans="1:9" hidden="1" x14ac:dyDescent="0.25">
      <c r="A12228" t="s">
        <v>9976</v>
      </c>
      <c r="B12228" t="s">
        <v>700</v>
      </c>
      <c r="C12228" s="2">
        <f>HYPERLINK("https://cao.dolgi.msk.ru/account/1080106925/", 1080106925)</f>
        <v>1080106925</v>
      </c>
      <c r="D12228" t="s">
        <v>10060</v>
      </c>
      <c r="E12228">
        <v>-8696.73</v>
      </c>
      <c r="F12228">
        <v>-1.02</v>
      </c>
      <c r="G12228" t="s">
        <v>12</v>
      </c>
      <c r="I12228" t="s">
        <v>230</v>
      </c>
    </row>
    <row r="12229" spans="1:9" hidden="1" x14ac:dyDescent="0.25">
      <c r="A12229" t="s">
        <v>9976</v>
      </c>
      <c r="B12229" t="s">
        <v>702</v>
      </c>
      <c r="C12229" s="2">
        <f>HYPERLINK("https://cao.dolgi.msk.ru/account/1080106933/", 1080106933)</f>
        <v>1080106933</v>
      </c>
      <c r="D12229" t="s">
        <v>10061</v>
      </c>
      <c r="E12229">
        <v>5488.48</v>
      </c>
      <c r="F12229">
        <v>0.95</v>
      </c>
      <c r="G12229" t="s">
        <v>12</v>
      </c>
      <c r="I12229" t="s">
        <v>230</v>
      </c>
    </row>
    <row r="12230" spans="1:9" hidden="1" x14ac:dyDescent="0.25">
      <c r="A12230" t="s">
        <v>9976</v>
      </c>
      <c r="B12230" t="s">
        <v>703</v>
      </c>
      <c r="C12230" s="2">
        <f>HYPERLINK("https://cao.dolgi.msk.ru/account/1080106941/", 1080106941)</f>
        <v>1080106941</v>
      </c>
      <c r="D12230" t="s">
        <v>10062</v>
      </c>
      <c r="E12230">
        <v>-5304.85</v>
      </c>
      <c r="F12230">
        <v>-1.03</v>
      </c>
      <c r="G12230" t="s">
        <v>12</v>
      </c>
      <c r="I12230" t="s">
        <v>230</v>
      </c>
    </row>
    <row r="12231" spans="1:9" hidden="1" x14ac:dyDescent="0.25">
      <c r="A12231" t="s">
        <v>9976</v>
      </c>
      <c r="B12231" t="s">
        <v>705</v>
      </c>
      <c r="C12231" s="2">
        <f>HYPERLINK("https://cao.dolgi.msk.ru/account/1080106968/", 1080106968)</f>
        <v>1080106968</v>
      </c>
      <c r="D12231" t="s">
        <v>10063</v>
      </c>
      <c r="E12231">
        <v>-1432.96</v>
      </c>
      <c r="F12231">
        <v>-0.21</v>
      </c>
      <c r="G12231" t="s">
        <v>12</v>
      </c>
      <c r="I12231" t="s">
        <v>230</v>
      </c>
    </row>
    <row r="12232" spans="1:9" x14ac:dyDescent="0.25">
      <c r="A12232" t="s">
        <v>9976</v>
      </c>
      <c r="B12232" t="s">
        <v>707</v>
      </c>
      <c r="C12232" s="2">
        <f>HYPERLINK("https://cao.dolgi.msk.ru/account/1080106976/", 1080106976)</f>
        <v>1080106976</v>
      </c>
      <c r="D12232" t="s">
        <v>15</v>
      </c>
      <c r="E12232">
        <v>11320.29</v>
      </c>
      <c r="F12232">
        <v>1.94</v>
      </c>
      <c r="G12232" t="s">
        <v>12</v>
      </c>
      <c r="I12232" t="s">
        <v>230</v>
      </c>
    </row>
    <row r="12233" spans="1:9" hidden="1" x14ac:dyDescent="0.25">
      <c r="A12233" t="s">
        <v>9976</v>
      </c>
      <c r="B12233" t="s">
        <v>709</v>
      </c>
      <c r="C12233" s="2">
        <f>HYPERLINK("https://cao.dolgi.msk.ru/account/1080106984/", 1080106984)</f>
        <v>1080106984</v>
      </c>
      <c r="D12233" t="s">
        <v>10064</v>
      </c>
      <c r="E12233">
        <v>-6001.91</v>
      </c>
      <c r="F12233">
        <v>-1.01</v>
      </c>
      <c r="G12233" t="s">
        <v>12</v>
      </c>
      <c r="I12233" t="s">
        <v>230</v>
      </c>
    </row>
    <row r="12234" spans="1:9" hidden="1" x14ac:dyDescent="0.25">
      <c r="A12234" t="s">
        <v>9976</v>
      </c>
      <c r="B12234" t="s">
        <v>711</v>
      </c>
      <c r="C12234" s="2">
        <f>HYPERLINK("https://cao.dolgi.msk.ru/account/1080106992/", 1080106992)</f>
        <v>1080106992</v>
      </c>
      <c r="D12234" t="s">
        <v>10065</v>
      </c>
      <c r="E12234">
        <v>-7540.91</v>
      </c>
      <c r="F12234">
        <v>-1.02</v>
      </c>
      <c r="G12234" t="s">
        <v>12</v>
      </c>
      <c r="I12234" t="s">
        <v>230</v>
      </c>
    </row>
    <row r="12235" spans="1:9" hidden="1" x14ac:dyDescent="0.25">
      <c r="A12235" t="s">
        <v>9976</v>
      </c>
      <c r="B12235" t="s">
        <v>713</v>
      </c>
      <c r="C12235" s="2">
        <f>HYPERLINK("https://cao.dolgi.msk.ru/account/1080107004/", 1080107004)</f>
        <v>1080107004</v>
      </c>
      <c r="D12235" t="s">
        <v>10066</v>
      </c>
      <c r="E12235">
        <v>-2382.5300000000002</v>
      </c>
      <c r="F12235">
        <v>-0.31</v>
      </c>
      <c r="G12235" t="s">
        <v>12</v>
      </c>
      <c r="I12235" t="s">
        <v>230</v>
      </c>
    </row>
    <row r="12236" spans="1:9" hidden="1" x14ac:dyDescent="0.25">
      <c r="A12236" t="s">
        <v>9976</v>
      </c>
      <c r="B12236" t="s">
        <v>528</v>
      </c>
      <c r="C12236" s="2">
        <f>HYPERLINK("https://cao.dolgi.msk.ru/account/1080107012/", 1080107012)</f>
        <v>1080107012</v>
      </c>
      <c r="D12236" t="s">
        <v>10067</v>
      </c>
      <c r="E12236">
        <v>-4659.59</v>
      </c>
      <c r="F12236">
        <v>-1.03</v>
      </c>
      <c r="G12236" t="s">
        <v>12</v>
      </c>
      <c r="I12236" t="s">
        <v>230</v>
      </c>
    </row>
    <row r="12237" spans="1:9" hidden="1" x14ac:dyDescent="0.25">
      <c r="A12237" t="s">
        <v>9976</v>
      </c>
      <c r="B12237" t="s">
        <v>530</v>
      </c>
      <c r="C12237" s="2">
        <f>HYPERLINK("https://cao.dolgi.msk.ru/account/1080107039/", 1080107039)</f>
        <v>1080107039</v>
      </c>
      <c r="D12237" t="s">
        <v>10068</v>
      </c>
      <c r="E12237">
        <v>-6736.3</v>
      </c>
      <c r="F12237">
        <v>-0.91</v>
      </c>
      <c r="G12237" t="s">
        <v>12</v>
      </c>
      <c r="I12237" t="s">
        <v>230</v>
      </c>
    </row>
    <row r="12238" spans="1:9" hidden="1" x14ac:dyDescent="0.25">
      <c r="A12238" t="s">
        <v>9976</v>
      </c>
      <c r="B12238" t="s">
        <v>532</v>
      </c>
      <c r="C12238" s="2">
        <f>HYPERLINK("https://cao.dolgi.msk.ru/account/1080107047/", 1080107047)</f>
        <v>1080107047</v>
      </c>
      <c r="D12238" t="s">
        <v>10069</v>
      </c>
      <c r="E12238">
        <v>-4841.0600000000004</v>
      </c>
      <c r="F12238">
        <v>-1.03</v>
      </c>
      <c r="G12238" t="s">
        <v>12</v>
      </c>
      <c r="I12238" t="s">
        <v>230</v>
      </c>
    </row>
    <row r="12239" spans="1:9" hidden="1" x14ac:dyDescent="0.25">
      <c r="A12239" t="s">
        <v>9976</v>
      </c>
      <c r="B12239" t="s">
        <v>534</v>
      </c>
      <c r="C12239" s="2">
        <f>HYPERLINK("https://cao.dolgi.msk.ru/account/1080107055/", 1080107055)</f>
        <v>1080107055</v>
      </c>
      <c r="D12239" t="s">
        <v>10070</v>
      </c>
      <c r="E12239">
        <v>-5511.89</v>
      </c>
      <c r="F12239">
        <v>-1.04</v>
      </c>
      <c r="G12239" t="s">
        <v>12</v>
      </c>
      <c r="I12239" t="s">
        <v>230</v>
      </c>
    </row>
    <row r="12240" spans="1:9" hidden="1" x14ac:dyDescent="0.25">
      <c r="A12240" t="s">
        <v>9976</v>
      </c>
      <c r="B12240" t="s">
        <v>536</v>
      </c>
      <c r="C12240" s="2">
        <f>HYPERLINK("https://cao.dolgi.msk.ru/account/1080107063/", 1080107063)</f>
        <v>1080107063</v>
      </c>
      <c r="D12240" t="s">
        <v>10071</v>
      </c>
      <c r="E12240">
        <v>-8029.31</v>
      </c>
      <c r="F12240">
        <v>-1.1000000000000001</v>
      </c>
      <c r="G12240" t="s">
        <v>12</v>
      </c>
      <c r="I12240" t="s">
        <v>230</v>
      </c>
    </row>
    <row r="12241" spans="1:9" hidden="1" x14ac:dyDescent="0.25">
      <c r="A12241" t="s">
        <v>9976</v>
      </c>
      <c r="B12241" t="s">
        <v>538</v>
      </c>
      <c r="C12241" s="2">
        <f>HYPERLINK("https://cao.dolgi.msk.ru/account/1080107071/", 1080107071)</f>
        <v>1080107071</v>
      </c>
      <c r="D12241" t="s">
        <v>10072</v>
      </c>
      <c r="E12241">
        <v>-3246.86</v>
      </c>
      <c r="F12241">
        <v>-0.42</v>
      </c>
      <c r="G12241" t="s">
        <v>12</v>
      </c>
      <c r="I12241" t="s">
        <v>230</v>
      </c>
    </row>
    <row r="12242" spans="1:9" hidden="1" x14ac:dyDescent="0.25">
      <c r="A12242" t="s">
        <v>9976</v>
      </c>
      <c r="B12242" t="s">
        <v>539</v>
      </c>
      <c r="C12242" s="2">
        <f>HYPERLINK("https://cao.dolgi.msk.ru/account/1080107098/", 1080107098)</f>
        <v>1080107098</v>
      </c>
      <c r="D12242" t="s">
        <v>10073</v>
      </c>
      <c r="E12242">
        <v>1102.1199999999999</v>
      </c>
      <c r="F12242">
        <v>0.3</v>
      </c>
      <c r="G12242" t="s">
        <v>12</v>
      </c>
      <c r="I12242" t="s">
        <v>230</v>
      </c>
    </row>
    <row r="12243" spans="1:9" hidden="1" x14ac:dyDescent="0.25">
      <c r="A12243" t="s">
        <v>9976</v>
      </c>
      <c r="B12243" t="s">
        <v>541</v>
      </c>
      <c r="C12243" s="2">
        <f>HYPERLINK("https://cao.dolgi.msk.ru/account/1080107119/", 1080107119)</f>
        <v>1080107119</v>
      </c>
      <c r="D12243" t="s">
        <v>10074</v>
      </c>
      <c r="E12243">
        <v>-574.78</v>
      </c>
      <c r="F12243">
        <v>-0.1</v>
      </c>
      <c r="G12243" t="s">
        <v>12</v>
      </c>
      <c r="I12243" t="s">
        <v>230</v>
      </c>
    </row>
    <row r="12244" spans="1:9" hidden="1" x14ac:dyDescent="0.25">
      <c r="A12244" t="s">
        <v>9976</v>
      </c>
      <c r="B12244" t="s">
        <v>543</v>
      </c>
      <c r="C12244" s="2">
        <f>HYPERLINK("https://cao.dolgi.msk.ru/account/1080107127/", 1080107127)</f>
        <v>1080107127</v>
      </c>
      <c r="D12244" t="s">
        <v>10075</v>
      </c>
      <c r="E12244">
        <v>-4723.5200000000004</v>
      </c>
      <c r="F12244">
        <v>-1.03</v>
      </c>
      <c r="G12244" t="s">
        <v>12</v>
      </c>
      <c r="I12244" t="s">
        <v>230</v>
      </c>
    </row>
    <row r="12245" spans="1:9" hidden="1" x14ac:dyDescent="0.25">
      <c r="A12245" t="s">
        <v>9976</v>
      </c>
      <c r="B12245" t="s">
        <v>543</v>
      </c>
      <c r="C12245" s="2">
        <f>HYPERLINK("https://cao.dolgi.msk.ru/account/1083391039/", 1083391039)</f>
        <v>1083391039</v>
      </c>
      <c r="D12245" t="s">
        <v>189</v>
      </c>
      <c r="E12245">
        <v>-4723.5200000000004</v>
      </c>
      <c r="F12245">
        <v>-1.03</v>
      </c>
      <c r="G12245" t="s">
        <v>12</v>
      </c>
      <c r="I12245" t="s">
        <v>230</v>
      </c>
    </row>
    <row r="12246" spans="1:9" hidden="1" x14ac:dyDescent="0.25">
      <c r="A12246" t="s">
        <v>9976</v>
      </c>
      <c r="B12246" t="s">
        <v>545</v>
      </c>
      <c r="C12246" s="2">
        <f>HYPERLINK("https://cao.dolgi.msk.ru/account/1080107135/", 1080107135)</f>
        <v>1080107135</v>
      </c>
      <c r="D12246" t="s">
        <v>10076</v>
      </c>
      <c r="E12246">
        <v>-10446.69</v>
      </c>
      <c r="F12246">
        <v>-1.01</v>
      </c>
      <c r="G12246" t="s">
        <v>12</v>
      </c>
      <c r="I12246" t="s">
        <v>230</v>
      </c>
    </row>
    <row r="12247" spans="1:9" hidden="1" x14ac:dyDescent="0.25">
      <c r="A12247" t="s">
        <v>9976</v>
      </c>
      <c r="B12247" t="s">
        <v>546</v>
      </c>
      <c r="C12247" s="2">
        <f>HYPERLINK("https://cao.dolgi.msk.ru/account/1080107143/", 1080107143)</f>
        <v>1080107143</v>
      </c>
      <c r="D12247" t="s">
        <v>10077</v>
      </c>
      <c r="E12247">
        <v>-4564.8900000000003</v>
      </c>
      <c r="F12247">
        <v>-1.06</v>
      </c>
      <c r="G12247" t="s">
        <v>12</v>
      </c>
      <c r="I12247" t="s">
        <v>230</v>
      </c>
    </row>
    <row r="12248" spans="1:9" hidden="1" x14ac:dyDescent="0.25">
      <c r="A12248" t="s">
        <v>9976</v>
      </c>
      <c r="B12248" t="s">
        <v>548</v>
      </c>
      <c r="C12248" s="2">
        <f>HYPERLINK("https://cao.dolgi.msk.ru/account/1080107151/", 1080107151)</f>
        <v>1080107151</v>
      </c>
      <c r="D12248" t="s">
        <v>10078</v>
      </c>
      <c r="E12248">
        <v>73.5</v>
      </c>
      <c r="F12248">
        <v>0.01</v>
      </c>
      <c r="G12248" t="s">
        <v>12</v>
      </c>
      <c r="I12248" t="s">
        <v>230</v>
      </c>
    </row>
    <row r="12249" spans="1:9" hidden="1" x14ac:dyDescent="0.25">
      <c r="A12249" t="s">
        <v>9976</v>
      </c>
      <c r="B12249" t="s">
        <v>727</v>
      </c>
      <c r="C12249" s="2">
        <f>HYPERLINK("https://cao.dolgi.msk.ru/account/1080107178/", 1080107178)</f>
        <v>1080107178</v>
      </c>
      <c r="D12249" t="s">
        <v>10079</v>
      </c>
      <c r="E12249">
        <v>-7691.58</v>
      </c>
      <c r="F12249">
        <v>-1.02</v>
      </c>
      <c r="G12249" t="s">
        <v>12</v>
      </c>
      <c r="I12249" t="s">
        <v>230</v>
      </c>
    </row>
    <row r="12250" spans="1:9" hidden="1" x14ac:dyDescent="0.25">
      <c r="A12250" t="s">
        <v>9976</v>
      </c>
      <c r="B12250" t="s">
        <v>551</v>
      </c>
      <c r="C12250" s="2">
        <f>HYPERLINK("https://cao.dolgi.msk.ru/account/1080107186/", 1080107186)</f>
        <v>1080107186</v>
      </c>
      <c r="D12250" t="s">
        <v>10080</v>
      </c>
      <c r="E12250">
        <v>-7351.97</v>
      </c>
      <c r="F12250">
        <v>-1.1299999999999999</v>
      </c>
      <c r="G12250" t="s">
        <v>12</v>
      </c>
      <c r="I12250" t="s">
        <v>230</v>
      </c>
    </row>
    <row r="12251" spans="1:9" hidden="1" x14ac:dyDescent="0.25">
      <c r="A12251" t="s">
        <v>9976</v>
      </c>
      <c r="B12251" t="s">
        <v>730</v>
      </c>
      <c r="C12251" s="2">
        <f>HYPERLINK("https://cao.dolgi.msk.ru/account/1080107194/", 1080107194)</f>
        <v>1080107194</v>
      </c>
      <c r="D12251" t="s">
        <v>10081</v>
      </c>
      <c r="E12251">
        <v>1121.5899999999999</v>
      </c>
      <c r="F12251">
        <v>0.16</v>
      </c>
      <c r="G12251" t="s">
        <v>12</v>
      </c>
      <c r="I12251" t="s">
        <v>230</v>
      </c>
    </row>
    <row r="12252" spans="1:9" hidden="1" x14ac:dyDescent="0.25">
      <c r="A12252" t="s">
        <v>9976</v>
      </c>
      <c r="B12252" t="s">
        <v>732</v>
      </c>
      <c r="C12252" s="2">
        <f>HYPERLINK("https://cao.dolgi.msk.ru/account/1080107207/", 1080107207)</f>
        <v>1080107207</v>
      </c>
      <c r="D12252" t="s">
        <v>10082</v>
      </c>
      <c r="E12252">
        <v>-5542.48</v>
      </c>
      <c r="F12252">
        <v>-0.85</v>
      </c>
      <c r="G12252" t="s">
        <v>12</v>
      </c>
      <c r="I12252" t="s">
        <v>230</v>
      </c>
    </row>
    <row r="12253" spans="1:9" hidden="1" x14ac:dyDescent="0.25">
      <c r="A12253" t="s">
        <v>9976</v>
      </c>
      <c r="B12253" t="s">
        <v>553</v>
      </c>
      <c r="C12253" s="2">
        <f>HYPERLINK("https://cao.dolgi.msk.ru/account/1080107215/", 1080107215)</f>
        <v>1080107215</v>
      </c>
      <c r="D12253" t="s">
        <v>10083</v>
      </c>
      <c r="E12253">
        <v>554.05999999999995</v>
      </c>
      <c r="F12253">
        <v>0.09</v>
      </c>
      <c r="G12253" t="s">
        <v>12</v>
      </c>
      <c r="I12253" t="s">
        <v>230</v>
      </c>
    </row>
    <row r="12254" spans="1:9" hidden="1" x14ac:dyDescent="0.25">
      <c r="A12254" t="s">
        <v>9976</v>
      </c>
      <c r="B12254" t="s">
        <v>555</v>
      </c>
      <c r="C12254" s="2">
        <f>HYPERLINK("https://cao.dolgi.msk.ru/account/1080107223/", 1080107223)</f>
        <v>1080107223</v>
      </c>
      <c r="D12254" t="s">
        <v>10084</v>
      </c>
      <c r="E12254">
        <v>-4855.4799999999996</v>
      </c>
      <c r="F12254">
        <v>-1.02</v>
      </c>
      <c r="G12254" t="s">
        <v>12</v>
      </c>
      <c r="I12254" t="s">
        <v>230</v>
      </c>
    </row>
    <row r="12255" spans="1:9" hidden="1" x14ac:dyDescent="0.25">
      <c r="A12255" t="s">
        <v>9976</v>
      </c>
      <c r="B12255" t="s">
        <v>736</v>
      </c>
      <c r="C12255" s="2">
        <f>HYPERLINK("https://cao.dolgi.msk.ru/account/1080107231/", 1080107231)</f>
        <v>1080107231</v>
      </c>
      <c r="D12255" t="s">
        <v>10085</v>
      </c>
      <c r="E12255">
        <v>-4594.2700000000004</v>
      </c>
      <c r="F12255">
        <v>-0.83</v>
      </c>
      <c r="G12255" t="s">
        <v>12</v>
      </c>
      <c r="I12255" t="s">
        <v>230</v>
      </c>
    </row>
    <row r="12256" spans="1:9" hidden="1" x14ac:dyDescent="0.25">
      <c r="A12256" t="s">
        <v>9976</v>
      </c>
      <c r="B12256" t="s">
        <v>738</v>
      </c>
      <c r="C12256" s="2">
        <f>HYPERLINK("https://cao.dolgi.msk.ru/account/1080107258/", 1080107258)</f>
        <v>1080107258</v>
      </c>
      <c r="D12256" t="s">
        <v>10086</v>
      </c>
      <c r="E12256">
        <v>516.24</v>
      </c>
      <c r="F12256">
        <v>0.08</v>
      </c>
      <c r="G12256" t="s">
        <v>12</v>
      </c>
      <c r="I12256" t="s">
        <v>230</v>
      </c>
    </row>
    <row r="12257" spans="1:9" x14ac:dyDescent="0.25">
      <c r="A12257" t="s">
        <v>9976</v>
      </c>
      <c r="B12257" t="s">
        <v>740</v>
      </c>
      <c r="C12257" s="2">
        <f>HYPERLINK("https://cao.dolgi.msk.ru/account/1080107266/", 1080107266)</f>
        <v>1080107266</v>
      </c>
      <c r="D12257" t="s">
        <v>10087</v>
      </c>
      <c r="E12257">
        <v>20384.919999999998</v>
      </c>
      <c r="F12257">
        <v>2</v>
      </c>
      <c r="G12257" t="s">
        <v>12</v>
      </c>
      <c r="I12257" t="s">
        <v>230</v>
      </c>
    </row>
    <row r="12258" spans="1:9" hidden="1" x14ac:dyDescent="0.25">
      <c r="A12258" t="s">
        <v>9976</v>
      </c>
      <c r="B12258" t="s">
        <v>742</v>
      </c>
      <c r="C12258" s="2">
        <f>HYPERLINK("https://cao.dolgi.msk.ru/account/1080107274/", 1080107274)</f>
        <v>1080107274</v>
      </c>
      <c r="D12258" t="s">
        <v>10088</v>
      </c>
      <c r="E12258">
        <v>-6318.78</v>
      </c>
      <c r="F12258">
        <v>-0.82</v>
      </c>
      <c r="G12258" t="s">
        <v>12</v>
      </c>
      <c r="I12258" t="s">
        <v>230</v>
      </c>
    </row>
    <row r="12259" spans="1:9" hidden="1" x14ac:dyDescent="0.25">
      <c r="A12259" t="s">
        <v>9976</v>
      </c>
      <c r="B12259" t="s">
        <v>557</v>
      </c>
      <c r="C12259" s="2">
        <f>HYPERLINK("https://cao.dolgi.msk.ru/account/1080107282/", 1080107282)</f>
        <v>1080107282</v>
      </c>
      <c r="D12259" t="s">
        <v>10089</v>
      </c>
      <c r="E12259">
        <v>-10593.96</v>
      </c>
      <c r="F12259">
        <v>-0.92</v>
      </c>
      <c r="G12259" t="s">
        <v>12</v>
      </c>
      <c r="I12259" t="s">
        <v>230</v>
      </c>
    </row>
    <row r="12260" spans="1:9" hidden="1" x14ac:dyDescent="0.25">
      <c r="A12260" t="s">
        <v>9976</v>
      </c>
      <c r="B12260" t="s">
        <v>557</v>
      </c>
      <c r="C12260" s="2">
        <f>HYPERLINK("https://cao.dolgi.msk.ru/account/1083283388/", 1083283388)</f>
        <v>1083283388</v>
      </c>
      <c r="D12260" t="s">
        <v>15</v>
      </c>
      <c r="E12260">
        <v>-962.16</v>
      </c>
      <c r="G12260" t="s">
        <v>14</v>
      </c>
      <c r="I12260" t="s">
        <v>230</v>
      </c>
    </row>
    <row r="12261" spans="1:9" hidden="1" x14ac:dyDescent="0.25">
      <c r="A12261" t="s">
        <v>9976</v>
      </c>
      <c r="B12261" t="s">
        <v>557</v>
      </c>
      <c r="C12261" s="2">
        <f>HYPERLINK("https://cao.dolgi.msk.ru/account/1083283396/", 1083283396)</f>
        <v>1083283396</v>
      </c>
      <c r="D12261" t="s">
        <v>15</v>
      </c>
      <c r="E12261">
        <v>-342</v>
      </c>
      <c r="G12261" t="s">
        <v>12</v>
      </c>
      <c r="I12261" t="s">
        <v>230</v>
      </c>
    </row>
    <row r="12262" spans="1:9" hidden="1" x14ac:dyDescent="0.25">
      <c r="A12262" t="s">
        <v>9976</v>
      </c>
      <c r="B12262" t="s">
        <v>557</v>
      </c>
      <c r="C12262" s="2">
        <f>HYPERLINK("https://cao.dolgi.msk.ru/account/1083283409/", 1083283409)</f>
        <v>1083283409</v>
      </c>
      <c r="D12262" t="s">
        <v>15</v>
      </c>
      <c r="E12262">
        <v>-342</v>
      </c>
      <c r="G12262" t="s">
        <v>12</v>
      </c>
      <c r="I12262" t="s">
        <v>230</v>
      </c>
    </row>
    <row r="12263" spans="1:9" hidden="1" x14ac:dyDescent="0.25">
      <c r="A12263" t="s">
        <v>9976</v>
      </c>
      <c r="B12263" t="s">
        <v>558</v>
      </c>
      <c r="C12263" s="2">
        <f>HYPERLINK("https://cao.dolgi.msk.ru/account/1080107303/", 1080107303)</f>
        <v>1080107303</v>
      </c>
      <c r="D12263" t="s">
        <v>10090</v>
      </c>
      <c r="E12263">
        <v>-3997.08</v>
      </c>
      <c r="F12263">
        <v>-0.86</v>
      </c>
      <c r="G12263" t="s">
        <v>12</v>
      </c>
      <c r="I12263" t="s">
        <v>230</v>
      </c>
    </row>
    <row r="12264" spans="1:9" hidden="1" x14ac:dyDescent="0.25">
      <c r="A12264" t="s">
        <v>9976</v>
      </c>
      <c r="B12264" t="s">
        <v>558</v>
      </c>
      <c r="C12264" s="2">
        <f>HYPERLINK("https://cao.dolgi.msk.ru/account/1080326725/", 1080326725)</f>
        <v>1080326725</v>
      </c>
      <c r="D12264" t="s">
        <v>15</v>
      </c>
      <c r="E12264">
        <v>-2700.65</v>
      </c>
      <c r="F12264">
        <v>-1.04</v>
      </c>
      <c r="G12264" t="s">
        <v>12</v>
      </c>
      <c r="I12264" t="s">
        <v>230</v>
      </c>
    </row>
    <row r="12265" spans="1:9" hidden="1" x14ac:dyDescent="0.25">
      <c r="A12265" t="s">
        <v>9976</v>
      </c>
      <c r="B12265" t="s">
        <v>746</v>
      </c>
      <c r="C12265" s="2">
        <f>HYPERLINK("https://cao.dolgi.msk.ru/account/1080107311/", 1080107311)</f>
        <v>1080107311</v>
      </c>
      <c r="D12265" t="s">
        <v>10091</v>
      </c>
      <c r="E12265">
        <v>-7968.17</v>
      </c>
      <c r="F12265">
        <v>-0.95</v>
      </c>
      <c r="G12265" t="s">
        <v>12</v>
      </c>
      <c r="I12265" t="s">
        <v>230</v>
      </c>
    </row>
    <row r="12266" spans="1:9" hidden="1" x14ac:dyDescent="0.25">
      <c r="A12266" t="s">
        <v>9976</v>
      </c>
      <c r="B12266" t="s">
        <v>748</v>
      </c>
      <c r="C12266" s="2">
        <f>HYPERLINK("https://cao.dolgi.msk.ru/account/1080107338/", 1080107338)</f>
        <v>1080107338</v>
      </c>
      <c r="D12266" t="s">
        <v>10092</v>
      </c>
      <c r="E12266">
        <v>-5016.9399999999996</v>
      </c>
      <c r="F12266">
        <v>-1.42</v>
      </c>
      <c r="G12266" t="s">
        <v>12</v>
      </c>
      <c r="I12266" t="s">
        <v>230</v>
      </c>
    </row>
    <row r="12267" spans="1:9" hidden="1" x14ac:dyDescent="0.25">
      <c r="A12267" t="s">
        <v>9976</v>
      </c>
      <c r="B12267" t="s">
        <v>750</v>
      </c>
      <c r="C12267" s="2">
        <f>HYPERLINK("https://cao.dolgi.msk.ru/account/1080107346/", 1080107346)</f>
        <v>1080107346</v>
      </c>
      <c r="D12267" t="s">
        <v>10093</v>
      </c>
      <c r="E12267">
        <v>-5471.52</v>
      </c>
      <c r="F12267">
        <v>-0.97</v>
      </c>
      <c r="G12267" t="s">
        <v>12</v>
      </c>
      <c r="I12267" t="s">
        <v>230</v>
      </c>
    </row>
    <row r="12268" spans="1:9" hidden="1" x14ac:dyDescent="0.25">
      <c r="A12268" t="s">
        <v>9976</v>
      </c>
      <c r="B12268" t="s">
        <v>752</v>
      </c>
      <c r="C12268" s="2">
        <f>HYPERLINK("https://cao.dolgi.msk.ru/account/1080107354/", 1080107354)</f>
        <v>1080107354</v>
      </c>
      <c r="D12268" t="s">
        <v>10094</v>
      </c>
      <c r="E12268">
        <v>-8475.0300000000007</v>
      </c>
      <c r="F12268">
        <v>-0.98</v>
      </c>
      <c r="G12268" t="s">
        <v>12</v>
      </c>
      <c r="I12268" t="s">
        <v>230</v>
      </c>
    </row>
    <row r="12269" spans="1:9" hidden="1" x14ac:dyDescent="0.25">
      <c r="A12269" t="s">
        <v>9976</v>
      </c>
      <c r="B12269" t="s">
        <v>754</v>
      </c>
      <c r="C12269" s="2">
        <f>HYPERLINK("https://cao.dolgi.msk.ru/account/1080107362/", 1080107362)</f>
        <v>1080107362</v>
      </c>
      <c r="D12269" t="s">
        <v>10095</v>
      </c>
      <c r="E12269">
        <v>-5237.51</v>
      </c>
      <c r="F12269">
        <v>-0.96</v>
      </c>
      <c r="G12269" t="s">
        <v>12</v>
      </c>
      <c r="I12269" t="s">
        <v>230</v>
      </c>
    </row>
    <row r="12270" spans="1:9" hidden="1" x14ac:dyDescent="0.25">
      <c r="A12270" t="s">
        <v>9976</v>
      </c>
      <c r="B12270" t="s">
        <v>756</v>
      </c>
      <c r="C12270" s="2">
        <f>HYPERLINK("https://cao.dolgi.msk.ru/account/1080107389/", 1080107389)</f>
        <v>1080107389</v>
      </c>
      <c r="D12270" t="s">
        <v>10096</v>
      </c>
      <c r="E12270">
        <v>-6994.02</v>
      </c>
      <c r="F12270">
        <v>-1</v>
      </c>
      <c r="G12270" t="s">
        <v>12</v>
      </c>
      <c r="I12270" t="s">
        <v>230</v>
      </c>
    </row>
    <row r="12271" spans="1:9" hidden="1" x14ac:dyDescent="0.25">
      <c r="A12271" t="s">
        <v>9976</v>
      </c>
      <c r="B12271" t="s">
        <v>758</v>
      </c>
      <c r="C12271" s="2">
        <f>HYPERLINK("https://cao.dolgi.msk.ru/account/1080107397/", 1080107397)</f>
        <v>1080107397</v>
      </c>
      <c r="D12271" t="s">
        <v>10097</v>
      </c>
      <c r="E12271">
        <v>-6486.2</v>
      </c>
      <c r="F12271">
        <v>-1.1299999999999999</v>
      </c>
      <c r="G12271" t="s">
        <v>12</v>
      </c>
      <c r="I12271" t="s">
        <v>230</v>
      </c>
    </row>
    <row r="12272" spans="1:9" hidden="1" x14ac:dyDescent="0.25">
      <c r="A12272" t="s">
        <v>9976</v>
      </c>
      <c r="B12272" t="s">
        <v>760</v>
      </c>
      <c r="C12272" s="2">
        <f>HYPERLINK("https://cao.dolgi.msk.ru/account/1080107418/", 1080107418)</f>
        <v>1080107418</v>
      </c>
      <c r="D12272" t="s">
        <v>10098</v>
      </c>
      <c r="E12272">
        <v>55.39</v>
      </c>
      <c r="F12272">
        <v>0.01</v>
      </c>
      <c r="G12272" t="s">
        <v>12</v>
      </c>
      <c r="I12272" t="s">
        <v>230</v>
      </c>
    </row>
    <row r="12273" spans="1:9" hidden="1" x14ac:dyDescent="0.25">
      <c r="A12273" t="s">
        <v>9976</v>
      </c>
      <c r="B12273" t="s">
        <v>762</v>
      </c>
      <c r="C12273" s="2">
        <f>HYPERLINK("https://cao.dolgi.msk.ru/account/1080107426/", 1080107426)</f>
        <v>1080107426</v>
      </c>
      <c r="D12273" t="s">
        <v>10099</v>
      </c>
      <c r="E12273">
        <v>-4786.53</v>
      </c>
      <c r="F12273">
        <v>-1.05</v>
      </c>
      <c r="G12273" t="s">
        <v>12</v>
      </c>
      <c r="I12273" t="s">
        <v>230</v>
      </c>
    </row>
    <row r="12274" spans="1:9" hidden="1" x14ac:dyDescent="0.25">
      <c r="A12274" t="s">
        <v>9976</v>
      </c>
      <c r="B12274" t="s">
        <v>764</v>
      </c>
      <c r="C12274" s="2">
        <f>HYPERLINK("https://cao.dolgi.msk.ru/account/1080107434/", 1080107434)</f>
        <v>1080107434</v>
      </c>
      <c r="D12274" t="s">
        <v>10100</v>
      </c>
      <c r="E12274">
        <v>-3985.72</v>
      </c>
      <c r="F12274">
        <v>-1.01</v>
      </c>
      <c r="G12274" t="s">
        <v>12</v>
      </c>
      <c r="I12274" t="s">
        <v>230</v>
      </c>
    </row>
    <row r="12275" spans="1:9" hidden="1" x14ac:dyDescent="0.25">
      <c r="A12275" t="s">
        <v>9976</v>
      </c>
      <c r="B12275" t="s">
        <v>766</v>
      </c>
      <c r="C12275" s="2">
        <f>HYPERLINK("https://cao.dolgi.msk.ru/account/1080107442/", 1080107442)</f>
        <v>1080107442</v>
      </c>
      <c r="D12275" t="s">
        <v>10101</v>
      </c>
      <c r="E12275">
        <v>-113.41</v>
      </c>
      <c r="F12275">
        <v>-0.02</v>
      </c>
      <c r="G12275" t="s">
        <v>12</v>
      </c>
      <c r="I12275" t="s">
        <v>230</v>
      </c>
    </row>
    <row r="12276" spans="1:9" hidden="1" x14ac:dyDescent="0.25">
      <c r="A12276" t="s">
        <v>9976</v>
      </c>
      <c r="B12276" t="s">
        <v>768</v>
      </c>
      <c r="C12276" s="2">
        <f>HYPERLINK("https://cao.dolgi.msk.ru/account/1080107469/", 1080107469)</f>
        <v>1080107469</v>
      </c>
      <c r="D12276" t="s">
        <v>10102</v>
      </c>
      <c r="E12276">
        <v>-2658.9</v>
      </c>
      <c r="F12276">
        <v>-0.24</v>
      </c>
      <c r="G12276" t="s">
        <v>12</v>
      </c>
      <c r="I12276" t="s">
        <v>230</v>
      </c>
    </row>
    <row r="12277" spans="1:9" hidden="1" x14ac:dyDescent="0.25">
      <c r="A12277" t="s">
        <v>9976</v>
      </c>
      <c r="B12277" t="s">
        <v>770</v>
      </c>
      <c r="C12277" s="2">
        <f>HYPERLINK("https://cao.dolgi.msk.ru/account/1080107477/", 1080107477)</f>
        <v>1080107477</v>
      </c>
      <c r="D12277" t="s">
        <v>10103</v>
      </c>
      <c r="E12277">
        <v>-8776</v>
      </c>
      <c r="F12277">
        <v>-1.01</v>
      </c>
      <c r="G12277" t="s">
        <v>12</v>
      </c>
      <c r="I12277" t="s">
        <v>230</v>
      </c>
    </row>
    <row r="12278" spans="1:9" hidden="1" x14ac:dyDescent="0.25">
      <c r="A12278" t="s">
        <v>9976</v>
      </c>
      <c r="B12278" t="s">
        <v>772</v>
      </c>
      <c r="C12278" s="2">
        <f>HYPERLINK("https://cao.dolgi.msk.ru/account/1080107485/", 1080107485)</f>
        <v>1080107485</v>
      </c>
      <c r="D12278" t="s">
        <v>10104</v>
      </c>
      <c r="E12278">
        <v>-6284.11</v>
      </c>
      <c r="F12278">
        <v>-0.82</v>
      </c>
      <c r="G12278" t="s">
        <v>12</v>
      </c>
      <c r="I12278" t="s">
        <v>230</v>
      </c>
    </row>
    <row r="12279" spans="1:9" hidden="1" x14ac:dyDescent="0.25">
      <c r="A12279" t="s">
        <v>9976</v>
      </c>
      <c r="B12279" t="s">
        <v>774</v>
      </c>
      <c r="C12279" s="2">
        <f>HYPERLINK("https://cao.dolgi.msk.ru/account/1080107493/", 1080107493)</f>
        <v>1080107493</v>
      </c>
      <c r="D12279" t="s">
        <v>10105</v>
      </c>
      <c r="E12279">
        <v>-9019.35</v>
      </c>
      <c r="F12279">
        <v>-1.01</v>
      </c>
      <c r="G12279" t="s">
        <v>12</v>
      </c>
      <c r="I12279" t="s">
        <v>230</v>
      </c>
    </row>
    <row r="12280" spans="1:9" hidden="1" x14ac:dyDescent="0.25">
      <c r="A12280" t="s">
        <v>9976</v>
      </c>
      <c r="B12280" t="s">
        <v>776</v>
      </c>
      <c r="C12280" s="2">
        <f>HYPERLINK("https://cao.dolgi.msk.ru/account/1080107506/", 1080107506)</f>
        <v>1080107506</v>
      </c>
      <c r="D12280" t="s">
        <v>10106</v>
      </c>
      <c r="E12280">
        <v>-5973.33</v>
      </c>
      <c r="F12280">
        <v>-1.02</v>
      </c>
      <c r="G12280" t="s">
        <v>12</v>
      </c>
      <c r="I12280" t="s">
        <v>230</v>
      </c>
    </row>
    <row r="12281" spans="1:9" hidden="1" x14ac:dyDescent="0.25">
      <c r="A12281" t="s">
        <v>9976</v>
      </c>
      <c r="B12281" t="s">
        <v>778</v>
      </c>
      <c r="C12281" s="2">
        <f>HYPERLINK("https://cao.dolgi.msk.ru/account/1080107514/", 1080107514)</f>
        <v>1080107514</v>
      </c>
      <c r="D12281" t="s">
        <v>10107</v>
      </c>
      <c r="E12281">
        <v>-6324.24</v>
      </c>
      <c r="F12281">
        <v>-1</v>
      </c>
      <c r="G12281" t="s">
        <v>12</v>
      </c>
      <c r="I12281" t="s">
        <v>230</v>
      </c>
    </row>
    <row r="12282" spans="1:9" hidden="1" x14ac:dyDescent="0.25">
      <c r="A12282" t="s">
        <v>9976</v>
      </c>
      <c r="B12282" t="s">
        <v>780</v>
      </c>
      <c r="C12282" s="2">
        <f>HYPERLINK("https://cao.dolgi.msk.ru/account/1080107522/", 1080107522)</f>
        <v>1080107522</v>
      </c>
      <c r="D12282" t="s">
        <v>10108</v>
      </c>
      <c r="E12282">
        <v>-4786.3599999999997</v>
      </c>
      <c r="F12282">
        <v>-1.0900000000000001</v>
      </c>
      <c r="G12282" t="s">
        <v>12</v>
      </c>
      <c r="I12282" t="s">
        <v>230</v>
      </c>
    </row>
    <row r="12283" spans="1:9" hidden="1" x14ac:dyDescent="0.25">
      <c r="A12283" t="s">
        <v>9976</v>
      </c>
      <c r="B12283" t="s">
        <v>781</v>
      </c>
      <c r="C12283" s="2">
        <f>HYPERLINK("https://cao.dolgi.msk.ru/account/1080107549/", 1080107549)</f>
        <v>1080107549</v>
      </c>
      <c r="D12283" t="s">
        <v>10109</v>
      </c>
      <c r="E12283">
        <v>-18726.68</v>
      </c>
      <c r="F12283">
        <v>-2.91</v>
      </c>
      <c r="G12283" t="s">
        <v>12</v>
      </c>
      <c r="I12283" t="s">
        <v>230</v>
      </c>
    </row>
    <row r="12284" spans="1:9" hidden="1" x14ac:dyDescent="0.25">
      <c r="A12284" t="s">
        <v>9976</v>
      </c>
      <c r="B12284" t="s">
        <v>782</v>
      </c>
      <c r="C12284" s="2">
        <f>HYPERLINK("https://cao.dolgi.msk.ru/account/1080107557/", 1080107557)</f>
        <v>1080107557</v>
      </c>
      <c r="D12284" t="s">
        <v>10110</v>
      </c>
      <c r="E12284">
        <v>-5847.65</v>
      </c>
      <c r="F12284">
        <v>-1</v>
      </c>
      <c r="G12284" t="s">
        <v>12</v>
      </c>
      <c r="I12284" t="s">
        <v>230</v>
      </c>
    </row>
    <row r="12285" spans="1:9" hidden="1" x14ac:dyDescent="0.25">
      <c r="A12285" t="s">
        <v>9976</v>
      </c>
      <c r="B12285" t="s">
        <v>784</v>
      </c>
      <c r="C12285" s="2">
        <f>HYPERLINK("https://cao.dolgi.msk.ru/account/1080107565/", 1080107565)</f>
        <v>1080107565</v>
      </c>
      <c r="D12285" t="s">
        <v>10111</v>
      </c>
      <c r="E12285">
        <v>-1232.99</v>
      </c>
      <c r="F12285">
        <v>-1.03</v>
      </c>
      <c r="G12285" t="s">
        <v>12</v>
      </c>
      <c r="I12285" t="s">
        <v>230</v>
      </c>
    </row>
    <row r="12286" spans="1:9" hidden="1" x14ac:dyDescent="0.25">
      <c r="A12286" t="s">
        <v>9976</v>
      </c>
      <c r="B12286" t="s">
        <v>786</v>
      </c>
      <c r="C12286" s="2">
        <f>HYPERLINK("https://cao.dolgi.msk.ru/account/1080107573/", 1080107573)</f>
        <v>1080107573</v>
      </c>
      <c r="D12286" t="s">
        <v>10112</v>
      </c>
      <c r="E12286">
        <v>-3882.07</v>
      </c>
      <c r="F12286">
        <v>-0.83</v>
      </c>
      <c r="G12286" t="s">
        <v>12</v>
      </c>
      <c r="I12286" t="s">
        <v>230</v>
      </c>
    </row>
    <row r="12287" spans="1:9" hidden="1" x14ac:dyDescent="0.25">
      <c r="A12287" t="s">
        <v>9976</v>
      </c>
      <c r="B12287" t="s">
        <v>788</v>
      </c>
      <c r="C12287" s="2">
        <f>HYPERLINK("https://cao.dolgi.msk.ru/account/1080107581/", 1080107581)</f>
        <v>1080107581</v>
      </c>
      <c r="D12287" t="s">
        <v>10113</v>
      </c>
      <c r="E12287">
        <v>-5925.83</v>
      </c>
      <c r="F12287">
        <v>-1.03</v>
      </c>
      <c r="G12287" t="s">
        <v>12</v>
      </c>
      <c r="I12287" t="s">
        <v>230</v>
      </c>
    </row>
    <row r="12288" spans="1:9" hidden="1" x14ac:dyDescent="0.25">
      <c r="A12288" t="s">
        <v>9976</v>
      </c>
      <c r="B12288" t="s">
        <v>789</v>
      </c>
      <c r="C12288" s="2">
        <f>HYPERLINK("https://cao.dolgi.msk.ru/account/1080107602/", 1080107602)</f>
        <v>1080107602</v>
      </c>
      <c r="D12288" t="s">
        <v>10114</v>
      </c>
      <c r="E12288">
        <v>-9907.16</v>
      </c>
      <c r="F12288">
        <v>-1.1599999999999999</v>
      </c>
      <c r="G12288" t="s">
        <v>12</v>
      </c>
      <c r="I12288" t="s">
        <v>230</v>
      </c>
    </row>
    <row r="12289" spans="1:9" hidden="1" x14ac:dyDescent="0.25">
      <c r="A12289" t="s">
        <v>9976</v>
      </c>
      <c r="B12289" t="s">
        <v>790</v>
      </c>
      <c r="C12289" s="2">
        <f>HYPERLINK("https://cao.dolgi.msk.ru/account/1080107629/", 1080107629)</f>
        <v>1080107629</v>
      </c>
      <c r="D12289" t="s">
        <v>10115</v>
      </c>
      <c r="E12289">
        <v>2099.83</v>
      </c>
      <c r="F12289">
        <v>0.4</v>
      </c>
      <c r="G12289" t="s">
        <v>12</v>
      </c>
      <c r="I12289" t="s">
        <v>230</v>
      </c>
    </row>
    <row r="12290" spans="1:9" hidden="1" x14ac:dyDescent="0.25">
      <c r="A12290" t="s">
        <v>9976</v>
      </c>
      <c r="B12290" t="s">
        <v>792</v>
      </c>
      <c r="C12290" s="2">
        <f>HYPERLINK("https://cao.dolgi.msk.ru/account/1080107637/", 1080107637)</f>
        <v>1080107637</v>
      </c>
      <c r="D12290" t="s">
        <v>10116</v>
      </c>
      <c r="E12290">
        <v>-7158.18</v>
      </c>
      <c r="F12290">
        <v>-1.01</v>
      </c>
      <c r="G12290" t="s">
        <v>12</v>
      </c>
      <c r="I12290" t="s">
        <v>230</v>
      </c>
    </row>
    <row r="12291" spans="1:9" hidden="1" x14ac:dyDescent="0.25">
      <c r="A12291" t="s">
        <v>9976</v>
      </c>
      <c r="B12291" t="s">
        <v>794</v>
      </c>
      <c r="C12291" s="2">
        <f>HYPERLINK("https://cao.dolgi.msk.ru/account/1080108592/", 1080108592)</f>
        <v>1080108592</v>
      </c>
      <c r="D12291" t="s">
        <v>10117</v>
      </c>
      <c r="E12291">
        <v>0</v>
      </c>
      <c r="F12291">
        <v>0</v>
      </c>
      <c r="G12291" t="s">
        <v>12</v>
      </c>
      <c r="I12291" t="s">
        <v>230</v>
      </c>
    </row>
    <row r="12292" spans="1:9" hidden="1" x14ac:dyDescent="0.25">
      <c r="A12292" t="s">
        <v>9976</v>
      </c>
      <c r="B12292" t="s">
        <v>796</v>
      </c>
      <c r="C12292" s="2">
        <f>HYPERLINK("https://cao.dolgi.msk.ru/account/1080107645/", 1080107645)</f>
        <v>1080107645</v>
      </c>
      <c r="D12292" t="s">
        <v>10118</v>
      </c>
      <c r="G12292" t="s">
        <v>14</v>
      </c>
      <c r="I12292" t="s">
        <v>230</v>
      </c>
    </row>
    <row r="12293" spans="1:9" hidden="1" x14ac:dyDescent="0.25">
      <c r="A12293" t="s">
        <v>9976</v>
      </c>
      <c r="B12293" t="s">
        <v>798</v>
      </c>
      <c r="C12293" s="2">
        <f>HYPERLINK("https://cao.dolgi.msk.ru/account/1080107653/", 1080107653)</f>
        <v>1080107653</v>
      </c>
      <c r="D12293" t="s">
        <v>10119</v>
      </c>
      <c r="E12293">
        <v>-6030.48</v>
      </c>
      <c r="F12293">
        <v>-1.02</v>
      </c>
      <c r="G12293" t="s">
        <v>12</v>
      </c>
      <c r="I12293" t="s">
        <v>230</v>
      </c>
    </row>
    <row r="12294" spans="1:9" hidden="1" x14ac:dyDescent="0.25">
      <c r="A12294" t="s">
        <v>9976</v>
      </c>
      <c r="B12294" t="s">
        <v>800</v>
      </c>
      <c r="C12294" s="2">
        <f>HYPERLINK("https://cao.dolgi.msk.ru/account/1080107661/", 1080107661)</f>
        <v>1080107661</v>
      </c>
      <c r="D12294" t="s">
        <v>10120</v>
      </c>
      <c r="E12294">
        <v>-3541.26</v>
      </c>
      <c r="F12294">
        <v>-0.99</v>
      </c>
      <c r="G12294" t="s">
        <v>12</v>
      </c>
      <c r="I12294" t="s">
        <v>230</v>
      </c>
    </row>
    <row r="12295" spans="1:9" hidden="1" x14ac:dyDescent="0.25">
      <c r="A12295" t="s">
        <v>9976</v>
      </c>
      <c r="B12295" t="s">
        <v>802</v>
      </c>
      <c r="C12295" s="2">
        <f>HYPERLINK("https://cao.dolgi.msk.ru/account/1080107688/", 1080107688)</f>
        <v>1080107688</v>
      </c>
      <c r="D12295" t="s">
        <v>10121</v>
      </c>
      <c r="E12295">
        <v>-3055.1</v>
      </c>
      <c r="F12295">
        <v>-0.65</v>
      </c>
      <c r="G12295" t="s">
        <v>12</v>
      </c>
      <c r="I12295" t="s">
        <v>230</v>
      </c>
    </row>
    <row r="12296" spans="1:9" hidden="1" x14ac:dyDescent="0.25">
      <c r="A12296" t="s">
        <v>9976</v>
      </c>
      <c r="B12296" t="s">
        <v>804</v>
      </c>
      <c r="C12296" s="2">
        <f>HYPERLINK("https://cao.dolgi.msk.ru/account/1080107696/", 1080107696)</f>
        <v>1080107696</v>
      </c>
      <c r="D12296" t="s">
        <v>10122</v>
      </c>
      <c r="E12296">
        <v>-1033.49</v>
      </c>
      <c r="F12296">
        <v>-0.19</v>
      </c>
      <c r="G12296" t="s">
        <v>12</v>
      </c>
      <c r="I12296" t="s">
        <v>230</v>
      </c>
    </row>
    <row r="12297" spans="1:9" hidden="1" x14ac:dyDescent="0.25">
      <c r="A12297" t="s">
        <v>9976</v>
      </c>
      <c r="B12297" t="s">
        <v>806</v>
      </c>
      <c r="C12297" s="2">
        <f>HYPERLINK("https://cao.dolgi.msk.ru/account/1080107709/", 1080107709)</f>
        <v>1080107709</v>
      </c>
      <c r="D12297" t="s">
        <v>10123</v>
      </c>
      <c r="E12297">
        <v>-14153.69</v>
      </c>
      <c r="F12297">
        <v>-1.01</v>
      </c>
      <c r="G12297" t="s">
        <v>12</v>
      </c>
      <c r="I12297" t="s">
        <v>230</v>
      </c>
    </row>
    <row r="12298" spans="1:9" hidden="1" x14ac:dyDescent="0.25">
      <c r="A12298" t="s">
        <v>9976</v>
      </c>
      <c r="B12298" t="s">
        <v>808</v>
      </c>
      <c r="C12298" s="2">
        <f>HYPERLINK("https://cao.dolgi.msk.ru/account/1080107717/", 1080107717)</f>
        <v>1080107717</v>
      </c>
      <c r="D12298" t="s">
        <v>10124</v>
      </c>
      <c r="E12298">
        <v>-19911.46</v>
      </c>
      <c r="F12298">
        <v>-4.2699999999999996</v>
      </c>
      <c r="G12298" t="s">
        <v>12</v>
      </c>
      <c r="I12298" t="s">
        <v>230</v>
      </c>
    </row>
    <row r="12299" spans="1:9" hidden="1" x14ac:dyDescent="0.25">
      <c r="A12299" t="s">
        <v>9976</v>
      </c>
      <c r="B12299" t="s">
        <v>810</v>
      </c>
      <c r="C12299" s="2">
        <f>HYPERLINK("https://cao.dolgi.msk.ru/account/1080107725/", 1080107725)</f>
        <v>1080107725</v>
      </c>
      <c r="D12299" t="s">
        <v>10125</v>
      </c>
      <c r="E12299">
        <v>0</v>
      </c>
      <c r="F12299">
        <v>0</v>
      </c>
      <c r="G12299" t="s">
        <v>12</v>
      </c>
      <c r="I12299" t="s">
        <v>230</v>
      </c>
    </row>
    <row r="12300" spans="1:9" hidden="1" x14ac:dyDescent="0.25">
      <c r="A12300" t="s">
        <v>9976</v>
      </c>
      <c r="B12300" t="s">
        <v>812</v>
      </c>
      <c r="C12300" s="2">
        <f>HYPERLINK("https://cao.dolgi.msk.ru/account/1080107733/", 1080107733)</f>
        <v>1080107733</v>
      </c>
      <c r="D12300" t="s">
        <v>10126</v>
      </c>
      <c r="E12300">
        <v>820.32</v>
      </c>
      <c r="F12300">
        <v>0.05</v>
      </c>
      <c r="G12300" t="s">
        <v>12</v>
      </c>
      <c r="I12300" t="s">
        <v>230</v>
      </c>
    </row>
    <row r="12301" spans="1:9" hidden="1" x14ac:dyDescent="0.25">
      <c r="A12301" t="s">
        <v>9976</v>
      </c>
      <c r="B12301" t="s">
        <v>814</v>
      </c>
      <c r="C12301" s="2">
        <f>HYPERLINK("https://cao.dolgi.msk.ru/account/1080107741/", 1080107741)</f>
        <v>1080107741</v>
      </c>
      <c r="D12301" t="s">
        <v>10127</v>
      </c>
      <c r="E12301">
        <v>-8518.3700000000008</v>
      </c>
      <c r="F12301">
        <v>-1</v>
      </c>
      <c r="G12301" t="s">
        <v>12</v>
      </c>
      <c r="I12301" t="s">
        <v>230</v>
      </c>
    </row>
    <row r="12302" spans="1:9" hidden="1" x14ac:dyDescent="0.25">
      <c r="A12302" t="s">
        <v>9976</v>
      </c>
      <c r="B12302" t="s">
        <v>816</v>
      </c>
      <c r="C12302" s="2">
        <f>HYPERLINK("https://cao.dolgi.msk.ru/account/1080107768/", 1080107768)</f>
        <v>1080107768</v>
      </c>
      <c r="D12302" t="s">
        <v>10128</v>
      </c>
      <c r="E12302">
        <v>-4389.01</v>
      </c>
      <c r="F12302">
        <v>-1.07</v>
      </c>
      <c r="G12302" t="s">
        <v>12</v>
      </c>
      <c r="I12302" t="s">
        <v>230</v>
      </c>
    </row>
    <row r="12303" spans="1:9" hidden="1" x14ac:dyDescent="0.25">
      <c r="A12303" t="s">
        <v>9976</v>
      </c>
      <c r="B12303" t="s">
        <v>818</v>
      </c>
      <c r="C12303" s="2">
        <f>HYPERLINK("https://cao.dolgi.msk.ru/account/1080107776/", 1080107776)</f>
        <v>1080107776</v>
      </c>
      <c r="D12303" t="s">
        <v>10129</v>
      </c>
      <c r="E12303">
        <v>-3539.58</v>
      </c>
      <c r="F12303">
        <v>-1.05</v>
      </c>
      <c r="G12303" t="s">
        <v>12</v>
      </c>
      <c r="I12303" t="s">
        <v>230</v>
      </c>
    </row>
    <row r="12304" spans="1:9" hidden="1" x14ac:dyDescent="0.25">
      <c r="A12304" t="s">
        <v>9976</v>
      </c>
      <c r="B12304" t="s">
        <v>820</v>
      </c>
      <c r="C12304" s="2">
        <f>HYPERLINK("https://cao.dolgi.msk.ru/account/1080107784/", 1080107784)</f>
        <v>1080107784</v>
      </c>
      <c r="D12304" t="s">
        <v>10130</v>
      </c>
      <c r="E12304">
        <v>-6004.3</v>
      </c>
      <c r="F12304">
        <v>-1.05</v>
      </c>
      <c r="G12304" t="s">
        <v>12</v>
      </c>
      <c r="I12304" t="s">
        <v>230</v>
      </c>
    </row>
    <row r="12305" spans="1:9" hidden="1" x14ac:dyDescent="0.25">
      <c r="A12305" t="s">
        <v>9976</v>
      </c>
      <c r="B12305" t="s">
        <v>822</v>
      </c>
      <c r="C12305" s="2">
        <f>HYPERLINK("https://cao.dolgi.msk.ru/account/1080107792/", 1080107792)</f>
        <v>1080107792</v>
      </c>
      <c r="D12305" t="s">
        <v>10131</v>
      </c>
      <c r="E12305">
        <v>-7981.57</v>
      </c>
      <c r="F12305">
        <v>-1.45</v>
      </c>
      <c r="G12305" t="s">
        <v>12</v>
      </c>
      <c r="I12305" t="s">
        <v>230</v>
      </c>
    </row>
    <row r="12306" spans="1:9" hidden="1" x14ac:dyDescent="0.25">
      <c r="A12306" t="s">
        <v>9976</v>
      </c>
      <c r="B12306" t="s">
        <v>824</v>
      </c>
      <c r="C12306" s="2">
        <f>HYPERLINK("https://cao.dolgi.msk.ru/account/1080107805/", 1080107805)</f>
        <v>1080107805</v>
      </c>
      <c r="D12306" t="s">
        <v>10132</v>
      </c>
      <c r="E12306">
        <v>7293.58</v>
      </c>
      <c r="F12306">
        <v>0.85</v>
      </c>
      <c r="G12306" t="s">
        <v>12</v>
      </c>
      <c r="I12306" t="s">
        <v>230</v>
      </c>
    </row>
    <row r="12307" spans="1:9" hidden="1" x14ac:dyDescent="0.25">
      <c r="A12307" t="s">
        <v>9976</v>
      </c>
      <c r="B12307" t="s">
        <v>826</v>
      </c>
      <c r="C12307" s="2">
        <f>HYPERLINK("https://cao.dolgi.msk.ru/account/1080107813/", 1080107813)</f>
        <v>1080107813</v>
      </c>
      <c r="D12307" t="s">
        <v>10133</v>
      </c>
      <c r="E12307">
        <v>-5567.33</v>
      </c>
      <c r="F12307">
        <v>-1.03</v>
      </c>
      <c r="G12307" t="s">
        <v>12</v>
      </c>
      <c r="I12307" t="s">
        <v>230</v>
      </c>
    </row>
    <row r="12308" spans="1:9" hidden="1" x14ac:dyDescent="0.25">
      <c r="A12308" t="s">
        <v>9976</v>
      </c>
      <c r="B12308" t="s">
        <v>828</v>
      </c>
      <c r="C12308" s="2">
        <f>HYPERLINK("https://cao.dolgi.msk.ru/account/1080107821/", 1080107821)</f>
        <v>1080107821</v>
      </c>
      <c r="D12308" t="s">
        <v>10134</v>
      </c>
      <c r="E12308">
        <v>-907.75</v>
      </c>
      <c r="F12308">
        <v>-0.16</v>
      </c>
      <c r="G12308" t="s">
        <v>12</v>
      </c>
      <c r="I12308" t="s">
        <v>230</v>
      </c>
    </row>
    <row r="12309" spans="1:9" hidden="1" x14ac:dyDescent="0.25">
      <c r="A12309" t="s">
        <v>9976</v>
      </c>
      <c r="B12309" t="s">
        <v>830</v>
      </c>
      <c r="C12309" s="2">
        <f>HYPERLINK("https://cao.dolgi.msk.ru/account/1080107848/", 1080107848)</f>
        <v>1080107848</v>
      </c>
      <c r="D12309" t="s">
        <v>62</v>
      </c>
      <c r="E12309">
        <v>-8126.02</v>
      </c>
      <c r="F12309">
        <v>-1.26</v>
      </c>
      <c r="G12309" t="s">
        <v>12</v>
      </c>
      <c r="I12309" t="s">
        <v>230</v>
      </c>
    </row>
    <row r="12310" spans="1:9" hidden="1" x14ac:dyDescent="0.25">
      <c r="A12310" t="s">
        <v>9976</v>
      </c>
      <c r="B12310" t="s">
        <v>831</v>
      </c>
      <c r="C12310" s="2">
        <f>HYPERLINK("https://cao.dolgi.msk.ru/account/1080107856/", 1080107856)</f>
        <v>1080107856</v>
      </c>
      <c r="D12310" t="s">
        <v>10135</v>
      </c>
      <c r="E12310">
        <v>-11390.86</v>
      </c>
      <c r="F12310">
        <v>-1.36</v>
      </c>
      <c r="G12310" t="s">
        <v>12</v>
      </c>
      <c r="I12310" t="s">
        <v>230</v>
      </c>
    </row>
    <row r="12311" spans="1:9" hidden="1" x14ac:dyDescent="0.25">
      <c r="A12311" t="s">
        <v>9976</v>
      </c>
      <c r="B12311" t="s">
        <v>833</v>
      </c>
      <c r="C12311" s="2">
        <f>HYPERLINK("https://cao.dolgi.msk.ru/account/1080107864/", 1080107864)</f>
        <v>1080107864</v>
      </c>
      <c r="D12311" t="s">
        <v>10136</v>
      </c>
      <c r="E12311">
        <v>0</v>
      </c>
      <c r="F12311">
        <v>0</v>
      </c>
      <c r="G12311" t="s">
        <v>12</v>
      </c>
      <c r="I12311" t="s">
        <v>230</v>
      </c>
    </row>
    <row r="12312" spans="1:9" hidden="1" x14ac:dyDescent="0.25">
      <c r="A12312" t="s">
        <v>9976</v>
      </c>
      <c r="B12312" t="s">
        <v>835</v>
      </c>
      <c r="C12312" s="2">
        <f>HYPERLINK("https://cao.dolgi.msk.ru/account/1080107872/", 1080107872)</f>
        <v>1080107872</v>
      </c>
      <c r="D12312" t="s">
        <v>10137</v>
      </c>
      <c r="E12312">
        <v>-5675.35</v>
      </c>
      <c r="F12312">
        <v>-1.05</v>
      </c>
      <c r="G12312" t="s">
        <v>12</v>
      </c>
      <c r="I12312" t="s">
        <v>230</v>
      </c>
    </row>
    <row r="12313" spans="1:9" hidden="1" x14ac:dyDescent="0.25">
      <c r="A12313" t="s">
        <v>9976</v>
      </c>
      <c r="B12313" t="s">
        <v>837</v>
      </c>
      <c r="C12313" s="2">
        <f>HYPERLINK("https://cao.dolgi.msk.ru/account/1080107899/", 1080107899)</f>
        <v>1080107899</v>
      </c>
      <c r="D12313" t="s">
        <v>10138</v>
      </c>
      <c r="E12313">
        <v>-10601.99</v>
      </c>
      <c r="F12313">
        <v>-1.02</v>
      </c>
      <c r="G12313" t="s">
        <v>12</v>
      </c>
      <c r="I12313" t="s">
        <v>230</v>
      </c>
    </row>
    <row r="12314" spans="1:9" hidden="1" x14ac:dyDescent="0.25">
      <c r="A12314" t="s">
        <v>9976</v>
      </c>
      <c r="B12314" t="s">
        <v>838</v>
      </c>
      <c r="C12314" s="2">
        <f>HYPERLINK("https://cao.dolgi.msk.ru/account/1080107901/", 1080107901)</f>
        <v>1080107901</v>
      </c>
      <c r="D12314" t="s">
        <v>10139</v>
      </c>
      <c r="E12314">
        <v>-10511.09</v>
      </c>
      <c r="F12314">
        <v>-1.01</v>
      </c>
      <c r="G12314" t="s">
        <v>12</v>
      </c>
      <c r="I12314" t="s">
        <v>230</v>
      </c>
    </row>
    <row r="12315" spans="1:9" hidden="1" x14ac:dyDescent="0.25">
      <c r="A12315" t="s">
        <v>9976</v>
      </c>
      <c r="B12315" t="s">
        <v>840</v>
      </c>
      <c r="C12315" s="2">
        <f>HYPERLINK("https://cao.dolgi.msk.ru/account/1080107928/", 1080107928)</f>
        <v>1080107928</v>
      </c>
      <c r="D12315" t="s">
        <v>10140</v>
      </c>
      <c r="E12315">
        <v>-5679.73</v>
      </c>
      <c r="F12315">
        <v>-0.97</v>
      </c>
      <c r="G12315" t="s">
        <v>12</v>
      </c>
      <c r="I12315" t="s">
        <v>230</v>
      </c>
    </row>
    <row r="12316" spans="1:9" hidden="1" x14ac:dyDescent="0.25">
      <c r="A12316" t="s">
        <v>9976</v>
      </c>
      <c r="B12316" t="s">
        <v>842</v>
      </c>
      <c r="C12316" s="2">
        <f>HYPERLINK("https://cao.dolgi.msk.ru/account/1080107936/", 1080107936)</f>
        <v>1080107936</v>
      </c>
      <c r="D12316" t="s">
        <v>10141</v>
      </c>
      <c r="E12316">
        <v>-1210.99</v>
      </c>
      <c r="F12316">
        <v>-0.25</v>
      </c>
      <c r="G12316" t="s">
        <v>12</v>
      </c>
      <c r="I12316" t="s">
        <v>230</v>
      </c>
    </row>
    <row r="12317" spans="1:9" hidden="1" x14ac:dyDescent="0.25">
      <c r="A12317" t="s">
        <v>9976</v>
      </c>
      <c r="B12317" t="s">
        <v>844</v>
      </c>
      <c r="C12317" s="2">
        <f>HYPERLINK("https://cao.dolgi.msk.ru/account/1080107944/", 1080107944)</f>
        <v>1080107944</v>
      </c>
      <c r="D12317" t="s">
        <v>10142</v>
      </c>
      <c r="E12317">
        <v>-6940.12</v>
      </c>
      <c r="F12317">
        <v>-0.99</v>
      </c>
      <c r="G12317" t="s">
        <v>12</v>
      </c>
      <c r="I12317" t="s">
        <v>230</v>
      </c>
    </row>
    <row r="12318" spans="1:9" hidden="1" x14ac:dyDescent="0.25">
      <c r="A12318" t="s">
        <v>9976</v>
      </c>
      <c r="B12318" t="s">
        <v>846</v>
      </c>
      <c r="C12318" s="2">
        <f>HYPERLINK("https://cao.dolgi.msk.ru/account/1080107952/", 1080107952)</f>
        <v>1080107952</v>
      </c>
      <c r="D12318" t="s">
        <v>10143</v>
      </c>
      <c r="E12318">
        <v>-3776.79</v>
      </c>
      <c r="F12318">
        <v>-1.01</v>
      </c>
      <c r="G12318" t="s">
        <v>12</v>
      </c>
      <c r="I12318" t="s">
        <v>230</v>
      </c>
    </row>
    <row r="12319" spans="1:9" hidden="1" x14ac:dyDescent="0.25">
      <c r="A12319" t="s">
        <v>9976</v>
      </c>
      <c r="B12319" t="s">
        <v>848</v>
      </c>
      <c r="C12319" s="2">
        <f>HYPERLINK("https://cao.dolgi.msk.ru/account/1080107979/", 1080107979)</f>
        <v>1080107979</v>
      </c>
      <c r="D12319" t="s">
        <v>10144</v>
      </c>
      <c r="E12319">
        <v>-3504.08</v>
      </c>
      <c r="F12319">
        <v>-1.03</v>
      </c>
      <c r="G12319" t="s">
        <v>12</v>
      </c>
      <c r="I12319" t="s">
        <v>230</v>
      </c>
    </row>
    <row r="12320" spans="1:9" hidden="1" x14ac:dyDescent="0.25">
      <c r="A12320" t="s">
        <v>9976</v>
      </c>
      <c r="B12320" t="s">
        <v>850</v>
      </c>
      <c r="C12320" s="2">
        <f>HYPERLINK("https://cao.dolgi.msk.ru/account/1080107987/", 1080107987)</f>
        <v>1080107987</v>
      </c>
      <c r="D12320" t="s">
        <v>10145</v>
      </c>
      <c r="E12320">
        <v>-6682.37</v>
      </c>
      <c r="F12320">
        <v>-1.01</v>
      </c>
      <c r="G12320" t="s">
        <v>12</v>
      </c>
      <c r="I12320" t="s">
        <v>230</v>
      </c>
    </row>
    <row r="12321" spans="1:9" hidden="1" x14ac:dyDescent="0.25">
      <c r="A12321" t="s">
        <v>9976</v>
      </c>
      <c r="B12321" t="s">
        <v>852</v>
      </c>
      <c r="C12321" s="2">
        <f>HYPERLINK("https://cao.dolgi.msk.ru/account/1080107995/", 1080107995)</f>
        <v>1080107995</v>
      </c>
      <c r="D12321" t="s">
        <v>10146</v>
      </c>
      <c r="E12321">
        <v>-6077.19</v>
      </c>
      <c r="F12321">
        <v>-0.96</v>
      </c>
      <c r="G12321" t="s">
        <v>12</v>
      </c>
      <c r="I12321" t="s">
        <v>230</v>
      </c>
    </row>
    <row r="12322" spans="1:9" hidden="1" x14ac:dyDescent="0.25">
      <c r="A12322" t="s">
        <v>9976</v>
      </c>
      <c r="B12322" t="s">
        <v>854</v>
      </c>
      <c r="C12322" s="2">
        <f>HYPERLINK("https://cao.dolgi.msk.ru/account/1080108007/", 1080108007)</f>
        <v>1080108007</v>
      </c>
      <c r="D12322" t="s">
        <v>10147</v>
      </c>
      <c r="E12322">
        <v>-7602.18</v>
      </c>
      <c r="F12322">
        <v>-1.42</v>
      </c>
      <c r="G12322" t="s">
        <v>12</v>
      </c>
      <c r="I12322" t="s">
        <v>230</v>
      </c>
    </row>
    <row r="12323" spans="1:9" x14ac:dyDescent="0.25">
      <c r="A12323" t="s">
        <v>9976</v>
      </c>
      <c r="B12323" t="s">
        <v>856</v>
      </c>
      <c r="C12323" s="2">
        <f>HYPERLINK("https://cao.dolgi.msk.ru/account/1080108015/", 1080108015)</f>
        <v>1080108015</v>
      </c>
      <c r="D12323" t="s">
        <v>10148</v>
      </c>
      <c r="E12323">
        <v>10821.44</v>
      </c>
      <c r="F12323">
        <v>1.53</v>
      </c>
      <c r="G12323" t="s">
        <v>12</v>
      </c>
      <c r="I12323" t="s">
        <v>230</v>
      </c>
    </row>
    <row r="12324" spans="1:9" hidden="1" x14ac:dyDescent="0.25">
      <c r="A12324" t="s">
        <v>9976</v>
      </c>
      <c r="B12324" t="s">
        <v>858</v>
      </c>
      <c r="C12324" s="2">
        <f>HYPERLINK("https://cao.dolgi.msk.ru/account/1080108023/", 1080108023)</f>
        <v>1080108023</v>
      </c>
      <c r="D12324" t="s">
        <v>10149</v>
      </c>
      <c r="E12324">
        <v>-7479.47</v>
      </c>
      <c r="F12324">
        <v>-1.04</v>
      </c>
      <c r="G12324" t="s">
        <v>12</v>
      </c>
      <c r="I12324" t="s">
        <v>230</v>
      </c>
    </row>
    <row r="12325" spans="1:9" hidden="1" x14ac:dyDescent="0.25">
      <c r="A12325" t="s">
        <v>9976</v>
      </c>
      <c r="B12325" t="s">
        <v>860</v>
      </c>
      <c r="C12325" s="2">
        <f>HYPERLINK("https://cao.dolgi.msk.ru/account/1080108031/", 1080108031)</f>
        <v>1080108031</v>
      </c>
      <c r="D12325" t="s">
        <v>10150</v>
      </c>
      <c r="E12325">
        <v>-11531.75</v>
      </c>
      <c r="F12325">
        <v>-0.86</v>
      </c>
      <c r="G12325" t="s">
        <v>12</v>
      </c>
      <c r="I12325" t="s">
        <v>230</v>
      </c>
    </row>
    <row r="12326" spans="1:9" hidden="1" x14ac:dyDescent="0.25">
      <c r="A12326" t="s">
        <v>9976</v>
      </c>
      <c r="B12326" t="s">
        <v>862</v>
      </c>
      <c r="C12326" s="2">
        <f>HYPERLINK("https://cao.dolgi.msk.ru/account/1080108058/", 1080108058)</f>
        <v>1080108058</v>
      </c>
      <c r="D12326" t="s">
        <v>10151</v>
      </c>
      <c r="E12326">
        <v>-4259.05</v>
      </c>
      <c r="F12326">
        <v>-1.06</v>
      </c>
      <c r="G12326" t="s">
        <v>12</v>
      </c>
      <c r="I12326" t="s">
        <v>230</v>
      </c>
    </row>
    <row r="12327" spans="1:9" hidden="1" x14ac:dyDescent="0.25">
      <c r="A12327" t="s">
        <v>9976</v>
      </c>
      <c r="B12327" t="s">
        <v>864</v>
      </c>
      <c r="C12327" s="2">
        <f>HYPERLINK("https://cao.dolgi.msk.ru/account/1080108066/", 1080108066)</f>
        <v>1080108066</v>
      </c>
      <c r="D12327" t="s">
        <v>10152</v>
      </c>
      <c r="E12327">
        <v>-4840.3</v>
      </c>
      <c r="F12327">
        <v>-0.97</v>
      </c>
      <c r="G12327" t="s">
        <v>12</v>
      </c>
      <c r="I12327" t="s">
        <v>230</v>
      </c>
    </row>
    <row r="12328" spans="1:9" hidden="1" x14ac:dyDescent="0.25">
      <c r="A12328" t="s">
        <v>9976</v>
      </c>
      <c r="B12328" t="s">
        <v>866</v>
      </c>
      <c r="C12328" s="2">
        <f>HYPERLINK("https://cao.dolgi.msk.ru/account/1080108074/", 1080108074)</f>
        <v>1080108074</v>
      </c>
      <c r="D12328" t="s">
        <v>10153</v>
      </c>
      <c r="E12328">
        <v>-19</v>
      </c>
      <c r="F12328">
        <v>-0.01</v>
      </c>
      <c r="G12328" t="s">
        <v>12</v>
      </c>
      <c r="I12328" t="s">
        <v>230</v>
      </c>
    </row>
    <row r="12329" spans="1:9" hidden="1" x14ac:dyDescent="0.25">
      <c r="A12329" t="s">
        <v>9976</v>
      </c>
      <c r="B12329" t="s">
        <v>868</v>
      </c>
      <c r="C12329" s="2">
        <f>HYPERLINK("https://cao.dolgi.msk.ru/account/1080108082/", 1080108082)</f>
        <v>1080108082</v>
      </c>
      <c r="D12329" t="s">
        <v>10154</v>
      </c>
      <c r="E12329">
        <v>-1.1499999999999999</v>
      </c>
      <c r="F12329">
        <v>0</v>
      </c>
      <c r="G12329" t="s">
        <v>12</v>
      </c>
      <c r="I12329" t="s">
        <v>230</v>
      </c>
    </row>
    <row r="12330" spans="1:9" hidden="1" x14ac:dyDescent="0.25">
      <c r="A12330" t="s">
        <v>9976</v>
      </c>
      <c r="B12330" t="s">
        <v>870</v>
      </c>
      <c r="C12330" s="2">
        <f>HYPERLINK("https://cao.dolgi.msk.ru/account/1080108103/", 1080108103)</f>
        <v>1080108103</v>
      </c>
      <c r="D12330" t="s">
        <v>10155</v>
      </c>
      <c r="E12330">
        <v>-4456.3100000000004</v>
      </c>
      <c r="F12330">
        <v>-1.1299999999999999</v>
      </c>
      <c r="G12330" t="s">
        <v>12</v>
      </c>
      <c r="I12330" t="s">
        <v>230</v>
      </c>
    </row>
    <row r="12331" spans="1:9" hidden="1" x14ac:dyDescent="0.25">
      <c r="A12331" t="s">
        <v>9976</v>
      </c>
      <c r="B12331" t="s">
        <v>872</v>
      </c>
      <c r="C12331" s="2">
        <f>HYPERLINK("https://cao.dolgi.msk.ru/account/1080108111/", 1080108111)</f>
        <v>1080108111</v>
      </c>
      <c r="D12331" t="s">
        <v>10156</v>
      </c>
      <c r="E12331">
        <v>-5125.51</v>
      </c>
      <c r="F12331">
        <v>-1.1499999999999999</v>
      </c>
      <c r="G12331" t="s">
        <v>12</v>
      </c>
      <c r="I12331" t="s">
        <v>230</v>
      </c>
    </row>
    <row r="12332" spans="1:9" hidden="1" x14ac:dyDescent="0.25">
      <c r="A12332" t="s">
        <v>9976</v>
      </c>
      <c r="B12332" t="s">
        <v>874</v>
      </c>
      <c r="C12332" s="2">
        <f>HYPERLINK("https://cao.dolgi.msk.ru/account/1080108138/", 1080108138)</f>
        <v>1080108138</v>
      </c>
      <c r="D12332" t="s">
        <v>10157</v>
      </c>
      <c r="E12332">
        <v>-115.3</v>
      </c>
      <c r="F12332">
        <v>-0.02</v>
      </c>
      <c r="G12332" t="s">
        <v>12</v>
      </c>
      <c r="I12332" t="s">
        <v>230</v>
      </c>
    </row>
    <row r="12333" spans="1:9" x14ac:dyDescent="0.25">
      <c r="A12333" t="s">
        <v>9976</v>
      </c>
      <c r="B12333" t="s">
        <v>875</v>
      </c>
      <c r="C12333" s="2">
        <f>HYPERLINK("https://cao.dolgi.msk.ru/account/1080108146/", 1080108146)</f>
        <v>1080108146</v>
      </c>
      <c r="D12333" t="s">
        <v>10158</v>
      </c>
      <c r="E12333">
        <v>29738.85</v>
      </c>
      <c r="F12333">
        <v>1.91</v>
      </c>
      <c r="G12333" t="s">
        <v>12</v>
      </c>
      <c r="I12333" t="s">
        <v>230</v>
      </c>
    </row>
    <row r="12334" spans="1:9" hidden="1" x14ac:dyDescent="0.25">
      <c r="A12334" t="s">
        <v>9976</v>
      </c>
      <c r="B12334" t="s">
        <v>877</v>
      </c>
      <c r="C12334" s="2">
        <f>HYPERLINK("https://cao.dolgi.msk.ru/account/1080108154/", 1080108154)</f>
        <v>1080108154</v>
      </c>
      <c r="D12334" t="s">
        <v>10159</v>
      </c>
      <c r="E12334">
        <v>5261.52</v>
      </c>
      <c r="F12334">
        <v>0.82</v>
      </c>
      <c r="G12334" t="s">
        <v>12</v>
      </c>
      <c r="I12334" t="s">
        <v>230</v>
      </c>
    </row>
    <row r="12335" spans="1:9" hidden="1" x14ac:dyDescent="0.25">
      <c r="A12335" t="s">
        <v>9976</v>
      </c>
      <c r="B12335" t="s">
        <v>879</v>
      </c>
      <c r="C12335" s="2">
        <f>HYPERLINK("https://cao.dolgi.msk.ru/account/1080108162/", 1080108162)</f>
        <v>1080108162</v>
      </c>
      <c r="D12335" t="s">
        <v>15</v>
      </c>
      <c r="E12335">
        <v>-3903.6</v>
      </c>
      <c r="F12335">
        <v>-1.02</v>
      </c>
      <c r="G12335" t="s">
        <v>12</v>
      </c>
      <c r="I12335" t="s">
        <v>230</v>
      </c>
    </row>
    <row r="12336" spans="1:9" hidden="1" x14ac:dyDescent="0.25">
      <c r="A12336" t="s">
        <v>9976</v>
      </c>
      <c r="B12336" t="s">
        <v>881</v>
      </c>
      <c r="C12336" s="2">
        <f>HYPERLINK("https://cao.dolgi.msk.ru/account/1080108189/", 1080108189)</f>
        <v>1080108189</v>
      </c>
      <c r="D12336" t="s">
        <v>10160</v>
      </c>
      <c r="E12336">
        <v>-3916.18</v>
      </c>
      <c r="F12336">
        <v>-1.26</v>
      </c>
      <c r="G12336" t="s">
        <v>12</v>
      </c>
      <c r="I12336" t="s">
        <v>230</v>
      </c>
    </row>
    <row r="12337" spans="1:9" hidden="1" x14ac:dyDescent="0.25">
      <c r="A12337" t="s">
        <v>9976</v>
      </c>
      <c r="B12337" t="s">
        <v>883</v>
      </c>
      <c r="C12337" s="2">
        <f>HYPERLINK("https://cao.dolgi.msk.ru/account/1080108197/", 1080108197)</f>
        <v>1080108197</v>
      </c>
      <c r="D12337" t="s">
        <v>10161</v>
      </c>
      <c r="E12337">
        <v>-8378.0300000000007</v>
      </c>
      <c r="F12337">
        <v>-1.02</v>
      </c>
      <c r="G12337" t="s">
        <v>12</v>
      </c>
      <c r="I12337" t="s">
        <v>230</v>
      </c>
    </row>
    <row r="12338" spans="1:9" hidden="1" x14ac:dyDescent="0.25">
      <c r="A12338" t="s">
        <v>9976</v>
      </c>
      <c r="B12338" t="s">
        <v>3443</v>
      </c>
      <c r="C12338" s="2">
        <f>HYPERLINK("https://cao.dolgi.msk.ru/account/1080108218/", 1080108218)</f>
        <v>1080108218</v>
      </c>
      <c r="D12338" t="s">
        <v>10162</v>
      </c>
      <c r="E12338">
        <v>-6196.31</v>
      </c>
      <c r="F12338">
        <v>-0.93</v>
      </c>
      <c r="G12338" t="s">
        <v>12</v>
      </c>
      <c r="I12338" t="s">
        <v>230</v>
      </c>
    </row>
    <row r="12339" spans="1:9" hidden="1" x14ac:dyDescent="0.25">
      <c r="A12339" t="s">
        <v>9976</v>
      </c>
      <c r="B12339" t="s">
        <v>3445</v>
      </c>
      <c r="C12339" s="2">
        <f>HYPERLINK("https://cao.dolgi.msk.ru/account/1080108226/", 1080108226)</f>
        <v>1080108226</v>
      </c>
      <c r="D12339" t="s">
        <v>10162</v>
      </c>
      <c r="E12339">
        <v>-4591.2700000000004</v>
      </c>
      <c r="F12339">
        <v>-0.96</v>
      </c>
      <c r="G12339" t="s">
        <v>12</v>
      </c>
      <c r="I12339" t="s">
        <v>230</v>
      </c>
    </row>
    <row r="12340" spans="1:9" hidden="1" x14ac:dyDescent="0.25">
      <c r="A12340" t="s">
        <v>9976</v>
      </c>
      <c r="B12340" t="s">
        <v>3447</v>
      </c>
      <c r="C12340" s="2">
        <f>HYPERLINK("https://cao.dolgi.msk.ru/account/1080108234/", 1080108234)</f>
        <v>1080108234</v>
      </c>
      <c r="D12340" t="s">
        <v>10163</v>
      </c>
      <c r="E12340">
        <v>-7016.55</v>
      </c>
      <c r="F12340">
        <v>-1.01</v>
      </c>
      <c r="G12340" t="s">
        <v>12</v>
      </c>
      <c r="I12340" t="s">
        <v>230</v>
      </c>
    </row>
    <row r="12341" spans="1:9" hidden="1" x14ac:dyDescent="0.25">
      <c r="A12341" t="s">
        <v>9976</v>
      </c>
      <c r="B12341" t="s">
        <v>3449</v>
      </c>
      <c r="C12341" s="2">
        <f>HYPERLINK("https://cao.dolgi.msk.ru/account/1080108242/", 1080108242)</f>
        <v>1080108242</v>
      </c>
      <c r="D12341" t="s">
        <v>10164</v>
      </c>
      <c r="E12341">
        <v>-7444.93</v>
      </c>
      <c r="F12341">
        <v>-1.04</v>
      </c>
      <c r="G12341" t="s">
        <v>12</v>
      </c>
      <c r="I12341" t="s">
        <v>230</v>
      </c>
    </row>
    <row r="12342" spans="1:9" hidden="1" x14ac:dyDescent="0.25">
      <c r="A12342" t="s">
        <v>9976</v>
      </c>
      <c r="B12342" t="s">
        <v>3451</v>
      </c>
      <c r="C12342" s="2">
        <f>HYPERLINK("https://cao.dolgi.msk.ru/account/1080108269/", 1080108269)</f>
        <v>1080108269</v>
      </c>
      <c r="D12342" t="s">
        <v>10165</v>
      </c>
      <c r="E12342">
        <v>-1079.51</v>
      </c>
      <c r="F12342">
        <v>-0.86</v>
      </c>
      <c r="G12342" t="s">
        <v>12</v>
      </c>
      <c r="I12342" t="s">
        <v>230</v>
      </c>
    </row>
    <row r="12343" spans="1:9" hidden="1" x14ac:dyDescent="0.25">
      <c r="A12343" t="s">
        <v>9976</v>
      </c>
      <c r="B12343" t="s">
        <v>3451</v>
      </c>
      <c r="C12343" s="2">
        <f>HYPERLINK("https://cao.dolgi.msk.ru/account/1089117989/", 1089117989)</f>
        <v>1089117989</v>
      </c>
      <c r="D12343" t="s">
        <v>15</v>
      </c>
      <c r="E12343">
        <v>-3105.23</v>
      </c>
      <c r="F12343">
        <v>-1.18</v>
      </c>
      <c r="G12343" t="s">
        <v>12</v>
      </c>
      <c r="I12343" t="s">
        <v>230</v>
      </c>
    </row>
    <row r="12344" spans="1:9" hidden="1" x14ac:dyDescent="0.25">
      <c r="A12344" t="s">
        <v>9976</v>
      </c>
      <c r="B12344" t="s">
        <v>3452</v>
      </c>
      <c r="C12344" s="2">
        <f>HYPERLINK("https://cao.dolgi.msk.ru/account/1080108277/", 1080108277)</f>
        <v>1080108277</v>
      </c>
      <c r="D12344" t="s">
        <v>10166</v>
      </c>
      <c r="E12344">
        <v>-10483.42</v>
      </c>
      <c r="F12344">
        <v>-2.75</v>
      </c>
      <c r="G12344" t="s">
        <v>12</v>
      </c>
      <c r="I12344" t="s">
        <v>230</v>
      </c>
    </row>
    <row r="12345" spans="1:9" hidden="1" x14ac:dyDescent="0.25">
      <c r="A12345" t="s">
        <v>9976</v>
      </c>
      <c r="B12345" t="s">
        <v>3454</v>
      </c>
      <c r="C12345" s="2">
        <f>HYPERLINK("https://cao.dolgi.msk.ru/account/1080108285/", 1080108285)</f>
        <v>1080108285</v>
      </c>
      <c r="D12345" t="s">
        <v>10167</v>
      </c>
      <c r="E12345">
        <v>-7330.14</v>
      </c>
      <c r="F12345">
        <v>-1.02</v>
      </c>
      <c r="G12345" t="s">
        <v>12</v>
      </c>
      <c r="I12345" t="s">
        <v>230</v>
      </c>
    </row>
    <row r="12346" spans="1:9" hidden="1" x14ac:dyDescent="0.25">
      <c r="A12346" t="s">
        <v>9976</v>
      </c>
      <c r="B12346" t="s">
        <v>3456</v>
      </c>
      <c r="C12346" s="2">
        <f>HYPERLINK("https://cao.dolgi.msk.ru/account/1080108293/", 1080108293)</f>
        <v>1080108293</v>
      </c>
      <c r="D12346" t="s">
        <v>10168</v>
      </c>
      <c r="E12346">
        <v>0</v>
      </c>
      <c r="F12346">
        <v>0</v>
      </c>
      <c r="G12346" t="s">
        <v>12</v>
      </c>
      <c r="I12346" t="s">
        <v>230</v>
      </c>
    </row>
    <row r="12347" spans="1:9" hidden="1" x14ac:dyDescent="0.25">
      <c r="A12347" t="s">
        <v>9976</v>
      </c>
      <c r="B12347" t="s">
        <v>3458</v>
      </c>
      <c r="C12347" s="2">
        <f>HYPERLINK("https://cao.dolgi.msk.ru/account/1080108306/", 1080108306)</f>
        <v>1080108306</v>
      </c>
      <c r="D12347" t="s">
        <v>10169</v>
      </c>
      <c r="E12347">
        <v>-12057.31</v>
      </c>
      <c r="F12347">
        <v>-1.01</v>
      </c>
      <c r="G12347" t="s">
        <v>12</v>
      </c>
      <c r="I12347" t="s">
        <v>230</v>
      </c>
    </row>
    <row r="12348" spans="1:9" hidden="1" x14ac:dyDescent="0.25">
      <c r="A12348" t="s">
        <v>9976</v>
      </c>
      <c r="B12348" t="s">
        <v>3460</v>
      </c>
      <c r="C12348" s="2">
        <f>HYPERLINK("https://cao.dolgi.msk.ru/account/1080108314/", 1080108314)</f>
        <v>1080108314</v>
      </c>
      <c r="D12348" t="s">
        <v>10170</v>
      </c>
      <c r="E12348">
        <v>-7027.29</v>
      </c>
      <c r="F12348">
        <v>-0.99</v>
      </c>
      <c r="G12348" t="s">
        <v>12</v>
      </c>
      <c r="I12348" t="s">
        <v>230</v>
      </c>
    </row>
    <row r="12349" spans="1:9" hidden="1" x14ac:dyDescent="0.25">
      <c r="A12349" t="s">
        <v>9976</v>
      </c>
      <c r="B12349" t="s">
        <v>3462</v>
      </c>
      <c r="C12349" s="2">
        <f>HYPERLINK("https://cao.dolgi.msk.ru/account/1080108322/", 1080108322)</f>
        <v>1080108322</v>
      </c>
      <c r="D12349" t="s">
        <v>10171</v>
      </c>
      <c r="E12349">
        <v>147.6</v>
      </c>
      <c r="F12349">
        <v>0.03</v>
      </c>
      <c r="G12349" t="s">
        <v>12</v>
      </c>
      <c r="I12349" t="s">
        <v>230</v>
      </c>
    </row>
    <row r="12350" spans="1:9" hidden="1" x14ac:dyDescent="0.25">
      <c r="A12350" t="s">
        <v>9976</v>
      </c>
      <c r="B12350" t="s">
        <v>3463</v>
      </c>
      <c r="C12350" s="2">
        <f>HYPERLINK("https://cao.dolgi.msk.ru/account/1080108349/", 1080108349)</f>
        <v>1080108349</v>
      </c>
      <c r="D12350" t="s">
        <v>10172</v>
      </c>
      <c r="E12350">
        <v>-7160.89</v>
      </c>
      <c r="F12350">
        <v>-1.01</v>
      </c>
      <c r="G12350" t="s">
        <v>12</v>
      </c>
      <c r="I12350" t="s">
        <v>230</v>
      </c>
    </row>
    <row r="12351" spans="1:9" hidden="1" x14ac:dyDescent="0.25">
      <c r="A12351" t="s">
        <v>9976</v>
      </c>
      <c r="B12351" t="s">
        <v>1791</v>
      </c>
      <c r="C12351" s="2">
        <f>HYPERLINK("https://cao.dolgi.msk.ru/account/1080108357/", 1080108357)</f>
        <v>1080108357</v>
      </c>
      <c r="D12351" t="s">
        <v>10173</v>
      </c>
      <c r="E12351">
        <v>-271.60000000000002</v>
      </c>
      <c r="F12351">
        <v>-0.06</v>
      </c>
      <c r="G12351" t="s">
        <v>12</v>
      </c>
      <c r="I12351" t="s">
        <v>230</v>
      </c>
    </row>
    <row r="12352" spans="1:9" hidden="1" x14ac:dyDescent="0.25">
      <c r="A12352" t="s">
        <v>9976</v>
      </c>
      <c r="B12352" t="s">
        <v>3466</v>
      </c>
      <c r="C12352" s="2">
        <f>HYPERLINK("https://cao.dolgi.msk.ru/account/1080108365/", 1080108365)</f>
        <v>1080108365</v>
      </c>
      <c r="D12352" t="s">
        <v>10174</v>
      </c>
      <c r="E12352">
        <v>12.75</v>
      </c>
      <c r="F12352">
        <v>0</v>
      </c>
      <c r="G12352" t="s">
        <v>12</v>
      </c>
      <c r="I12352" t="s">
        <v>230</v>
      </c>
    </row>
    <row r="12353" spans="1:9" hidden="1" x14ac:dyDescent="0.25">
      <c r="A12353" t="s">
        <v>9976</v>
      </c>
      <c r="B12353" t="s">
        <v>3466</v>
      </c>
      <c r="C12353" s="2">
        <f>HYPERLINK("https://cao.dolgi.msk.ru/account/1089130729/", 1089130729)</f>
        <v>1089130729</v>
      </c>
      <c r="D12353" t="s">
        <v>10175</v>
      </c>
      <c r="E12353">
        <v>-1690.21</v>
      </c>
      <c r="F12353">
        <v>-1.28</v>
      </c>
      <c r="G12353" t="s">
        <v>12</v>
      </c>
      <c r="I12353" t="s">
        <v>230</v>
      </c>
    </row>
    <row r="12354" spans="1:9" hidden="1" x14ac:dyDescent="0.25">
      <c r="A12354" t="s">
        <v>9976</v>
      </c>
      <c r="B12354" t="s">
        <v>1792</v>
      </c>
      <c r="C12354" s="2">
        <f>HYPERLINK("https://cao.dolgi.msk.ru/account/1080108373/", 1080108373)</f>
        <v>1080108373</v>
      </c>
      <c r="D12354" t="s">
        <v>10176</v>
      </c>
      <c r="E12354">
        <v>0</v>
      </c>
      <c r="F12354">
        <v>0</v>
      </c>
      <c r="G12354" t="s">
        <v>12</v>
      </c>
      <c r="I12354" t="s">
        <v>230</v>
      </c>
    </row>
    <row r="12355" spans="1:9" hidden="1" x14ac:dyDescent="0.25">
      <c r="A12355" t="s">
        <v>9976</v>
      </c>
      <c r="B12355" t="s">
        <v>3469</v>
      </c>
      <c r="C12355" s="2">
        <f>HYPERLINK("https://cao.dolgi.msk.ru/account/1080108381/", 1080108381)</f>
        <v>1080108381</v>
      </c>
      <c r="D12355" t="s">
        <v>10177</v>
      </c>
      <c r="E12355">
        <v>-239.28</v>
      </c>
      <c r="F12355">
        <v>-0.06</v>
      </c>
      <c r="G12355" t="s">
        <v>12</v>
      </c>
      <c r="I12355" t="s">
        <v>230</v>
      </c>
    </row>
    <row r="12356" spans="1:9" hidden="1" x14ac:dyDescent="0.25">
      <c r="A12356" t="s">
        <v>9976</v>
      </c>
      <c r="B12356" t="s">
        <v>1793</v>
      </c>
      <c r="C12356" s="2">
        <f>HYPERLINK("https://cao.dolgi.msk.ru/account/1080108402/", 1080108402)</f>
        <v>1080108402</v>
      </c>
      <c r="D12356" t="s">
        <v>10178</v>
      </c>
      <c r="E12356">
        <v>-6389.78</v>
      </c>
      <c r="F12356">
        <v>-0.97</v>
      </c>
      <c r="G12356" t="s">
        <v>12</v>
      </c>
      <c r="I12356" t="s">
        <v>230</v>
      </c>
    </row>
    <row r="12357" spans="1:9" hidden="1" x14ac:dyDescent="0.25">
      <c r="A12357" t="s">
        <v>9976</v>
      </c>
      <c r="B12357" t="s">
        <v>3472</v>
      </c>
      <c r="C12357" s="2">
        <f>HYPERLINK("https://cao.dolgi.msk.ru/account/1080108429/", 1080108429)</f>
        <v>1080108429</v>
      </c>
      <c r="D12357" t="s">
        <v>10179</v>
      </c>
      <c r="E12357">
        <v>-3961.29</v>
      </c>
      <c r="F12357">
        <v>-1</v>
      </c>
      <c r="G12357" t="s">
        <v>12</v>
      </c>
      <c r="I12357" t="s">
        <v>230</v>
      </c>
    </row>
    <row r="12358" spans="1:9" hidden="1" x14ac:dyDescent="0.25">
      <c r="A12358" t="s">
        <v>9976</v>
      </c>
      <c r="B12358" t="s">
        <v>3472</v>
      </c>
      <c r="C12358" s="2">
        <f>HYPERLINK("https://cao.dolgi.msk.ru/account/1083270165/", 1083270165)</f>
        <v>1083270165</v>
      </c>
      <c r="D12358" t="s">
        <v>10180</v>
      </c>
      <c r="E12358">
        <v>-2733.94</v>
      </c>
      <c r="F12358">
        <v>-1.02</v>
      </c>
      <c r="G12358" t="s">
        <v>12</v>
      </c>
      <c r="I12358" t="s">
        <v>230</v>
      </c>
    </row>
    <row r="12359" spans="1:9" hidden="1" x14ac:dyDescent="0.25">
      <c r="A12359" t="s">
        <v>9976</v>
      </c>
      <c r="B12359" t="s">
        <v>3474</v>
      </c>
      <c r="C12359" s="2">
        <f>HYPERLINK("https://cao.dolgi.msk.ru/account/1080108437/", 1080108437)</f>
        <v>1080108437</v>
      </c>
      <c r="D12359" t="s">
        <v>10181</v>
      </c>
      <c r="E12359">
        <v>-13986.47</v>
      </c>
      <c r="F12359">
        <v>-3.54</v>
      </c>
      <c r="G12359" t="s">
        <v>12</v>
      </c>
      <c r="I12359" t="s">
        <v>230</v>
      </c>
    </row>
    <row r="12360" spans="1:9" hidden="1" x14ac:dyDescent="0.25">
      <c r="A12360" t="s">
        <v>9976</v>
      </c>
      <c r="B12360" t="s">
        <v>1794</v>
      </c>
      <c r="C12360" s="2">
        <f>HYPERLINK("https://cao.dolgi.msk.ru/account/1080108445/", 1080108445)</f>
        <v>1080108445</v>
      </c>
      <c r="D12360" t="s">
        <v>10182</v>
      </c>
      <c r="E12360">
        <v>-7384.79</v>
      </c>
      <c r="F12360">
        <v>-1.02</v>
      </c>
      <c r="G12360" t="s">
        <v>12</v>
      </c>
      <c r="I12360" t="s">
        <v>230</v>
      </c>
    </row>
    <row r="12361" spans="1:9" hidden="1" x14ac:dyDescent="0.25">
      <c r="A12361" t="s">
        <v>9976</v>
      </c>
      <c r="B12361" t="s">
        <v>3477</v>
      </c>
      <c r="C12361" s="2">
        <f>HYPERLINK("https://cao.dolgi.msk.ru/account/1080108453/", 1080108453)</f>
        <v>1080108453</v>
      </c>
      <c r="D12361" t="s">
        <v>10183</v>
      </c>
      <c r="E12361">
        <v>-9305.4500000000007</v>
      </c>
      <c r="F12361">
        <v>-1.01</v>
      </c>
      <c r="G12361" t="s">
        <v>12</v>
      </c>
      <c r="I12361" t="s">
        <v>230</v>
      </c>
    </row>
    <row r="12362" spans="1:9" hidden="1" x14ac:dyDescent="0.25">
      <c r="A12362" t="s">
        <v>9976</v>
      </c>
      <c r="B12362" t="s">
        <v>1795</v>
      </c>
      <c r="C12362" s="2">
        <f>HYPERLINK("https://cao.dolgi.msk.ru/account/1080108461/", 1080108461)</f>
        <v>1080108461</v>
      </c>
      <c r="D12362" t="s">
        <v>10184</v>
      </c>
      <c r="E12362">
        <v>-5097.2</v>
      </c>
      <c r="F12362">
        <v>-1.01</v>
      </c>
      <c r="G12362" t="s">
        <v>12</v>
      </c>
      <c r="I12362" t="s">
        <v>230</v>
      </c>
    </row>
    <row r="12363" spans="1:9" hidden="1" x14ac:dyDescent="0.25">
      <c r="A12363" t="s">
        <v>9976</v>
      </c>
      <c r="B12363" t="s">
        <v>3480</v>
      </c>
      <c r="C12363" s="2">
        <f>HYPERLINK("https://cao.dolgi.msk.ru/account/1080108488/", 1080108488)</f>
        <v>1080108488</v>
      </c>
      <c r="D12363" t="s">
        <v>15</v>
      </c>
      <c r="G12363" t="s">
        <v>14</v>
      </c>
      <c r="I12363" t="s">
        <v>230</v>
      </c>
    </row>
    <row r="12364" spans="1:9" hidden="1" x14ac:dyDescent="0.25">
      <c r="A12364" t="s">
        <v>9976</v>
      </c>
      <c r="B12364" t="s">
        <v>1797</v>
      </c>
      <c r="C12364" s="2">
        <f>HYPERLINK("https://cao.dolgi.msk.ru/account/1080108496/", 1080108496)</f>
        <v>1080108496</v>
      </c>
      <c r="D12364" t="s">
        <v>10185</v>
      </c>
      <c r="E12364">
        <v>-7081.87</v>
      </c>
      <c r="F12364">
        <v>-0.98</v>
      </c>
      <c r="G12364" t="s">
        <v>12</v>
      </c>
      <c r="I12364" t="s">
        <v>230</v>
      </c>
    </row>
    <row r="12365" spans="1:9" hidden="1" x14ac:dyDescent="0.25">
      <c r="A12365" t="s">
        <v>9976</v>
      </c>
      <c r="B12365" t="s">
        <v>1798</v>
      </c>
      <c r="C12365" s="2">
        <f>HYPERLINK("https://cao.dolgi.msk.ru/account/1080108509/", 1080108509)</f>
        <v>1080108509</v>
      </c>
      <c r="D12365" t="s">
        <v>10186</v>
      </c>
      <c r="E12365">
        <v>-4165.68</v>
      </c>
      <c r="F12365">
        <v>-1</v>
      </c>
      <c r="G12365" t="s">
        <v>12</v>
      </c>
      <c r="I12365" t="s">
        <v>230</v>
      </c>
    </row>
    <row r="12366" spans="1:9" hidden="1" x14ac:dyDescent="0.25">
      <c r="A12366" t="s">
        <v>9976</v>
      </c>
      <c r="B12366" t="s">
        <v>1800</v>
      </c>
      <c r="C12366" s="2">
        <f>HYPERLINK("https://cao.dolgi.msk.ru/account/1080108517/", 1080108517)</f>
        <v>1080108517</v>
      </c>
      <c r="D12366" t="s">
        <v>10187</v>
      </c>
      <c r="E12366">
        <v>-7157.8</v>
      </c>
      <c r="F12366">
        <v>-1.02</v>
      </c>
      <c r="G12366" t="s">
        <v>12</v>
      </c>
      <c r="I12366" t="s">
        <v>230</v>
      </c>
    </row>
    <row r="12367" spans="1:9" hidden="1" x14ac:dyDescent="0.25">
      <c r="A12367" t="s">
        <v>9976</v>
      </c>
      <c r="B12367" t="s">
        <v>3484</v>
      </c>
      <c r="C12367" s="2">
        <f>HYPERLINK("https://cao.dolgi.msk.ru/account/1080108525/", 1080108525)</f>
        <v>1080108525</v>
      </c>
      <c r="D12367" t="s">
        <v>10188</v>
      </c>
      <c r="E12367">
        <v>-7387.83</v>
      </c>
      <c r="F12367">
        <v>-1.02</v>
      </c>
      <c r="G12367" t="s">
        <v>12</v>
      </c>
      <c r="I12367" t="s">
        <v>230</v>
      </c>
    </row>
    <row r="12368" spans="1:9" hidden="1" x14ac:dyDescent="0.25">
      <c r="A12368" t="s">
        <v>9976</v>
      </c>
      <c r="B12368" t="s">
        <v>3486</v>
      </c>
      <c r="C12368" s="2">
        <f>HYPERLINK("https://cao.dolgi.msk.ru/account/1080108533/", 1080108533)</f>
        <v>1080108533</v>
      </c>
      <c r="D12368" t="s">
        <v>10189</v>
      </c>
      <c r="E12368">
        <v>-7146.8</v>
      </c>
      <c r="F12368">
        <v>-1.01</v>
      </c>
      <c r="G12368" t="s">
        <v>12</v>
      </c>
      <c r="I12368" t="s">
        <v>230</v>
      </c>
    </row>
    <row r="12369" spans="1:9" hidden="1" x14ac:dyDescent="0.25">
      <c r="A12369" t="s">
        <v>9976</v>
      </c>
      <c r="B12369" t="s">
        <v>3488</v>
      </c>
      <c r="C12369" s="2">
        <f>HYPERLINK("https://cao.dolgi.msk.ru/account/1080108541/", 1080108541)</f>
        <v>1080108541</v>
      </c>
      <c r="D12369" t="s">
        <v>10190</v>
      </c>
      <c r="E12369">
        <v>-5054.9399999999996</v>
      </c>
      <c r="F12369">
        <v>-1.19</v>
      </c>
      <c r="G12369" t="s">
        <v>12</v>
      </c>
      <c r="I12369" t="s">
        <v>230</v>
      </c>
    </row>
    <row r="12370" spans="1:9" hidden="1" x14ac:dyDescent="0.25">
      <c r="A12370" t="s">
        <v>9976</v>
      </c>
      <c r="B12370" t="s">
        <v>1802</v>
      </c>
      <c r="C12370" s="2">
        <f>HYPERLINK("https://cao.dolgi.msk.ru/account/1080108568/", 1080108568)</f>
        <v>1080108568</v>
      </c>
      <c r="D12370" t="s">
        <v>10191</v>
      </c>
      <c r="E12370">
        <v>-14616.5</v>
      </c>
      <c r="F12370">
        <v>-1.01</v>
      </c>
      <c r="G12370" t="s">
        <v>12</v>
      </c>
      <c r="I12370" t="s">
        <v>230</v>
      </c>
    </row>
    <row r="12371" spans="1:9" hidden="1" x14ac:dyDescent="0.25">
      <c r="A12371" t="s">
        <v>9976</v>
      </c>
      <c r="B12371" t="s">
        <v>1804</v>
      </c>
      <c r="C12371" s="2">
        <f>HYPERLINK("https://cao.dolgi.msk.ru/account/1080108605/", 1080108605)</f>
        <v>1080108605</v>
      </c>
      <c r="D12371" t="s">
        <v>10192</v>
      </c>
      <c r="E12371">
        <v>-10522.12</v>
      </c>
      <c r="F12371">
        <v>-4.1500000000000004</v>
      </c>
      <c r="G12371" t="s">
        <v>12</v>
      </c>
      <c r="I12371" t="s">
        <v>230</v>
      </c>
    </row>
    <row r="12372" spans="1:9" hidden="1" x14ac:dyDescent="0.25">
      <c r="A12372" t="s">
        <v>9976</v>
      </c>
      <c r="B12372" t="s">
        <v>1805</v>
      </c>
      <c r="C12372" s="2">
        <f>HYPERLINK("https://cao.dolgi.msk.ru/account/1080108613/", 1080108613)</f>
        <v>1080108613</v>
      </c>
      <c r="D12372" t="s">
        <v>10193</v>
      </c>
      <c r="E12372">
        <v>-10895.31</v>
      </c>
      <c r="F12372">
        <v>-1.35</v>
      </c>
      <c r="G12372" t="s">
        <v>12</v>
      </c>
      <c r="I12372" t="s">
        <v>230</v>
      </c>
    </row>
    <row r="12373" spans="1:9" hidden="1" x14ac:dyDescent="0.25">
      <c r="A12373" t="s">
        <v>10194</v>
      </c>
      <c r="B12373" t="s">
        <v>122</v>
      </c>
      <c r="C12373" s="2">
        <f>HYPERLINK("https://cao.dolgi.msk.ru/account/1080067604/", 1080067604)</f>
        <v>1080067604</v>
      </c>
      <c r="D12373" t="s">
        <v>10195</v>
      </c>
      <c r="E12373">
        <v>-3913</v>
      </c>
      <c r="F12373">
        <v>-1.34</v>
      </c>
      <c r="G12373" t="s">
        <v>12</v>
      </c>
      <c r="I12373" t="s">
        <v>230</v>
      </c>
    </row>
    <row r="12374" spans="1:9" hidden="1" x14ac:dyDescent="0.25">
      <c r="A12374" t="s">
        <v>10194</v>
      </c>
      <c r="B12374" t="s">
        <v>124</v>
      </c>
      <c r="C12374" s="2">
        <f>HYPERLINK("https://cao.dolgi.msk.ru/account/1080067612/", 1080067612)</f>
        <v>1080067612</v>
      </c>
      <c r="D12374" t="s">
        <v>10196</v>
      </c>
      <c r="E12374">
        <v>-4926.2299999999996</v>
      </c>
      <c r="F12374">
        <v>-1.2</v>
      </c>
      <c r="G12374" t="s">
        <v>12</v>
      </c>
      <c r="I12374" t="s">
        <v>230</v>
      </c>
    </row>
    <row r="12375" spans="1:9" hidden="1" x14ac:dyDescent="0.25">
      <c r="A12375" t="s">
        <v>10194</v>
      </c>
      <c r="B12375" t="s">
        <v>126</v>
      </c>
      <c r="C12375" s="2">
        <f>HYPERLINK("https://cao.dolgi.msk.ru/account/1080067639/", 1080067639)</f>
        <v>1080067639</v>
      </c>
      <c r="D12375" t="s">
        <v>10197</v>
      </c>
      <c r="E12375">
        <v>4642.96</v>
      </c>
      <c r="F12375">
        <v>0.79</v>
      </c>
      <c r="G12375" t="s">
        <v>12</v>
      </c>
      <c r="I12375" t="s">
        <v>230</v>
      </c>
    </row>
    <row r="12376" spans="1:9" hidden="1" x14ac:dyDescent="0.25">
      <c r="A12376" t="s">
        <v>10194</v>
      </c>
      <c r="B12376" t="s">
        <v>128</v>
      </c>
      <c r="C12376" s="2">
        <f>HYPERLINK("https://cao.dolgi.msk.ru/account/1080067647/", 1080067647)</f>
        <v>1080067647</v>
      </c>
      <c r="D12376" t="s">
        <v>10198</v>
      </c>
      <c r="E12376">
        <v>-3855.06</v>
      </c>
      <c r="F12376">
        <v>-0.64</v>
      </c>
      <c r="G12376" t="s">
        <v>12</v>
      </c>
      <c r="I12376" t="s">
        <v>230</v>
      </c>
    </row>
    <row r="12377" spans="1:9" hidden="1" x14ac:dyDescent="0.25">
      <c r="A12377" t="s">
        <v>10194</v>
      </c>
      <c r="B12377" t="s">
        <v>130</v>
      </c>
      <c r="C12377" s="2">
        <f>HYPERLINK("https://cao.dolgi.msk.ru/account/1080067655/", 1080067655)</f>
        <v>1080067655</v>
      </c>
      <c r="D12377" t="s">
        <v>15</v>
      </c>
      <c r="G12377" t="s">
        <v>14</v>
      </c>
      <c r="I12377" t="s">
        <v>230</v>
      </c>
    </row>
    <row r="12378" spans="1:9" hidden="1" x14ac:dyDescent="0.25">
      <c r="A12378" t="s">
        <v>10194</v>
      </c>
      <c r="B12378" t="s">
        <v>130</v>
      </c>
      <c r="C12378" s="2">
        <f>HYPERLINK("https://cao.dolgi.msk.ru/account/1080320331/", 1080320331)</f>
        <v>1080320331</v>
      </c>
      <c r="D12378" t="s">
        <v>15</v>
      </c>
      <c r="E12378">
        <v>-7149.44</v>
      </c>
      <c r="F12378">
        <v>-1.1499999999999999</v>
      </c>
      <c r="G12378" t="s">
        <v>12</v>
      </c>
      <c r="I12378" t="s">
        <v>230</v>
      </c>
    </row>
    <row r="12379" spans="1:9" hidden="1" x14ac:dyDescent="0.25">
      <c r="A12379" t="s">
        <v>10194</v>
      </c>
      <c r="B12379" t="s">
        <v>132</v>
      </c>
      <c r="C12379" s="2">
        <f>HYPERLINK("https://cao.dolgi.msk.ru/account/1080067663/", 1080067663)</f>
        <v>1080067663</v>
      </c>
      <c r="D12379" t="s">
        <v>10199</v>
      </c>
      <c r="E12379">
        <v>-6146.85</v>
      </c>
      <c r="F12379">
        <v>-1.22</v>
      </c>
      <c r="G12379" t="s">
        <v>12</v>
      </c>
      <c r="I12379" t="s">
        <v>230</v>
      </c>
    </row>
    <row r="12380" spans="1:9" hidden="1" x14ac:dyDescent="0.25">
      <c r="A12380" t="s">
        <v>10194</v>
      </c>
      <c r="B12380" t="s">
        <v>133</v>
      </c>
      <c r="C12380" s="2">
        <f>HYPERLINK("https://cao.dolgi.msk.ru/account/1080067671/", 1080067671)</f>
        <v>1080067671</v>
      </c>
      <c r="D12380" t="s">
        <v>10200</v>
      </c>
      <c r="E12380">
        <v>-5610.34</v>
      </c>
      <c r="F12380">
        <v>-0.83</v>
      </c>
      <c r="G12380" t="s">
        <v>12</v>
      </c>
      <c r="I12380" t="s">
        <v>230</v>
      </c>
    </row>
    <row r="12381" spans="1:9" hidden="1" x14ac:dyDescent="0.25">
      <c r="A12381" t="s">
        <v>10194</v>
      </c>
      <c r="B12381" t="s">
        <v>135</v>
      </c>
      <c r="C12381" s="2">
        <f>HYPERLINK("https://cao.dolgi.msk.ru/account/1080067698/", 1080067698)</f>
        <v>1080067698</v>
      </c>
      <c r="D12381" t="s">
        <v>10201</v>
      </c>
      <c r="E12381">
        <v>-6844.35</v>
      </c>
      <c r="F12381">
        <v>-1.25</v>
      </c>
      <c r="G12381" t="s">
        <v>12</v>
      </c>
      <c r="I12381" t="s">
        <v>230</v>
      </c>
    </row>
    <row r="12382" spans="1:9" hidden="1" x14ac:dyDescent="0.25">
      <c r="A12382" t="s">
        <v>10194</v>
      </c>
      <c r="B12382" t="s">
        <v>137</v>
      </c>
      <c r="C12382" s="2">
        <f>HYPERLINK("https://cao.dolgi.msk.ru/account/1080067719/", 1080067719)</f>
        <v>1080067719</v>
      </c>
      <c r="D12382" t="s">
        <v>10202</v>
      </c>
      <c r="E12382">
        <v>-13532.67</v>
      </c>
      <c r="F12382">
        <v>-1.1499999999999999</v>
      </c>
      <c r="G12382" t="s">
        <v>12</v>
      </c>
      <c r="I12382" t="s">
        <v>230</v>
      </c>
    </row>
    <row r="12383" spans="1:9" hidden="1" x14ac:dyDescent="0.25">
      <c r="A12383" t="s">
        <v>10194</v>
      </c>
      <c r="B12383" t="s">
        <v>139</v>
      </c>
      <c r="C12383" s="2">
        <f>HYPERLINK("https://cao.dolgi.msk.ru/account/1080067727/", 1080067727)</f>
        <v>1080067727</v>
      </c>
      <c r="D12383" t="s">
        <v>10203</v>
      </c>
      <c r="E12383">
        <v>-5887.88</v>
      </c>
      <c r="F12383">
        <v>-1.1100000000000001</v>
      </c>
      <c r="G12383" t="s">
        <v>12</v>
      </c>
      <c r="I12383" t="s">
        <v>230</v>
      </c>
    </row>
    <row r="12384" spans="1:9" hidden="1" x14ac:dyDescent="0.25">
      <c r="A12384" t="s">
        <v>10194</v>
      </c>
      <c r="B12384" t="s">
        <v>141</v>
      </c>
      <c r="C12384" s="2">
        <f>HYPERLINK("https://cao.dolgi.msk.ru/account/1080067735/", 1080067735)</f>
        <v>1080067735</v>
      </c>
      <c r="D12384" t="s">
        <v>10204</v>
      </c>
      <c r="E12384">
        <v>-5449.5</v>
      </c>
      <c r="F12384">
        <v>-1.04</v>
      </c>
      <c r="G12384" t="s">
        <v>12</v>
      </c>
      <c r="I12384" t="s">
        <v>230</v>
      </c>
    </row>
    <row r="12385" spans="1:9" hidden="1" x14ac:dyDescent="0.25">
      <c r="A12385" t="s">
        <v>10194</v>
      </c>
      <c r="B12385" t="s">
        <v>143</v>
      </c>
      <c r="C12385" s="2">
        <f>HYPERLINK("https://cao.dolgi.msk.ru/account/1080067743/", 1080067743)</f>
        <v>1080067743</v>
      </c>
      <c r="D12385" t="s">
        <v>10205</v>
      </c>
      <c r="E12385">
        <v>-1580.18</v>
      </c>
      <c r="F12385">
        <v>-0.17</v>
      </c>
      <c r="G12385" t="s">
        <v>12</v>
      </c>
      <c r="I12385" t="s">
        <v>230</v>
      </c>
    </row>
    <row r="12386" spans="1:9" hidden="1" x14ac:dyDescent="0.25">
      <c r="A12386" t="s">
        <v>10194</v>
      </c>
      <c r="B12386" t="s">
        <v>145</v>
      </c>
      <c r="C12386" s="2">
        <f>HYPERLINK("https://cao.dolgi.msk.ru/account/1080067751/", 1080067751)</f>
        <v>1080067751</v>
      </c>
      <c r="D12386" t="s">
        <v>10206</v>
      </c>
      <c r="E12386">
        <v>-4283.1899999999996</v>
      </c>
      <c r="F12386">
        <v>-1.18</v>
      </c>
      <c r="G12386" t="s">
        <v>12</v>
      </c>
      <c r="I12386" t="s">
        <v>230</v>
      </c>
    </row>
    <row r="12387" spans="1:9" hidden="1" x14ac:dyDescent="0.25">
      <c r="A12387" t="s">
        <v>10194</v>
      </c>
      <c r="B12387" t="s">
        <v>145</v>
      </c>
      <c r="C12387" s="2">
        <f>HYPERLINK("https://cao.dolgi.msk.ru/account/1089130171/", 1089130171)</f>
        <v>1089130171</v>
      </c>
      <c r="D12387" t="s">
        <v>15</v>
      </c>
      <c r="E12387">
        <v>0</v>
      </c>
      <c r="G12387" t="s">
        <v>14</v>
      </c>
      <c r="I12387" t="s">
        <v>230</v>
      </c>
    </row>
    <row r="12388" spans="1:9" hidden="1" x14ac:dyDescent="0.25">
      <c r="A12388" t="s">
        <v>10194</v>
      </c>
      <c r="B12388" t="s">
        <v>147</v>
      </c>
      <c r="C12388" s="2">
        <f>HYPERLINK("https://cao.dolgi.msk.ru/account/1080067778/", 1080067778)</f>
        <v>1080067778</v>
      </c>
      <c r="D12388" t="s">
        <v>10207</v>
      </c>
      <c r="E12388">
        <v>-6937.37</v>
      </c>
      <c r="F12388">
        <v>-1.49</v>
      </c>
      <c r="G12388" t="s">
        <v>12</v>
      </c>
      <c r="I12388" t="s">
        <v>230</v>
      </c>
    </row>
    <row r="12389" spans="1:9" hidden="1" x14ac:dyDescent="0.25">
      <c r="A12389" t="s">
        <v>10194</v>
      </c>
      <c r="B12389" t="s">
        <v>10208</v>
      </c>
      <c r="C12389" s="2">
        <f>HYPERLINK("https://cao.dolgi.msk.ru/account/1080067786/", 1080067786)</f>
        <v>1080067786</v>
      </c>
      <c r="D12389" t="s">
        <v>10209</v>
      </c>
      <c r="E12389">
        <v>-461.89</v>
      </c>
      <c r="F12389">
        <v>-0.4</v>
      </c>
      <c r="G12389" t="s">
        <v>12</v>
      </c>
      <c r="I12389" t="s">
        <v>230</v>
      </c>
    </row>
    <row r="12390" spans="1:9" x14ac:dyDescent="0.25">
      <c r="A12390" t="s">
        <v>10194</v>
      </c>
      <c r="B12390" t="s">
        <v>149</v>
      </c>
      <c r="C12390" s="2">
        <f>HYPERLINK("https://cao.dolgi.msk.ru/account/1080067807/", 1080067807)</f>
        <v>1080067807</v>
      </c>
      <c r="D12390" t="s">
        <v>10210</v>
      </c>
      <c r="E12390">
        <v>30132.14</v>
      </c>
      <c r="F12390">
        <v>3.5</v>
      </c>
      <c r="G12390" t="s">
        <v>12</v>
      </c>
      <c r="I12390" t="s">
        <v>230</v>
      </c>
    </row>
    <row r="12391" spans="1:9" hidden="1" x14ac:dyDescent="0.25">
      <c r="A12391" t="s">
        <v>10194</v>
      </c>
      <c r="B12391" t="s">
        <v>151</v>
      </c>
      <c r="C12391" s="2">
        <f>HYPERLINK("https://cao.dolgi.msk.ru/account/1080067815/", 1080067815)</f>
        <v>1080067815</v>
      </c>
      <c r="D12391" t="s">
        <v>10211</v>
      </c>
      <c r="E12391">
        <v>-7179.89</v>
      </c>
      <c r="F12391">
        <v>-0.82</v>
      </c>
      <c r="G12391" t="s">
        <v>12</v>
      </c>
      <c r="I12391" t="s">
        <v>230</v>
      </c>
    </row>
    <row r="12392" spans="1:9" hidden="1" x14ac:dyDescent="0.25">
      <c r="A12392" t="s">
        <v>10194</v>
      </c>
      <c r="B12392" t="s">
        <v>153</v>
      </c>
      <c r="C12392" s="2">
        <f>HYPERLINK("https://cao.dolgi.msk.ru/account/1080067823/", 1080067823)</f>
        <v>1080067823</v>
      </c>
      <c r="D12392" t="s">
        <v>10212</v>
      </c>
      <c r="E12392">
        <v>-8369.82</v>
      </c>
      <c r="F12392">
        <v>-1.1399999999999999</v>
      </c>
      <c r="G12392" t="s">
        <v>12</v>
      </c>
      <c r="I12392" t="s">
        <v>230</v>
      </c>
    </row>
    <row r="12393" spans="1:9" hidden="1" x14ac:dyDescent="0.25">
      <c r="A12393" t="s">
        <v>10194</v>
      </c>
      <c r="B12393" t="s">
        <v>155</v>
      </c>
      <c r="C12393" s="2">
        <f>HYPERLINK("https://cao.dolgi.msk.ru/account/1080067831/", 1080067831)</f>
        <v>1080067831</v>
      </c>
      <c r="D12393" t="s">
        <v>10213</v>
      </c>
      <c r="E12393">
        <v>-6832.92</v>
      </c>
      <c r="F12393">
        <v>-1.1399999999999999</v>
      </c>
      <c r="G12393" t="s">
        <v>12</v>
      </c>
      <c r="I12393" t="s">
        <v>230</v>
      </c>
    </row>
    <row r="12394" spans="1:9" hidden="1" x14ac:dyDescent="0.25">
      <c r="A12394" t="s">
        <v>10194</v>
      </c>
      <c r="B12394" t="s">
        <v>157</v>
      </c>
      <c r="C12394" s="2">
        <f>HYPERLINK("https://cao.dolgi.msk.ru/account/1080067858/", 1080067858)</f>
        <v>1080067858</v>
      </c>
      <c r="D12394" t="s">
        <v>10214</v>
      </c>
      <c r="E12394">
        <v>-5037.78</v>
      </c>
      <c r="F12394">
        <v>-1.32</v>
      </c>
      <c r="G12394" t="s">
        <v>12</v>
      </c>
      <c r="I12394" t="s">
        <v>230</v>
      </c>
    </row>
    <row r="12395" spans="1:9" hidden="1" x14ac:dyDescent="0.25">
      <c r="A12395" t="s">
        <v>10194</v>
      </c>
      <c r="B12395" t="s">
        <v>159</v>
      </c>
      <c r="C12395" s="2">
        <f>HYPERLINK("https://cao.dolgi.msk.ru/account/1080067866/", 1080067866)</f>
        <v>1080067866</v>
      </c>
      <c r="D12395" t="s">
        <v>10215</v>
      </c>
      <c r="E12395">
        <v>-3389.49</v>
      </c>
      <c r="F12395">
        <v>-1.1200000000000001</v>
      </c>
      <c r="G12395" t="s">
        <v>12</v>
      </c>
      <c r="I12395" t="s">
        <v>230</v>
      </c>
    </row>
    <row r="12396" spans="1:9" hidden="1" x14ac:dyDescent="0.25">
      <c r="A12396" t="s">
        <v>10194</v>
      </c>
      <c r="B12396" t="s">
        <v>161</v>
      </c>
      <c r="C12396" s="2">
        <f>HYPERLINK("https://cao.dolgi.msk.ru/account/1080067874/", 1080067874)</f>
        <v>1080067874</v>
      </c>
      <c r="D12396" t="s">
        <v>10216</v>
      </c>
      <c r="E12396">
        <v>-6527.3</v>
      </c>
      <c r="F12396">
        <v>-1.68</v>
      </c>
      <c r="G12396" t="s">
        <v>12</v>
      </c>
      <c r="I12396" t="s">
        <v>230</v>
      </c>
    </row>
    <row r="12397" spans="1:9" hidden="1" x14ac:dyDescent="0.25">
      <c r="A12397" t="s">
        <v>10194</v>
      </c>
      <c r="B12397" t="s">
        <v>163</v>
      </c>
      <c r="C12397" s="2">
        <f>HYPERLINK("https://cao.dolgi.msk.ru/account/1080067882/", 1080067882)</f>
        <v>1080067882</v>
      </c>
      <c r="D12397" t="s">
        <v>10217</v>
      </c>
      <c r="E12397">
        <v>0</v>
      </c>
      <c r="F12397">
        <v>0</v>
      </c>
      <c r="G12397" t="s">
        <v>12</v>
      </c>
      <c r="I12397" t="s">
        <v>230</v>
      </c>
    </row>
    <row r="12398" spans="1:9" hidden="1" x14ac:dyDescent="0.25">
      <c r="A12398" t="s">
        <v>10194</v>
      </c>
      <c r="B12398" t="s">
        <v>571</v>
      </c>
      <c r="C12398" s="2">
        <f>HYPERLINK("https://cao.dolgi.msk.ru/account/1080067903/", 1080067903)</f>
        <v>1080067903</v>
      </c>
      <c r="D12398" t="s">
        <v>10218</v>
      </c>
      <c r="E12398">
        <v>-8677.9</v>
      </c>
      <c r="F12398">
        <v>-1.1399999999999999</v>
      </c>
      <c r="G12398" t="s">
        <v>12</v>
      </c>
      <c r="I12398" t="s">
        <v>230</v>
      </c>
    </row>
    <row r="12399" spans="1:9" hidden="1" x14ac:dyDescent="0.25">
      <c r="A12399" t="s">
        <v>10194</v>
      </c>
      <c r="B12399" t="s">
        <v>682</v>
      </c>
      <c r="C12399" s="2">
        <f>HYPERLINK("https://cao.dolgi.msk.ru/account/1080067911/", 1080067911)</f>
        <v>1080067911</v>
      </c>
      <c r="D12399" t="s">
        <v>10219</v>
      </c>
      <c r="E12399">
        <v>-6993.25</v>
      </c>
      <c r="F12399">
        <v>-1.1100000000000001</v>
      </c>
      <c r="G12399" t="s">
        <v>12</v>
      </c>
      <c r="I12399" t="s">
        <v>230</v>
      </c>
    </row>
    <row r="12400" spans="1:9" hidden="1" x14ac:dyDescent="0.25">
      <c r="A12400" t="s">
        <v>10194</v>
      </c>
      <c r="B12400" t="s">
        <v>578</v>
      </c>
      <c r="C12400" s="2">
        <f>HYPERLINK("https://cao.dolgi.msk.ru/account/1080067938/", 1080067938)</f>
        <v>1080067938</v>
      </c>
      <c r="D12400" t="s">
        <v>10220</v>
      </c>
      <c r="E12400">
        <v>-225.44</v>
      </c>
      <c r="F12400">
        <v>-0.03</v>
      </c>
      <c r="G12400" t="s">
        <v>12</v>
      </c>
      <c r="I12400" t="s">
        <v>230</v>
      </c>
    </row>
    <row r="12401" spans="1:9" hidden="1" x14ac:dyDescent="0.25">
      <c r="A12401" t="s">
        <v>10194</v>
      </c>
      <c r="B12401" t="s">
        <v>580</v>
      </c>
      <c r="C12401" s="2">
        <f>HYPERLINK("https://cao.dolgi.msk.ru/account/1080067946/", 1080067946)</f>
        <v>1080067946</v>
      </c>
      <c r="D12401" t="s">
        <v>10221</v>
      </c>
      <c r="E12401">
        <v>-5559.95</v>
      </c>
      <c r="F12401">
        <v>-1.0900000000000001</v>
      </c>
      <c r="G12401" t="s">
        <v>12</v>
      </c>
      <c r="I12401" t="s">
        <v>230</v>
      </c>
    </row>
    <row r="12402" spans="1:9" hidden="1" x14ac:dyDescent="0.25">
      <c r="A12402" t="s">
        <v>10194</v>
      </c>
      <c r="B12402" t="s">
        <v>686</v>
      </c>
      <c r="C12402" s="2">
        <f>HYPERLINK("https://cao.dolgi.msk.ru/account/1080067954/", 1080067954)</f>
        <v>1080067954</v>
      </c>
      <c r="D12402" t="s">
        <v>10222</v>
      </c>
      <c r="E12402">
        <v>-6615.13</v>
      </c>
      <c r="F12402">
        <v>-1.25</v>
      </c>
      <c r="G12402" t="s">
        <v>12</v>
      </c>
      <c r="I12402" t="s">
        <v>230</v>
      </c>
    </row>
    <row r="12403" spans="1:9" hidden="1" x14ac:dyDescent="0.25">
      <c r="A12403" t="s">
        <v>10194</v>
      </c>
      <c r="B12403" t="s">
        <v>582</v>
      </c>
      <c r="C12403" s="2">
        <f>HYPERLINK("https://cao.dolgi.msk.ru/account/1080067989/", 1080067989)</f>
        <v>1080067989</v>
      </c>
      <c r="D12403" t="s">
        <v>10223</v>
      </c>
      <c r="E12403">
        <v>-8028.84</v>
      </c>
      <c r="F12403">
        <v>-1.47</v>
      </c>
      <c r="G12403" t="s">
        <v>12</v>
      </c>
      <c r="I12403" t="s">
        <v>230</v>
      </c>
    </row>
    <row r="12404" spans="1:9" hidden="1" x14ac:dyDescent="0.25">
      <c r="A12404" t="s">
        <v>10194</v>
      </c>
      <c r="B12404" t="s">
        <v>584</v>
      </c>
      <c r="C12404" s="2">
        <f>HYPERLINK("https://cao.dolgi.msk.ru/account/1080067997/", 1080067997)</f>
        <v>1080067997</v>
      </c>
      <c r="D12404" t="s">
        <v>10224</v>
      </c>
      <c r="E12404">
        <v>6150.3</v>
      </c>
      <c r="F12404">
        <v>1</v>
      </c>
      <c r="G12404" t="s">
        <v>12</v>
      </c>
      <c r="I12404" t="s">
        <v>230</v>
      </c>
    </row>
    <row r="12405" spans="1:9" hidden="1" x14ac:dyDescent="0.25">
      <c r="A12405" t="s">
        <v>10194</v>
      </c>
      <c r="B12405" t="s">
        <v>586</v>
      </c>
      <c r="C12405" s="2">
        <f>HYPERLINK("https://cao.dolgi.msk.ru/account/1080068009/", 1080068009)</f>
        <v>1080068009</v>
      </c>
      <c r="D12405" t="s">
        <v>10225</v>
      </c>
      <c r="E12405">
        <v>-5967.32</v>
      </c>
      <c r="F12405">
        <v>-1.18</v>
      </c>
      <c r="G12405" t="s">
        <v>12</v>
      </c>
      <c r="I12405" t="s">
        <v>230</v>
      </c>
    </row>
    <row r="12406" spans="1:9" hidden="1" x14ac:dyDescent="0.25">
      <c r="A12406" t="s">
        <v>10194</v>
      </c>
      <c r="B12406" t="s">
        <v>588</v>
      </c>
      <c r="C12406" s="2">
        <f>HYPERLINK("https://cao.dolgi.msk.ru/account/1080068017/", 1080068017)</f>
        <v>1080068017</v>
      </c>
      <c r="D12406" t="s">
        <v>10226</v>
      </c>
      <c r="E12406">
        <v>-11383.69</v>
      </c>
      <c r="F12406">
        <v>-1.1000000000000001</v>
      </c>
      <c r="G12406" t="s">
        <v>12</v>
      </c>
      <c r="I12406" t="s">
        <v>230</v>
      </c>
    </row>
    <row r="12407" spans="1:9" x14ac:dyDescent="0.25">
      <c r="A12407" t="s">
        <v>10194</v>
      </c>
      <c r="B12407" t="s">
        <v>590</v>
      </c>
      <c r="C12407" s="2">
        <f>HYPERLINK("https://cao.dolgi.msk.ru/account/1080068025/", 1080068025)</f>
        <v>1080068025</v>
      </c>
      <c r="D12407" t="s">
        <v>10227</v>
      </c>
      <c r="E12407">
        <v>8069.6</v>
      </c>
      <c r="F12407">
        <v>2.33</v>
      </c>
      <c r="G12407" t="s">
        <v>12</v>
      </c>
      <c r="I12407" t="s">
        <v>230</v>
      </c>
    </row>
    <row r="12408" spans="1:9" hidden="1" x14ac:dyDescent="0.25">
      <c r="A12408" t="s">
        <v>10194</v>
      </c>
      <c r="B12408" t="s">
        <v>693</v>
      </c>
      <c r="C12408" s="2">
        <f>HYPERLINK("https://cao.dolgi.msk.ru/account/1080068041/", 1080068041)</f>
        <v>1080068041</v>
      </c>
      <c r="D12408" t="s">
        <v>10228</v>
      </c>
      <c r="E12408">
        <v>48.5</v>
      </c>
      <c r="F12408">
        <v>0.01</v>
      </c>
      <c r="G12408" t="s">
        <v>12</v>
      </c>
      <c r="I12408" t="s">
        <v>230</v>
      </c>
    </row>
    <row r="12409" spans="1:9" hidden="1" x14ac:dyDescent="0.25">
      <c r="A12409" t="s">
        <v>10194</v>
      </c>
      <c r="B12409" t="s">
        <v>694</v>
      </c>
      <c r="C12409" s="2">
        <f>HYPERLINK("https://cao.dolgi.msk.ru/account/1080068068/", 1080068068)</f>
        <v>1080068068</v>
      </c>
      <c r="D12409" t="s">
        <v>10229</v>
      </c>
      <c r="E12409">
        <v>-7358.47</v>
      </c>
      <c r="F12409">
        <v>-1.1499999999999999</v>
      </c>
      <c r="G12409" t="s">
        <v>12</v>
      </c>
      <c r="I12409" t="s">
        <v>230</v>
      </c>
    </row>
    <row r="12410" spans="1:9" hidden="1" x14ac:dyDescent="0.25">
      <c r="A12410" t="s">
        <v>10194</v>
      </c>
      <c r="B12410" t="s">
        <v>696</v>
      </c>
      <c r="C12410" s="2">
        <f>HYPERLINK("https://cao.dolgi.msk.ru/account/1080068076/", 1080068076)</f>
        <v>1080068076</v>
      </c>
      <c r="D12410" t="s">
        <v>10230</v>
      </c>
      <c r="E12410">
        <v>-5668.56</v>
      </c>
      <c r="F12410">
        <v>-1.3</v>
      </c>
      <c r="G12410" t="s">
        <v>12</v>
      </c>
      <c r="I12410" t="s">
        <v>230</v>
      </c>
    </row>
    <row r="12411" spans="1:9" hidden="1" x14ac:dyDescent="0.25">
      <c r="A12411" t="s">
        <v>10194</v>
      </c>
      <c r="B12411" t="s">
        <v>10231</v>
      </c>
      <c r="C12411" s="2">
        <f>HYPERLINK("https://cao.dolgi.msk.ru/account/1080068084/", 1080068084)</f>
        <v>1080068084</v>
      </c>
      <c r="D12411" t="s">
        <v>10232</v>
      </c>
      <c r="E12411">
        <v>-3488.83</v>
      </c>
      <c r="F12411">
        <v>-1.1000000000000001</v>
      </c>
      <c r="G12411" t="s">
        <v>12</v>
      </c>
      <c r="I12411" t="s">
        <v>230</v>
      </c>
    </row>
    <row r="12412" spans="1:9" hidden="1" x14ac:dyDescent="0.25">
      <c r="A12412" t="s">
        <v>10194</v>
      </c>
      <c r="B12412" t="s">
        <v>698</v>
      </c>
      <c r="C12412" s="2">
        <f>HYPERLINK("https://cao.dolgi.msk.ru/account/1080068092/", 1080068092)</f>
        <v>1080068092</v>
      </c>
      <c r="D12412" t="s">
        <v>10233</v>
      </c>
      <c r="E12412">
        <v>-8919.93</v>
      </c>
      <c r="F12412">
        <v>-1.21</v>
      </c>
      <c r="G12412" t="s">
        <v>12</v>
      </c>
      <c r="I12412" t="s">
        <v>230</v>
      </c>
    </row>
    <row r="12413" spans="1:9" hidden="1" x14ac:dyDescent="0.25">
      <c r="A12413" t="s">
        <v>10194</v>
      </c>
      <c r="B12413" t="s">
        <v>700</v>
      </c>
      <c r="C12413" s="2">
        <f>HYPERLINK("https://cao.dolgi.msk.ru/account/1080068105/", 1080068105)</f>
        <v>1080068105</v>
      </c>
      <c r="D12413" t="s">
        <v>10234</v>
      </c>
      <c r="E12413">
        <v>-8244.14</v>
      </c>
      <c r="F12413">
        <v>-1.17</v>
      </c>
      <c r="G12413" t="s">
        <v>12</v>
      </c>
      <c r="I12413" t="s">
        <v>230</v>
      </c>
    </row>
    <row r="12414" spans="1:9" hidden="1" x14ac:dyDescent="0.25">
      <c r="A12414" t="s">
        <v>10194</v>
      </c>
      <c r="B12414" t="s">
        <v>702</v>
      </c>
      <c r="C12414" s="2">
        <f>HYPERLINK("https://cao.dolgi.msk.ru/account/1080068113/", 1080068113)</f>
        <v>1080068113</v>
      </c>
      <c r="D12414" t="s">
        <v>10235</v>
      </c>
      <c r="E12414">
        <v>-11556.63</v>
      </c>
      <c r="F12414">
        <v>-1.18</v>
      </c>
      <c r="G12414" t="s">
        <v>12</v>
      </c>
      <c r="I12414" t="s">
        <v>230</v>
      </c>
    </row>
    <row r="12415" spans="1:9" hidden="1" x14ac:dyDescent="0.25">
      <c r="A12415" t="s">
        <v>10194</v>
      </c>
      <c r="B12415" t="s">
        <v>703</v>
      </c>
      <c r="C12415" s="2">
        <f>HYPERLINK("https://cao.dolgi.msk.ru/account/1080068121/", 1080068121)</f>
        <v>1080068121</v>
      </c>
      <c r="D12415" t="s">
        <v>10236</v>
      </c>
      <c r="E12415">
        <v>-3.26</v>
      </c>
      <c r="F12415">
        <v>0</v>
      </c>
      <c r="G12415" t="s">
        <v>12</v>
      </c>
      <c r="I12415" t="s">
        <v>230</v>
      </c>
    </row>
    <row r="12416" spans="1:9" hidden="1" x14ac:dyDescent="0.25">
      <c r="A12416" t="s">
        <v>10194</v>
      </c>
      <c r="B12416" t="s">
        <v>705</v>
      </c>
      <c r="C12416" s="2">
        <f>HYPERLINK("https://cao.dolgi.msk.ru/account/1080068148/", 1080068148)</f>
        <v>1080068148</v>
      </c>
      <c r="D12416" t="s">
        <v>10237</v>
      </c>
      <c r="E12416">
        <v>-6491.28</v>
      </c>
      <c r="F12416">
        <v>-1.06</v>
      </c>
      <c r="G12416" t="s">
        <v>12</v>
      </c>
      <c r="I12416" t="s">
        <v>230</v>
      </c>
    </row>
    <row r="12417" spans="1:9" hidden="1" x14ac:dyDescent="0.25">
      <c r="A12417" t="s">
        <v>10194</v>
      </c>
      <c r="B12417" t="s">
        <v>707</v>
      </c>
      <c r="C12417" s="2">
        <f>HYPERLINK("https://cao.dolgi.msk.ru/account/1080068156/", 1080068156)</f>
        <v>1080068156</v>
      </c>
      <c r="D12417" t="s">
        <v>10238</v>
      </c>
      <c r="E12417">
        <v>-8597.07</v>
      </c>
      <c r="F12417">
        <v>-1.19</v>
      </c>
      <c r="G12417" t="s">
        <v>12</v>
      </c>
      <c r="I12417" t="s">
        <v>230</v>
      </c>
    </row>
    <row r="12418" spans="1:9" hidden="1" x14ac:dyDescent="0.25">
      <c r="A12418" t="s">
        <v>10194</v>
      </c>
      <c r="B12418" t="s">
        <v>709</v>
      </c>
      <c r="C12418" s="2">
        <f>HYPERLINK("https://cao.dolgi.msk.ru/account/1080068164/", 1080068164)</f>
        <v>1080068164</v>
      </c>
      <c r="D12418" t="s">
        <v>10239</v>
      </c>
      <c r="E12418">
        <v>-2834.3</v>
      </c>
      <c r="F12418">
        <v>-1.21</v>
      </c>
      <c r="G12418" t="s">
        <v>12</v>
      </c>
      <c r="I12418" t="s">
        <v>230</v>
      </c>
    </row>
    <row r="12419" spans="1:9" hidden="1" x14ac:dyDescent="0.25">
      <c r="A12419" t="s">
        <v>10194</v>
      </c>
      <c r="B12419" t="s">
        <v>709</v>
      </c>
      <c r="C12419" s="2">
        <f>HYPERLINK("https://cao.dolgi.msk.ru/account/1080326178/", 1080326178)</f>
        <v>1080326178</v>
      </c>
      <c r="D12419" t="s">
        <v>10240</v>
      </c>
      <c r="E12419">
        <v>-3231.89</v>
      </c>
      <c r="F12419">
        <v>-2.87</v>
      </c>
      <c r="G12419" t="s">
        <v>12</v>
      </c>
      <c r="I12419" t="s">
        <v>230</v>
      </c>
    </row>
    <row r="12420" spans="1:9" hidden="1" x14ac:dyDescent="0.25">
      <c r="A12420" t="s">
        <v>10194</v>
      </c>
      <c r="B12420" t="s">
        <v>711</v>
      </c>
      <c r="C12420" s="2">
        <f>HYPERLINK("https://cao.dolgi.msk.ru/account/1080068172/", 1080068172)</f>
        <v>1080068172</v>
      </c>
      <c r="D12420" t="s">
        <v>10241</v>
      </c>
      <c r="E12420">
        <v>-5300.4</v>
      </c>
      <c r="F12420">
        <v>-1.54</v>
      </c>
      <c r="G12420" t="s">
        <v>12</v>
      </c>
      <c r="I12420" t="s">
        <v>230</v>
      </c>
    </row>
    <row r="12421" spans="1:9" hidden="1" x14ac:dyDescent="0.25">
      <c r="A12421" t="s">
        <v>10194</v>
      </c>
      <c r="B12421" t="s">
        <v>713</v>
      </c>
      <c r="C12421" s="2">
        <f>HYPERLINK("https://cao.dolgi.msk.ru/account/1080068199/", 1080068199)</f>
        <v>1080068199</v>
      </c>
      <c r="D12421" t="s">
        <v>10242</v>
      </c>
      <c r="E12421">
        <v>-6668.55</v>
      </c>
      <c r="F12421">
        <v>-1.1200000000000001</v>
      </c>
      <c r="G12421" t="s">
        <v>12</v>
      </c>
      <c r="I12421" t="s">
        <v>230</v>
      </c>
    </row>
    <row r="12422" spans="1:9" hidden="1" x14ac:dyDescent="0.25">
      <c r="A12422" t="s">
        <v>10194</v>
      </c>
      <c r="B12422" t="s">
        <v>528</v>
      </c>
      <c r="C12422" s="2">
        <f>HYPERLINK("https://cao.dolgi.msk.ru/account/1080068201/", 1080068201)</f>
        <v>1080068201</v>
      </c>
      <c r="D12422" t="s">
        <v>10243</v>
      </c>
      <c r="E12422">
        <v>-5954.28</v>
      </c>
      <c r="F12422">
        <v>-1.1399999999999999</v>
      </c>
      <c r="G12422" t="s">
        <v>12</v>
      </c>
      <c r="I12422" t="s">
        <v>230</v>
      </c>
    </row>
    <row r="12423" spans="1:9" hidden="1" x14ac:dyDescent="0.25">
      <c r="A12423" t="s">
        <v>10194</v>
      </c>
      <c r="B12423" t="s">
        <v>530</v>
      </c>
      <c r="C12423" s="2">
        <f>HYPERLINK("https://cao.dolgi.msk.ru/account/1080068228/", 1080068228)</f>
        <v>1080068228</v>
      </c>
      <c r="D12423" t="s">
        <v>10244</v>
      </c>
      <c r="E12423">
        <v>-6617.69</v>
      </c>
      <c r="F12423">
        <v>-1.39</v>
      </c>
      <c r="G12423" t="s">
        <v>12</v>
      </c>
      <c r="I12423" t="s">
        <v>230</v>
      </c>
    </row>
    <row r="12424" spans="1:9" hidden="1" x14ac:dyDescent="0.25">
      <c r="A12424" t="s">
        <v>10194</v>
      </c>
      <c r="B12424" t="s">
        <v>532</v>
      </c>
      <c r="C12424" s="2">
        <f>HYPERLINK("https://cao.dolgi.msk.ru/account/1080068236/", 1080068236)</f>
        <v>1080068236</v>
      </c>
      <c r="D12424" t="s">
        <v>10245</v>
      </c>
      <c r="E12424">
        <v>-7356.36</v>
      </c>
      <c r="F12424">
        <v>-1.02</v>
      </c>
      <c r="G12424" t="s">
        <v>12</v>
      </c>
      <c r="I12424" t="s">
        <v>230</v>
      </c>
    </row>
    <row r="12425" spans="1:9" hidden="1" x14ac:dyDescent="0.25">
      <c r="A12425" t="s">
        <v>10194</v>
      </c>
      <c r="B12425" t="s">
        <v>534</v>
      </c>
      <c r="C12425" s="2">
        <f>HYPERLINK("https://cao.dolgi.msk.ru/account/1080068244/", 1080068244)</f>
        <v>1080068244</v>
      </c>
      <c r="D12425" t="s">
        <v>10246</v>
      </c>
      <c r="E12425">
        <v>-360.9</v>
      </c>
      <c r="F12425">
        <v>-0.05</v>
      </c>
      <c r="G12425" t="s">
        <v>12</v>
      </c>
      <c r="I12425" t="s">
        <v>230</v>
      </c>
    </row>
    <row r="12426" spans="1:9" hidden="1" x14ac:dyDescent="0.25">
      <c r="A12426" t="s">
        <v>10194</v>
      </c>
      <c r="B12426" t="s">
        <v>536</v>
      </c>
      <c r="C12426" s="2">
        <f>HYPERLINK("https://cao.dolgi.msk.ru/account/1080068252/", 1080068252)</f>
        <v>1080068252</v>
      </c>
      <c r="D12426" t="s">
        <v>10247</v>
      </c>
      <c r="E12426">
        <v>-6049.63</v>
      </c>
      <c r="F12426">
        <v>-1.18</v>
      </c>
      <c r="G12426" t="s">
        <v>12</v>
      </c>
      <c r="I12426" t="s">
        <v>230</v>
      </c>
    </row>
    <row r="12427" spans="1:9" hidden="1" x14ac:dyDescent="0.25">
      <c r="A12427" t="s">
        <v>10194</v>
      </c>
      <c r="B12427" t="s">
        <v>538</v>
      </c>
      <c r="C12427" s="2">
        <f>HYPERLINK("https://cao.dolgi.msk.ru/account/1080068279/", 1080068279)</f>
        <v>1080068279</v>
      </c>
      <c r="D12427" t="s">
        <v>10248</v>
      </c>
      <c r="E12427">
        <v>-788.04</v>
      </c>
      <c r="F12427">
        <v>-0.46</v>
      </c>
      <c r="G12427" t="s">
        <v>12</v>
      </c>
      <c r="I12427" t="s">
        <v>230</v>
      </c>
    </row>
    <row r="12428" spans="1:9" hidden="1" x14ac:dyDescent="0.25">
      <c r="A12428" t="s">
        <v>10194</v>
      </c>
      <c r="B12428" t="s">
        <v>538</v>
      </c>
      <c r="C12428" s="2">
        <f>HYPERLINK("https://cao.dolgi.msk.ru/account/1089124097/", 1089124097)</f>
        <v>1089124097</v>
      </c>
      <c r="D12428" t="s">
        <v>10249</v>
      </c>
      <c r="E12428">
        <v>-991.77</v>
      </c>
      <c r="F12428">
        <v>-0.91</v>
      </c>
      <c r="G12428" t="s">
        <v>12</v>
      </c>
      <c r="I12428" t="s">
        <v>230</v>
      </c>
    </row>
    <row r="12429" spans="1:9" hidden="1" x14ac:dyDescent="0.25">
      <c r="A12429" t="s">
        <v>10194</v>
      </c>
      <c r="B12429" t="s">
        <v>539</v>
      </c>
      <c r="C12429" s="2">
        <f>HYPERLINK("https://cao.dolgi.msk.ru/account/1080068287/", 1080068287)</f>
        <v>1080068287</v>
      </c>
      <c r="D12429" t="s">
        <v>10250</v>
      </c>
      <c r="E12429">
        <v>-8112.24</v>
      </c>
      <c r="F12429">
        <v>-1.08</v>
      </c>
      <c r="G12429" t="s">
        <v>12</v>
      </c>
      <c r="I12429" t="s">
        <v>230</v>
      </c>
    </row>
    <row r="12430" spans="1:9" hidden="1" x14ac:dyDescent="0.25">
      <c r="A12430" t="s">
        <v>10194</v>
      </c>
      <c r="B12430" t="s">
        <v>541</v>
      </c>
      <c r="C12430" s="2">
        <f>HYPERLINK("https://cao.dolgi.msk.ru/account/1080068295/", 1080068295)</f>
        <v>1080068295</v>
      </c>
      <c r="D12430" t="s">
        <v>10251</v>
      </c>
      <c r="E12430">
        <v>-9736.36</v>
      </c>
      <c r="F12430">
        <v>-1.1599999999999999</v>
      </c>
      <c r="G12430" t="s">
        <v>12</v>
      </c>
      <c r="I12430" t="s">
        <v>230</v>
      </c>
    </row>
    <row r="12431" spans="1:9" hidden="1" x14ac:dyDescent="0.25">
      <c r="A12431" t="s">
        <v>10194</v>
      </c>
      <c r="B12431" t="s">
        <v>543</v>
      </c>
      <c r="C12431" s="2">
        <f>HYPERLINK("https://cao.dolgi.msk.ru/account/1080068308/", 1080068308)</f>
        <v>1080068308</v>
      </c>
      <c r="D12431" t="s">
        <v>10252</v>
      </c>
      <c r="E12431">
        <v>-9437.23</v>
      </c>
      <c r="F12431">
        <v>-1.24</v>
      </c>
      <c r="G12431" t="s">
        <v>12</v>
      </c>
      <c r="I12431" t="s">
        <v>230</v>
      </c>
    </row>
    <row r="12432" spans="1:9" hidden="1" x14ac:dyDescent="0.25">
      <c r="A12432" t="s">
        <v>10194</v>
      </c>
      <c r="B12432" t="s">
        <v>545</v>
      </c>
      <c r="C12432" s="2">
        <f>HYPERLINK("https://cao.dolgi.msk.ru/account/1080068316/", 1080068316)</f>
        <v>1080068316</v>
      </c>
      <c r="D12432" t="s">
        <v>10253</v>
      </c>
      <c r="E12432">
        <v>-4302.9799999999996</v>
      </c>
      <c r="F12432">
        <v>-1.1599999999999999</v>
      </c>
      <c r="G12432" t="s">
        <v>12</v>
      </c>
      <c r="I12432" t="s">
        <v>230</v>
      </c>
    </row>
    <row r="12433" spans="1:9" hidden="1" x14ac:dyDescent="0.25">
      <c r="A12433" t="s">
        <v>10194</v>
      </c>
      <c r="B12433" t="s">
        <v>546</v>
      </c>
      <c r="C12433" s="2">
        <f>HYPERLINK("https://cao.dolgi.msk.ru/account/1080068324/", 1080068324)</f>
        <v>1080068324</v>
      </c>
      <c r="D12433" t="s">
        <v>10254</v>
      </c>
      <c r="E12433">
        <v>-6214.42</v>
      </c>
      <c r="F12433">
        <v>-1.08</v>
      </c>
      <c r="G12433" t="s">
        <v>12</v>
      </c>
      <c r="H12433" t="s">
        <v>7</v>
      </c>
      <c r="I12433" t="s">
        <v>230</v>
      </c>
    </row>
    <row r="12434" spans="1:9" hidden="1" x14ac:dyDescent="0.25">
      <c r="A12434" t="s">
        <v>10194</v>
      </c>
      <c r="B12434" t="s">
        <v>546</v>
      </c>
      <c r="C12434" s="2">
        <f>HYPERLINK("https://cao.dolgi.msk.ru/account/1080068332/", 1080068332)</f>
        <v>1080068332</v>
      </c>
      <c r="D12434" t="s">
        <v>10255</v>
      </c>
      <c r="E12434">
        <v>-5254.86</v>
      </c>
      <c r="F12434">
        <v>-1.08</v>
      </c>
      <c r="G12434" t="s">
        <v>12</v>
      </c>
      <c r="H12434" t="s">
        <v>7</v>
      </c>
      <c r="I12434" t="s">
        <v>230</v>
      </c>
    </row>
    <row r="12435" spans="1:9" hidden="1" x14ac:dyDescent="0.25">
      <c r="A12435" t="s">
        <v>10194</v>
      </c>
      <c r="B12435" t="s">
        <v>548</v>
      </c>
      <c r="C12435" s="2">
        <f>HYPERLINK("https://cao.dolgi.msk.ru/account/1080068359/", 1080068359)</f>
        <v>1080068359</v>
      </c>
      <c r="D12435" t="s">
        <v>10256</v>
      </c>
      <c r="E12435">
        <v>0</v>
      </c>
      <c r="G12435" t="s">
        <v>14</v>
      </c>
      <c r="I12435" t="s">
        <v>230</v>
      </c>
    </row>
    <row r="12436" spans="1:9" hidden="1" x14ac:dyDescent="0.25">
      <c r="A12436" t="s">
        <v>10194</v>
      </c>
      <c r="B12436" t="s">
        <v>548</v>
      </c>
      <c r="C12436" s="2">
        <f>HYPERLINK("https://cao.dolgi.msk.ru/account/1080068367/", 1080068367)</f>
        <v>1080068367</v>
      </c>
      <c r="D12436" t="s">
        <v>10257</v>
      </c>
      <c r="E12436">
        <v>-6960.96</v>
      </c>
      <c r="F12436">
        <v>-1.26</v>
      </c>
      <c r="G12436" t="s">
        <v>12</v>
      </c>
      <c r="I12436" t="s">
        <v>230</v>
      </c>
    </row>
    <row r="12437" spans="1:9" hidden="1" x14ac:dyDescent="0.25">
      <c r="A12437" t="s">
        <v>10194</v>
      </c>
      <c r="B12437" t="s">
        <v>727</v>
      </c>
      <c r="C12437" s="2">
        <f>HYPERLINK("https://cao.dolgi.msk.ru/account/1080068375/", 1080068375)</f>
        <v>1080068375</v>
      </c>
      <c r="D12437" t="s">
        <v>10258</v>
      </c>
      <c r="E12437">
        <v>-5314.91</v>
      </c>
      <c r="F12437">
        <v>-1.23</v>
      </c>
      <c r="G12437" t="s">
        <v>12</v>
      </c>
      <c r="I12437" t="s">
        <v>230</v>
      </c>
    </row>
    <row r="12438" spans="1:9" hidden="1" x14ac:dyDescent="0.25">
      <c r="A12438" t="s">
        <v>10194</v>
      </c>
      <c r="B12438" t="s">
        <v>551</v>
      </c>
      <c r="C12438" s="2">
        <f>HYPERLINK("https://cao.dolgi.msk.ru/account/1080068383/", 1080068383)</f>
        <v>1080068383</v>
      </c>
      <c r="D12438" t="s">
        <v>10259</v>
      </c>
      <c r="E12438">
        <v>-5154.91</v>
      </c>
      <c r="F12438">
        <v>-1.17</v>
      </c>
      <c r="G12438" t="s">
        <v>12</v>
      </c>
      <c r="I12438" t="s">
        <v>230</v>
      </c>
    </row>
    <row r="12439" spans="1:9" hidden="1" x14ac:dyDescent="0.25">
      <c r="A12439" t="s">
        <v>10194</v>
      </c>
      <c r="B12439" t="s">
        <v>730</v>
      </c>
      <c r="C12439" s="2">
        <f>HYPERLINK("https://cao.dolgi.msk.ru/account/1080068391/", 1080068391)</f>
        <v>1080068391</v>
      </c>
      <c r="D12439" t="s">
        <v>10260</v>
      </c>
      <c r="E12439">
        <v>-4669.21</v>
      </c>
      <c r="F12439">
        <v>-1.1499999999999999</v>
      </c>
      <c r="G12439" t="s">
        <v>12</v>
      </c>
      <c r="I12439" t="s">
        <v>230</v>
      </c>
    </row>
    <row r="12440" spans="1:9" hidden="1" x14ac:dyDescent="0.25">
      <c r="A12440" t="s">
        <v>10194</v>
      </c>
      <c r="B12440" t="s">
        <v>732</v>
      </c>
      <c r="C12440" s="2">
        <f>HYPERLINK("https://cao.dolgi.msk.ru/account/1080068404/", 1080068404)</f>
        <v>1080068404</v>
      </c>
      <c r="D12440" t="s">
        <v>10261</v>
      </c>
      <c r="E12440">
        <v>-11993.58</v>
      </c>
      <c r="F12440">
        <v>-1.1200000000000001</v>
      </c>
      <c r="G12440" t="s">
        <v>12</v>
      </c>
      <c r="I12440" t="s">
        <v>230</v>
      </c>
    </row>
    <row r="12441" spans="1:9" hidden="1" x14ac:dyDescent="0.25">
      <c r="A12441" t="s">
        <v>10194</v>
      </c>
      <c r="B12441" t="s">
        <v>732</v>
      </c>
      <c r="C12441" s="2">
        <f>HYPERLINK("https://cao.dolgi.msk.ru/account/1080068412/", 1080068412)</f>
        <v>1080068412</v>
      </c>
      <c r="D12441" t="s">
        <v>10262</v>
      </c>
      <c r="E12441">
        <v>0</v>
      </c>
      <c r="G12441" t="s">
        <v>14</v>
      </c>
      <c r="I12441" t="s">
        <v>230</v>
      </c>
    </row>
    <row r="12442" spans="1:9" x14ac:dyDescent="0.25">
      <c r="A12442" t="s">
        <v>10194</v>
      </c>
      <c r="B12442" t="s">
        <v>553</v>
      </c>
      <c r="C12442" s="2">
        <f>HYPERLINK("https://cao.dolgi.msk.ru/account/1080068439/", 1080068439)</f>
        <v>1080068439</v>
      </c>
      <c r="D12442" t="s">
        <v>10263</v>
      </c>
      <c r="E12442">
        <v>119253.61</v>
      </c>
      <c r="F12442">
        <v>70.36</v>
      </c>
      <c r="G12442" t="s">
        <v>12</v>
      </c>
      <c r="H12442" t="s">
        <v>7</v>
      </c>
      <c r="I12442" t="s">
        <v>230</v>
      </c>
    </row>
    <row r="12443" spans="1:9" x14ac:dyDescent="0.25">
      <c r="A12443" t="s">
        <v>10194</v>
      </c>
      <c r="B12443" t="s">
        <v>553</v>
      </c>
      <c r="C12443" s="2">
        <f>HYPERLINK("https://cao.dolgi.msk.ru/account/1080068447/", 1080068447)</f>
        <v>1080068447</v>
      </c>
      <c r="D12443" t="s">
        <v>10263</v>
      </c>
      <c r="E12443">
        <v>8968.84</v>
      </c>
      <c r="F12443">
        <v>2</v>
      </c>
      <c r="G12443" t="s">
        <v>12</v>
      </c>
      <c r="H12443" t="s">
        <v>7</v>
      </c>
      <c r="I12443" t="s">
        <v>230</v>
      </c>
    </row>
    <row r="12444" spans="1:9" hidden="1" x14ac:dyDescent="0.25">
      <c r="A12444" t="s">
        <v>10194</v>
      </c>
      <c r="B12444" t="s">
        <v>555</v>
      </c>
      <c r="C12444" s="2">
        <f>HYPERLINK("https://cao.dolgi.msk.ru/account/1080068455/", 1080068455)</f>
        <v>1080068455</v>
      </c>
      <c r="D12444" t="s">
        <v>10264</v>
      </c>
      <c r="E12444">
        <v>-4943.2700000000004</v>
      </c>
      <c r="F12444">
        <v>-0.67</v>
      </c>
      <c r="G12444" t="s">
        <v>12</v>
      </c>
      <c r="I12444" t="s">
        <v>230</v>
      </c>
    </row>
    <row r="12445" spans="1:9" hidden="1" x14ac:dyDescent="0.25">
      <c r="A12445" t="s">
        <v>10194</v>
      </c>
      <c r="B12445" t="s">
        <v>736</v>
      </c>
      <c r="C12445" s="2">
        <f>HYPERLINK("https://cao.dolgi.msk.ru/account/1080068463/", 1080068463)</f>
        <v>1080068463</v>
      </c>
      <c r="D12445" t="s">
        <v>10265</v>
      </c>
      <c r="E12445">
        <v>88726.080000000002</v>
      </c>
      <c r="G12445" t="s">
        <v>12</v>
      </c>
      <c r="I12445" t="s">
        <v>230</v>
      </c>
    </row>
    <row r="12446" spans="1:9" hidden="1" x14ac:dyDescent="0.25">
      <c r="A12446" t="s">
        <v>10194</v>
      </c>
      <c r="B12446" t="s">
        <v>736</v>
      </c>
      <c r="C12446" s="2">
        <f>HYPERLINK("https://cao.dolgi.msk.ru/account/1083395777/", 1083395777)</f>
        <v>1083395777</v>
      </c>
      <c r="D12446" t="s">
        <v>189</v>
      </c>
      <c r="E12446">
        <v>-6494.1</v>
      </c>
      <c r="F12446">
        <v>-1.18</v>
      </c>
      <c r="G12446" t="s">
        <v>12</v>
      </c>
      <c r="I12446" t="s">
        <v>230</v>
      </c>
    </row>
    <row r="12447" spans="1:9" hidden="1" x14ac:dyDescent="0.25">
      <c r="A12447" t="s">
        <v>10194</v>
      </c>
      <c r="B12447" t="s">
        <v>738</v>
      </c>
      <c r="C12447" s="2">
        <f>HYPERLINK("https://cao.dolgi.msk.ru/account/1080068471/", 1080068471)</f>
        <v>1080068471</v>
      </c>
      <c r="D12447" t="s">
        <v>10266</v>
      </c>
      <c r="E12447">
        <v>-2485.4899999999998</v>
      </c>
      <c r="F12447">
        <v>-1.0900000000000001</v>
      </c>
      <c r="G12447" t="s">
        <v>12</v>
      </c>
      <c r="H12447" t="s">
        <v>7</v>
      </c>
      <c r="I12447" t="s">
        <v>230</v>
      </c>
    </row>
    <row r="12448" spans="1:9" hidden="1" x14ac:dyDescent="0.25">
      <c r="A12448" t="s">
        <v>10194</v>
      </c>
      <c r="B12448" t="s">
        <v>738</v>
      </c>
      <c r="C12448" s="2">
        <f>HYPERLINK("https://cao.dolgi.msk.ru/account/1080068498/", 1080068498)</f>
        <v>1080068498</v>
      </c>
      <c r="D12448" t="s">
        <v>10266</v>
      </c>
      <c r="E12448">
        <v>-1582.07</v>
      </c>
      <c r="F12448">
        <v>-1.19</v>
      </c>
      <c r="G12448" t="s">
        <v>12</v>
      </c>
      <c r="H12448" t="s">
        <v>7</v>
      </c>
      <c r="I12448" t="s">
        <v>230</v>
      </c>
    </row>
    <row r="12449" spans="1:9" hidden="1" x14ac:dyDescent="0.25">
      <c r="A12449" t="s">
        <v>10194</v>
      </c>
      <c r="B12449" t="s">
        <v>738</v>
      </c>
      <c r="C12449" s="2">
        <f>HYPERLINK("https://cao.dolgi.msk.ru/account/1080069351/", 1080069351)</f>
        <v>1080069351</v>
      </c>
      <c r="D12449" t="s">
        <v>10266</v>
      </c>
      <c r="E12449">
        <v>2250.14</v>
      </c>
      <c r="F12449">
        <v>0.94</v>
      </c>
      <c r="G12449" t="s">
        <v>12</v>
      </c>
      <c r="H12449" t="s">
        <v>7</v>
      </c>
      <c r="I12449" t="s">
        <v>230</v>
      </c>
    </row>
    <row r="12450" spans="1:9" hidden="1" x14ac:dyDescent="0.25">
      <c r="A12450" t="s">
        <v>10194</v>
      </c>
      <c r="B12450" t="s">
        <v>740</v>
      </c>
      <c r="C12450" s="2">
        <f>HYPERLINK("https://cao.dolgi.msk.ru/account/1080068519/", 1080068519)</f>
        <v>1080068519</v>
      </c>
      <c r="D12450" t="s">
        <v>10267</v>
      </c>
      <c r="E12450">
        <v>-6540.32</v>
      </c>
      <c r="F12450">
        <v>-1.33</v>
      </c>
      <c r="G12450" t="s">
        <v>12</v>
      </c>
      <c r="I12450" t="s">
        <v>230</v>
      </c>
    </row>
    <row r="12451" spans="1:9" hidden="1" x14ac:dyDescent="0.25">
      <c r="A12451" t="s">
        <v>10194</v>
      </c>
      <c r="B12451" t="s">
        <v>742</v>
      </c>
      <c r="C12451" s="2">
        <f>HYPERLINK("https://cao.dolgi.msk.ru/account/1080068527/", 1080068527)</f>
        <v>1080068527</v>
      </c>
      <c r="D12451" t="s">
        <v>10268</v>
      </c>
      <c r="E12451">
        <v>-5927.13</v>
      </c>
      <c r="F12451">
        <v>-1.33</v>
      </c>
      <c r="G12451" t="s">
        <v>12</v>
      </c>
      <c r="I12451" t="s">
        <v>230</v>
      </c>
    </row>
    <row r="12452" spans="1:9" hidden="1" x14ac:dyDescent="0.25">
      <c r="A12452" t="s">
        <v>10194</v>
      </c>
      <c r="B12452" t="s">
        <v>557</v>
      </c>
      <c r="C12452" s="2">
        <f>HYPERLINK("https://cao.dolgi.msk.ru/account/1080068535/", 1080068535)</f>
        <v>1080068535</v>
      </c>
      <c r="D12452" t="s">
        <v>10269</v>
      </c>
      <c r="E12452">
        <v>-5287.09</v>
      </c>
      <c r="F12452">
        <v>-1.23</v>
      </c>
      <c r="G12452" t="s">
        <v>12</v>
      </c>
      <c r="I12452" t="s">
        <v>230</v>
      </c>
    </row>
    <row r="12453" spans="1:9" hidden="1" x14ac:dyDescent="0.25">
      <c r="A12453" t="s">
        <v>10194</v>
      </c>
      <c r="B12453" t="s">
        <v>558</v>
      </c>
      <c r="C12453" s="2">
        <f>HYPERLINK("https://cao.dolgi.msk.ru/account/1080068543/", 1080068543)</f>
        <v>1080068543</v>
      </c>
      <c r="D12453" t="s">
        <v>15</v>
      </c>
      <c r="E12453">
        <v>2594.66</v>
      </c>
      <c r="F12453">
        <v>0.39</v>
      </c>
      <c r="G12453" t="s">
        <v>12</v>
      </c>
      <c r="I12453" t="s">
        <v>230</v>
      </c>
    </row>
    <row r="12454" spans="1:9" hidden="1" x14ac:dyDescent="0.25">
      <c r="A12454" t="s">
        <v>10194</v>
      </c>
      <c r="B12454" t="s">
        <v>746</v>
      </c>
      <c r="C12454" s="2">
        <f>HYPERLINK("https://cao.dolgi.msk.ru/account/1080068551/", 1080068551)</f>
        <v>1080068551</v>
      </c>
      <c r="D12454" t="s">
        <v>10270</v>
      </c>
      <c r="E12454">
        <v>-8656.32</v>
      </c>
      <c r="F12454">
        <v>-1.1399999999999999</v>
      </c>
      <c r="G12454" t="s">
        <v>12</v>
      </c>
      <c r="I12454" t="s">
        <v>230</v>
      </c>
    </row>
    <row r="12455" spans="1:9" hidden="1" x14ac:dyDescent="0.25">
      <c r="A12455" t="s">
        <v>10194</v>
      </c>
      <c r="B12455" t="s">
        <v>748</v>
      </c>
      <c r="C12455" s="2">
        <f>HYPERLINK("https://cao.dolgi.msk.ru/account/1080068578/", 1080068578)</f>
        <v>1080068578</v>
      </c>
      <c r="D12455" t="s">
        <v>10271</v>
      </c>
      <c r="E12455">
        <v>-3420.32</v>
      </c>
      <c r="F12455">
        <v>-1.25</v>
      </c>
      <c r="G12455" t="s">
        <v>12</v>
      </c>
      <c r="I12455" t="s">
        <v>230</v>
      </c>
    </row>
    <row r="12456" spans="1:9" hidden="1" x14ac:dyDescent="0.25">
      <c r="A12456" t="s">
        <v>10194</v>
      </c>
      <c r="B12456" t="s">
        <v>750</v>
      </c>
      <c r="C12456" s="2">
        <f>HYPERLINK("https://cao.dolgi.msk.ru/account/1080068586/", 1080068586)</f>
        <v>1080068586</v>
      </c>
      <c r="D12456" t="s">
        <v>10272</v>
      </c>
      <c r="E12456">
        <v>-8548.33</v>
      </c>
      <c r="F12456">
        <v>-1.18</v>
      </c>
      <c r="G12456" t="s">
        <v>12</v>
      </c>
      <c r="I12456" t="s">
        <v>230</v>
      </c>
    </row>
    <row r="12457" spans="1:9" hidden="1" x14ac:dyDescent="0.25">
      <c r="A12457" t="s">
        <v>10194</v>
      </c>
      <c r="B12457" t="s">
        <v>752</v>
      </c>
      <c r="C12457" s="2">
        <f>HYPERLINK("https://cao.dolgi.msk.ru/account/1080068594/", 1080068594)</f>
        <v>1080068594</v>
      </c>
      <c r="D12457" t="s">
        <v>15</v>
      </c>
      <c r="E12457">
        <v>-12521.21</v>
      </c>
      <c r="F12457">
        <v>-1.22</v>
      </c>
      <c r="G12457" t="s">
        <v>12</v>
      </c>
      <c r="I12457" t="s">
        <v>230</v>
      </c>
    </row>
    <row r="12458" spans="1:9" hidden="1" x14ac:dyDescent="0.25">
      <c r="A12458" t="s">
        <v>10194</v>
      </c>
      <c r="B12458" t="s">
        <v>754</v>
      </c>
      <c r="C12458" s="2">
        <f>HYPERLINK("https://cao.dolgi.msk.ru/account/1080068607/", 1080068607)</f>
        <v>1080068607</v>
      </c>
      <c r="D12458" t="s">
        <v>10273</v>
      </c>
      <c r="E12458">
        <v>-6075.45</v>
      </c>
      <c r="F12458">
        <v>-1.1399999999999999</v>
      </c>
      <c r="G12458" t="s">
        <v>12</v>
      </c>
      <c r="I12458" t="s">
        <v>230</v>
      </c>
    </row>
    <row r="12459" spans="1:9" hidden="1" x14ac:dyDescent="0.25">
      <c r="A12459" t="s">
        <v>10194</v>
      </c>
      <c r="B12459" t="s">
        <v>756</v>
      </c>
      <c r="C12459" s="2">
        <f>HYPERLINK("https://cao.dolgi.msk.ru/account/1080068615/", 1080068615)</f>
        <v>1080068615</v>
      </c>
      <c r="D12459" t="s">
        <v>10274</v>
      </c>
      <c r="E12459">
        <v>-11.21</v>
      </c>
      <c r="F12459">
        <v>0</v>
      </c>
      <c r="G12459" t="s">
        <v>12</v>
      </c>
      <c r="I12459" t="s">
        <v>230</v>
      </c>
    </row>
    <row r="12460" spans="1:9" hidden="1" x14ac:dyDescent="0.25">
      <c r="A12460" t="s">
        <v>10194</v>
      </c>
      <c r="B12460" t="s">
        <v>758</v>
      </c>
      <c r="C12460" s="2">
        <f>HYPERLINK("https://cao.dolgi.msk.ru/account/1080068623/", 1080068623)</f>
        <v>1080068623</v>
      </c>
      <c r="D12460" t="s">
        <v>10275</v>
      </c>
      <c r="E12460">
        <v>-11697.27</v>
      </c>
      <c r="F12460">
        <v>-0.97</v>
      </c>
      <c r="G12460" t="s">
        <v>12</v>
      </c>
      <c r="I12460" t="s">
        <v>230</v>
      </c>
    </row>
    <row r="12461" spans="1:9" hidden="1" x14ac:dyDescent="0.25">
      <c r="A12461" t="s">
        <v>10194</v>
      </c>
      <c r="B12461" t="s">
        <v>760</v>
      </c>
      <c r="C12461" s="2">
        <f>HYPERLINK("https://cao.dolgi.msk.ru/account/1080068631/", 1080068631)</f>
        <v>1080068631</v>
      </c>
      <c r="D12461" t="s">
        <v>10276</v>
      </c>
      <c r="E12461">
        <v>-18970.849999999999</v>
      </c>
      <c r="F12461">
        <v>-4.7300000000000004</v>
      </c>
      <c r="G12461" t="s">
        <v>12</v>
      </c>
      <c r="I12461" t="s">
        <v>230</v>
      </c>
    </row>
    <row r="12462" spans="1:9" hidden="1" x14ac:dyDescent="0.25">
      <c r="A12462" t="s">
        <v>10194</v>
      </c>
      <c r="B12462" t="s">
        <v>762</v>
      </c>
      <c r="C12462" s="2">
        <f>HYPERLINK("https://cao.dolgi.msk.ru/account/1080068658/", 1080068658)</f>
        <v>1080068658</v>
      </c>
      <c r="D12462" t="s">
        <v>10277</v>
      </c>
      <c r="E12462">
        <v>-1698.67</v>
      </c>
      <c r="F12462">
        <v>-0.69</v>
      </c>
      <c r="G12462" t="s">
        <v>12</v>
      </c>
      <c r="H12462" t="s">
        <v>7</v>
      </c>
      <c r="I12462" t="s">
        <v>230</v>
      </c>
    </row>
    <row r="12463" spans="1:9" hidden="1" x14ac:dyDescent="0.25">
      <c r="A12463" t="s">
        <v>10194</v>
      </c>
      <c r="B12463" t="s">
        <v>762</v>
      </c>
      <c r="C12463" s="2">
        <f>HYPERLINK("https://cao.dolgi.msk.ru/account/1080068666/", 1080068666)</f>
        <v>1080068666</v>
      </c>
      <c r="D12463" t="s">
        <v>10277</v>
      </c>
      <c r="E12463">
        <v>-6020.6</v>
      </c>
      <c r="F12463">
        <v>-1.02</v>
      </c>
      <c r="G12463" t="s">
        <v>12</v>
      </c>
      <c r="H12463" t="s">
        <v>7</v>
      </c>
      <c r="I12463" t="s">
        <v>230</v>
      </c>
    </row>
    <row r="12464" spans="1:9" hidden="1" x14ac:dyDescent="0.25">
      <c r="A12464" t="s">
        <v>10194</v>
      </c>
      <c r="B12464" t="s">
        <v>762</v>
      </c>
      <c r="C12464" s="2">
        <f>HYPERLINK("https://cao.dolgi.msk.ru/account/1080068674/", 1080068674)</f>
        <v>1080068674</v>
      </c>
      <c r="D12464" t="s">
        <v>10277</v>
      </c>
      <c r="E12464">
        <v>-2414.0100000000002</v>
      </c>
      <c r="F12464">
        <v>-1.52</v>
      </c>
      <c r="G12464" t="s">
        <v>12</v>
      </c>
      <c r="H12464" t="s">
        <v>7</v>
      </c>
      <c r="I12464" t="s">
        <v>230</v>
      </c>
    </row>
    <row r="12465" spans="1:9" hidden="1" x14ac:dyDescent="0.25">
      <c r="A12465" t="s">
        <v>10194</v>
      </c>
      <c r="B12465" t="s">
        <v>764</v>
      </c>
      <c r="C12465" s="2">
        <f>HYPERLINK("https://cao.dolgi.msk.ru/account/1080068682/", 1080068682)</f>
        <v>1080068682</v>
      </c>
      <c r="D12465" t="s">
        <v>10278</v>
      </c>
      <c r="E12465">
        <v>-10868.07</v>
      </c>
      <c r="F12465">
        <v>-1.18</v>
      </c>
      <c r="G12465" t="s">
        <v>12</v>
      </c>
      <c r="I12465" t="s">
        <v>230</v>
      </c>
    </row>
    <row r="12466" spans="1:9" hidden="1" x14ac:dyDescent="0.25">
      <c r="A12466" t="s">
        <v>10194</v>
      </c>
      <c r="B12466" t="s">
        <v>766</v>
      </c>
      <c r="C12466" s="2">
        <f>HYPERLINK("https://cao.dolgi.msk.ru/account/1080068703/", 1080068703)</f>
        <v>1080068703</v>
      </c>
      <c r="D12466" t="s">
        <v>10279</v>
      </c>
      <c r="E12466">
        <v>-1172.93</v>
      </c>
      <c r="F12466">
        <v>-0.46</v>
      </c>
      <c r="G12466" t="s">
        <v>12</v>
      </c>
      <c r="I12466" t="s">
        <v>230</v>
      </c>
    </row>
    <row r="12467" spans="1:9" hidden="1" x14ac:dyDescent="0.25">
      <c r="A12467" t="s">
        <v>10194</v>
      </c>
      <c r="B12467" t="s">
        <v>768</v>
      </c>
      <c r="C12467" s="2">
        <f>HYPERLINK("https://cao.dolgi.msk.ru/account/1080068711/", 1080068711)</f>
        <v>1080068711</v>
      </c>
      <c r="D12467" t="s">
        <v>10280</v>
      </c>
      <c r="E12467">
        <v>-10162.36</v>
      </c>
      <c r="F12467">
        <v>-1.1599999999999999</v>
      </c>
      <c r="G12467" t="s">
        <v>12</v>
      </c>
      <c r="I12467" t="s">
        <v>230</v>
      </c>
    </row>
    <row r="12468" spans="1:9" hidden="1" x14ac:dyDescent="0.25">
      <c r="A12468" t="s">
        <v>10194</v>
      </c>
      <c r="B12468" t="s">
        <v>770</v>
      </c>
      <c r="C12468" s="2">
        <f>HYPERLINK("https://cao.dolgi.msk.ru/account/1080068738/", 1080068738)</f>
        <v>1080068738</v>
      </c>
      <c r="D12468" t="s">
        <v>10281</v>
      </c>
      <c r="E12468">
        <v>-7773.73</v>
      </c>
      <c r="F12468">
        <v>-1.27</v>
      </c>
      <c r="G12468" t="s">
        <v>12</v>
      </c>
      <c r="I12468" t="s">
        <v>230</v>
      </c>
    </row>
    <row r="12469" spans="1:9" hidden="1" x14ac:dyDescent="0.25">
      <c r="A12469" t="s">
        <v>10194</v>
      </c>
      <c r="B12469" t="s">
        <v>772</v>
      </c>
      <c r="C12469" s="2">
        <f>HYPERLINK("https://cao.dolgi.msk.ru/account/1080068746/", 1080068746)</f>
        <v>1080068746</v>
      </c>
      <c r="D12469" t="s">
        <v>10282</v>
      </c>
      <c r="E12469">
        <v>-5185.87</v>
      </c>
      <c r="F12469">
        <v>-1.29</v>
      </c>
      <c r="G12469" t="s">
        <v>12</v>
      </c>
      <c r="I12469" t="s">
        <v>230</v>
      </c>
    </row>
    <row r="12470" spans="1:9" x14ac:dyDescent="0.25">
      <c r="A12470" t="s">
        <v>10194</v>
      </c>
      <c r="B12470" t="s">
        <v>774</v>
      </c>
      <c r="C12470" s="2">
        <f>HYPERLINK("https://cao.dolgi.msk.ru/account/1080068754/", 1080068754)</f>
        <v>1080068754</v>
      </c>
      <c r="D12470" t="s">
        <v>10283</v>
      </c>
      <c r="E12470">
        <v>120767.82</v>
      </c>
      <c r="F12470">
        <v>17.04</v>
      </c>
      <c r="G12470" t="s">
        <v>12</v>
      </c>
      <c r="I12470" t="s">
        <v>230</v>
      </c>
    </row>
    <row r="12471" spans="1:9" x14ac:dyDescent="0.25">
      <c r="A12471" t="s">
        <v>10194</v>
      </c>
      <c r="B12471" t="s">
        <v>776</v>
      </c>
      <c r="C12471" s="2">
        <f>HYPERLINK("https://cao.dolgi.msk.ru/account/1080068762/", 1080068762)</f>
        <v>1080068762</v>
      </c>
      <c r="D12471" t="s">
        <v>62</v>
      </c>
      <c r="E12471">
        <v>286990.56</v>
      </c>
      <c r="F12471">
        <v>26.85</v>
      </c>
      <c r="G12471" t="s">
        <v>12</v>
      </c>
      <c r="I12471" t="s">
        <v>230</v>
      </c>
    </row>
    <row r="12472" spans="1:9" hidden="1" x14ac:dyDescent="0.25">
      <c r="A12472" t="s">
        <v>10194</v>
      </c>
      <c r="B12472" t="s">
        <v>778</v>
      </c>
      <c r="C12472" s="2">
        <f>HYPERLINK("https://cao.dolgi.msk.ru/account/1080068789/", 1080068789)</f>
        <v>1080068789</v>
      </c>
      <c r="D12472" t="s">
        <v>10284</v>
      </c>
      <c r="E12472">
        <v>-5487.25</v>
      </c>
      <c r="F12472">
        <v>-1.22</v>
      </c>
      <c r="G12472" t="s">
        <v>12</v>
      </c>
      <c r="I12472" t="s">
        <v>230</v>
      </c>
    </row>
    <row r="12473" spans="1:9" hidden="1" x14ac:dyDescent="0.25">
      <c r="A12473" t="s">
        <v>10194</v>
      </c>
      <c r="B12473" t="s">
        <v>780</v>
      </c>
      <c r="C12473" s="2">
        <f>HYPERLINK("https://cao.dolgi.msk.ru/account/1080068818/", 1080068818)</f>
        <v>1080068818</v>
      </c>
      <c r="D12473" t="s">
        <v>10285</v>
      </c>
      <c r="E12473">
        <v>-8413.23</v>
      </c>
      <c r="F12473">
        <v>-1.18</v>
      </c>
      <c r="G12473" t="s">
        <v>12</v>
      </c>
      <c r="I12473" t="s">
        <v>230</v>
      </c>
    </row>
    <row r="12474" spans="1:9" hidden="1" x14ac:dyDescent="0.25">
      <c r="A12474" t="s">
        <v>10194</v>
      </c>
      <c r="B12474" t="s">
        <v>781</v>
      </c>
      <c r="C12474" s="2">
        <f>HYPERLINK("https://cao.dolgi.msk.ru/account/1080068834/", 1080068834)</f>
        <v>1080068834</v>
      </c>
      <c r="D12474" t="s">
        <v>10286</v>
      </c>
      <c r="E12474">
        <v>-1541.52</v>
      </c>
      <c r="F12474">
        <v>-0.19</v>
      </c>
      <c r="G12474" t="s">
        <v>12</v>
      </c>
      <c r="I12474" t="s">
        <v>230</v>
      </c>
    </row>
    <row r="12475" spans="1:9" x14ac:dyDescent="0.25">
      <c r="A12475" t="s">
        <v>10194</v>
      </c>
      <c r="B12475" t="s">
        <v>782</v>
      </c>
      <c r="C12475" s="2">
        <f>HYPERLINK("https://cao.dolgi.msk.ru/account/1080068842/", 1080068842)</f>
        <v>1080068842</v>
      </c>
      <c r="D12475" t="s">
        <v>10287</v>
      </c>
      <c r="E12475">
        <v>11445.01</v>
      </c>
      <c r="F12475">
        <v>14.98</v>
      </c>
      <c r="G12475" t="s">
        <v>12</v>
      </c>
      <c r="I12475" t="s">
        <v>230</v>
      </c>
    </row>
    <row r="12476" spans="1:9" x14ac:dyDescent="0.25">
      <c r="A12476" t="s">
        <v>10194</v>
      </c>
      <c r="B12476" t="s">
        <v>782</v>
      </c>
      <c r="C12476" s="2">
        <f>HYPERLINK("https://cao.dolgi.msk.ru/account/1083271571/", 1083271571)</f>
        <v>1083271571</v>
      </c>
      <c r="D12476" t="s">
        <v>15</v>
      </c>
      <c r="E12476">
        <v>49092.45</v>
      </c>
      <c r="F12476">
        <v>64.27</v>
      </c>
      <c r="G12476" t="s">
        <v>12</v>
      </c>
      <c r="I12476" t="s">
        <v>230</v>
      </c>
    </row>
    <row r="12477" spans="1:9" hidden="1" x14ac:dyDescent="0.25">
      <c r="A12477" t="s">
        <v>10194</v>
      </c>
      <c r="B12477" t="s">
        <v>782</v>
      </c>
      <c r="C12477" s="2">
        <f>HYPERLINK("https://cao.dolgi.msk.ru/account/1089124337/", 1089124337)</f>
        <v>1089124337</v>
      </c>
      <c r="D12477" t="s">
        <v>10288</v>
      </c>
      <c r="E12477">
        <v>-6572.69</v>
      </c>
      <c r="F12477">
        <v>-1.05</v>
      </c>
      <c r="G12477" t="s">
        <v>12</v>
      </c>
      <c r="I12477" t="s">
        <v>230</v>
      </c>
    </row>
    <row r="12478" spans="1:9" x14ac:dyDescent="0.25">
      <c r="A12478" t="s">
        <v>10194</v>
      </c>
      <c r="B12478" t="s">
        <v>782</v>
      </c>
      <c r="C12478" s="2">
        <f>HYPERLINK("https://cao.dolgi.msk.ru/account/1089124943/", 1089124943)</f>
        <v>1089124943</v>
      </c>
      <c r="D12478" t="s">
        <v>15</v>
      </c>
      <c r="E12478">
        <v>65612.08</v>
      </c>
      <c r="F12478">
        <v>85.9</v>
      </c>
      <c r="G12478" t="s">
        <v>12</v>
      </c>
      <c r="I12478" t="s">
        <v>230</v>
      </c>
    </row>
    <row r="12479" spans="1:9" hidden="1" x14ac:dyDescent="0.25">
      <c r="A12479" t="s">
        <v>10194</v>
      </c>
      <c r="B12479" t="s">
        <v>784</v>
      </c>
      <c r="C12479" s="2">
        <f>HYPERLINK("https://cao.dolgi.msk.ru/account/1080068869/", 1080068869)</f>
        <v>1080068869</v>
      </c>
      <c r="D12479" t="s">
        <v>10289</v>
      </c>
      <c r="E12479">
        <v>-9847.33</v>
      </c>
      <c r="F12479">
        <v>-1.23</v>
      </c>
      <c r="G12479" t="s">
        <v>12</v>
      </c>
      <c r="I12479" t="s">
        <v>230</v>
      </c>
    </row>
    <row r="12480" spans="1:9" x14ac:dyDescent="0.25">
      <c r="A12480" t="s">
        <v>10194</v>
      </c>
      <c r="B12480" t="s">
        <v>786</v>
      </c>
      <c r="C12480" s="2">
        <f>HYPERLINK("https://cao.dolgi.msk.ru/account/1080068877/", 1080068877)</f>
        <v>1080068877</v>
      </c>
      <c r="D12480" t="s">
        <v>10290</v>
      </c>
      <c r="E12480">
        <v>23407.77</v>
      </c>
      <c r="F12480">
        <v>2.2200000000000002</v>
      </c>
      <c r="G12480" t="s">
        <v>12</v>
      </c>
      <c r="I12480" t="s">
        <v>230</v>
      </c>
    </row>
    <row r="12481" spans="1:9" hidden="1" x14ac:dyDescent="0.25">
      <c r="A12481" t="s">
        <v>10194</v>
      </c>
      <c r="B12481" t="s">
        <v>788</v>
      </c>
      <c r="C12481" s="2">
        <f>HYPERLINK("https://cao.dolgi.msk.ru/account/1080069343/", 1080069343)</f>
        <v>1080069343</v>
      </c>
      <c r="D12481" t="s">
        <v>62</v>
      </c>
      <c r="E12481">
        <v>-9302.2000000000007</v>
      </c>
      <c r="F12481">
        <v>-1.1399999999999999</v>
      </c>
      <c r="G12481" t="s">
        <v>12</v>
      </c>
      <c r="I12481" t="s">
        <v>230</v>
      </c>
    </row>
    <row r="12482" spans="1:9" hidden="1" x14ac:dyDescent="0.25">
      <c r="A12482" t="s">
        <v>10194</v>
      </c>
      <c r="B12482" t="s">
        <v>789</v>
      </c>
      <c r="C12482" s="2">
        <f>HYPERLINK("https://cao.dolgi.msk.ru/account/1080068885/", 1080068885)</f>
        <v>1080068885</v>
      </c>
      <c r="D12482" t="s">
        <v>10291</v>
      </c>
      <c r="E12482">
        <v>-2628.66</v>
      </c>
      <c r="G12482" t="s">
        <v>14</v>
      </c>
      <c r="I12482" t="s">
        <v>230</v>
      </c>
    </row>
    <row r="12483" spans="1:9" hidden="1" x14ac:dyDescent="0.25">
      <c r="A12483" t="s">
        <v>10194</v>
      </c>
      <c r="B12483" t="s">
        <v>790</v>
      </c>
      <c r="C12483" s="2">
        <f>HYPERLINK("https://cao.dolgi.msk.ru/account/1080068893/", 1080068893)</f>
        <v>1080068893</v>
      </c>
      <c r="D12483" t="s">
        <v>10292</v>
      </c>
      <c r="E12483">
        <v>-4558.13</v>
      </c>
      <c r="F12483">
        <v>-1.25</v>
      </c>
      <c r="G12483" t="s">
        <v>12</v>
      </c>
      <c r="I12483" t="s">
        <v>230</v>
      </c>
    </row>
    <row r="12484" spans="1:9" hidden="1" x14ac:dyDescent="0.25">
      <c r="A12484" t="s">
        <v>10194</v>
      </c>
      <c r="B12484" t="s">
        <v>792</v>
      </c>
      <c r="C12484" s="2">
        <f>HYPERLINK("https://cao.dolgi.msk.ru/account/1080068906/", 1080068906)</f>
        <v>1080068906</v>
      </c>
      <c r="D12484" t="s">
        <v>10293</v>
      </c>
      <c r="E12484">
        <v>-7335.94</v>
      </c>
      <c r="F12484">
        <v>-1.18</v>
      </c>
      <c r="G12484" t="s">
        <v>12</v>
      </c>
      <c r="I12484" t="s">
        <v>230</v>
      </c>
    </row>
    <row r="12485" spans="1:9" hidden="1" x14ac:dyDescent="0.25">
      <c r="A12485" t="s">
        <v>10194</v>
      </c>
      <c r="B12485" t="s">
        <v>794</v>
      </c>
      <c r="C12485" s="2">
        <f>HYPERLINK("https://cao.dolgi.msk.ru/account/1080068914/", 1080068914)</f>
        <v>1080068914</v>
      </c>
      <c r="D12485" t="s">
        <v>10294</v>
      </c>
      <c r="E12485">
        <v>9.0299999999999994</v>
      </c>
      <c r="F12485">
        <v>0</v>
      </c>
      <c r="G12485" t="s">
        <v>12</v>
      </c>
      <c r="I12485" t="s">
        <v>230</v>
      </c>
    </row>
    <row r="12486" spans="1:9" hidden="1" x14ac:dyDescent="0.25">
      <c r="A12486" t="s">
        <v>10194</v>
      </c>
      <c r="B12486" t="s">
        <v>796</v>
      </c>
      <c r="C12486" s="2">
        <f>HYPERLINK("https://cao.dolgi.msk.ru/account/1080068922/", 1080068922)</f>
        <v>1080068922</v>
      </c>
      <c r="D12486" t="s">
        <v>10295</v>
      </c>
      <c r="E12486">
        <v>-4550.26</v>
      </c>
      <c r="F12486">
        <v>-1.28</v>
      </c>
      <c r="G12486" t="s">
        <v>12</v>
      </c>
      <c r="I12486" t="s">
        <v>230</v>
      </c>
    </row>
    <row r="12487" spans="1:9" hidden="1" x14ac:dyDescent="0.25">
      <c r="A12487" t="s">
        <v>10194</v>
      </c>
      <c r="B12487" t="s">
        <v>798</v>
      </c>
      <c r="C12487" s="2">
        <f>HYPERLINK("https://cao.dolgi.msk.ru/account/1080068949/", 1080068949)</f>
        <v>1080068949</v>
      </c>
      <c r="D12487" t="s">
        <v>10296</v>
      </c>
      <c r="E12487">
        <v>-2678.19</v>
      </c>
      <c r="F12487">
        <v>-0.53</v>
      </c>
      <c r="G12487" t="s">
        <v>12</v>
      </c>
      <c r="I12487" t="s">
        <v>230</v>
      </c>
    </row>
    <row r="12488" spans="1:9" hidden="1" x14ac:dyDescent="0.25">
      <c r="A12488" t="s">
        <v>10194</v>
      </c>
      <c r="B12488" t="s">
        <v>800</v>
      </c>
      <c r="C12488" s="2">
        <f>HYPERLINK("https://cao.dolgi.msk.ru/account/1080068957/", 1080068957)</f>
        <v>1080068957</v>
      </c>
      <c r="D12488" t="s">
        <v>10297</v>
      </c>
      <c r="E12488">
        <v>0</v>
      </c>
      <c r="F12488">
        <v>0</v>
      </c>
      <c r="G12488" t="s">
        <v>12</v>
      </c>
      <c r="I12488" t="s">
        <v>230</v>
      </c>
    </row>
    <row r="12489" spans="1:9" hidden="1" x14ac:dyDescent="0.25">
      <c r="A12489" t="s">
        <v>10194</v>
      </c>
      <c r="B12489" t="s">
        <v>802</v>
      </c>
      <c r="C12489" s="2">
        <f>HYPERLINK("https://cao.dolgi.msk.ru/account/1080068965/", 1080068965)</f>
        <v>1080068965</v>
      </c>
      <c r="D12489" t="s">
        <v>10298</v>
      </c>
      <c r="E12489">
        <v>-6882.85</v>
      </c>
      <c r="F12489">
        <v>-0.85</v>
      </c>
      <c r="G12489" t="s">
        <v>12</v>
      </c>
      <c r="I12489" t="s">
        <v>230</v>
      </c>
    </row>
    <row r="12490" spans="1:9" hidden="1" x14ac:dyDescent="0.25">
      <c r="A12490" t="s">
        <v>10194</v>
      </c>
      <c r="B12490" t="s">
        <v>804</v>
      </c>
      <c r="C12490" s="2">
        <f>HYPERLINK("https://cao.dolgi.msk.ru/account/1080068973/", 1080068973)</f>
        <v>1080068973</v>
      </c>
      <c r="D12490" t="s">
        <v>10299</v>
      </c>
      <c r="E12490">
        <v>-6721.22</v>
      </c>
      <c r="F12490">
        <v>-1.22</v>
      </c>
      <c r="G12490" t="s">
        <v>12</v>
      </c>
      <c r="I12490" t="s">
        <v>230</v>
      </c>
    </row>
    <row r="12491" spans="1:9" hidden="1" x14ac:dyDescent="0.25">
      <c r="A12491" t="s">
        <v>10194</v>
      </c>
      <c r="B12491" t="s">
        <v>806</v>
      </c>
      <c r="C12491" s="2">
        <f>HYPERLINK("https://cao.dolgi.msk.ru/account/1080068981/", 1080068981)</f>
        <v>1080068981</v>
      </c>
      <c r="D12491" t="s">
        <v>10300</v>
      </c>
      <c r="E12491">
        <v>-4780.26</v>
      </c>
      <c r="F12491">
        <v>-1.2</v>
      </c>
      <c r="G12491" t="s">
        <v>12</v>
      </c>
      <c r="I12491" t="s">
        <v>230</v>
      </c>
    </row>
    <row r="12492" spans="1:9" hidden="1" x14ac:dyDescent="0.25">
      <c r="A12492" t="s">
        <v>10194</v>
      </c>
      <c r="B12492" t="s">
        <v>808</v>
      </c>
      <c r="C12492" s="2">
        <f>HYPERLINK("https://cao.dolgi.msk.ru/account/1080069001/", 1080069001)</f>
        <v>1080069001</v>
      </c>
      <c r="D12492" t="s">
        <v>10301</v>
      </c>
      <c r="E12492">
        <v>-3570.81</v>
      </c>
      <c r="F12492">
        <v>-1.1499999999999999</v>
      </c>
      <c r="G12492" t="s">
        <v>12</v>
      </c>
      <c r="I12492" t="s">
        <v>230</v>
      </c>
    </row>
    <row r="12493" spans="1:9" hidden="1" x14ac:dyDescent="0.25">
      <c r="A12493" t="s">
        <v>10194</v>
      </c>
      <c r="B12493" t="s">
        <v>810</v>
      </c>
      <c r="C12493" s="2">
        <f>HYPERLINK("https://cao.dolgi.msk.ru/account/1080069028/", 1080069028)</f>
        <v>1080069028</v>
      </c>
      <c r="D12493" t="s">
        <v>10302</v>
      </c>
      <c r="E12493">
        <v>-9153.65</v>
      </c>
      <c r="F12493">
        <v>-1.08</v>
      </c>
      <c r="G12493" t="s">
        <v>12</v>
      </c>
      <c r="I12493" t="s">
        <v>230</v>
      </c>
    </row>
    <row r="12494" spans="1:9" hidden="1" x14ac:dyDescent="0.25">
      <c r="A12494" t="s">
        <v>10194</v>
      </c>
      <c r="B12494" t="s">
        <v>812</v>
      </c>
      <c r="C12494" s="2">
        <f>HYPERLINK("https://cao.dolgi.msk.ru/account/1080069036/", 1080069036)</f>
        <v>1080069036</v>
      </c>
      <c r="D12494" t="s">
        <v>10303</v>
      </c>
      <c r="E12494">
        <v>0</v>
      </c>
      <c r="G12494" t="s">
        <v>14</v>
      </c>
      <c r="I12494" t="s">
        <v>230</v>
      </c>
    </row>
    <row r="12495" spans="1:9" hidden="1" x14ac:dyDescent="0.25">
      <c r="A12495" t="s">
        <v>10194</v>
      </c>
      <c r="B12495" t="s">
        <v>812</v>
      </c>
      <c r="C12495" s="2">
        <f>HYPERLINK("https://cao.dolgi.msk.ru/account/1080322572/", 1080322572)</f>
        <v>1080322572</v>
      </c>
      <c r="D12495" t="s">
        <v>10304</v>
      </c>
      <c r="E12495">
        <v>0</v>
      </c>
      <c r="G12495" t="s">
        <v>14</v>
      </c>
      <c r="I12495" t="s">
        <v>230</v>
      </c>
    </row>
    <row r="12496" spans="1:9" hidden="1" x14ac:dyDescent="0.25">
      <c r="A12496" t="s">
        <v>10194</v>
      </c>
      <c r="B12496" t="s">
        <v>812</v>
      </c>
      <c r="C12496" s="2">
        <f>HYPERLINK("https://cao.dolgi.msk.ru/account/1080322599/", 1080322599)</f>
        <v>1080322599</v>
      </c>
      <c r="D12496" t="s">
        <v>10304</v>
      </c>
      <c r="E12496">
        <v>0</v>
      </c>
      <c r="F12496">
        <v>0</v>
      </c>
      <c r="G12496" t="s">
        <v>12</v>
      </c>
      <c r="I12496" t="s">
        <v>230</v>
      </c>
    </row>
    <row r="12497" spans="1:9" hidden="1" x14ac:dyDescent="0.25">
      <c r="A12497" t="s">
        <v>10194</v>
      </c>
      <c r="B12497" t="s">
        <v>814</v>
      </c>
      <c r="C12497" s="2">
        <f>HYPERLINK("https://cao.dolgi.msk.ru/account/1080069044/", 1080069044)</f>
        <v>1080069044</v>
      </c>
      <c r="D12497" t="s">
        <v>10305</v>
      </c>
      <c r="E12497">
        <v>-8084.04</v>
      </c>
      <c r="F12497">
        <v>-1.25</v>
      </c>
      <c r="G12497" t="s">
        <v>12</v>
      </c>
      <c r="I12497" t="s">
        <v>230</v>
      </c>
    </row>
    <row r="12498" spans="1:9" hidden="1" x14ac:dyDescent="0.25">
      <c r="A12498" t="s">
        <v>10194</v>
      </c>
      <c r="B12498" t="s">
        <v>816</v>
      </c>
      <c r="C12498" s="2">
        <f>HYPERLINK("https://cao.dolgi.msk.ru/account/1080320841/", 1080320841)</f>
        <v>1080320841</v>
      </c>
      <c r="D12498" t="s">
        <v>10306</v>
      </c>
      <c r="E12498">
        <v>-4602.1000000000004</v>
      </c>
      <c r="F12498">
        <v>-1.27</v>
      </c>
      <c r="G12498" t="s">
        <v>12</v>
      </c>
      <c r="I12498" t="s">
        <v>230</v>
      </c>
    </row>
    <row r="12499" spans="1:9" hidden="1" x14ac:dyDescent="0.25">
      <c r="A12499" t="s">
        <v>10194</v>
      </c>
      <c r="B12499" t="s">
        <v>816</v>
      </c>
      <c r="C12499" s="2">
        <f>HYPERLINK("https://cao.dolgi.msk.ru/account/1080320884/", 1080320884)</f>
        <v>1080320884</v>
      </c>
      <c r="D12499" t="s">
        <v>10307</v>
      </c>
      <c r="E12499">
        <v>-6153.49</v>
      </c>
      <c r="F12499">
        <v>-1.3</v>
      </c>
      <c r="G12499" t="s">
        <v>12</v>
      </c>
      <c r="I12499" t="s">
        <v>230</v>
      </c>
    </row>
    <row r="12500" spans="1:9" hidden="1" x14ac:dyDescent="0.25">
      <c r="A12500" t="s">
        <v>10194</v>
      </c>
      <c r="B12500" t="s">
        <v>816</v>
      </c>
      <c r="C12500" s="2">
        <f>HYPERLINK("https://cao.dolgi.msk.ru/account/1080320892/", 1080320892)</f>
        <v>1080320892</v>
      </c>
      <c r="D12500" t="s">
        <v>10307</v>
      </c>
      <c r="E12500">
        <v>0</v>
      </c>
      <c r="G12500" t="s">
        <v>14</v>
      </c>
      <c r="I12500" t="s">
        <v>230</v>
      </c>
    </row>
    <row r="12501" spans="1:9" hidden="1" x14ac:dyDescent="0.25">
      <c r="A12501" t="s">
        <v>10194</v>
      </c>
      <c r="B12501" t="s">
        <v>818</v>
      </c>
      <c r="C12501" s="2">
        <f>HYPERLINK("https://cao.dolgi.msk.ru/account/1080069079/", 1080069079)</f>
        <v>1080069079</v>
      </c>
      <c r="D12501" t="s">
        <v>10308</v>
      </c>
      <c r="E12501">
        <v>-4359.3100000000004</v>
      </c>
      <c r="F12501">
        <v>-1.25</v>
      </c>
      <c r="G12501" t="s">
        <v>12</v>
      </c>
      <c r="H12501" t="s">
        <v>7</v>
      </c>
      <c r="I12501" t="s">
        <v>230</v>
      </c>
    </row>
    <row r="12502" spans="1:9" hidden="1" x14ac:dyDescent="0.25">
      <c r="A12502" t="s">
        <v>10194</v>
      </c>
      <c r="B12502" t="s">
        <v>818</v>
      </c>
      <c r="C12502" s="2">
        <f>HYPERLINK("https://cao.dolgi.msk.ru/account/1080069087/", 1080069087)</f>
        <v>1080069087</v>
      </c>
      <c r="D12502" t="s">
        <v>10308</v>
      </c>
      <c r="E12502">
        <v>-3386.49</v>
      </c>
      <c r="F12502">
        <v>-1.25</v>
      </c>
      <c r="G12502" t="s">
        <v>12</v>
      </c>
      <c r="H12502" t="s">
        <v>7</v>
      </c>
      <c r="I12502" t="s">
        <v>230</v>
      </c>
    </row>
    <row r="12503" spans="1:9" hidden="1" x14ac:dyDescent="0.25">
      <c r="A12503" t="s">
        <v>10194</v>
      </c>
      <c r="B12503" t="s">
        <v>818</v>
      </c>
      <c r="C12503" s="2">
        <f>HYPERLINK("https://cao.dolgi.msk.ru/account/1080069095/", 1080069095)</f>
        <v>1080069095</v>
      </c>
      <c r="D12503" t="s">
        <v>62</v>
      </c>
      <c r="E12503">
        <v>677.37</v>
      </c>
      <c r="F12503">
        <v>0.73</v>
      </c>
      <c r="G12503" t="s">
        <v>12</v>
      </c>
      <c r="H12503" t="s">
        <v>7</v>
      </c>
      <c r="I12503" t="s">
        <v>230</v>
      </c>
    </row>
    <row r="12504" spans="1:9" hidden="1" x14ac:dyDescent="0.25">
      <c r="A12504" t="s">
        <v>10194</v>
      </c>
      <c r="B12504" t="s">
        <v>820</v>
      </c>
      <c r="C12504" s="2">
        <f>HYPERLINK("https://cao.dolgi.msk.ru/account/1080069108/", 1080069108)</f>
        <v>1080069108</v>
      </c>
      <c r="D12504" t="s">
        <v>10309</v>
      </c>
      <c r="E12504">
        <v>-10087.64</v>
      </c>
      <c r="F12504">
        <v>-1.2</v>
      </c>
      <c r="G12504" t="s">
        <v>12</v>
      </c>
      <c r="I12504" t="s">
        <v>230</v>
      </c>
    </row>
    <row r="12505" spans="1:9" hidden="1" x14ac:dyDescent="0.25">
      <c r="A12505" t="s">
        <v>10194</v>
      </c>
      <c r="B12505" t="s">
        <v>822</v>
      </c>
      <c r="C12505" s="2">
        <f>HYPERLINK("https://cao.dolgi.msk.ru/account/1080069116/", 1080069116)</f>
        <v>1080069116</v>
      </c>
      <c r="D12505" t="s">
        <v>10310</v>
      </c>
      <c r="E12505">
        <v>0</v>
      </c>
      <c r="F12505">
        <v>0</v>
      </c>
      <c r="G12505" t="s">
        <v>12</v>
      </c>
      <c r="I12505" t="s">
        <v>230</v>
      </c>
    </row>
    <row r="12506" spans="1:9" hidden="1" x14ac:dyDescent="0.25">
      <c r="A12506" t="s">
        <v>10194</v>
      </c>
      <c r="B12506" t="s">
        <v>824</v>
      </c>
      <c r="C12506" s="2">
        <f>HYPERLINK("https://cao.dolgi.msk.ru/account/1080069124/", 1080069124)</f>
        <v>1080069124</v>
      </c>
      <c r="D12506" t="s">
        <v>10311</v>
      </c>
      <c r="E12506">
        <v>-7644.65</v>
      </c>
      <c r="F12506">
        <v>-1.2</v>
      </c>
      <c r="G12506" t="s">
        <v>12</v>
      </c>
      <c r="I12506" t="s">
        <v>230</v>
      </c>
    </row>
    <row r="12507" spans="1:9" hidden="1" x14ac:dyDescent="0.25">
      <c r="A12507" t="s">
        <v>10194</v>
      </c>
      <c r="B12507" t="s">
        <v>826</v>
      </c>
      <c r="C12507" s="2">
        <f>HYPERLINK("https://cao.dolgi.msk.ru/account/1080069132/", 1080069132)</f>
        <v>1080069132</v>
      </c>
      <c r="D12507" t="s">
        <v>10312</v>
      </c>
      <c r="E12507">
        <v>-8700.6299999999992</v>
      </c>
      <c r="F12507">
        <v>-1.25</v>
      </c>
      <c r="G12507" t="s">
        <v>12</v>
      </c>
      <c r="I12507" t="s">
        <v>230</v>
      </c>
    </row>
    <row r="12508" spans="1:9" hidden="1" x14ac:dyDescent="0.25">
      <c r="A12508" t="s">
        <v>10194</v>
      </c>
      <c r="B12508" t="s">
        <v>828</v>
      </c>
      <c r="C12508" s="2">
        <f>HYPERLINK("https://cao.dolgi.msk.ru/account/1080069159/", 1080069159)</f>
        <v>1080069159</v>
      </c>
      <c r="D12508" t="s">
        <v>10313</v>
      </c>
      <c r="E12508">
        <v>-5912.57</v>
      </c>
      <c r="F12508">
        <v>-1.21</v>
      </c>
      <c r="G12508" t="s">
        <v>12</v>
      </c>
      <c r="I12508" t="s">
        <v>230</v>
      </c>
    </row>
    <row r="12509" spans="1:9" hidden="1" x14ac:dyDescent="0.25">
      <c r="A12509" t="s">
        <v>10194</v>
      </c>
      <c r="B12509" t="s">
        <v>830</v>
      </c>
      <c r="C12509" s="2">
        <f>HYPERLINK("https://cao.dolgi.msk.ru/account/1080069167/", 1080069167)</f>
        <v>1080069167</v>
      </c>
      <c r="D12509" t="s">
        <v>10313</v>
      </c>
      <c r="E12509">
        <v>-10480.09</v>
      </c>
      <c r="F12509">
        <v>-1.68</v>
      </c>
      <c r="G12509" t="s">
        <v>12</v>
      </c>
      <c r="I12509" t="s">
        <v>230</v>
      </c>
    </row>
    <row r="12510" spans="1:9" hidden="1" x14ac:dyDescent="0.25">
      <c r="A12510" t="s">
        <v>10194</v>
      </c>
      <c r="B12510" t="s">
        <v>831</v>
      </c>
      <c r="C12510" s="2">
        <f>HYPERLINK("https://cao.dolgi.msk.ru/account/1080069175/", 1080069175)</f>
        <v>1080069175</v>
      </c>
      <c r="D12510" t="s">
        <v>10314</v>
      </c>
      <c r="E12510">
        <v>-10258.85</v>
      </c>
      <c r="F12510">
        <v>-1.23</v>
      </c>
      <c r="G12510" t="s">
        <v>12</v>
      </c>
      <c r="I12510" t="s">
        <v>230</v>
      </c>
    </row>
    <row r="12511" spans="1:9" hidden="1" x14ac:dyDescent="0.25">
      <c r="A12511" t="s">
        <v>10194</v>
      </c>
      <c r="B12511" t="s">
        <v>833</v>
      </c>
      <c r="C12511" s="2">
        <f>HYPERLINK("https://cao.dolgi.msk.ru/account/1080069183/", 1080069183)</f>
        <v>1080069183</v>
      </c>
      <c r="D12511" t="s">
        <v>10315</v>
      </c>
      <c r="E12511">
        <v>-6188.72</v>
      </c>
      <c r="F12511">
        <v>-1.18</v>
      </c>
      <c r="G12511" t="s">
        <v>12</v>
      </c>
      <c r="I12511" t="s">
        <v>230</v>
      </c>
    </row>
    <row r="12512" spans="1:9" hidden="1" x14ac:dyDescent="0.25">
      <c r="A12512" t="s">
        <v>10194</v>
      </c>
      <c r="B12512" t="s">
        <v>835</v>
      </c>
      <c r="C12512" s="2">
        <f>HYPERLINK("https://cao.dolgi.msk.ru/account/1080069191/", 1080069191)</f>
        <v>1080069191</v>
      </c>
      <c r="D12512" t="s">
        <v>10316</v>
      </c>
      <c r="E12512">
        <v>-6892.27</v>
      </c>
      <c r="F12512">
        <v>-1.07</v>
      </c>
      <c r="G12512" t="s">
        <v>12</v>
      </c>
      <c r="I12512" t="s">
        <v>230</v>
      </c>
    </row>
    <row r="12513" spans="1:9" hidden="1" x14ac:dyDescent="0.25">
      <c r="A12513" t="s">
        <v>10194</v>
      </c>
      <c r="B12513" t="s">
        <v>837</v>
      </c>
      <c r="C12513" s="2">
        <f>HYPERLINK("https://cao.dolgi.msk.ru/account/1080069204/", 1080069204)</f>
        <v>1080069204</v>
      </c>
      <c r="D12513" t="s">
        <v>10317</v>
      </c>
      <c r="E12513">
        <v>-3547.29</v>
      </c>
      <c r="F12513">
        <v>-0.42</v>
      </c>
      <c r="G12513" t="s">
        <v>12</v>
      </c>
      <c r="I12513" t="s">
        <v>230</v>
      </c>
    </row>
    <row r="12514" spans="1:9" hidden="1" x14ac:dyDescent="0.25">
      <c r="A12514" t="s">
        <v>10194</v>
      </c>
      <c r="B12514" t="s">
        <v>838</v>
      </c>
      <c r="C12514" s="2">
        <f>HYPERLINK("https://cao.dolgi.msk.ru/account/1080069212/", 1080069212)</f>
        <v>1080069212</v>
      </c>
      <c r="D12514" t="s">
        <v>10318</v>
      </c>
      <c r="E12514">
        <v>-6702.35</v>
      </c>
      <c r="F12514">
        <v>-1.3</v>
      </c>
      <c r="G12514" t="s">
        <v>12</v>
      </c>
      <c r="I12514" t="s">
        <v>230</v>
      </c>
    </row>
    <row r="12515" spans="1:9" hidden="1" x14ac:dyDescent="0.25">
      <c r="A12515" t="s">
        <v>10194</v>
      </c>
      <c r="B12515" t="s">
        <v>840</v>
      </c>
      <c r="C12515" s="2">
        <f>HYPERLINK("https://cao.dolgi.msk.ru/account/1080069239/", 1080069239)</f>
        <v>1080069239</v>
      </c>
      <c r="D12515" t="s">
        <v>10319</v>
      </c>
      <c r="E12515">
        <v>-1921.12</v>
      </c>
      <c r="F12515">
        <v>-0.27</v>
      </c>
      <c r="G12515" t="s">
        <v>12</v>
      </c>
      <c r="I12515" t="s">
        <v>230</v>
      </c>
    </row>
    <row r="12516" spans="1:9" hidden="1" x14ac:dyDescent="0.25">
      <c r="A12516" t="s">
        <v>10194</v>
      </c>
      <c r="B12516" t="s">
        <v>842</v>
      </c>
      <c r="C12516" s="2">
        <f>HYPERLINK("https://cao.dolgi.msk.ru/account/1080069247/", 1080069247)</f>
        <v>1080069247</v>
      </c>
      <c r="D12516" t="s">
        <v>10320</v>
      </c>
      <c r="E12516">
        <v>-7324.15</v>
      </c>
      <c r="F12516">
        <v>-1.25</v>
      </c>
      <c r="G12516" t="s">
        <v>12</v>
      </c>
      <c r="I12516" t="s">
        <v>230</v>
      </c>
    </row>
    <row r="12517" spans="1:9" hidden="1" x14ac:dyDescent="0.25">
      <c r="A12517" t="s">
        <v>10194</v>
      </c>
      <c r="B12517" t="s">
        <v>842</v>
      </c>
      <c r="C12517" s="2">
        <f>HYPERLINK("https://cao.dolgi.msk.ru/account/1089114972/", 1089114972)</f>
        <v>1089114972</v>
      </c>
      <c r="D12517" t="s">
        <v>15</v>
      </c>
      <c r="E12517">
        <v>-356.47</v>
      </c>
      <c r="F12517">
        <v>-0.74</v>
      </c>
      <c r="G12517" t="s">
        <v>12</v>
      </c>
      <c r="I12517" t="s">
        <v>230</v>
      </c>
    </row>
    <row r="12518" spans="1:9" hidden="1" x14ac:dyDescent="0.25">
      <c r="A12518" t="s">
        <v>10194</v>
      </c>
      <c r="B12518" t="s">
        <v>842</v>
      </c>
      <c r="C12518" s="2">
        <f>HYPERLINK("https://cao.dolgi.msk.ru/account/1089122868/", 1089122868)</f>
        <v>1089122868</v>
      </c>
      <c r="D12518" t="s">
        <v>15</v>
      </c>
      <c r="E12518">
        <v>0</v>
      </c>
      <c r="F12518">
        <v>0</v>
      </c>
      <c r="G12518" t="s">
        <v>12</v>
      </c>
      <c r="I12518" t="s">
        <v>230</v>
      </c>
    </row>
    <row r="12519" spans="1:9" hidden="1" x14ac:dyDescent="0.25">
      <c r="A12519" t="s">
        <v>10194</v>
      </c>
      <c r="B12519" t="s">
        <v>844</v>
      </c>
      <c r="C12519" s="2">
        <f>HYPERLINK("https://cao.dolgi.msk.ru/account/1080069255/", 1080069255)</f>
        <v>1080069255</v>
      </c>
      <c r="D12519" t="s">
        <v>10321</v>
      </c>
      <c r="E12519">
        <v>-7459.97</v>
      </c>
      <c r="F12519">
        <v>-1.2</v>
      </c>
      <c r="G12519" t="s">
        <v>12</v>
      </c>
      <c r="I12519" t="s">
        <v>230</v>
      </c>
    </row>
    <row r="12520" spans="1:9" hidden="1" x14ac:dyDescent="0.25">
      <c r="A12520" t="s">
        <v>10194</v>
      </c>
      <c r="B12520" t="s">
        <v>846</v>
      </c>
      <c r="C12520" s="2">
        <f>HYPERLINK("https://cao.dolgi.msk.ru/account/1080069263/", 1080069263)</f>
        <v>1080069263</v>
      </c>
      <c r="D12520" t="s">
        <v>10322</v>
      </c>
      <c r="E12520">
        <v>-4369.22</v>
      </c>
      <c r="F12520">
        <v>-0.36</v>
      </c>
      <c r="G12520" t="s">
        <v>12</v>
      </c>
      <c r="I12520" t="s">
        <v>230</v>
      </c>
    </row>
    <row r="12521" spans="1:9" hidden="1" x14ac:dyDescent="0.25">
      <c r="A12521" t="s">
        <v>10194</v>
      </c>
      <c r="B12521" t="s">
        <v>848</v>
      </c>
      <c r="C12521" s="2">
        <f>HYPERLINK("https://cao.dolgi.msk.ru/account/1080069271/", 1080069271)</f>
        <v>1080069271</v>
      </c>
      <c r="D12521" t="s">
        <v>10323</v>
      </c>
      <c r="E12521">
        <v>-10090.92</v>
      </c>
      <c r="F12521">
        <v>-1.1100000000000001</v>
      </c>
      <c r="G12521" t="s">
        <v>12</v>
      </c>
      <c r="I12521" t="s">
        <v>230</v>
      </c>
    </row>
    <row r="12522" spans="1:9" hidden="1" x14ac:dyDescent="0.25">
      <c r="A12522" t="s">
        <v>10194</v>
      </c>
      <c r="B12522" t="s">
        <v>850</v>
      </c>
      <c r="C12522" s="2">
        <f>HYPERLINK("https://cao.dolgi.msk.ru/account/1080069298/", 1080069298)</f>
        <v>1080069298</v>
      </c>
      <c r="D12522" t="s">
        <v>10324</v>
      </c>
      <c r="E12522">
        <v>-36980.67</v>
      </c>
      <c r="F12522">
        <v>-2.12</v>
      </c>
      <c r="G12522" t="s">
        <v>12</v>
      </c>
      <c r="I12522" t="s">
        <v>230</v>
      </c>
    </row>
    <row r="12523" spans="1:9" hidden="1" x14ac:dyDescent="0.25">
      <c r="A12523" t="s">
        <v>10194</v>
      </c>
      <c r="B12523" t="s">
        <v>850</v>
      </c>
      <c r="C12523" s="2">
        <f>HYPERLINK("https://cao.dolgi.msk.ru/account/1080069319/", 1080069319)</f>
        <v>1080069319</v>
      </c>
      <c r="D12523" t="s">
        <v>10324</v>
      </c>
      <c r="E12523">
        <v>2351.5500000000002</v>
      </c>
      <c r="F12523">
        <v>1.03</v>
      </c>
      <c r="G12523" t="s">
        <v>14</v>
      </c>
      <c r="I12523" t="s">
        <v>230</v>
      </c>
    </row>
    <row r="12524" spans="1:9" hidden="1" x14ac:dyDescent="0.25">
      <c r="A12524" t="s">
        <v>10194</v>
      </c>
      <c r="B12524" t="s">
        <v>852</v>
      </c>
      <c r="C12524" s="2">
        <f>HYPERLINK("https://cao.dolgi.msk.ru/account/1080069327/", 1080069327)</f>
        <v>1080069327</v>
      </c>
      <c r="D12524" t="s">
        <v>62</v>
      </c>
      <c r="E12524">
        <v>-376.03</v>
      </c>
      <c r="F12524">
        <v>-0.04</v>
      </c>
      <c r="G12524" t="s">
        <v>12</v>
      </c>
      <c r="I12524" t="s">
        <v>230</v>
      </c>
    </row>
    <row r="12525" spans="1:9" hidden="1" x14ac:dyDescent="0.25">
      <c r="A12525" t="s">
        <v>10194</v>
      </c>
      <c r="B12525" t="s">
        <v>854</v>
      </c>
      <c r="C12525" s="2">
        <f>HYPERLINK("https://cao.dolgi.msk.ru/account/1080069335/", 1080069335)</f>
        <v>1080069335</v>
      </c>
      <c r="D12525" t="s">
        <v>10325</v>
      </c>
      <c r="E12525">
        <v>-384.2</v>
      </c>
      <c r="F12525">
        <v>-0.04</v>
      </c>
      <c r="G12525" t="s">
        <v>12</v>
      </c>
      <c r="I12525" t="s">
        <v>230</v>
      </c>
    </row>
    <row r="12526" spans="1:9" hidden="1" x14ac:dyDescent="0.25">
      <c r="A12526" t="s">
        <v>10326</v>
      </c>
      <c r="B12526" t="s">
        <v>16</v>
      </c>
      <c r="C12526" s="2">
        <f>HYPERLINK("https://cao.dolgi.msk.ru/account/1080082708/", 1080082708)</f>
        <v>1080082708</v>
      </c>
      <c r="D12526" t="s">
        <v>10327</v>
      </c>
      <c r="E12526">
        <v>-5742.48</v>
      </c>
      <c r="F12526">
        <v>-1.31</v>
      </c>
      <c r="G12526" t="s">
        <v>12</v>
      </c>
      <c r="I12526" t="s">
        <v>230</v>
      </c>
    </row>
    <row r="12527" spans="1:9" hidden="1" x14ac:dyDescent="0.25">
      <c r="A12527" t="s">
        <v>10326</v>
      </c>
      <c r="B12527" t="s">
        <v>18</v>
      </c>
      <c r="C12527" s="2">
        <f>HYPERLINK("https://cao.dolgi.msk.ru/account/1080082716/", 1080082716)</f>
        <v>1080082716</v>
      </c>
      <c r="D12527" t="s">
        <v>10328</v>
      </c>
      <c r="E12527">
        <v>0</v>
      </c>
      <c r="F12527">
        <v>0</v>
      </c>
      <c r="G12527" t="s">
        <v>12</v>
      </c>
      <c r="I12527" t="s">
        <v>230</v>
      </c>
    </row>
    <row r="12528" spans="1:9" hidden="1" x14ac:dyDescent="0.25">
      <c r="A12528" t="s">
        <v>10326</v>
      </c>
      <c r="B12528" t="s">
        <v>20</v>
      </c>
      <c r="C12528" s="2">
        <f>HYPERLINK("https://cao.dolgi.msk.ru/account/1080082724/", 1080082724)</f>
        <v>1080082724</v>
      </c>
      <c r="D12528" t="s">
        <v>10329</v>
      </c>
      <c r="E12528">
        <v>-3732.47</v>
      </c>
      <c r="F12528">
        <v>-1.1299999999999999</v>
      </c>
      <c r="G12528" t="s">
        <v>12</v>
      </c>
      <c r="I12528" t="s">
        <v>230</v>
      </c>
    </row>
    <row r="12529" spans="1:9" hidden="1" x14ac:dyDescent="0.25">
      <c r="A12529" t="s">
        <v>10326</v>
      </c>
      <c r="B12529" t="s">
        <v>21</v>
      </c>
      <c r="C12529" s="2">
        <f>HYPERLINK("https://cao.dolgi.msk.ru/account/1080082775/", 1080082775)</f>
        <v>1080082775</v>
      </c>
      <c r="D12529" t="s">
        <v>10330</v>
      </c>
      <c r="E12529">
        <v>0</v>
      </c>
      <c r="F12529">
        <v>0</v>
      </c>
      <c r="G12529" t="s">
        <v>12</v>
      </c>
      <c r="I12529" t="s">
        <v>230</v>
      </c>
    </row>
    <row r="12530" spans="1:9" hidden="1" x14ac:dyDescent="0.25">
      <c r="A12530" t="s">
        <v>10326</v>
      </c>
      <c r="B12530" t="s">
        <v>22</v>
      </c>
      <c r="C12530" s="2">
        <f>HYPERLINK("https://cao.dolgi.msk.ru/account/1080082783/", 1080082783)</f>
        <v>1080082783</v>
      </c>
      <c r="D12530" t="s">
        <v>10331</v>
      </c>
      <c r="E12530">
        <v>-3387.36</v>
      </c>
      <c r="F12530">
        <v>-0.57999999999999996</v>
      </c>
      <c r="G12530" t="s">
        <v>12</v>
      </c>
      <c r="I12530" t="s">
        <v>230</v>
      </c>
    </row>
    <row r="12531" spans="1:9" x14ac:dyDescent="0.25">
      <c r="A12531" t="s">
        <v>10326</v>
      </c>
      <c r="B12531" t="s">
        <v>23</v>
      </c>
      <c r="C12531" s="2">
        <f>HYPERLINK("https://cao.dolgi.msk.ru/account/1080082791/", 1080082791)</f>
        <v>1080082791</v>
      </c>
      <c r="D12531" t="s">
        <v>10332</v>
      </c>
      <c r="E12531">
        <v>9564.52</v>
      </c>
      <c r="F12531">
        <v>1.21</v>
      </c>
      <c r="G12531" t="s">
        <v>12</v>
      </c>
      <c r="I12531" t="s">
        <v>230</v>
      </c>
    </row>
    <row r="12532" spans="1:9" hidden="1" x14ac:dyDescent="0.25">
      <c r="A12532" t="s">
        <v>10326</v>
      </c>
      <c r="B12532" t="s">
        <v>24</v>
      </c>
      <c r="C12532" s="2">
        <f>HYPERLINK("https://cao.dolgi.msk.ru/account/1080082804/", 1080082804)</f>
        <v>1080082804</v>
      </c>
      <c r="D12532" t="s">
        <v>10333</v>
      </c>
      <c r="E12532">
        <v>-4587.13</v>
      </c>
      <c r="F12532">
        <v>-1.01</v>
      </c>
      <c r="G12532" t="s">
        <v>12</v>
      </c>
      <c r="I12532" t="s">
        <v>230</v>
      </c>
    </row>
    <row r="12533" spans="1:9" hidden="1" x14ac:dyDescent="0.25">
      <c r="A12533" t="s">
        <v>10326</v>
      </c>
      <c r="B12533" t="s">
        <v>27</v>
      </c>
      <c r="C12533" s="2">
        <f>HYPERLINK("https://cao.dolgi.msk.ru/account/1080082812/", 1080082812)</f>
        <v>1080082812</v>
      </c>
      <c r="D12533" t="s">
        <v>10334</v>
      </c>
      <c r="E12533">
        <v>-6085.83</v>
      </c>
      <c r="F12533">
        <v>-1.04</v>
      </c>
      <c r="G12533" t="s">
        <v>12</v>
      </c>
      <c r="I12533" t="s">
        <v>230</v>
      </c>
    </row>
    <row r="12534" spans="1:9" hidden="1" x14ac:dyDescent="0.25">
      <c r="A12534" t="s">
        <v>10326</v>
      </c>
      <c r="B12534" t="s">
        <v>29</v>
      </c>
      <c r="C12534" s="2">
        <f>HYPERLINK("https://cao.dolgi.msk.ru/account/1080082839/", 1080082839)</f>
        <v>1080082839</v>
      </c>
      <c r="D12534" t="s">
        <v>10335</v>
      </c>
      <c r="E12534">
        <v>-9997.84</v>
      </c>
      <c r="F12534">
        <v>-1.52</v>
      </c>
      <c r="G12534" t="s">
        <v>12</v>
      </c>
      <c r="I12534" t="s">
        <v>230</v>
      </c>
    </row>
    <row r="12535" spans="1:9" hidden="1" x14ac:dyDescent="0.25">
      <c r="A12535" t="s">
        <v>10326</v>
      </c>
      <c r="B12535" t="s">
        <v>31</v>
      </c>
      <c r="C12535" s="2">
        <f>HYPERLINK("https://cao.dolgi.msk.ru/account/1080082847/", 1080082847)</f>
        <v>1080082847</v>
      </c>
      <c r="D12535" t="s">
        <v>10336</v>
      </c>
      <c r="E12535">
        <v>-7790.12</v>
      </c>
      <c r="F12535">
        <v>-0.82</v>
      </c>
      <c r="G12535" t="s">
        <v>12</v>
      </c>
      <c r="I12535" t="s">
        <v>230</v>
      </c>
    </row>
    <row r="12536" spans="1:9" hidden="1" x14ac:dyDescent="0.25">
      <c r="A12536" t="s">
        <v>10326</v>
      </c>
      <c r="B12536" t="s">
        <v>33</v>
      </c>
      <c r="C12536" s="2">
        <f>HYPERLINK("https://cao.dolgi.msk.ru/account/1080082855/", 1080082855)</f>
        <v>1080082855</v>
      </c>
      <c r="D12536" t="s">
        <v>10337</v>
      </c>
      <c r="E12536">
        <v>-4724.82</v>
      </c>
      <c r="F12536">
        <v>-1.05</v>
      </c>
      <c r="G12536" t="s">
        <v>12</v>
      </c>
      <c r="I12536" t="s">
        <v>230</v>
      </c>
    </row>
    <row r="12537" spans="1:9" hidden="1" x14ac:dyDescent="0.25">
      <c r="A12537" t="s">
        <v>10326</v>
      </c>
      <c r="B12537" t="s">
        <v>34</v>
      </c>
      <c r="C12537" s="2">
        <f>HYPERLINK("https://cao.dolgi.msk.ru/account/1080082863/", 1080082863)</f>
        <v>1080082863</v>
      </c>
      <c r="D12537" t="s">
        <v>10338</v>
      </c>
      <c r="E12537">
        <v>-258.99</v>
      </c>
      <c r="F12537">
        <v>-0.08</v>
      </c>
      <c r="G12537" t="s">
        <v>12</v>
      </c>
      <c r="I12537" t="s">
        <v>230</v>
      </c>
    </row>
    <row r="12538" spans="1:9" hidden="1" x14ac:dyDescent="0.25">
      <c r="A12538" t="s">
        <v>10326</v>
      </c>
      <c r="B12538" t="s">
        <v>36</v>
      </c>
      <c r="C12538" s="2">
        <f>HYPERLINK("https://cao.dolgi.msk.ru/account/1080082871/", 1080082871)</f>
        <v>1080082871</v>
      </c>
      <c r="D12538" t="s">
        <v>10339</v>
      </c>
      <c r="E12538">
        <v>-3362.31</v>
      </c>
      <c r="F12538">
        <v>-1.01</v>
      </c>
      <c r="G12538" t="s">
        <v>12</v>
      </c>
      <c r="I12538" t="s">
        <v>230</v>
      </c>
    </row>
    <row r="12539" spans="1:9" hidden="1" x14ac:dyDescent="0.25">
      <c r="A12539" t="s">
        <v>10326</v>
      </c>
      <c r="B12539" t="s">
        <v>38</v>
      </c>
      <c r="C12539" s="2">
        <f>HYPERLINK("https://cao.dolgi.msk.ru/account/1080082898/", 1080082898)</f>
        <v>1080082898</v>
      </c>
      <c r="D12539" t="s">
        <v>10340</v>
      </c>
      <c r="E12539">
        <v>-6186.2</v>
      </c>
      <c r="F12539">
        <v>-1.02</v>
      </c>
      <c r="G12539" t="s">
        <v>12</v>
      </c>
      <c r="I12539" t="s">
        <v>230</v>
      </c>
    </row>
    <row r="12540" spans="1:9" hidden="1" x14ac:dyDescent="0.25">
      <c r="A12540" t="s">
        <v>10326</v>
      </c>
      <c r="B12540" t="s">
        <v>39</v>
      </c>
      <c r="C12540" s="2">
        <f>HYPERLINK("https://cao.dolgi.msk.ru/account/1080082927/", 1080082927)</f>
        <v>1080082927</v>
      </c>
      <c r="D12540" t="s">
        <v>10341</v>
      </c>
      <c r="E12540">
        <v>-44.24</v>
      </c>
      <c r="F12540">
        <v>-0.01</v>
      </c>
      <c r="G12540" t="s">
        <v>12</v>
      </c>
      <c r="I12540" t="s">
        <v>230</v>
      </c>
    </row>
    <row r="12541" spans="1:9" hidden="1" x14ac:dyDescent="0.25">
      <c r="A12541" t="s">
        <v>10326</v>
      </c>
      <c r="B12541" t="s">
        <v>40</v>
      </c>
      <c r="C12541" s="2">
        <f>HYPERLINK("https://cao.dolgi.msk.ru/account/1080082767/", 1080082767)</f>
        <v>1080082767</v>
      </c>
      <c r="D12541" t="s">
        <v>10342</v>
      </c>
      <c r="E12541">
        <v>-7458.87</v>
      </c>
      <c r="F12541">
        <v>-1.03</v>
      </c>
      <c r="G12541" t="s">
        <v>12</v>
      </c>
      <c r="I12541" t="s">
        <v>230</v>
      </c>
    </row>
    <row r="12542" spans="1:9" hidden="1" x14ac:dyDescent="0.25">
      <c r="A12542" t="s">
        <v>10326</v>
      </c>
      <c r="B12542" t="s">
        <v>41</v>
      </c>
      <c r="C12542" s="2">
        <f>HYPERLINK("https://cao.dolgi.msk.ru/account/1080082919/", 1080082919)</f>
        <v>1080082919</v>
      </c>
      <c r="D12542" t="s">
        <v>10343</v>
      </c>
      <c r="E12542">
        <v>-7493.5</v>
      </c>
      <c r="F12542">
        <v>-0.97</v>
      </c>
      <c r="G12542" t="s">
        <v>12</v>
      </c>
      <c r="I12542" t="s">
        <v>230</v>
      </c>
    </row>
    <row r="12543" spans="1:9" hidden="1" x14ac:dyDescent="0.25">
      <c r="A12543" t="s">
        <v>10326</v>
      </c>
      <c r="B12543" t="s">
        <v>42</v>
      </c>
      <c r="C12543" s="2">
        <f>HYPERLINK("https://cao.dolgi.msk.ru/account/1080082943/", 1080082943)</f>
        <v>1080082943</v>
      </c>
      <c r="D12543" t="s">
        <v>10344</v>
      </c>
      <c r="E12543">
        <v>-10345.9</v>
      </c>
      <c r="F12543">
        <v>-1.07</v>
      </c>
      <c r="G12543" t="s">
        <v>12</v>
      </c>
      <c r="I12543" t="s">
        <v>230</v>
      </c>
    </row>
    <row r="12544" spans="1:9" hidden="1" x14ac:dyDescent="0.25">
      <c r="A12544" t="s">
        <v>10326</v>
      </c>
      <c r="B12544" t="s">
        <v>44</v>
      </c>
      <c r="C12544" s="2">
        <f>HYPERLINK("https://cao.dolgi.msk.ru/account/1080082951/", 1080082951)</f>
        <v>1080082951</v>
      </c>
      <c r="D12544" t="s">
        <v>10345</v>
      </c>
      <c r="E12544">
        <v>4777.1000000000004</v>
      </c>
      <c r="F12544">
        <v>0.87</v>
      </c>
      <c r="G12544" t="s">
        <v>12</v>
      </c>
      <c r="I12544" t="s">
        <v>230</v>
      </c>
    </row>
    <row r="12545" spans="1:9" hidden="1" x14ac:dyDescent="0.25">
      <c r="A12545" t="s">
        <v>10326</v>
      </c>
      <c r="B12545" t="s">
        <v>66</v>
      </c>
      <c r="C12545" s="2">
        <f>HYPERLINK("https://cao.dolgi.msk.ru/account/1080082978/", 1080082978)</f>
        <v>1080082978</v>
      </c>
      <c r="D12545" t="s">
        <v>10346</v>
      </c>
      <c r="E12545">
        <v>-5937.79</v>
      </c>
      <c r="F12545">
        <v>-1.1000000000000001</v>
      </c>
      <c r="G12545" t="s">
        <v>12</v>
      </c>
      <c r="I12545" t="s">
        <v>230</v>
      </c>
    </row>
    <row r="12546" spans="1:9" hidden="1" x14ac:dyDescent="0.25">
      <c r="A12546" t="s">
        <v>10326</v>
      </c>
      <c r="B12546" t="s">
        <v>68</v>
      </c>
      <c r="C12546" s="2">
        <f>HYPERLINK("https://cao.dolgi.msk.ru/account/1080082935/", 1080082935)</f>
        <v>1080082935</v>
      </c>
      <c r="D12546" t="s">
        <v>10347</v>
      </c>
      <c r="E12546">
        <v>-5958</v>
      </c>
      <c r="F12546">
        <v>-1.1000000000000001</v>
      </c>
      <c r="G12546" t="s">
        <v>12</v>
      </c>
      <c r="I12546" t="s">
        <v>230</v>
      </c>
    </row>
    <row r="12547" spans="1:9" hidden="1" x14ac:dyDescent="0.25">
      <c r="A12547" t="s">
        <v>10326</v>
      </c>
      <c r="B12547" t="s">
        <v>70</v>
      </c>
      <c r="C12547" s="2">
        <f>HYPERLINK("https://cao.dolgi.msk.ru/account/1080082986/", 1080082986)</f>
        <v>1080082986</v>
      </c>
      <c r="D12547" t="s">
        <v>10348</v>
      </c>
      <c r="E12547">
        <v>3090.57</v>
      </c>
      <c r="G12547" t="s">
        <v>12</v>
      </c>
      <c r="H12547" t="s">
        <v>7</v>
      </c>
      <c r="I12547" t="s">
        <v>230</v>
      </c>
    </row>
    <row r="12548" spans="1:9" hidden="1" x14ac:dyDescent="0.25">
      <c r="A12548" t="s">
        <v>10326</v>
      </c>
      <c r="B12548" t="s">
        <v>70</v>
      </c>
      <c r="C12548" s="2">
        <f>HYPERLINK("https://cao.dolgi.msk.ru/account/1080082994/", 1080082994)</f>
        <v>1080082994</v>
      </c>
      <c r="D12548" t="s">
        <v>10349</v>
      </c>
      <c r="E12548">
        <v>-632.39</v>
      </c>
      <c r="F12548">
        <v>-0.05</v>
      </c>
      <c r="G12548" t="s">
        <v>12</v>
      </c>
      <c r="H12548" t="s">
        <v>7</v>
      </c>
      <c r="I12548" t="s">
        <v>230</v>
      </c>
    </row>
    <row r="12549" spans="1:9" hidden="1" x14ac:dyDescent="0.25">
      <c r="A12549" t="s">
        <v>10326</v>
      </c>
      <c r="B12549" t="s">
        <v>72</v>
      </c>
      <c r="C12549" s="2">
        <f>HYPERLINK("https://cao.dolgi.msk.ru/account/1080083006/", 1080083006)</f>
        <v>1080083006</v>
      </c>
      <c r="D12549" t="s">
        <v>10350</v>
      </c>
      <c r="E12549">
        <v>-6930.43</v>
      </c>
      <c r="F12549">
        <v>-1</v>
      </c>
      <c r="G12549" t="s">
        <v>12</v>
      </c>
      <c r="I12549" t="s">
        <v>230</v>
      </c>
    </row>
    <row r="12550" spans="1:9" hidden="1" x14ac:dyDescent="0.25">
      <c r="A12550" t="s">
        <v>10326</v>
      </c>
      <c r="B12550" t="s">
        <v>74</v>
      </c>
      <c r="C12550" s="2">
        <f>HYPERLINK("https://cao.dolgi.msk.ru/account/1080083014/", 1080083014)</f>
        <v>1080083014</v>
      </c>
      <c r="D12550" t="s">
        <v>10351</v>
      </c>
      <c r="E12550">
        <v>7</v>
      </c>
      <c r="F12550">
        <v>0</v>
      </c>
      <c r="G12550" t="s">
        <v>12</v>
      </c>
      <c r="I12550" t="s">
        <v>230</v>
      </c>
    </row>
    <row r="12551" spans="1:9" hidden="1" x14ac:dyDescent="0.25">
      <c r="A12551" t="s">
        <v>10326</v>
      </c>
      <c r="B12551" t="s">
        <v>76</v>
      </c>
      <c r="C12551" s="2">
        <f>HYPERLINK("https://cao.dolgi.msk.ru/account/1080083022/", 1080083022)</f>
        <v>1080083022</v>
      </c>
      <c r="D12551" t="s">
        <v>10352</v>
      </c>
      <c r="E12551">
        <v>-7636.44</v>
      </c>
      <c r="F12551">
        <v>-0.94</v>
      </c>
      <c r="G12551" t="s">
        <v>12</v>
      </c>
      <c r="I12551" t="s">
        <v>230</v>
      </c>
    </row>
    <row r="12552" spans="1:9" hidden="1" x14ac:dyDescent="0.25">
      <c r="A12552" t="s">
        <v>10326</v>
      </c>
      <c r="B12552" t="s">
        <v>78</v>
      </c>
      <c r="C12552" s="2">
        <f>HYPERLINK("https://cao.dolgi.msk.ru/account/1080083049/", 1080083049)</f>
        <v>1080083049</v>
      </c>
      <c r="D12552" t="s">
        <v>10353</v>
      </c>
      <c r="E12552">
        <v>-7101.77</v>
      </c>
      <c r="F12552">
        <v>-1.07</v>
      </c>
      <c r="G12552" t="s">
        <v>12</v>
      </c>
      <c r="I12552" t="s">
        <v>230</v>
      </c>
    </row>
    <row r="12553" spans="1:9" hidden="1" x14ac:dyDescent="0.25">
      <c r="A12553" t="s">
        <v>10326</v>
      </c>
      <c r="B12553" t="s">
        <v>80</v>
      </c>
      <c r="C12553" s="2">
        <f>HYPERLINK("https://cao.dolgi.msk.ru/account/1080083057/", 1080083057)</f>
        <v>1080083057</v>
      </c>
      <c r="D12553" t="s">
        <v>10354</v>
      </c>
      <c r="E12553">
        <v>-3445.4</v>
      </c>
      <c r="F12553">
        <v>-1.08</v>
      </c>
      <c r="G12553" t="s">
        <v>12</v>
      </c>
      <c r="I12553" t="s">
        <v>230</v>
      </c>
    </row>
    <row r="12554" spans="1:9" hidden="1" x14ac:dyDescent="0.25">
      <c r="A12554" t="s">
        <v>10326</v>
      </c>
      <c r="B12554" t="s">
        <v>82</v>
      </c>
      <c r="C12554" s="2">
        <f>HYPERLINK("https://cao.dolgi.msk.ru/account/1080083065/", 1080083065)</f>
        <v>1080083065</v>
      </c>
      <c r="D12554" t="s">
        <v>10355</v>
      </c>
      <c r="E12554">
        <v>-5722.09</v>
      </c>
      <c r="F12554">
        <v>-1.0900000000000001</v>
      </c>
      <c r="G12554" t="s">
        <v>12</v>
      </c>
      <c r="I12554" t="s">
        <v>230</v>
      </c>
    </row>
    <row r="12555" spans="1:9" hidden="1" x14ac:dyDescent="0.25">
      <c r="A12555" t="s">
        <v>10326</v>
      </c>
      <c r="B12555" t="s">
        <v>84</v>
      </c>
      <c r="C12555" s="2">
        <f>HYPERLINK("https://cao.dolgi.msk.ru/account/1080083073/", 1080083073)</f>
        <v>1080083073</v>
      </c>
      <c r="D12555" t="s">
        <v>10356</v>
      </c>
      <c r="E12555">
        <v>-132.71</v>
      </c>
      <c r="F12555">
        <v>-0.01</v>
      </c>
      <c r="G12555" t="s">
        <v>12</v>
      </c>
      <c r="I12555" t="s">
        <v>230</v>
      </c>
    </row>
    <row r="12556" spans="1:9" hidden="1" x14ac:dyDescent="0.25">
      <c r="A12556" t="s">
        <v>10326</v>
      </c>
      <c r="B12556" t="s">
        <v>86</v>
      </c>
      <c r="C12556" s="2">
        <f>HYPERLINK("https://cao.dolgi.msk.ru/account/1083383178/", 1083383178)</f>
        <v>1083383178</v>
      </c>
      <c r="D12556" t="s">
        <v>15</v>
      </c>
      <c r="E12556">
        <v>-11410.18</v>
      </c>
      <c r="F12556">
        <v>-1.21</v>
      </c>
      <c r="G12556" t="s">
        <v>12</v>
      </c>
      <c r="I12556" t="s">
        <v>230</v>
      </c>
    </row>
    <row r="12557" spans="1:9" hidden="1" x14ac:dyDescent="0.25">
      <c r="A12557" t="s">
        <v>10326</v>
      </c>
      <c r="B12557" t="s">
        <v>88</v>
      </c>
      <c r="C12557" s="2">
        <f>HYPERLINK("https://cao.dolgi.msk.ru/account/1083383186/", 1083383186)</f>
        <v>1083383186</v>
      </c>
      <c r="D12557" t="s">
        <v>15</v>
      </c>
      <c r="E12557">
        <v>-7183.21</v>
      </c>
      <c r="F12557">
        <v>-1.24</v>
      </c>
      <c r="G12557" t="s">
        <v>12</v>
      </c>
      <c r="I12557" t="s">
        <v>230</v>
      </c>
    </row>
    <row r="12558" spans="1:9" hidden="1" x14ac:dyDescent="0.25">
      <c r="A12558" t="s">
        <v>10326</v>
      </c>
      <c r="B12558" t="s">
        <v>90</v>
      </c>
      <c r="C12558" s="2">
        <f>HYPERLINK("https://cao.dolgi.msk.ru/account/1080083129/", 1080083129)</f>
        <v>1080083129</v>
      </c>
      <c r="D12558" t="s">
        <v>10357</v>
      </c>
      <c r="E12558">
        <v>-6241.79</v>
      </c>
      <c r="F12558">
        <v>-1.22</v>
      </c>
      <c r="G12558" t="s">
        <v>12</v>
      </c>
      <c r="I12558" t="s">
        <v>230</v>
      </c>
    </row>
    <row r="12559" spans="1:9" hidden="1" x14ac:dyDescent="0.25">
      <c r="A12559" t="s">
        <v>10326</v>
      </c>
      <c r="B12559" t="s">
        <v>92</v>
      </c>
      <c r="C12559" s="2">
        <f>HYPERLINK("https://cao.dolgi.msk.ru/account/1080083137/", 1080083137)</f>
        <v>1080083137</v>
      </c>
      <c r="D12559" t="s">
        <v>62</v>
      </c>
      <c r="E12559">
        <v>-88.46</v>
      </c>
      <c r="F12559">
        <v>-0.01</v>
      </c>
      <c r="G12559" t="s">
        <v>12</v>
      </c>
      <c r="I12559" t="s">
        <v>230</v>
      </c>
    </row>
    <row r="12560" spans="1:9" hidden="1" x14ac:dyDescent="0.25">
      <c r="A12560" t="s">
        <v>10326</v>
      </c>
      <c r="B12560" t="s">
        <v>94</v>
      </c>
      <c r="C12560" s="2">
        <f>HYPERLINK("https://cao.dolgi.msk.ru/account/1080082732/", 1080082732)</f>
        <v>1080082732</v>
      </c>
      <c r="D12560" t="s">
        <v>10358</v>
      </c>
      <c r="E12560">
        <v>-5550.88</v>
      </c>
      <c r="F12560">
        <v>-1</v>
      </c>
      <c r="G12560" t="s">
        <v>12</v>
      </c>
      <c r="I12560" t="s">
        <v>230</v>
      </c>
    </row>
    <row r="12561" spans="1:9" hidden="1" x14ac:dyDescent="0.25">
      <c r="A12561" t="s">
        <v>10326</v>
      </c>
      <c r="B12561" t="s">
        <v>96</v>
      </c>
      <c r="C12561" s="2">
        <f>HYPERLINK("https://cao.dolgi.msk.ru/account/1080083145/", 1080083145)</f>
        <v>1080083145</v>
      </c>
      <c r="D12561" t="s">
        <v>10359</v>
      </c>
      <c r="E12561">
        <v>-5584.43</v>
      </c>
      <c r="F12561">
        <v>-1.02</v>
      </c>
      <c r="G12561" t="s">
        <v>12</v>
      </c>
      <c r="I12561" t="s">
        <v>230</v>
      </c>
    </row>
    <row r="12562" spans="1:9" hidden="1" x14ac:dyDescent="0.25">
      <c r="A12562" t="s">
        <v>10326</v>
      </c>
      <c r="B12562" t="s">
        <v>98</v>
      </c>
      <c r="C12562" s="2">
        <f>HYPERLINK("https://cao.dolgi.msk.ru/account/1080083161/", 1080083161)</f>
        <v>1080083161</v>
      </c>
      <c r="D12562" t="s">
        <v>10360</v>
      </c>
      <c r="E12562">
        <v>-11910.82</v>
      </c>
      <c r="F12562">
        <v>-1.01</v>
      </c>
      <c r="G12562" t="s">
        <v>12</v>
      </c>
      <c r="I12562" t="s">
        <v>230</v>
      </c>
    </row>
    <row r="12563" spans="1:9" hidden="1" x14ac:dyDescent="0.25">
      <c r="A12563" t="s">
        <v>10326</v>
      </c>
      <c r="B12563" t="s">
        <v>100</v>
      </c>
      <c r="C12563" s="2">
        <f>HYPERLINK("https://cao.dolgi.msk.ru/account/1080083188/", 1080083188)</f>
        <v>1080083188</v>
      </c>
      <c r="D12563" t="s">
        <v>15</v>
      </c>
      <c r="E12563">
        <v>-6312.82</v>
      </c>
      <c r="F12563">
        <v>-0.91</v>
      </c>
      <c r="G12563" t="s">
        <v>12</v>
      </c>
      <c r="I12563" t="s">
        <v>230</v>
      </c>
    </row>
    <row r="12564" spans="1:9" hidden="1" x14ac:dyDescent="0.25">
      <c r="A12564" t="s">
        <v>10326</v>
      </c>
      <c r="B12564" t="s">
        <v>102</v>
      </c>
      <c r="C12564" s="2">
        <f>HYPERLINK("https://cao.dolgi.msk.ru/account/1080082759/", 1080082759)</f>
        <v>1080082759</v>
      </c>
      <c r="D12564" t="s">
        <v>10361</v>
      </c>
      <c r="E12564">
        <v>0</v>
      </c>
      <c r="F12564">
        <v>0</v>
      </c>
      <c r="G12564" t="s">
        <v>12</v>
      </c>
      <c r="I12564" t="s">
        <v>230</v>
      </c>
    </row>
    <row r="12565" spans="1:9" hidden="1" x14ac:dyDescent="0.25">
      <c r="A12565" t="s">
        <v>10326</v>
      </c>
      <c r="B12565" t="s">
        <v>104</v>
      </c>
      <c r="C12565" s="2">
        <f>HYPERLINK("https://cao.dolgi.msk.ru/account/1080083196/", 1080083196)</f>
        <v>1080083196</v>
      </c>
      <c r="D12565" t="s">
        <v>10362</v>
      </c>
      <c r="E12565">
        <v>-63.6</v>
      </c>
      <c r="F12565">
        <v>-0.01</v>
      </c>
      <c r="G12565" t="s">
        <v>12</v>
      </c>
      <c r="I12565" t="s">
        <v>230</v>
      </c>
    </row>
    <row r="12566" spans="1:9" hidden="1" x14ac:dyDescent="0.25">
      <c r="A12566" t="s">
        <v>10326</v>
      </c>
      <c r="B12566" t="s">
        <v>106</v>
      </c>
      <c r="C12566" s="2">
        <f>HYPERLINK("https://cao.dolgi.msk.ru/account/1080083209/", 1080083209)</f>
        <v>1080083209</v>
      </c>
      <c r="D12566" t="s">
        <v>10363</v>
      </c>
      <c r="E12566">
        <v>-5635.41</v>
      </c>
      <c r="F12566">
        <v>-1.1299999999999999</v>
      </c>
      <c r="G12566" t="s">
        <v>12</v>
      </c>
      <c r="I12566" t="s">
        <v>230</v>
      </c>
    </row>
    <row r="12567" spans="1:9" hidden="1" x14ac:dyDescent="0.25">
      <c r="A12567" t="s">
        <v>10326</v>
      </c>
      <c r="B12567" t="s">
        <v>108</v>
      </c>
      <c r="C12567" s="2">
        <f>HYPERLINK("https://cao.dolgi.msk.ru/account/1080083217/", 1080083217)</f>
        <v>1080083217</v>
      </c>
      <c r="D12567" t="s">
        <v>10364</v>
      </c>
      <c r="E12567">
        <v>-11806.04</v>
      </c>
      <c r="F12567">
        <v>-0.78</v>
      </c>
      <c r="G12567" t="s">
        <v>12</v>
      </c>
      <c r="I12567" t="s">
        <v>230</v>
      </c>
    </row>
    <row r="12568" spans="1:9" hidden="1" x14ac:dyDescent="0.25">
      <c r="A12568" t="s">
        <v>10326</v>
      </c>
      <c r="B12568" t="s">
        <v>110</v>
      </c>
      <c r="C12568" s="2">
        <f>HYPERLINK("https://cao.dolgi.msk.ru/account/1080083225/", 1080083225)</f>
        <v>1080083225</v>
      </c>
      <c r="D12568" t="s">
        <v>15</v>
      </c>
      <c r="E12568">
        <v>-6863.17</v>
      </c>
      <c r="F12568">
        <v>-1.01</v>
      </c>
      <c r="G12568" t="s">
        <v>12</v>
      </c>
      <c r="I12568" t="s">
        <v>230</v>
      </c>
    </row>
    <row r="12569" spans="1:9" hidden="1" x14ac:dyDescent="0.25">
      <c r="A12569" t="s">
        <v>10326</v>
      </c>
      <c r="B12569" t="s">
        <v>112</v>
      </c>
      <c r="C12569" s="2">
        <f>HYPERLINK("https://cao.dolgi.msk.ru/account/1080083233/", 1080083233)</f>
        <v>1080083233</v>
      </c>
      <c r="D12569" t="s">
        <v>10365</v>
      </c>
      <c r="E12569">
        <v>-6656.88</v>
      </c>
      <c r="F12569">
        <v>-1.02</v>
      </c>
      <c r="G12569" t="s">
        <v>12</v>
      </c>
      <c r="I12569" t="s">
        <v>230</v>
      </c>
    </row>
    <row r="12570" spans="1:9" hidden="1" x14ac:dyDescent="0.25">
      <c r="A12570" t="s">
        <v>10326</v>
      </c>
      <c r="B12570" t="s">
        <v>114</v>
      </c>
      <c r="C12570" s="2">
        <f>HYPERLINK("https://cao.dolgi.msk.ru/account/1080083241/", 1080083241)</f>
        <v>1080083241</v>
      </c>
      <c r="D12570" t="s">
        <v>10366</v>
      </c>
      <c r="E12570">
        <v>-6918.19</v>
      </c>
      <c r="F12570">
        <v>-0.94</v>
      </c>
      <c r="G12570" t="s">
        <v>12</v>
      </c>
      <c r="I12570" t="s">
        <v>230</v>
      </c>
    </row>
    <row r="12571" spans="1:9" hidden="1" x14ac:dyDescent="0.25">
      <c r="A12571" t="s">
        <v>10326</v>
      </c>
      <c r="B12571" t="s">
        <v>116</v>
      </c>
      <c r="C12571" s="2">
        <f>HYPERLINK("https://cao.dolgi.msk.ru/account/1080083268/", 1080083268)</f>
        <v>1080083268</v>
      </c>
      <c r="D12571" t="s">
        <v>15</v>
      </c>
      <c r="E12571">
        <v>-11841.78</v>
      </c>
      <c r="F12571">
        <v>-1.02</v>
      </c>
      <c r="G12571" t="s">
        <v>12</v>
      </c>
      <c r="I12571" t="s">
        <v>230</v>
      </c>
    </row>
    <row r="12572" spans="1:9" hidden="1" x14ac:dyDescent="0.25">
      <c r="A12572" t="s">
        <v>10326</v>
      </c>
      <c r="B12572" t="s">
        <v>118</v>
      </c>
      <c r="C12572" s="2">
        <f>HYPERLINK("https://cao.dolgi.msk.ru/account/1080083276/", 1080083276)</f>
        <v>1080083276</v>
      </c>
      <c r="D12572" t="s">
        <v>10367</v>
      </c>
      <c r="E12572">
        <v>-982.82</v>
      </c>
      <c r="F12572">
        <v>-0.18</v>
      </c>
      <c r="G12572" t="s">
        <v>12</v>
      </c>
      <c r="I12572" t="s">
        <v>230</v>
      </c>
    </row>
    <row r="12573" spans="1:9" hidden="1" x14ac:dyDescent="0.25">
      <c r="A12573" t="s">
        <v>10326</v>
      </c>
      <c r="B12573" t="s">
        <v>120</v>
      </c>
      <c r="C12573" s="2">
        <f>HYPERLINK("https://cao.dolgi.msk.ru/account/1080083284/", 1080083284)</f>
        <v>1080083284</v>
      </c>
      <c r="D12573" t="s">
        <v>10368</v>
      </c>
      <c r="E12573">
        <v>-7342.06</v>
      </c>
      <c r="F12573">
        <v>-1.06</v>
      </c>
      <c r="G12573" t="s">
        <v>12</v>
      </c>
      <c r="I12573" t="s">
        <v>230</v>
      </c>
    </row>
    <row r="12574" spans="1:9" hidden="1" x14ac:dyDescent="0.25">
      <c r="A12574" t="s">
        <v>10369</v>
      </c>
      <c r="B12574" t="s">
        <v>122</v>
      </c>
      <c r="C12574" s="2">
        <f>HYPERLINK("https://cao.dolgi.msk.ru/account/1080070352/", 1080070352)</f>
        <v>1080070352</v>
      </c>
      <c r="D12574" t="s">
        <v>10370</v>
      </c>
      <c r="E12574">
        <v>-4103.24</v>
      </c>
      <c r="F12574">
        <v>-1.19</v>
      </c>
      <c r="G12574" t="s">
        <v>12</v>
      </c>
      <c r="I12574" t="s">
        <v>230</v>
      </c>
    </row>
    <row r="12575" spans="1:9" hidden="1" x14ac:dyDescent="0.25">
      <c r="A12575" t="s">
        <v>10369</v>
      </c>
      <c r="B12575" t="s">
        <v>124</v>
      </c>
      <c r="C12575" s="2">
        <f>HYPERLINK("https://cao.dolgi.msk.ru/account/1080070379/", 1080070379)</f>
        <v>1080070379</v>
      </c>
      <c r="D12575" t="s">
        <v>10371</v>
      </c>
      <c r="E12575">
        <v>-7208.57</v>
      </c>
      <c r="F12575">
        <v>-1.43</v>
      </c>
      <c r="G12575" t="s">
        <v>12</v>
      </c>
      <c r="I12575" t="s">
        <v>230</v>
      </c>
    </row>
    <row r="12576" spans="1:9" hidden="1" x14ac:dyDescent="0.25">
      <c r="A12576" t="s">
        <v>10369</v>
      </c>
      <c r="B12576" t="s">
        <v>126</v>
      </c>
      <c r="C12576" s="2">
        <f>HYPERLINK("https://cao.dolgi.msk.ru/account/1080070387/", 1080070387)</f>
        <v>1080070387</v>
      </c>
      <c r="D12576" t="s">
        <v>10372</v>
      </c>
      <c r="E12576">
        <v>-3086.34</v>
      </c>
      <c r="F12576">
        <v>-1.03</v>
      </c>
      <c r="G12576" t="s">
        <v>12</v>
      </c>
      <c r="I12576" t="s">
        <v>230</v>
      </c>
    </row>
    <row r="12577" spans="1:9" x14ac:dyDescent="0.25">
      <c r="A12577" t="s">
        <v>10369</v>
      </c>
      <c r="B12577" t="s">
        <v>128</v>
      </c>
      <c r="C12577" s="2">
        <f>HYPERLINK("https://cao.dolgi.msk.ru/account/1080070395/", 1080070395)</f>
        <v>1080070395</v>
      </c>
      <c r="D12577" t="s">
        <v>10373</v>
      </c>
      <c r="E12577">
        <v>12653.48</v>
      </c>
      <c r="F12577">
        <v>1.42</v>
      </c>
      <c r="G12577" t="s">
        <v>12</v>
      </c>
      <c r="I12577" t="s">
        <v>230</v>
      </c>
    </row>
    <row r="12578" spans="1:9" hidden="1" x14ac:dyDescent="0.25">
      <c r="A12578" t="s">
        <v>10369</v>
      </c>
      <c r="B12578" t="s">
        <v>130</v>
      </c>
      <c r="C12578" s="2">
        <f>HYPERLINK("https://cao.dolgi.msk.ru/account/1080070408/", 1080070408)</f>
        <v>1080070408</v>
      </c>
      <c r="D12578" t="s">
        <v>10374</v>
      </c>
      <c r="E12578">
        <v>-5773.61</v>
      </c>
      <c r="F12578">
        <v>-1.25</v>
      </c>
      <c r="G12578" t="s">
        <v>12</v>
      </c>
      <c r="I12578" t="s">
        <v>230</v>
      </c>
    </row>
    <row r="12579" spans="1:9" hidden="1" x14ac:dyDescent="0.25">
      <c r="A12579" t="s">
        <v>10369</v>
      </c>
      <c r="B12579" t="s">
        <v>132</v>
      </c>
      <c r="C12579" s="2">
        <f>HYPERLINK("https://cao.dolgi.msk.ru/account/1080070416/", 1080070416)</f>
        <v>1080070416</v>
      </c>
      <c r="D12579" t="s">
        <v>10375</v>
      </c>
      <c r="E12579">
        <v>-13521.71</v>
      </c>
      <c r="F12579">
        <v>-2.2000000000000002</v>
      </c>
      <c r="G12579" t="s">
        <v>12</v>
      </c>
      <c r="I12579" t="s">
        <v>230</v>
      </c>
    </row>
    <row r="12580" spans="1:9" x14ac:dyDescent="0.25">
      <c r="A12580" t="s">
        <v>10369</v>
      </c>
      <c r="B12580" t="s">
        <v>133</v>
      </c>
      <c r="C12580" s="2">
        <f>HYPERLINK("https://cao.dolgi.msk.ru/account/1080070424/", 1080070424)</f>
        <v>1080070424</v>
      </c>
      <c r="D12580" t="s">
        <v>15</v>
      </c>
      <c r="E12580">
        <v>88045.83</v>
      </c>
      <c r="F12580">
        <v>7.54</v>
      </c>
      <c r="G12580" t="s">
        <v>12</v>
      </c>
      <c r="I12580" t="s">
        <v>230</v>
      </c>
    </row>
    <row r="12581" spans="1:9" hidden="1" x14ac:dyDescent="0.25">
      <c r="A12581" t="s">
        <v>10369</v>
      </c>
      <c r="B12581" t="s">
        <v>135</v>
      </c>
      <c r="C12581" s="2">
        <f>HYPERLINK("https://cao.dolgi.msk.ru/account/1080070432/", 1080070432)</f>
        <v>1080070432</v>
      </c>
      <c r="D12581" t="s">
        <v>10376</v>
      </c>
      <c r="E12581">
        <v>-5848.86</v>
      </c>
      <c r="F12581">
        <v>-0.89</v>
      </c>
      <c r="G12581" t="s">
        <v>12</v>
      </c>
      <c r="I12581" t="s">
        <v>230</v>
      </c>
    </row>
    <row r="12582" spans="1:9" hidden="1" x14ac:dyDescent="0.25">
      <c r="A12582" t="s">
        <v>10369</v>
      </c>
      <c r="B12582" t="s">
        <v>137</v>
      </c>
      <c r="C12582" s="2">
        <f>HYPERLINK("https://cao.dolgi.msk.ru/account/1080070459/", 1080070459)</f>
        <v>1080070459</v>
      </c>
      <c r="D12582" t="s">
        <v>10377</v>
      </c>
      <c r="E12582">
        <v>-8625.5400000000009</v>
      </c>
      <c r="F12582">
        <v>-1.31</v>
      </c>
      <c r="G12582" t="s">
        <v>12</v>
      </c>
      <c r="I12582" t="s">
        <v>230</v>
      </c>
    </row>
    <row r="12583" spans="1:9" hidden="1" x14ac:dyDescent="0.25">
      <c r="A12583" t="s">
        <v>10369</v>
      </c>
      <c r="B12583" t="s">
        <v>139</v>
      </c>
      <c r="C12583" s="2">
        <f>HYPERLINK("https://cao.dolgi.msk.ru/account/1080070467/", 1080070467)</f>
        <v>1080070467</v>
      </c>
      <c r="D12583" t="s">
        <v>10378</v>
      </c>
      <c r="E12583">
        <v>-574.6</v>
      </c>
      <c r="F12583">
        <v>-0.12</v>
      </c>
      <c r="G12583" t="s">
        <v>12</v>
      </c>
      <c r="I12583" t="s">
        <v>230</v>
      </c>
    </row>
    <row r="12584" spans="1:9" hidden="1" x14ac:dyDescent="0.25">
      <c r="A12584" t="s">
        <v>10369</v>
      </c>
      <c r="B12584" t="s">
        <v>141</v>
      </c>
      <c r="C12584" s="2">
        <f>HYPERLINK("https://cao.dolgi.msk.ru/account/1080070475/", 1080070475)</f>
        <v>1080070475</v>
      </c>
      <c r="D12584" t="s">
        <v>10379</v>
      </c>
      <c r="E12584">
        <v>-4652.42</v>
      </c>
      <c r="F12584">
        <v>-1.32</v>
      </c>
      <c r="G12584" t="s">
        <v>12</v>
      </c>
      <c r="I12584" t="s">
        <v>230</v>
      </c>
    </row>
    <row r="12585" spans="1:9" hidden="1" x14ac:dyDescent="0.25">
      <c r="A12585" t="s">
        <v>10369</v>
      </c>
      <c r="B12585" t="s">
        <v>143</v>
      </c>
      <c r="C12585" s="2">
        <f>HYPERLINK("https://cao.dolgi.msk.ru/account/1080070483/", 1080070483)</f>
        <v>1080070483</v>
      </c>
      <c r="D12585" t="s">
        <v>10380</v>
      </c>
      <c r="E12585">
        <v>-4316.75</v>
      </c>
      <c r="F12585">
        <v>-1.22</v>
      </c>
      <c r="G12585" t="s">
        <v>12</v>
      </c>
      <c r="I12585" t="s">
        <v>230</v>
      </c>
    </row>
    <row r="12586" spans="1:9" hidden="1" x14ac:dyDescent="0.25">
      <c r="A12586" t="s">
        <v>10369</v>
      </c>
      <c r="B12586" t="s">
        <v>145</v>
      </c>
      <c r="C12586" s="2">
        <f>HYPERLINK("https://cao.dolgi.msk.ru/account/1080070504/", 1080070504)</f>
        <v>1080070504</v>
      </c>
      <c r="D12586" t="s">
        <v>10381</v>
      </c>
      <c r="E12586">
        <v>-2963.92</v>
      </c>
      <c r="F12586">
        <v>-1.76</v>
      </c>
      <c r="G12586" t="s">
        <v>12</v>
      </c>
      <c r="I12586" t="s">
        <v>230</v>
      </c>
    </row>
    <row r="12587" spans="1:9" hidden="1" x14ac:dyDescent="0.25">
      <c r="A12587" t="s">
        <v>10369</v>
      </c>
      <c r="B12587" t="s">
        <v>147</v>
      </c>
      <c r="C12587" s="2">
        <f>HYPERLINK("https://cao.dolgi.msk.ru/account/1080070491/", 1080070491)</f>
        <v>1080070491</v>
      </c>
      <c r="D12587" t="s">
        <v>10382</v>
      </c>
      <c r="E12587">
        <v>-79.150000000000006</v>
      </c>
      <c r="F12587">
        <v>-0.01</v>
      </c>
      <c r="G12587" t="s">
        <v>12</v>
      </c>
      <c r="I12587" t="s">
        <v>230</v>
      </c>
    </row>
    <row r="12588" spans="1:9" hidden="1" x14ac:dyDescent="0.25">
      <c r="A12588" t="s">
        <v>10369</v>
      </c>
      <c r="B12588" t="s">
        <v>149</v>
      </c>
      <c r="C12588" s="2">
        <f>HYPERLINK("https://cao.dolgi.msk.ru/account/1080070512/", 1080070512)</f>
        <v>1080070512</v>
      </c>
      <c r="D12588" t="s">
        <v>10383</v>
      </c>
      <c r="E12588">
        <v>-7185.17</v>
      </c>
      <c r="F12588">
        <v>-1.27</v>
      </c>
      <c r="G12588" t="s">
        <v>12</v>
      </c>
      <c r="I12588" t="s">
        <v>230</v>
      </c>
    </row>
    <row r="12589" spans="1:9" hidden="1" x14ac:dyDescent="0.25">
      <c r="A12589" t="s">
        <v>10369</v>
      </c>
      <c r="B12589" t="s">
        <v>151</v>
      </c>
      <c r="C12589" s="2">
        <f>HYPERLINK("https://cao.dolgi.msk.ru/account/1080070686/", 1080070686)</f>
        <v>1080070686</v>
      </c>
      <c r="D12589" t="s">
        <v>10384</v>
      </c>
      <c r="E12589">
        <v>-5748.59</v>
      </c>
      <c r="F12589">
        <v>-1.35</v>
      </c>
      <c r="G12589" t="s">
        <v>12</v>
      </c>
      <c r="I12589" t="s">
        <v>230</v>
      </c>
    </row>
    <row r="12590" spans="1:9" hidden="1" x14ac:dyDescent="0.25">
      <c r="A12590" t="s">
        <v>10369</v>
      </c>
      <c r="B12590" t="s">
        <v>153</v>
      </c>
      <c r="C12590" s="2">
        <f>HYPERLINK("https://cao.dolgi.msk.ru/account/1080070539/", 1080070539)</f>
        <v>1080070539</v>
      </c>
      <c r="D12590" t="s">
        <v>10385</v>
      </c>
      <c r="E12590">
        <v>-6201.79</v>
      </c>
      <c r="F12590">
        <v>-1.24</v>
      </c>
      <c r="G12590" t="s">
        <v>12</v>
      </c>
      <c r="I12590" t="s">
        <v>230</v>
      </c>
    </row>
    <row r="12591" spans="1:9" hidden="1" x14ac:dyDescent="0.25">
      <c r="A12591" t="s">
        <v>10369</v>
      </c>
      <c r="B12591" t="s">
        <v>155</v>
      </c>
      <c r="C12591" s="2">
        <f>HYPERLINK("https://cao.dolgi.msk.ru/account/1083272523/", 1083272523)</f>
        <v>1083272523</v>
      </c>
      <c r="D12591" t="s">
        <v>15</v>
      </c>
      <c r="E12591">
        <v>0</v>
      </c>
      <c r="F12591">
        <v>0</v>
      </c>
      <c r="G12591" t="s">
        <v>12</v>
      </c>
      <c r="I12591" t="s">
        <v>230</v>
      </c>
    </row>
    <row r="12592" spans="1:9" hidden="1" x14ac:dyDescent="0.25">
      <c r="A12592" t="s">
        <v>10369</v>
      </c>
      <c r="B12592" t="s">
        <v>157</v>
      </c>
      <c r="C12592" s="2">
        <f>HYPERLINK("https://cao.dolgi.msk.ru/account/1080070547/", 1080070547)</f>
        <v>1080070547</v>
      </c>
      <c r="D12592" t="s">
        <v>10386</v>
      </c>
      <c r="E12592">
        <v>-5437.76</v>
      </c>
      <c r="F12592">
        <v>-1.1499999999999999</v>
      </c>
      <c r="G12592" t="s">
        <v>12</v>
      </c>
      <c r="I12592" t="s">
        <v>230</v>
      </c>
    </row>
    <row r="12593" spans="1:9" hidden="1" x14ac:dyDescent="0.25">
      <c r="A12593" t="s">
        <v>10369</v>
      </c>
      <c r="B12593" t="s">
        <v>159</v>
      </c>
      <c r="C12593" s="2">
        <f>HYPERLINK("https://cao.dolgi.msk.ru/account/1080070555/", 1080070555)</f>
        <v>1080070555</v>
      </c>
      <c r="D12593" t="s">
        <v>62</v>
      </c>
      <c r="E12593">
        <v>-6262.58</v>
      </c>
      <c r="F12593">
        <v>-1.27</v>
      </c>
      <c r="G12593" t="s">
        <v>12</v>
      </c>
      <c r="I12593" t="s">
        <v>230</v>
      </c>
    </row>
    <row r="12594" spans="1:9" hidden="1" x14ac:dyDescent="0.25">
      <c r="A12594" t="s">
        <v>10369</v>
      </c>
      <c r="B12594" t="s">
        <v>161</v>
      </c>
      <c r="C12594" s="2">
        <f>HYPERLINK("https://cao.dolgi.msk.ru/account/1080070563/", 1080070563)</f>
        <v>1080070563</v>
      </c>
      <c r="D12594" t="s">
        <v>10387</v>
      </c>
      <c r="E12594">
        <v>-974.55</v>
      </c>
      <c r="F12594">
        <v>-0.08</v>
      </c>
      <c r="G12594" t="s">
        <v>12</v>
      </c>
      <c r="I12594" t="s">
        <v>230</v>
      </c>
    </row>
    <row r="12595" spans="1:9" hidden="1" x14ac:dyDescent="0.25">
      <c r="A12595" t="s">
        <v>10369</v>
      </c>
      <c r="B12595" t="s">
        <v>163</v>
      </c>
      <c r="C12595" s="2">
        <f>HYPERLINK("https://cao.dolgi.msk.ru/account/1080070571/", 1080070571)</f>
        <v>1080070571</v>
      </c>
      <c r="D12595" t="s">
        <v>10388</v>
      </c>
      <c r="E12595">
        <v>-3268.64</v>
      </c>
      <c r="F12595">
        <v>-1.42</v>
      </c>
      <c r="G12595" t="s">
        <v>12</v>
      </c>
      <c r="I12595" t="s">
        <v>230</v>
      </c>
    </row>
    <row r="12596" spans="1:9" hidden="1" x14ac:dyDescent="0.25">
      <c r="A12596" t="s">
        <v>10369</v>
      </c>
      <c r="B12596" t="s">
        <v>571</v>
      </c>
      <c r="C12596" s="2">
        <f>HYPERLINK("https://cao.dolgi.msk.ru/account/1080070598/", 1080070598)</f>
        <v>1080070598</v>
      </c>
      <c r="D12596" t="s">
        <v>15</v>
      </c>
      <c r="E12596">
        <v>0</v>
      </c>
      <c r="F12596">
        <v>0</v>
      </c>
      <c r="G12596" t="s">
        <v>12</v>
      </c>
      <c r="I12596" t="s">
        <v>230</v>
      </c>
    </row>
    <row r="12597" spans="1:9" hidden="1" x14ac:dyDescent="0.25">
      <c r="A12597" t="s">
        <v>10369</v>
      </c>
      <c r="B12597" t="s">
        <v>682</v>
      </c>
      <c r="C12597" s="2">
        <f>HYPERLINK("https://cao.dolgi.msk.ru/account/1080070619/", 1080070619)</f>
        <v>1080070619</v>
      </c>
      <c r="D12597" t="s">
        <v>10389</v>
      </c>
      <c r="E12597">
        <v>-11865.59</v>
      </c>
      <c r="F12597">
        <v>-1.22</v>
      </c>
      <c r="G12597" t="s">
        <v>12</v>
      </c>
      <c r="I12597" t="s">
        <v>230</v>
      </c>
    </row>
    <row r="12598" spans="1:9" hidden="1" x14ac:dyDescent="0.25">
      <c r="A12598" t="s">
        <v>10369</v>
      </c>
      <c r="B12598" t="s">
        <v>578</v>
      </c>
      <c r="C12598" s="2">
        <f>HYPERLINK("https://cao.dolgi.msk.ru/account/1080070627/", 1080070627)</f>
        <v>1080070627</v>
      </c>
      <c r="D12598" t="s">
        <v>10390</v>
      </c>
      <c r="E12598">
        <v>-3328.46</v>
      </c>
      <c r="F12598">
        <v>-1.2</v>
      </c>
      <c r="G12598" t="s">
        <v>12</v>
      </c>
      <c r="I12598" t="s">
        <v>230</v>
      </c>
    </row>
    <row r="12599" spans="1:9" hidden="1" x14ac:dyDescent="0.25">
      <c r="A12599" t="s">
        <v>10369</v>
      </c>
      <c r="B12599" t="s">
        <v>580</v>
      </c>
      <c r="C12599" s="2">
        <f>HYPERLINK("https://cao.dolgi.msk.ru/account/1080070635/", 1080070635)</f>
        <v>1080070635</v>
      </c>
      <c r="D12599" t="s">
        <v>15</v>
      </c>
      <c r="E12599">
        <v>-5872.94</v>
      </c>
      <c r="F12599">
        <v>-1.32</v>
      </c>
      <c r="G12599" t="s">
        <v>12</v>
      </c>
      <c r="I12599" t="s">
        <v>230</v>
      </c>
    </row>
    <row r="12600" spans="1:9" hidden="1" x14ac:dyDescent="0.25">
      <c r="A12600" t="s">
        <v>10369</v>
      </c>
      <c r="B12600" t="s">
        <v>686</v>
      </c>
      <c r="C12600" s="2">
        <f>HYPERLINK("https://cao.dolgi.msk.ru/account/1080070643/", 1080070643)</f>
        <v>1080070643</v>
      </c>
      <c r="D12600" t="s">
        <v>10391</v>
      </c>
      <c r="E12600">
        <v>-9035.31</v>
      </c>
      <c r="F12600">
        <v>-1.0900000000000001</v>
      </c>
      <c r="G12600" t="s">
        <v>12</v>
      </c>
      <c r="I12600" t="s">
        <v>230</v>
      </c>
    </row>
    <row r="12601" spans="1:9" hidden="1" x14ac:dyDescent="0.25">
      <c r="A12601" t="s">
        <v>10369</v>
      </c>
      <c r="B12601" t="s">
        <v>686</v>
      </c>
      <c r="C12601" s="2">
        <f>HYPERLINK("https://cao.dolgi.msk.ru/account/1083270835/", 1083270835)</f>
        <v>1083270835</v>
      </c>
      <c r="D12601" t="s">
        <v>15</v>
      </c>
      <c r="E12601">
        <v>-13</v>
      </c>
      <c r="G12601" t="s">
        <v>14</v>
      </c>
      <c r="I12601" t="s">
        <v>230</v>
      </c>
    </row>
    <row r="12602" spans="1:9" hidden="1" x14ac:dyDescent="0.25">
      <c r="A12602" t="s">
        <v>10369</v>
      </c>
      <c r="B12602" t="s">
        <v>686</v>
      </c>
      <c r="C12602" s="2">
        <f>HYPERLINK("https://cao.dolgi.msk.ru/account/1083270843/", 1083270843)</f>
        <v>1083270843</v>
      </c>
      <c r="D12602" t="s">
        <v>15</v>
      </c>
      <c r="E12602">
        <v>60</v>
      </c>
      <c r="G12602" t="s">
        <v>14</v>
      </c>
      <c r="I12602" t="s">
        <v>230</v>
      </c>
    </row>
    <row r="12603" spans="1:9" hidden="1" x14ac:dyDescent="0.25">
      <c r="A12603" t="s">
        <v>10369</v>
      </c>
      <c r="B12603" t="s">
        <v>686</v>
      </c>
      <c r="C12603" s="2">
        <f>HYPERLINK("https://cao.dolgi.msk.ru/account/1083270851/", 1083270851)</f>
        <v>1083270851</v>
      </c>
      <c r="D12603" t="s">
        <v>15</v>
      </c>
      <c r="E12603">
        <v>39.619999999999997</v>
      </c>
      <c r="G12603" t="s">
        <v>14</v>
      </c>
      <c r="I12603" t="s">
        <v>230</v>
      </c>
    </row>
    <row r="12604" spans="1:9" hidden="1" x14ac:dyDescent="0.25">
      <c r="A12604" t="s">
        <v>10369</v>
      </c>
      <c r="B12604" t="s">
        <v>582</v>
      </c>
      <c r="C12604" s="2">
        <f>HYPERLINK("https://cao.dolgi.msk.ru/account/1080070651/", 1080070651)</f>
        <v>1080070651</v>
      </c>
      <c r="D12604" t="s">
        <v>10392</v>
      </c>
      <c r="E12604">
        <v>-5589.65</v>
      </c>
      <c r="F12604">
        <v>-1.19</v>
      </c>
      <c r="G12604" t="s">
        <v>12</v>
      </c>
      <c r="I12604" t="s">
        <v>230</v>
      </c>
    </row>
    <row r="12605" spans="1:9" x14ac:dyDescent="0.25">
      <c r="A12605" t="s">
        <v>10369</v>
      </c>
      <c r="B12605" t="s">
        <v>584</v>
      </c>
      <c r="C12605" s="2">
        <f>HYPERLINK("https://cao.dolgi.msk.ru/account/1080070678/", 1080070678)</f>
        <v>1080070678</v>
      </c>
      <c r="D12605" t="s">
        <v>15</v>
      </c>
      <c r="E12605">
        <v>119263.54</v>
      </c>
      <c r="F12605">
        <v>18.75</v>
      </c>
      <c r="G12605" t="s">
        <v>12</v>
      </c>
      <c r="I12605" t="s">
        <v>230</v>
      </c>
    </row>
    <row r="12606" spans="1:9" hidden="1" x14ac:dyDescent="0.25">
      <c r="A12606" t="s">
        <v>10369</v>
      </c>
      <c r="B12606" t="s">
        <v>586</v>
      </c>
      <c r="C12606" s="2">
        <f>HYPERLINK("https://cao.dolgi.msk.ru/account/1080070694/", 1080070694)</f>
        <v>1080070694</v>
      </c>
      <c r="D12606" t="s">
        <v>10393</v>
      </c>
      <c r="E12606">
        <v>11822.47</v>
      </c>
      <c r="F12606">
        <v>0.99</v>
      </c>
      <c r="G12606" t="s">
        <v>12</v>
      </c>
      <c r="I12606" t="s">
        <v>230</v>
      </c>
    </row>
    <row r="12607" spans="1:9" hidden="1" x14ac:dyDescent="0.25">
      <c r="A12607" t="s">
        <v>10394</v>
      </c>
      <c r="B12607" t="s">
        <v>29</v>
      </c>
      <c r="C12607" s="2">
        <f>HYPERLINK("https://cao.dolgi.msk.ru/account/1080070707/", 1080070707)</f>
        <v>1080070707</v>
      </c>
      <c r="D12607" t="s">
        <v>10395</v>
      </c>
      <c r="E12607">
        <v>-9057.94</v>
      </c>
      <c r="F12607">
        <v>-1.78</v>
      </c>
      <c r="G12607" t="s">
        <v>12</v>
      </c>
      <c r="I12607" t="s">
        <v>230</v>
      </c>
    </row>
    <row r="12608" spans="1:9" x14ac:dyDescent="0.25">
      <c r="A12608" t="s">
        <v>10394</v>
      </c>
      <c r="B12608" t="s">
        <v>31</v>
      </c>
      <c r="C12608" s="2">
        <f>HYPERLINK("https://cao.dolgi.msk.ru/account/1080070715/", 1080070715)</f>
        <v>1080070715</v>
      </c>
      <c r="D12608" t="s">
        <v>10396</v>
      </c>
      <c r="E12608">
        <v>19815.8</v>
      </c>
      <c r="F12608">
        <v>3.46</v>
      </c>
      <c r="G12608" t="s">
        <v>12</v>
      </c>
      <c r="I12608" t="s">
        <v>230</v>
      </c>
    </row>
    <row r="12609" spans="1:9" hidden="1" x14ac:dyDescent="0.25">
      <c r="A12609" t="s">
        <v>10394</v>
      </c>
      <c r="B12609" t="s">
        <v>33</v>
      </c>
      <c r="C12609" s="2">
        <f>HYPERLINK("https://cao.dolgi.msk.ru/account/1080070723/", 1080070723)</f>
        <v>1080070723</v>
      </c>
      <c r="D12609" t="s">
        <v>10397</v>
      </c>
      <c r="E12609">
        <v>-5643</v>
      </c>
      <c r="F12609">
        <v>-1.06</v>
      </c>
      <c r="G12609" t="s">
        <v>12</v>
      </c>
      <c r="H12609" t="s">
        <v>7</v>
      </c>
      <c r="I12609" t="s">
        <v>230</v>
      </c>
    </row>
    <row r="12610" spans="1:9" hidden="1" x14ac:dyDescent="0.25">
      <c r="A12610" t="s">
        <v>10394</v>
      </c>
      <c r="B12610" t="s">
        <v>33</v>
      </c>
      <c r="C12610" s="2">
        <f>HYPERLINK("https://cao.dolgi.msk.ru/account/1080070731/", 1080070731)</f>
        <v>1080070731</v>
      </c>
      <c r="D12610" t="s">
        <v>10397</v>
      </c>
      <c r="E12610">
        <v>-752.43</v>
      </c>
      <c r="F12610">
        <v>-0.09</v>
      </c>
      <c r="G12610" t="s">
        <v>12</v>
      </c>
      <c r="H12610" t="s">
        <v>7</v>
      </c>
      <c r="I12610" t="s">
        <v>230</v>
      </c>
    </row>
    <row r="12611" spans="1:9" x14ac:dyDescent="0.25">
      <c r="A12611" t="s">
        <v>10394</v>
      </c>
      <c r="B12611" t="s">
        <v>34</v>
      </c>
      <c r="C12611" s="2">
        <f>HYPERLINK("https://cao.dolgi.msk.ru/account/1080070758/", 1080070758)</f>
        <v>1080070758</v>
      </c>
      <c r="D12611" t="s">
        <v>10398</v>
      </c>
      <c r="E12611">
        <v>8386.94</v>
      </c>
      <c r="F12611">
        <v>1.95</v>
      </c>
      <c r="G12611" t="s">
        <v>12</v>
      </c>
      <c r="I12611" t="s">
        <v>230</v>
      </c>
    </row>
    <row r="12612" spans="1:9" hidden="1" x14ac:dyDescent="0.25">
      <c r="A12612" t="s">
        <v>10394</v>
      </c>
      <c r="B12612" t="s">
        <v>36</v>
      </c>
      <c r="C12612" s="2">
        <f>HYPERLINK("https://cao.dolgi.msk.ru/account/1080070766/", 1080070766)</f>
        <v>1080070766</v>
      </c>
      <c r="D12612" t="s">
        <v>10399</v>
      </c>
      <c r="E12612">
        <v>-4718.26</v>
      </c>
      <c r="F12612">
        <v>-1</v>
      </c>
      <c r="G12612" t="s">
        <v>12</v>
      </c>
      <c r="I12612" t="s">
        <v>230</v>
      </c>
    </row>
    <row r="12613" spans="1:9" hidden="1" x14ac:dyDescent="0.25">
      <c r="A12613" t="s">
        <v>10394</v>
      </c>
      <c r="B12613" t="s">
        <v>38</v>
      </c>
      <c r="C12613" s="2">
        <f>HYPERLINK("https://cao.dolgi.msk.ru/account/1080070774/", 1080070774)</f>
        <v>1080070774</v>
      </c>
      <c r="D12613" t="s">
        <v>15</v>
      </c>
      <c r="E12613">
        <v>0</v>
      </c>
      <c r="G12613" t="s">
        <v>14</v>
      </c>
      <c r="I12613" t="s">
        <v>230</v>
      </c>
    </row>
    <row r="12614" spans="1:9" hidden="1" x14ac:dyDescent="0.25">
      <c r="A12614" t="s">
        <v>10394</v>
      </c>
      <c r="B12614" t="s">
        <v>38</v>
      </c>
      <c r="C12614" s="2">
        <f>HYPERLINK("https://cao.dolgi.msk.ru/account/1080070782/", 1080070782)</f>
        <v>1080070782</v>
      </c>
      <c r="D12614" t="s">
        <v>10400</v>
      </c>
      <c r="E12614">
        <v>-6664.72</v>
      </c>
      <c r="F12614">
        <v>-1.1000000000000001</v>
      </c>
      <c r="G12614" t="s">
        <v>12</v>
      </c>
      <c r="I12614" t="s">
        <v>230</v>
      </c>
    </row>
    <row r="12615" spans="1:9" hidden="1" x14ac:dyDescent="0.25">
      <c r="A12615" t="s">
        <v>10394</v>
      </c>
      <c r="B12615" t="s">
        <v>38</v>
      </c>
      <c r="C12615" s="2">
        <f>HYPERLINK("https://cao.dolgi.msk.ru/account/1080070803/", 1080070803)</f>
        <v>1080070803</v>
      </c>
      <c r="D12615" t="s">
        <v>10401</v>
      </c>
      <c r="E12615">
        <v>0</v>
      </c>
      <c r="G12615" t="s">
        <v>14</v>
      </c>
      <c r="I12615" t="s">
        <v>230</v>
      </c>
    </row>
    <row r="12616" spans="1:9" hidden="1" x14ac:dyDescent="0.25">
      <c r="A12616" t="s">
        <v>10394</v>
      </c>
      <c r="B12616" t="s">
        <v>38</v>
      </c>
      <c r="C12616" s="2">
        <f>HYPERLINK("https://cao.dolgi.msk.ru/account/1080070811/", 1080070811)</f>
        <v>1080070811</v>
      </c>
      <c r="D12616" t="s">
        <v>10401</v>
      </c>
      <c r="E12616">
        <v>0</v>
      </c>
      <c r="G12616" t="s">
        <v>14</v>
      </c>
      <c r="I12616" t="s">
        <v>230</v>
      </c>
    </row>
    <row r="12617" spans="1:9" hidden="1" x14ac:dyDescent="0.25">
      <c r="A12617" t="s">
        <v>10394</v>
      </c>
      <c r="B12617" t="s">
        <v>39</v>
      </c>
      <c r="C12617" s="2">
        <f>HYPERLINK("https://cao.dolgi.msk.ru/account/1080070838/", 1080070838)</f>
        <v>1080070838</v>
      </c>
      <c r="D12617" t="s">
        <v>10402</v>
      </c>
      <c r="E12617">
        <v>-35746.71</v>
      </c>
      <c r="F12617">
        <v>-11.7</v>
      </c>
      <c r="G12617" t="s">
        <v>12</v>
      </c>
      <c r="H12617" t="s">
        <v>7</v>
      </c>
      <c r="I12617" t="s">
        <v>230</v>
      </c>
    </row>
    <row r="12618" spans="1:9" hidden="1" x14ac:dyDescent="0.25">
      <c r="A12618" t="s">
        <v>10394</v>
      </c>
      <c r="B12618" t="s">
        <v>39</v>
      </c>
      <c r="C12618" s="2">
        <f>HYPERLINK("https://cao.dolgi.msk.ru/account/1080070846/", 1080070846)</f>
        <v>1080070846</v>
      </c>
      <c r="D12618" t="s">
        <v>10402</v>
      </c>
      <c r="E12618">
        <v>-17005.72</v>
      </c>
      <c r="F12618">
        <v>-4.21</v>
      </c>
      <c r="G12618" t="s">
        <v>12</v>
      </c>
      <c r="H12618" t="s">
        <v>7</v>
      </c>
      <c r="I12618" t="s">
        <v>230</v>
      </c>
    </row>
    <row r="12619" spans="1:9" x14ac:dyDescent="0.25">
      <c r="A12619" t="s">
        <v>10394</v>
      </c>
      <c r="B12619" t="s">
        <v>39</v>
      </c>
      <c r="C12619" s="2">
        <f>HYPERLINK("https://cao.dolgi.msk.ru/account/1080070854/", 1080070854)</f>
        <v>1080070854</v>
      </c>
      <c r="D12619" t="s">
        <v>10403</v>
      </c>
      <c r="E12619">
        <v>20301.259999999998</v>
      </c>
      <c r="F12619">
        <v>4.49</v>
      </c>
      <c r="G12619" t="s">
        <v>12</v>
      </c>
      <c r="H12619" t="s">
        <v>7</v>
      </c>
      <c r="I12619" t="s">
        <v>230</v>
      </c>
    </row>
    <row r="12620" spans="1:9" hidden="1" x14ac:dyDescent="0.25">
      <c r="A12620" t="s">
        <v>10394</v>
      </c>
      <c r="B12620" t="s">
        <v>40</v>
      </c>
      <c r="C12620" s="2">
        <f>HYPERLINK("https://cao.dolgi.msk.ru/account/1080070862/", 1080070862)</f>
        <v>1080070862</v>
      </c>
      <c r="D12620" t="s">
        <v>10404</v>
      </c>
      <c r="E12620">
        <v>-6226.12</v>
      </c>
      <c r="F12620">
        <v>-1.02</v>
      </c>
      <c r="G12620" t="s">
        <v>12</v>
      </c>
      <c r="I12620" t="s">
        <v>230</v>
      </c>
    </row>
    <row r="12621" spans="1:9" hidden="1" x14ac:dyDescent="0.25">
      <c r="A12621" t="s">
        <v>10394</v>
      </c>
      <c r="B12621" t="s">
        <v>41</v>
      </c>
      <c r="C12621" s="2">
        <f>HYPERLINK("https://cao.dolgi.msk.ru/account/1080070889/", 1080070889)</f>
        <v>1080070889</v>
      </c>
      <c r="D12621" t="s">
        <v>15</v>
      </c>
      <c r="E12621">
        <v>-3121.61</v>
      </c>
      <c r="F12621">
        <v>-1.1499999999999999</v>
      </c>
      <c r="G12621" t="s">
        <v>12</v>
      </c>
      <c r="H12621" t="s">
        <v>7</v>
      </c>
      <c r="I12621" t="s">
        <v>230</v>
      </c>
    </row>
    <row r="12622" spans="1:9" hidden="1" x14ac:dyDescent="0.25">
      <c r="A12622" t="s">
        <v>10394</v>
      </c>
      <c r="B12622" t="s">
        <v>41</v>
      </c>
      <c r="C12622" s="2">
        <f>HYPERLINK("https://cao.dolgi.msk.ru/account/1080070897/", 1080070897)</f>
        <v>1080070897</v>
      </c>
      <c r="D12622" t="s">
        <v>15</v>
      </c>
      <c r="E12622">
        <v>-1397.18</v>
      </c>
      <c r="F12622">
        <v>-1.08</v>
      </c>
      <c r="G12622" t="s">
        <v>12</v>
      </c>
      <c r="H12622" t="s">
        <v>7</v>
      </c>
      <c r="I12622" t="s">
        <v>230</v>
      </c>
    </row>
    <row r="12623" spans="1:9" hidden="1" x14ac:dyDescent="0.25">
      <c r="A12623" t="s">
        <v>10394</v>
      </c>
      <c r="B12623" t="s">
        <v>41</v>
      </c>
      <c r="C12623" s="2">
        <f>HYPERLINK("https://cao.dolgi.msk.ru/account/1080070918/", 1080070918)</f>
        <v>1080070918</v>
      </c>
      <c r="D12623" t="s">
        <v>15</v>
      </c>
      <c r="E12623">
        <v>-1415.6</v>
      </c>
      <c r="F12623">
        <v>-1.01</v>
      </c>
      <c r="G12623" t="s">
        <v>12</v>
      </c>
      <c r="H12623" t="s">
        <v>7</v>
      </c>
      <c r="I12623" t="s">
        <v>230</v>
      </c>
    </row>
    <row r="12624" spans="1:9" hidden="1" x14ac:dyDescent="0.25">
      <c r="A12624" t="s">
        <v>10394</v>
      </c>
      <c r="B12624" t="s">
        <v>42</v>
      </c>
      <c r="C12624" s="2">
        <f>HYPERLINK("https://cao.dolgi.msk.ru/account/1080070926/", 1080070926)</f>
        <v>1080070926</v>
      </c>
      <c r="D12624" t="s">
        <v>15</v>
      </c>
      <c r="E12624">
        <v>-936.45</v>
      </c>
      <c r="F12624">
        <v>-1.25</v>
      </c>
      <c r="G12624" t="s">
        <v>12</v>
      </c>
      <c r="H12624" t="s">
        <v>7</v>
      </c>
      <c r="I12624" t="s">
        <v>230</v>
      </c>
    </row>
    <row r="12625" spans="1:9" hidden="1" x14ac:dyDescent="0.25">
      <c r="A12625" t="s">
        <v>10394</v>
      </c>
      <c r="B12625" t="s">
        <v>42</v>
      </c>
      <c r="C12625" s="2">
        <f>HYPERLINK("https://cao.dolgi.msk.ru/account/1080070934/", 1080070934)</f>
        <v>1080070934</v>
      </c>
      <c r="D12625" t="s">
        <v>15</v>
      </c>
      <c r="G12625" t="s">
        <v>14</v>
      </c>
      <c r="H12625" t="s">
        <v>7</v>
      </c>
      <c r="I12625" t="s">
        <v>230</v>
      </c>
    </row>
    <row r="12626" spans="1:9" hidden="1" x14ac:dyDescent="0.25">
      <c r="A12626" t="s">
        <v>10394</v>
      </c>
      <c r="B12626" t="s">
        <v>42</v>
      </c>
      <c r="C12626" s="2">
        <f>HYPERLINK("https://cao.dolgi.msk.ru/account/1080070942/", 1080070942)</f>
        <v>1080070942</v>
      </c>
      <c r="D12626" t="s">
        <v>10405</v>
      </c>
      <c r="E12626">
        <v>-4982.93</v>
      </c>
      <c r="F12626">
        <v>-1.19</v>
      </c>
      <c r="G12626" t="s">
        <v>12</v>
      </c>
      <c r="H12626" t="s">
        <v>7</v>
      </c>
      <c r="I12626" t="s">
        <v>230</v>
      </c>
    </row>
    <row r="12627" spans="1:9" hidden="1" x14ac:dyDescent="0.25">
      <c r="A12627" t="s">
        <v>10394</v>
      </c>
      <c r="B12627" t="s">
        <v>44</v>
      </c>
      <c r="C12627" s="2">
        <f>HYPERLINK("https://cao.dolgi.msk.ru/account/1080070969/", 1080070969)</f>
        <v>1080070969</v>
      </c>
      <c r="D12627" t="s">
        <v>10406</v>
      </c>
      <c r="E12627">
        <v>-1537.27</v>
      </c>
      <c r="F12627">
        <v>-1.1399999999999999</v>
      </c>
      <c r="G12627" t="s">
        <v>14</v>
      </c>
      <c r="I12627" t="s">
        <v>230</v>
      </c>
    </row>
    <row r="12628" spans="1:9" hidden="1" x14ac:dyDescent="0.25">
      <c r="A12628" t="s">
        <v>10394</v>
      </c>
      <c r="B12628" t="s">
        <v>44</v>
      </c>
      <c r="C12628" s="2">
        <f>HYPERLINK("https://cao.dolgi.msk.ru/account/1080070977/", 1080070977)</f>
        <v>1080070977</v>
      </c>
      <c r="D12628" t="s">
        <v>10407</v>
      </c>
      <c r="E12628">
        <v>82.77</v>
      </c>
      <c r="F12628">
        <v>0.01</v>
      </c>
      <c r="G12628" t="s">
        <v>12</v>
      </c>
      <c r="I12628" t="s">
        <v>230</v>
      </c>
    </row>
    <row r="12629" spans="1:9" hidden="1" x14ac:dyDescent="0.25">
      <c r="A12629" t="s">
        <v>10394</v>
      </c>
      <c r="B12629" t="s">
        <v>66</v>
      </c>
      <c r="C12629" s="2">
        <f>HYPERLINK("https://cao.dolgi.msk.ru/account/1080070985/", 1080070985)</f>
        <v>1080070985</v>
      </c>
      <c r="D12629" t="s">
        <v>10408</v>
      </c>
      <c r="E12629">
        <v>-5253.65</v>
      </c>
      <c r="F12629">
        <v>-1.07</v>
      </c>
      <c r="G12629" t="s">
        <v>12</v>
      </c>
      <c r="I12629" t="s">
        <v>230</v>
      </c>
    </row>
    <row r="12630" spans="1:9" hidden="1" x14ac:dyDescent="0.25">
      <c r="A12630" t="s">
        <v>10394</v>
      </c>
      <c r="B12630" t="s">
        <v>68</v>
      </c>
      <c r="C12630" s="2">
        <f>HYPERLINK("https://cao.dolgi.msk.ru/account/1080070993/", 1080070993)</f>
        <v>1080070993</v>
      </c>
      <c r="D12630" t="s">
        <v>10409</v>
      </c>
      <c r="E12630">
        <v>-1268.8900000000001</v>
      </c>
      <c r="F12630">
        <v>-0.17</v>
      </c>
      <c r="G12630" t="s">
        <v>12</v>
      </c>
      <c r="I12630" t="s">
        <v>230</v>
      </c>
    </row>
    <row r="12631" spans="1:9" hidden="1" x14ac:dyDescent="0.25">
      <c r="A12631" t="s">
        <v>10394</v>
      </c>
      <c r="B12631" t="s">
        <v>70</v>
      </c>
      <c r="C12631" s="2">
        <f>HYPERLINK("https://cao.dolgi.msk.ru/account/1080071005/", 1080071005)</f>
        <v>1080071005</v>
      </c>
      <c r="D12631" t="s">
        <v>10349</v>
      </c>
      <c r="E12631">
        <v>0</v>
      </c>
      <c r="F12631">
        <v>0</v>
      </c>
      <c r="G12631" t="s">
        <v>12</v>
      </c>
      <c r="I12631" t="s">
        <v>230</v>
      </c>
    </row>
    <row r="12632" spans="1:9" hidden="1" x14ac:dyDescent="0.25">
      <c r="A12632" t="s">
        <v>10394</v>
      </c>
      <c r="B12632" t="s">
        <v>72</v>
      </c>
      <c r="C12632" s="2">
        <f>HYPERLINK("https://cao.dolgi.msk.ru/account/1080071013/", 1080071013)</f>
        <v>1080071013</v>
      </c>
      <c r="D12632" t="s">
        <v>10410</v>
      </c>
      <c r="E12632">
        <v>-3442.94</v>
      </c>
      <c r="F12632">
        <v>-0.96</v>
      </c>
      <c r="G12632" t="s">
        <v>12</v>
      </c>
      <c r="H12632" t="s">
        <v>7</v>
      </c>
      <c r="I12632" t="s">
        <v>230</v>
      </c>
    </row>
    <row r="12633" spans="1:9" hidden="1" x14ac:dyDescent="0.25">
      <c r="A12633" t="s">
        <v>10394</v>
      </c>
      <c r="B12633" t="s">
        <v>72</v>
      </c>
      <c r="C12633" s="2">
        <f>HYPERLINK("https://cao.dolgi.msk.ru/account/1080071072/", 1080071072)</f>
        <v>1080071072</v>
      </c>
      <c r="D12633" t="s">
        <v>10411</v>
      </c>
      <c r="E12633">
        <v>-3578.42</v>
      </c>
      <c r="F12633">
        <v>-0.97</v>
      </c>
      <c r="G12633" t="s">
        <v>12</v>
      </c>
      <c r="H12633" t="s">
        <v>7</v>
      </c>
      <c r="I12633" t="s">
        <v>230</v>
      </c>
    </row>
    <row r="12634" spans="1:9" hidden="1" x14ac:dyDescent="0.25">
      <c r="A12634" t="s">
        <v>10394</v>
      </c>
      <c r="B12634" t="s">
        <v>74</v>
      </c>
      <c r="C12634" s="2">
        <f>HYPERLINK("https://cao.dolgi.msk.ru/account/1080071048/", 1080071048)</f>
        <v>1080071048</v>
      </c>
      <c r="D12634" t="s">
        <v>62</v>
      </c>
      <c r="E12634">
        <v>-1869.95</v>
      </c>
      <c r="F12634">
        <v>-1.07</v>
      </c>
      <c r="G12634" t="s">
        <v>12</v>
      </c>
      <c r="H12634" t="s">
        <v>7</v>
      </c>
      <c r="I12634" t="s">
        <v>230</v>
      </c>
    </row>
    <row r="12635" spans="1:9" hidden="1" x14ac:dyDescent="0.25">
      <c r="A12635" t="s">
        <v>10394</v>
      </c>
      <c r="B12635" t="s">
        <v>74</v>
      </c>
      <c r="C12635" s="2">
        <f>HYPERLINK("https://cao.dolgi.msk.ru/account/1080071056/", 1080071056)</f>
        <v>1080071056</v>
      </c>
      <c r="D12635" t="s">
        <v>10412</v>
      </c>
      <c r="E12635">
        <v>671.45</v>
      </c>
      <c r="F12635">
        <v>0.32</v>
      </c>
      <c r="G12635" t="s">
        <v>12</v>
      </c>
      <c r="H12635" t="s">
        <v>7</v>
      </c>
      <c r="I12635" t="s">
        <v>230</v>
      </c>
    </row>
    <row r="12636" spans="1:9" hidden="1" x14ac:dyDescent="0.25">
      <c r="A12636" t="s">
        <v>10394</v>
      </c>
      <c r="B12636" t="s">
        <v>74</v>
      </c>
      <c r="C12636" s="2">
        <f>HYPERLINK("https://cao.dolgi.msk.ru/account/1080071064/", 1080071064)</f>
        <v>1080071064</v>
      </c>
      <c r="D12636" t="s">
        <v>10412</v>
      </c>
      <c r="E12636">
        <v>-6.07</v>
      </c>
      <c r="F12636">
        <v>-0.01</v>
      </c>
      <c r="G12636" t="s">
        <v>12</v>
      </c>
      <c r="H12636" t="s">
        <v>7</v>
      </c>
      <c r="I12636" t="s">
        <v>230</v>
      </c>
    </row>
    <row r="12637" spans="1:9" hidden="1" x14ac:dyDescent="0.25">
      <c r="A12637" t="s">
        <v>10413</v>
      </c>
      <c r="B12637" t="s">
        <v>143</v>
      </c>
      <c r="C12637" s="2">
        <f>HYPERLINK("https://cao.dolgi.msk.ru/account/1080073203/", 1080073203)</f>
        <v>1080073203</v>
      </c>
      <c r="D12637" t="s">
        <v>10414</v>
      </c>
      <c r="E12637">
        <v>-10686.6</v>
      </c>
      <c r="F12637">
        <v>-1.04</v>
      </c>
      <c r="G12637" t="s">
        <v>12</v>
      </c>
      <c r="I12637" t="s">
        <v>230</v>
      </c>
    </row>
    <row r="12638" spans="1:9" hidden="1" x14ac:dyDescent="0.25">
      <c r="A12638" t="s">
        <v>10413</v>
      </c>
      <c r="B12638" t="s">
        <v>145</v>
      </c>
      <c r="C12638" s="2">
        <f>HYPERLINK("https://cao.dolgi.msk.ru/account/1080073211/", 1080073211)</f>
        <v>1080073211</v>
      </c>
      <c r="D12638" t="s">
        <v>10415</v>
      </c>
      <c r="E12638">
        <v>-3299.34</v>
      </c>
      <c r="F12638">
        <v>-0.42</v>
      </c>
      <c r="G12638" t="s">
        <v>12</v>
      </c>
      <c r="I12638" t="s">
        <v>230</v>
      </c>
    </row>
    <row r="12639" spans="1:9" hidden="1" x14ac:dyDescent="0.25">
      <c r="A12639" t="s">
        <v>10413</v>
      </c>
      <c r="B12639" t="s">
        <v>147</v>
      </c>
      <c r="C12639" s="2">
        <f>HYPERLINK("https://cao.dolgi.msk.ru/account/1080073238/", 1080073238)</f>
        <v>1080073238</v>
      </c>
      <c r="D12639" t="s">
        <v>10416</v>
      </c>
      <c r="E12639">
        <v>-21753.08</v>
      </c>
      <c r="F12639">
        <v>-2.73</v>
      </c>
      <c r="G12639" t="s">
        <v>12</v>
      </c>
      <c r="I12639" t="s">
        <v>230</v>
      </c>
    </row>
    <row r="12640" spans="1:9" hidden="1" x14ac:dyDescent="0.25">
      <c r="A12640" t="s">
        <v>10413</v>
      </c>
      <c r="B12640" t="s">
        <v>149</v>
      </c>
      <c r="C12640" s="2">
        <f>HYPERLINK("https://cao.dolgi.msk.ru/account/1080073246/", 1080073246)</f>
        <v>1080073246</v>
      </c>
      <c r="D12640" t="s">
        <v>10417</v>
      </c>
      <c r="E12640">
        <v>-9345.2199999999993</v>
      </c>
      <c r="F12640">
        <v>-1.06</v>
      </c>
      <c r="G12640" t="s">
        <v>12</v>
      </c>
      <c r="I12640" t="s">
        <v>230</v>
      </c>
    </row>
    <row r="12641" spans="1:9" hidden="1" x14ac:dyDescent="0.25">
      <c r="A12641" t="s">
        <v>10413</v>
      </c>
      <c r="B12641" t="s">
        <v>151</v>
      </c>
      <c r="C12641" s="2">
        <f>HYPERLINK("https://cao.dolgi.msk.ru/account/1080073254/", 1080073254)</f>
        <v>1080073254</v>
      </c>
      <c r="D12641" t="s">
        <v>10418</v>
      </c>
      <c r="E12641">
        <v>0</v>
      </c>
      <c r="F12641">
        <v>0</v>
      </c>
      <c r="G12641" t="s">
        <v>12</v>
      </c>
      <c r="I12641" t="s">
        <v>230</v>
      </c>
    </row>
    <row r="12642" spans="1:9" hidden="1" x14ac:dyDescent="0.25">
      <c r="A12642" t="s">
        <v>10413</v>
      </c>
      <c r="B12642" t="s">
        <v>153</v>
      </c>
      <c r="C12642" s="2">
        <f>HYPERLINK("https://cao.dolgi.msk.ru/account/1080073262/", 1080073262)</f>
        <v>1080073262</v>
      </c>
      <c r="D12642" t="s">
        <v>10419</v>
      </c>
      <c r="E12642">
        <v>-14.99</v>
      </c>
      <c r="F12642">
        <v>0</v>
      </c>
      <c r="G12642" t="s">
        <v>12</v>
      </c>
      <c r="I12642" t="s">
        <v>230</v>
      </c>
    </row>
    <row r="12643" spans="1:9" hidden="1" x14ac:dyDescent="0.25">
      <c r="A12643" t="s">
        <v>10413</v>
      </c>
      <c r="B12643" t="s">
        <v>155</v>
      </c>
      <c r="C12643" s="2">
        <f>HYPERLINK("https://cao.dolgi.msk.ru/account/1080073289/", 1080073289)</f>
        <v>1080073289</v>
      </c>
      <c r="D12643" t="s">
        <v>10420</v>
      </c>
      <c r="E12643">
        <v>-8823.98</v>
      </c>
      <c r="F12643">
        <v>-0.98</v>
      </c>
      <c r="G12643" t="s">
        <v>12</v>
      </c>
      <c r="I12643" t="s">
        <v>230</v>
      </c>
    </row>
    <row r="12644" spans="1:9" hidden="1" x14ac:dyDescent="0.25">
      <c r="A12644" t="s">
        <v>10413</v>
      </c>
      <c r="B12644" t="s">
        <v>157</v>
      </c>
      <c r="C12644" s="2">
        <f>HYPERLINK("https://cao.dolgi.msk.ru/account/1080073297/", 1080073297)</f>
        <v>1080073297</v>
      </c>
      <c r="D12644" t="s">
        <v>10421</v>
      </c>
      <c r="E12644">
        <v>-130.02000000000001</v>
      </c>
      <c r="F12644">
        <v>-0.01</v>
      </c>
      <c r="G12644" t="s">
        <v>12</v>
      </c>
      <c r="I12644" t="s">
        <v>230</v>
      </c>
    </row>
    <row r="12645" spans="1:9" hidden="1" x14ac:dyDescent="0.25">
      <c r="A12645" t="s">
        <v>10413</v>
      </c>
      <c r="B12645" t="s">
        <v>159</v>
      </c>
      <c r="C12645" s="2">
        <f>HYPERLINK("https://cao.dolgi.msk.ru/account/1080073318/", 1080073318)</f>
        <v>1080073318</v>
      </c>
      <c r="D12645" t="s">
        <v>10422</v>
      </c>
      <c r="E12645">
        <v>-8427.92</v>
      </c>
      <c r="F12645">
        <v>-1.23</v>
      </c>
      <c r="G12645" t="s">
        <v>12</v>
      </c>
      <c r="I12645" t="s">
        <v>230</v>
      </c>
    </row>
    <row r="12646" spans="1:9" hidden="1" x14ac:dyDescent="0.25">
      <c r="A12646" t="s">
        <v>10413</v>
      </c>
      <c r="B12646" t="s">
        <v>161</v>
      </c>
      <c r="C12646" s="2">
        <f>HYPERLINK("https://cao.dolgi.msk.ru/account/1080073326/", 1080073326)</f>
        <v>1080073326</v>
      </c>
      <c r="D12646" t="s">
        <v>10423</v>
      </c>
      <c r="E12646">
        <v>-3618.62</v>
      </c>
      <c r="F12646">
        <v>-1.02</v>
      </c>
      <c r="G12646" t="s">
        <v>12</v>
      </c>
      <c r="I12646" t="s">
        <v>230</v>
      </c>
    </row>
    <row r="12647" spans="1:9" hidden="1" x14ac:dyDescent="0.25">
      <c r="A12647" t="s">
        <v>10413</v>
      </c>
      <c r="B12647" t="s">
        <v>163</v>
      </c>
      <c r="C12647" s="2">
        <f>HYPERLINK("https://cao.dolgi.msk.ru/account/1080073334/", 1080073334)</f>
        <v>1080073334</v>
      </c>
      <c r="D12647" t="s">
        <v>10424</v>
      </c>
      <c r="E12647">
        <v>-802.08</v>
      </c>
      <c r="F12647">
        <v>-0.09</v>
      </c>
      <c r="G12647" t="s">
        <v>12</v>
      </c>
      <c r="I12647" t="s">
        <v>230</v>
      </c>
    </row>
    <row r="12648" spans="1:9" hidden="1" x14ac:dyDescent="0.25">
      <c r="A12648" t="s">
        <v>10413</v>
      </c>
      <c r="B12648" t="s">
        <v>571</v>
      </c>
      <c r="C12648" s="2">
        <f>HYPERLINK("https://cao.dolgi.msk.ru/account/1080073342/", 1080073342)</f>
        <v>1080073342</v>
      </c>
      <c r="D12648" t="s">
        <v>10425</v>
      </c>
      <c r="E12648">
        <v>-603.96</v>
      </c>
      <c r="F12648">
        <v>-0.09</v>
      </c>
      <c r="G12648" t="s">
        <v>12</v>
      </c>
      <c r="I12648" t="s">
        <v>230</v>
      </c>
    </row>
    <row r="12649" spans="1:9" hidden="1" x14ac:dyDescent="0.25">
      <c r="A12649" t="s">
        <v>10413</v>
      </c>
      <c r="B12649" t="s">
        <v>682</v>
      </c>
      <c r="C12649" s="2">
        <f>HYPERLINK("https://cao.dolgi.msk.ru/account/1080073369/", 1080073369)</f>
        <v>1080073369</v>
      </c>
      <c r="D12649" t="s">
        <v>10426</v>
      </c>
      <c r="E12649">
        <v>26.65</v>
      </c>
      <c r="F12649">
        <v>0</v>
      </c>
      <c r="G12649" t="s">
        <v>12</v>
      </c>
      <c r="I12649" t="s">
        <v>230</v>
      </c>
    </row>
    <row r="12650" spans="1:9" hidden="1" x14ac:dyDescent="0.25">
      <c r="A12650" t="s">
        <v>10413</v>
      </c>
      <c r="B12650" t="s">
        <v>578</v>
      </c>
      <c r="C12650" s="2">
        <f>HYPERLINK("https://cao.dolgi.msk.ru/account/1080073377/", 1080073377)</f>
        <v>1080073377</v>
      </c>
      <c r="D12650" t="s">
        <v>10427</v>
      </c>
      <c r="E12650">
        <v>-1943.62</v>
      </c>
      <c r="F12650">
        <v>-0.32</v>
      </c>
      <c r="G12650" t="s">
        <v>12</v>
      </c>
      <c r="I12650" t="s">
        <v>230</v>
      </c>
    </row>
    <row r="12651" spans="1:9" hidden="1" x14ac:dyDescent="0.25">
      <c r="A12651" t="s">
        <v>10413</v>
      </c>
      <c r="B12651" t="s">
        <v>580</v>
      </c>
      <c r="C12651" s="2">
        <f>HYPERLINK("https://cao.dolgi.msk.ru/account/1080073385/", 1080073385)</f>
        <v>1080073385</v>
      </c>
      <c r="D12651" t="s">
        <v>62</v>
      </c>
      <c r="E12651">
        <v>-2357.66</v>
      </c>
      <c r="F12651">
        <v>-0.4</v>
      </c>
      <c r="G12651" t="s">
        <v>12</v>
      </c>
      <c r="I12651" t="s">
        <v>230</v>
      </c>
    </row>
    <row r="12652" spans="1:9" hidden="1" x14ac:dyDescent="0.25">
      <c r="A12652" t="s">
        <v>10413</v>
      </c>
      <c r="B12652" t="s">
        <v>686</v>
      </c>
      <c r="C12652" s="2">
        <f>HYPERLINK("https://cao.dolgi.msk.ru/account/1080073393/", 1080073393)</f>
        <v>1080073393</v>
      </c>
      <c r="D12652" t="s">
        <v>10428</v>
      </c>
      <c r="E12652">
        <v>-8921.3799999999992</v>
      </c>
      <c r="F12652">
        <v>-0.99</v>
      </c>
      <c r="G12652" t="s">
        <v>12</v>
      </c>
      <c r="I12652" t="s">
        <v>230</v>
      </c>
    </row>
    <row r="12653" spans="1:9" hidden="1" x14ac:dyDescent="0.25">
      <c r="A12653" t="s">
        <v>10413</v>
      </c>
      <c r="B12653" t="s">
        <v>582</v>
      </c>
      <c r="C12653" s="2">
        <f>HYPERLINK("https://cao.dolgi.msk.ru/account/1080073414/", 1080073414)</f>
        <v>1080073414</v>
      </c>
      <c r="D12653" t="s">
        <v>10429</v>
      </c>
      <c r="E12653">
        <v>38.799999999999997</v>
      </c>
      <c r="F12653">
        <v>0</v>
      </c>
      <c r="G12653" t="s">
        <v>12</v>
      </c>
      <c r="I12653" t="s">
        <v>230</v>
      </c>
    </row>
    <row r="12654" spans="1:9" hidden="1" x14ac:dyDescent="0.25">
      <c r="A12654" t="s">
        <v>10413</v>
      </c>
      <c r="B12654" t="s">
        <v>584</v>
      </c>
      <c r="C12654" s="2">
        <f>HYPERLINK("https://cao.dolgi.msk.ru/account/1080073422/", 1080073422)</f>
        <v>1080073422</v>
      </c>
      <c r="D12654" t="s">
        <v>10430</v>
      </c>
      <c r="E12654">
        <v>-7736.91</v>
      </c>
      <c r="F12654">
        <v>-1.02</v>
      </c>
      <c r="G12654" t="s">
        <v>12</v>
      </c>
      <c r="I12654" t="s">
        <v>230</v>
      </c>
    </row>
    <row r="12655" spans="1:9" hidden="1" x14ac:dyDescent="0.25">
      <c r="A12655" t="s">
        <v>10413</v>
      </c>
      <c r="B12655" t="s">
        <v>586</v>
      </c>
      <c r="C12655" s="2">
        <f>HYPERLINK("https://cao.dolgi.msk.ru/account/1080073449/", 1080073449)</f>
        <v>1080073449</v>
      </c>
      <c r="D12655" t="s">
        <v>15</v>
      </c>
      <c r="E12655">
        <v>0</v>
      </c>
      <c r="G12655" t="s">
        <v>14</v>
      </c>
      <c r="I12655" t="s">
        <v>230</v>
      </c>
    </row>
    <row r="12656" spans="1:9" hidden="1" x14ac:dyDescent="0.25">
      <c r="A12656" t="s">
        <v>10413</v>
      </c>
      <c r="B12656" t="s">
        <v>586</v>
      </c>
      <c r="C12656" s="2">
        <f>HYPERLINK("https://cao.dolgi.msk.ru/account/1080083292/", 1080083292)</f>
        <v>1080083292</v>
      </c>
      <c r="D12656" t="s">
        <v>15</v>
      </c>
      <c r="E12656">
        <v>-8989.3799999999992</v>
      </c>
      <c r="F12656">
        <v>-1.28</v>
      </c>
      <c r="G12656" t="s">
        <v>12</v>
      </c>
      <c r="I12656" t="s">
        <v>230</v>
      </c>
    </row>
    <row r="12657" spans="1:9" hidden="1" x14ac:dyDescent="0.25">
      <c r="A12657" t="s">
        <v>10413</v>
      </c>
      <c r="B12657" t="s">
        <v>588</v>
      </c>
      <c r="C12657" s="2">
        <f>HYPERLINK("https://cao.dolgi.msk.ru/account/1080073457/", 1080073457)</f>
        <v>1080073457</v>
      </c>
      <c r="D12657" t="s">
        <v>10431</v>
      </c>
      <c r="E12657">
        <v>-10709.37</v>
      </c>
      <c r="F12657">
        <v>-1.02</v>
      </c>
      <c r="G12657" t="s">
        <v>12</v>
      </c>
      <c r="I12657" t="s">
        <v>230</v>
      </c>
    </row>
    <row r="12658" spans="1:9" hidden="1" x14ac:dyDescent="0.25">
      <c r="A12658" t="s">
        <v>10413</v>
      </c>
      <c r="B12658" t="s">
        <v>590</v>
      </c>
      <c r="C12658" s="2">
        <f>HYPERLINK("https://cao.dolgi.msk.ru/account/1080073465/", 1080073465)</f>
        <v>1080073465</v>
      </c>
      <c r="D12658" t="s">
        <v>10432</v>
      </c>
      <c r="E12658">
        <v>-9331.43</v>
      </c>
      <c r="F12658">
        <v>-1</v>
      </c>
      <c r="G12658" t="s">
        <v>12</v>
      </c>
      <c r="I12658" t="s">
        <v>230</v>
      </c>
    </row>
    <row r="12659" spans="1:9" hidden="1" x14ac:dyDescent="0.25">
      <c r="A12659" t="s">
        <v>10413</v>
      </c>
      <c r="B12659" t="s">
        <v>693</v>
      </c>
      <c r="C12659" s="2">
        <f>HYPERLINK("https://cao.dolgi.msk.ru/account/1080073473/", 1080073473)</f>
        <v>1080073473</v>
      </c>
      <c r="D12659" t="s">
        <v>10433</v>
      </c>
      <c r="E12659">
        <v>-10770.53</v>
      </c>
      <c r="F12659">
        <v>-1.02</v>
      </c>
      <c r="G12659" t="s">
        <v>12</v>
      </c>
      <c r="I12659" t="s">
        <v>230</v>
      </c>
    </row>
    <row r="12660" spans="1:9" hidden="1" x14ac:dyDescent="0.25">
      <c r="A12660" t="s">
        <v>10413</v>
      </c>
      <c r="B12660" t="s">
        <v>694</v>
      </c>
      <c r="C12660" s="2">
        <f>HYPERLINK("https://cao.dolgi.msk.ru/account/1080073481/", 1080073481)</f>
        <v>1080073481</v>
      </c>
      <c r="D12660" t="s">
        <v>10434</v>
      </c>
      <c r="E12660">
        <v>-7848.12</v>
      </c>
      <c r="F12660">
        <v>-1.02</v>
      </c>
      <c r="G12660" t="s">
        <v>12</v>
      </c>
      <c r="I12660" t="s">
        <v>230</v>
      </c>
    </row>
    <row r="12661" spans="1:9" hidden="1" x14ac:dyDescent="0.25">
      <c r="A12661" t="s">
        <v>10413</v>
      </c>
      <c r="B12661" t="s">
        <v>696</v>
      </c>
      <c r="C12661" s="2">
        <f>HYPERLINK("https://cao.dolgi.msk.ru/account/1080073502/", 1080073502)</f>
        <v>1080073502</v>
      </c>
      <c r="D12661" t="s">
        <v>10435</v>
      </c>
      <c r="E12661">
        <v>-10512.15</v>
      </c>
      <c r="F12661">
        <v>-1.02</v>
      </c>
      <c r="G12661" t="s">
        <v>12</v>
      </c>
      <c r="I12661" t="s">
        <v>230</v>
      </c>
    </row>
    <row r="12662" spans="1:9" hidden="1" x14ac:dyDescent="0.25">
      <c r="A12662" t="s">
        <v>10413</v>
      </c>
      <c r="B12662" t="s">
        <v>698</v>
      </c>
      <c r="C12662" s="2">
        <f>HYPERLINK("https://cao.dolgi.msk.ru/account/1080073529/", 1080073529)</f>
        <v>1080073529</v>
      </c>
      <c r="D12662" t="s">
        <v>10436</v>
      </c>
      <c r="E12662">
        <v>-7002.51</v>
      </c>
      <c r="F12662">
        <v>-0.96</v>
      </c>
      <c r="G12662" t="s">
        <v>12</v>
      </c>
      <c r="I12662" t="s">
        <v>230</v>
      </c>
    </row>
    <row r="12663" spans="1:9" hidden="1" x14ac:dyDescent="0.25">
      <c r="A12663" t="s">
        <v>10413</v>
      </c>
      <c r="B12663" t="s">
        <v>700</v>
      </c>
      <c r="C12663" s="2">
        <f>HYPERLINK("https://cao.dolgi.msk.ru/account/1080073537/", 1080073537)</f>
        <v>1080073537</v>
      </c>
      <c r="D12663" t="s">
        <v>10437</v>
      </c>
      <c r="E12663">
        <v>-7717.67</v>
      </c>
      <c r="F12663">
        <v>-1.06</v>
      </c>
      <c r="G12663" t="s">
        <v>12</v>
      </c>
      <c r="I12663" t="s">
        <v>230</v>
      </c>
    </row>
    <row r="12664" spans="1:9" hidden="1" x14ac:dyDescent="0.25">
      <c r="A12664" t="s">
        <v>10413</v>
      </c>
      <c r="B12664" t="s">
        <v>702</v>
      </c>
      <c r="C12664" s="2">
        <f>HYPERLINK("https://cao.dolgi.msk.ru/account/1080073545/", 1080073545)</f>
        <v>1080073545</v>
      </c>
      <c r="D12664" t="s">
        <v>10438</v>
      </c>
      <c r="E12664">
        <v>-8066.39</v>
      </c>
      <c r="F12664">
        <v>-1.18</v>
      </c>
      <c r="G12664" t="s">
        <v>12</v>
      </c>
      <c r="I12664" t="s">
        <v>230</v>
      </c>
    </row>
    <row r="12665" spans="1:9" hidden="1" x14ac:dyDescent="0.25">
      <c r="A12665" t="s">
        <v>10413</v>
      </c>
      <c r="B12665" t="s">
        <v>703</v>
      </c>
      <c r="C12665" s="2">
        <f>HYPERLINK("https://cao.dolgi.msk.ru/account/1080073553/", 1080073553)</f>
        <v>1080073553</v>
      </c>
      <c r="D12665" t="s">
        <v>10439</v>
      </c>
      <c r="E12665">
        <v>-39.75</v>
      </c>
      <c r="F12665">
        <v>-0.01</v>
      </c>
      <c r="G12665" t="s">
        <v>12</v>
      </c>
      <c r="I12665" t="s">
        <v>230</v>
      </c>
    </row>
    <row r="12666" spans="1:9" hidden="1" x14ac:dyDescent="0.25">
      <c r="A12666" t="s">
        <v>10413</v>
      </c>
      <c r="B12666" t="s">
        <v>705</v>
      </c>
      <c r="C12666" s="2">
        <f>HYPERLINK("https://cao.dolgi.msk.ru/account/1080073561/", 1080073561)</f>
        <v>1080073561</v>
      </c>
      <c r="D12666" t="s">
        <v>10440</v>
      </c>
      <c r="E12666">
        <v>185.32</v>
      </c>
      <c r="F12666">
        <v>0.04</v>
      </c>
      <c r="G12666" t="s">
        <v>12</v>
      </c>
      <c r="I12666" t="s">
        <v>230</v>
      </c>
    </row>
    <row r="12667" spans="1:9" hidden="1" x14ac:dyDescent="0.25">
      <c r="A12667" t="s">
        <v>10413</v>
      </c>
      <c r="B12667" t="s">
        <v>707</v>
      </c>
      <c r="C12667" s="2">
        <f>HYPERLINK("https://cao.dolgi.msk.ru/account/1080073588/", 1080073588)</f>
        <v>1080073588</v>
      </c>
      <c r="D12667" t="s">
        <v>10441</v>
      </c>
      <c r="E12667">
        <v>-14656.53</v>
      </c>
      <c r="F12667">
        <v>-1.0900000000000001</v>
      </c>
      <c r="G12667" t="s">
        <v>12</v>
      </c>
      <c r="I12667" t="s">
        <v>230</v>
      </c>
    </row>
    <row r="12668" spans="1:9" hidden="1" x14ac:dyDescent="0.25">
      <c r="A12668" t="s">
        <v>10413</v>
      </c>
      <c r="B12668" t="s">
        <v>709</v>
      </c>
      <c r="C12668" s="2">
        <f>HYPERLINK("https://cao.dolgi.msk.ru/account/1080073596/", 1080073596)</f>
        <v>1080073596</v>
      </c>
      <c r="D12668" t="s">
        <v>15</v>
      </c>
      <c r="G12668" t="s">
        <v>14</v>
      </c>
      <c r="I12668" t="s">
        <v>230</v>
      </c>
    </row>
    <row r="12669" spans="1:9" hidden="1" x14ac:dyDescent="0.25">
      <c r="A12669" t="s">
        <v>10442</v>
      </c>
      <c r="B12669" t="s">
        <v>10</v>
      </c>
      <c r="C12669" s="2">
        <f>HYPERLINK("https://cao.dolgi.msk.ru/account/1080072841/", 1080072841)</f>
        <v>1080072841</v>
      </c>
      <c r="D12669" t="s">
        <v>15</v>
      </c>
      <c r="E12669">
        <v>2757.26</v>
      </c>
      <c r="F12669">
        <v>0.4</v>
      </c>
      <c r="G12669" t="s">
        <v>12</v>
      </c>
      <c r="I12669" t="s">
        <v>230</v>
      </c>
    </row>
    <row r="12670" spans="1:9" hidden="1" x14ac:dyDescent="0.25">
      <c r="A12670" t="s">
        <v>10442</v>
      </c>
      <c r="B12670" t="s">
        <v>16</v>
      </c>
      <c r="C12670" s="2">
        <f>HYPERLINK("https://cao.dolgi.msk.ru/account/1080072868/", 1080072868)</f>
        <v>1080072868</v>
      </c>
      <c r="D12670" t="s">
        <v>10443</v>
      </c>
      <c r="E12670">
        <v>15515.29</v>
      </c>
      <c r="F12670">
        <v>0.96</v>
      </c>
      <c r="G12670" t="s">
        <v>12</v>
      </c>
      <c r="I12670" t="s">
        <v>230</v>
      </c>
    </row>
    <row r="12671" spans="1:9" hidden="1" x14ac:dyDescent="0.25">
      <c r="A12671" t="s">
        <v>10442</v>
      </c>
      <c r="B12671" t="s">
        <v>18</v>
      </c>
      <c r="C12671" s="2">
        <f>HYPERLINK("https://cao.dolgi.msk.ru/account/1080072884/", 1080072884)</f>
        <v>1080072884</v>
      </c>
      <c r="D12671" t="s">
        <v>10444</v>
      </c>
      <c r="E12671">
        <v>-6425.67</v>
      </c>
      <c r="F12671">
        <v>-1.04</v>
      </c>
      <c r="G12671" t="s">
        <v>12</v>
      </c>
      <c r="I12671" t="s">
        <v>230</v>
      </c>
    </row>
    <row r="12672" spans="1:9" hidden="1" x14ac:dyDescent="0.25">
      <c r="A12672" t="s">
        <v>10442</v>
      </c>
      <c r="B12672" t="s">
        <v>20</v>
      </c>
      <c r="C12672" s="2">
        <f>HYPERLINK("https://cao.dolgi.msk.ru/account/1080072892/", 1080072892)</f>
        <v>1080072892</v>
      </c>
      <c r="D12672" t="s">
        <v>10445</v>
      </c>
      <c r="E12672">
        <v>-77.19</v>
      </c>
      <c r="F12672">
        <v>-0.01</v>
      </c>
      <c r="G12672" t="s">
        <v>12</v>
      </c>
      <c r="I12672" t="s">
        <v>230</v>
      </c>
    </row>
    <row r="12673" spans="1:9" hidden="1" x14ac:dyDescent="0.25">
      <c r="A12673" t="s">
        <v>10442</v>
      </c>
      <c r="B12673" t="s">
        <v>21</v>
      </c>
      <c r="C12673" s="2">
        <f>HYPERLINK("https://cao.dolgi.msk.ru/account/1080072905/", 1080072905)</f>
        <v>1080072905</v>
      </c>
      <c r="D12673" t="s">
        <v>10446</v>
      </c>
      <c r="E12673">
        <v>-79.900000000000006</v>
      </c>
      <c r="F12673">
        <v>-0.01</v>
      </c>
      <c r="G12673" t="s">
        <v>12</v>
      </c>
      <c r="I12673" t="s">
        <v>230</v>
      </c>
    </row>
    <row r="12674" spans="1:9" hidden="1" x14ac:dyDescent="0.25">
      <c r="A12674" t="s">
        <v>10442</v>
      </c>
      <c r="B12674" t="s">
        <v>22</v>
      </c>
      <c r="C12674" s="2">
        <f>HYPERLINK("https://cao.dolgi.msk.ru/account/1080072913/", 1080072913)</f>
        <v>1080072913</v>
      </c>
      <c r="D12674" t="s">
        <v>10447</v>
      </c>
      <c r="E12674">
        <v>6295.28</v>
      </c>
      <c r="F12674">
        <v>1</v>
      </c>
      <c r="G12674" t="s">
        <v>12</v>
      </c>
      <c r="I12674" t="s">
        <v>230</v>
      </c>
    </row>
    <row r="12675" spans="1:9" hidden="1" x14ac:dyDescent="0.25">
      <c r="A12675" t="s">
        <v>10442</v>
      </c>
      <c r="B12675" t="s">
        <v>23</v>
      </c>
      <c r="C12675" s="2">
        <f>HYPERLINK("https://cao.dolgi.msk.ru/account/1080072921/", 1080072921)</f>
        <v>1080072921</v>
      </c>
      <c r="D12675" t="s">
        <v>10448</v>
      </c>
      <c r="E12675">
        <v>-3154.94</v>
      </c>
      <c r="F12675">
        <v>-0.45</v>
      </c>
      <c r="G12675" t="s">
        <v>12</v>
      </c>
      <c r="I12675" t="s">
        <v>230</v>
      </c>
    </row>
    <row r="12676" spans="1:9" hidden="1" x14ac:dyDescent="0.25">
      <c r="A12676" t="s">
        <v>10442</v>
      </c>
      <c r="B12676" t="s">
        <v>24</v>
      </c>
      <c r="C12676" s="2">
        <f>HYPERLINK("https://cao.dolgi.msk.ru/account/1080072876/", 1080072876)</f>
        <v>1080072876</v>
      </c>
      <c r="D12676" t="s">
        <v>10449</v>
      </c>
      <c r="E12676">
        <v>94.32</v>
      </c>
      <c r="F12676">
        <v>0.02</v>
      </c>
      <c r="G12676" t="s">
        <v>12</v>
      </c>
      <c r="I12676" t="s">
        <v>230</v>
      </c>
    </row>
    <row r="12677" spans="1:9" hidden="1" x14ac:dyDescent="0.25">
      <c r="A12677" t="s">
        <v>10442</v>
      </c>
      <c r="B12677" t="s">
        <v>27</v>
      </c>
      <c r="C12677" s="2">
        <f>HYPERLINK("https://cao.dolgi.msk.ru/account/1080072948/", 1080072948)</f>
        <v>1080072948</v>
      </c>
      <c r="D12677" t="s">
        <v>10450</v>
      </c>
      <c r="E12677">
        <v>-3719.88</v>
      </c>
      <c r="F12677">
        <v>-0.84</v>
      </c>
      <c r="G12677" t="s">
        <v>12</v>
      </c>
      <c r="I12677" t="s">
        <v>230</v>
      </c>
    </row>
    <row r="12678" spans="1:9" hidden="1" x14ac:dyDescent="0.25">
      <c r="A12678" t="s">
        <v>10442</v>
      </c>
      <c r="B12678" t="s">
        <v>29</v>
      </c>
      <c r="C12678" s="2">
        <f>HYPERLINK("https://cao.dolgi.msk.ru/account/1080072956/", 1080072956)</f>
        <v>1080072956</v>
      </c>
      <c r="D12678" t="s">
        <v>10451</v>
      </c>
      <c r="E12678">
        <v>-9517.43</v>
      </c>
      <c r="F12678">
        <v>-1.27</v>
      </c>
      <c r="G12678" t="s">
        <v>12</v>
      </c>
      <c r="I12678" t="s">
        <v>230</v>
      </c>
    </row>
    <row r="12679" spans="1:9" hidden="1" x14ac:dyDescent="0.25">
      <c r="A12679" t="s">
        <v>10442</v>
      </c>
      <c r="B12679" t="s">
        <v>31</v>
      </c>
      <c r="C12679" s="2">
        <f>HYPERLINK("https://cao.dolgi.msk.ru/account/1080072964/", 1080072964)</f>
        <v>1080072964</v>
      </c>
      <c r="D12679" t="s">
        <v>10452</v>
      </c>
      <c r="E12679">
        <v>-8291.5400000000009</v>
      </c>
      <c r="F12679">
        <v>-0.96</v>
      </c>
      <c r="G12679" t="s">
        <v>12</v>
      </c>
      <c r="I12679" t="s">
        <v>230</v>
      </c>
    </row>
    <row r="12680" spans="1:9" hidden="1" x14ac:dyDescent="0.25">
      <c r="A12680" t="s">
        <v>10442</v>
      </c>
      <c r="B12680" t="s">
        <v>33</v>
      </c>
      <c r="C12680" s="2">
        <f>HYPERLINK("https://cao.dolgi.msk.ru/account/1080072972/", 1080072972)</f>
        <v>1080072972</v>
      </c>
      <c r="D12680" t="s">
        <v>10453</v>
      </c>
      <c r="E12680">
        <v>-6066.47</v>
      </c>
      <c r="F12680">
        <v>-0.98</v>
      </c>
      <c r="G12680" t="s">
        <v>12</v>
      </c>
      <c r="I12680" t="s">
        <v>230</v>
      </c>
    </row>
    <row r="12681" spans="1:9" hidden="1" x14ac:dyDescent="0.25">
      <c r="A12681" t="s">
        <v>10442</v>
      </c>
      <c r="B12681" t="s">
        <v>34</v>
      </c>
      <c r="C12681" s="2">
        <f>HYPERLINK("https://cao.dolgi.msk.ru/account/1080072999/", 1080072999)</f>
        <v>1080072999</v>
      </c>
      <c r="D12681" t="s">
        <v>10454</v>
      </c>
      <c r="E12681">
        <v>0</v>
      </c>
      <c r="G12681" t="s">
        <v>14</v>
      </c>
      <c r="I12681" t="s">
        <v>230</v>
      </c>
    </row>
    <row r="12682" spans="1:9" hidden="1" x14ac:dyDescent="0.25">
      <c r="A12682" t="s">
        <v>10442</v>
      </c>
      <c r="B12682" t="s">
        <v>36</v>
      </c>
      <c r="C12682" s="2">
        <f>HYPERLINK("https://cao.dolgi.msk.ru/account/1080073019/", 1080073019)</f>
        <v>1080073019</v>
      </c>
      <c r="D12682" t="s">
        <v>10455</v>
      </c>
      <c r="E12682">
        <v>-6842.37</v>
      </c>
      <c r="F12682">
        <v>-1.05</v>
      </c>
      <c r="G12682" t="s">
        <v>12</v>
      </c>
      <c r="I12682" t="s">
        <v>230</v>
      </c>
    </row>
    <row r="12683" spans="1:9" hidden="1" x14ac:dyDescent="0.25">
      <c r="A12683" t="s">
        <v>10442</v>
      </c>
      <c r="B12683" t="s">
        <v>38</v>
      </c>
      <c r="C12683" s="2">
        <f>HYPERLINK("https://cao.dolgi.msk.ru/account/1080073027/", 1080073027)</f>
        <v>1080073027</v>
      </c>
      <c r="D12683" t="s">
        <v>10456</v>
      </c>
      <c r="E12683">
        <v>-8678.06</v>
      </c>
      <c r="F12683">
        <v>-0.75</v>
      </c>
      <c r="G12683" t="s">
        <v>12</v>
      </c>
      <c r="I12683" t="s">
        <v>230</v>
      </c>
    </row>
    <row r="12684" spans="1:9" hidden="1" x14ac:dyDescent="0.25">
      <c r="A12684" t="s">
        <v>10442</v>
      </c>
      <c r="B12684" t="s">
        <v>39</v>
      </c>
      <c r="C12684" s="2">
        <f>HYPERLINK("https://cao.dolgi.msk.ru/account/1080073035/", 1080073035)</f>
        <v>1080073035</v>
      </c>
      <c r="D12684" t="s">
        <v>10457</v>
      </c>
      <c r="E12684">
        <v>-9154.65</v>
      </c>
      <c r="F12684">
        <v>-1.06</v>
      </c>
      <c r="G12684" t="s">
        <v>12</v>
      </c>
      <c r="I12684" t="s">
        <v>230</v>
      </c>
    </row>
    <row r="12685" spans="1:9" hidden="1" x14ac:dyDescent="0.25">
      <c r="A12685" t="s">
        <v>10442</v>
      </c>
      <c r="B12685" t="s">
        <v>40</v>
      </c>
      <c r="C12685" s="2">
        <f>HYPERLINK("https://cao.dolgi.msk.ru/account/1080073043/", 1080073043)</f>
        <v>1080073043</v>
      </c>
      <c r="D12685" t="s">
        <v>10458</v>
      </c>
      <c r="E12685">
        <v>-8281.16</v>
      </c>
      <c r="F12685">
        <v>-2.04</v>
      </c>
      <c r="G12685" t="s">
        <v>12</v>
      </c>
      <c r="H12685" t="s">
        <v>7</v>
      </c>
      <c r="I12685" t="s">
        <v>230</v>
      </c>
    </row>
    <row r="12686" spans="1:9" hidden="1" x14ac:dyDescent="0.25">
      <c r="A12686" t="s">
        <v>10442</v>
      </c>
      <c r="B12686" t="s">
        <v>40</v>
      </c>
      <c r="C12686" s="2">
        <f>HYPERLINK("https://cao.dolgi.msk.ru/account/1080073078/", 1080073078)</f>
        <v>1080073078</v>
      </c>
      <c r="D12686" t="s">
        <v>10458</v>
      </c>
      <c r="E12686">
        <v>-5766.1</v>
      </c>
      <c r="F12686">
        <v>-2.92</v>
      </c>
      <c r="G12686" t="s">
        <v>12</v>
      </c>
      <c r="H12686" t="s">
        <v>7</v>
      </c>
      <c r="I12686" t="s">
        <v>230</v>
      </c>
    </row>
    <row r="12687" spans="1:9" hidden="1" x14ac:dyDescent="0.25">
      <c r="A12687" t="s">
        <v>10442</v>
      </c>
      <c r="B12687" t="s">
        <v>41</v>
      </c>
      <c r="C12687" s="2">
        <f>HYPERLINK("https://cao.dolgi.msk.ru/account/1080073086/", 1080073086)</f>
        <v>1080073086</v>
      </c>
      <c r="D12687" t="s">
        <v>10459</v>
      </c>
      <c r="E12687">
        <v>-9067.75</v>
      </c>
      <c r="F12687">
        <v>-1.37</v>
      </c>
      <c r="G12687" t="s">
        <v>12</v>
      </c>
      <c r="I12687" t="s">
        <v>230</v>
      </c>
    </row>
    <row r="12688" spans="1:9" hidden="1" x14ac:dyDescent="0.25">
      <c r="A12688" t="s">
        <v>10442</v>
      </c>
      <c r="B12688" t="s">
        <v>42</v>
      </c>
      <c r="C12688" s="2">
        <f>HYPERLINK("https://cao.dolgi.msk.ru/account/1080073094/", 1080073094)</f>
        <v>1080073094</v>
      </c>
      <c r="D12688" t="s">
        <v>10460</v>
      </c>
      <c r="E12688">
        <v>-5610.57</v>
      </c>
      <c r="F12688">
        <v>-0.98</v>
      </c>
      <c r="G12688" t="s">
        <v>12</v>
      </c>
      <c r="I12688" t="s">
        <v>230</v>
      </c>
    </row>
    <row r="12689" spans="1:9" hidden="1" x14ac:dyDescent="0.25">
      <c r="A12689" t="s">
        <v>10442</v>
      </c>
      <c r="B12689" t="s">
        <v>44</v>
      </c>
      <c r="C12689" s="2">
        <f>HYPERLINK("https://cao.dolgi.msk.ru/account/1080073107/", 1080073107)</f>
        <v>1080073107</v>
      </c>
      <c r="D12689" t="s">
        <v>10461</v>
      </c>
      <c r="E12689">
        <v>-12145.79</v>
      </c>
      <c r="F12689">
        <v>-1.02</v>
      </c>
      <c r="G12689" t="s">
        <v>12</v>
      </c>
      <c r="I12689" t="s">
        <v>230</v>
      </c>
    </row>
    <row r="12690" spans="1:9" hidden="1" x14ac:dyDescent="0.25">
      <c r="A12690" t="s">
        <v>10442</v>
      </c>
      <c r="B12690" t="s">
        <v>66</v>
      </c>
      <c r="C12690" s="2">
        <f>HYPERLINK("https://cao.dolgi.msk.ru/account/1080073115/", 1080073115)</f>
        <v>1080073115</v>
      </c>
      <c r="D12690" t="s">
        <v>10462</v>
      </c>
      <c r="E12690">
        <v>-10447.48</v>
      </c>
      <c r="F12690">
        <v>-1.18</v>
      </c>
      <c r="G12690" t="s">
        <v>12</v>
      </c>
      <c r="I12690" t="s">
        <v>230</v>
      </c>
    </row>
    <row r="12691" spans="1:9" hidden="1" x14ac:dyDescent="0.25">
      <c r="A12691" t="s">
        <v>10442</v>
      </c>
      <c r="B12691" t="s">
        <v>66</v>
      </c>
      <c r="C12691" s="2">
        <f>HYPERLINK("https://cao.dolgi.msk.ru/account/1083391936/", 1083391936)</f>
        <v>1083391936</v>
      </c>
      <c r="D12691" t="s">
        <v>189</v>
      </c>
      <c r="E12691">
        <v>-664.79</v>
      </c>
      <c r="G12691" t="s">
        <v>14</v>
      </c>
      <c r="I12691" t="s">
        <v>230</v>
      </c>
    </row>
    <row r="12692" spans="1:9" hidden="1" x14ac:dyDescent="0.25">
      <c r="A12692" t="s">
        <v>10442</v>
      </c>
      <c r="B12692" t="s">
        <v>68</v>
      </c>
      <c r="C12692" s="2">
        <f>HYPERLINK("https://cao.dolgi.msk.ru/account/1080073123/", 1080073123)</f>
        <v>1080073123</v>
      </c>
      <c r="D12692" t="s">
        <v>10463</v>
      </c>
      <c r="E12692">
        <v>-7279.5</v>
      </c>
      <c r="F12692">
        <v>-1.02</v>
      </c>
      <c r="G12692" t="s">
        <v>12</v>
      </c>
      <c r="I12692" t="s">
        <v>230</v>
      </c>
    </row>
    <row r="12693" spans="1:9" hidden="1" x14ac:dyDescent="0.25">
      <c r="A12693" t="s">
        <v>10442</v>
      </c>
      <c r="B12693" t="s">
        <v>70</v>
      </c>
      <c r="C12693" s="2">
        <f>HYPERLINK("https://cao.dolgi.msk.ru/account/1080073131/", 1080073131)</f>
        <v>1080073131</v>
      </c>
      <c r="D12693" t="s">
        <v>10464</v>
      </c>
      <c r="E12693">
        <v>-12725.82</v>
      </c>
      <c r="F12693">
        <v>-0.98</v>
      </c>
      <c r="G12693" t="s">
        <v>12</v>
      </c>
      <c r="I12693" t="s">
        <v>230</v>
      </c>
    </row>
    <row r="12694" spans="1:9" hidden="1" x14ac:dyDescent="0.25">
      <c r="A12694" t="s">
        <v>10442</v>
      </c>
      <c r="B12694" t="s">
        <v>72</v>
      </c>
      <c r="C12694" s="2">
        <f>HYPERLINK("https://cao.dolgi.msk.ru/account/1080073158/", 1080073158)</f>
        <v>1080073158</v>
      </c>
      <c r="D12694" t="s">
        <v>10465</v>
      </c>
      <c r="E12694">
        <v>-6634.29</v>
      </c>
      <c r="F12694">
        <v>-2.41</v>
      </c>
      <c r="G12694" t="s">
        <v>12</v>
      </c>
      <c r="H12694" t="s">
        <v>7</v>
      </c>
      <c r="I12694" t="s">
        <v>230</v>
      </c>
    </row>
    <row r="12695" spans="1:9" x14ac:dyDescent="0.25">
      <c r="A12695" t="s">
        <v>10442</v>
      </c>
      <c r="B12695" t="s">
        <v>72</v>
      </c>
      <c r="C12695" s="2">
        <f>HYPERLINK("https://cao.dolgi.msk.ru/account/1080073166/", 1080073166)</f>
        <v>1080073166</v>
      </c>
      <c r="D12695" t="s">
        <v>10465</v>
      </c>
      <c r="E12695">
        <v>47697.13</v>
      </c>
      <c r="F12695">
        <v>13.73</v>
      </c>
      <c r="G12695" t="s">
        <v>12</v>
      </c>
      <c r="H12695" t="s">
        <v>7</v>
      </c>
      <c r="I12695" t="s">
        <v>230</v>
      </c>
    </row>
    <row r="12696" spans="1:9" hidden="1" x14ac:dyDescent="0.25">
      <c r="A12696" t="s">
        <v>10442</v>
      </c>
      <c r="B12696" t="s">
        <v>72</v>
      </c>
      <c r="C12696" s="2">
        <f>HYPERLINK("https://cao.dolgi.msk.ru/account/1080073174/", 1080073174)</f>
        <v>1080073174</v>
      </c>
      <c r="D12696" t="s">
        <v>10465</v>
      </c>
      <c r="E12696">
        <v>-2703.03</v>
      </c>
      <c r="F12696">
        <v>-1.02</v>
      </c>
      <c r="G12696" t="s">
        <v>12</v>
      </c>
      <c r="H12696" t="s">
        <v>7</v>
      </c>
      <c r="I12696" t="s">
        <v>230</v>
      </c>
    </row>
    <row r="12697" spans="1:9" hidden="1" x14ac:dyDescent="0.25">
      <c r="A12697" t="s">
        <v>10442</v>
      </c>
      <c r="B12697" t="s">
        <v>74</v>
      </c>
      <c r="C12697" s="2">
        <f>HYPERLINK("https://cao.dolgi.msk.ru/account/1080073182/", 1080073182)</f>
        <v>1080073182</v>
      </c>
      <c r="D12697" t="s">
        <v>10466</v>
      </c>
      <c r="E12697">
        <v>-169.78</v>
      </c>
      <c r="F12697">
        <v>-0.02</v>
      </c>
      <c r="G12697" t="s">
        <v>12</v>
      </c>
      <c r="I12697" t="s">
        <v>230</v>
      </c>
    </row>
    <row r="12698" spans="1:9" hidden="1" x14ac:dyDescent="0.25">
      <c r="A12698" t="s">
        <v>10467</v>
      </c>
      <c r="B12698" t="s">
        <v>10</v>
      </c>
      <c r="C12698" s="2">
        <f>HYPERLINK("https://cao.dolgi.msk.ru/account/1080054838/", 1080054838)</f>
        <v>1080054838</v>
      </c>
      <c r="D12698" t="s">
        <v>10468</v>
      </c>
      <c r="E12698">
        <v>-3228.24</v>
      </c>
      <c r="F12698">
        <v>-0.99</v>
      </c>
      <c r="G12698" t="s">
        <v>12</v>
      </c>
      <c r="I12698" t="s">
        <v>13</v>
      </c>
    </row>
    <row r="12699" spans="1:9" hidden="1" x14ac:dyDescent="0.25">
      <c r="A12699" t="s">
        <v>10467</v>
      </c>
      <c r="B12699" t="s">
        <v>16</v>
      </c>
      <c r="C12699" s="2">
        <f>HYPERLINK("https://cao.dolgi.msk.ru/account/1080054846/", 1080054846)</f>
        <v>1080054846</v>
      </c>
      <c r="D12699" t="s">
        <v>10469</v>
      </c>
      <c r="E12699">
        <v>0</v>
      </c>
      <c r="F12699">
        <v>0</v>
      </c>
      <c r="G12699" t="s">
        <v>12</v>
      </c>
      <c r="I12699" t="s">
        <v>13</v>
      </c>
    </row>
    <row r="12700" spans="1:9" hidden="1" x14ac:dyDescent="0.25">
      <c r="A12700" t="s">
        <v>10467</v>
      </c>
      <c r="B12700" t="s">
        <v>18</v>
      </c>
      <c r="C12700" s="2">
        <f>HYPERLINK("https://cao.dolgi.msk.ru/account/1080054854/", 1080054854)</f>
        <v>1080054854</v>
      </c>
      <c r="D12700" t="s">
        <v>10470</v>
      </c>
      <c r="E12700">
        <v>-1976.53</v>
      </c>
      <c r="F12700">
        <v>-1.02</v>
      </c>
      <c r="G12700" t="s">
        <v>12</v>
      </c>
      <c r="I12700" t="s">
        <v>13</v>
      </c>
    </row>
    <row r="12701" spans="1:9" hidden="1" x14ac:dyDescent="0.25">
      <c r="A12701" t="s">
        <v>10467</v>
      </c>
      <c r="B12701" t="s">
        <v>18</v>
      </c>
      <c r="C12701" s="2">
        <f>HYPERLINK("https://cao.dolgi.msk.ru/account/1089122892/", 1089122892)</f>
        <v>1089122892</v>
      </c>
      <c r="D12701" t="s">
        <v>10471</v>
      </c>
      <c r="E12701">
        <v>-1924.38</v>
      </c>
      <c r="F12701">
        <v>-1.02</v>
      </c>
      <c r="G12701" t="s">
        <v>12</v>
      </c>
      <c r="I12701" t="s">
        <v>13</v>
      </c>
    </row>
    <row r="12702" spans="1:9" hidden="1" x14ac:dyDescent="0.25">
      <c r="A12702" t="s">
        <v>10467</v>
      </c>
      <c r="B12702" t="s">
        <v>20</v>
      </c>
      <c r="C12702" s="2">
        <f>HYPERLINK("https://cao.dolgi.msk.ru/account/1080054862/", 1080054862)</f>
        <v>1080054862</v>
      </c>
      <c r="D12702" t="s">
        <v>10472</v>
      </c>
      <c r="E12702">
        <v>-3961.88</v>
      </c>
      <c r="F12702">
        <v>-1.06</v>
      </c>
      <c r="G12702" t="s">
        <v>12</v>
      </c>
      <c r="I12702" t="s">
        <v>13</v>
      </c>
    </row>
    <row r="12703" spans="1:9" hidden="1" x14ac:dyDescent="0.25">
      <c r="A12703" t="s">
        <v>10467</v>
      </c>
      <c r="B12703" t="s">
        <v>21</v>
      </c>
      <c r="C12703" s="2">
        <f>HYPERLINK("https://cao.dolgi.msk.ru/account/1080054889/", 1080054889)</f>
        <v>1080054889</v>
      </c>
      <c r="D12703" t="s">
        <v>10473</v>
      </c>
      <c r="E12703">
        <v>-4237.8500000000004</v>
      </c>
      <c r="F12703">
        <v>-0.9</v>
      </c>
      <c r="G12703" t="s">
        <v>12</v>
      </c>
      <c r="I12703" t="s">
        <v>13</v>
      </c>
    </row>
    <row r="12704" spans="1:9" hidden="1" x14ac:dyDescent="0.25">
      <c r="A12704" t="s">
        <v>10467</v>
      </c>
      <c r="B12704" t="s">
        <v>22</v>
      </c>
      <c r="C12704" s="2">
        <f>HYPERLINK("https://cao.dolgi.msk.ru/account/1080054897/", 1080054897)</f>
        <v>1080054897</v>
      </c>
      <c r="D12704" t="s">
        <v>10474</v>
      </c>
      <c r="E12704">
        <v>-8951.84</v>
      </c>
      <c r="F12704">
        <v>-0.74</v>
      </c>
      <c r="G12704" t="s">
        <v>12</v>
      </c>
      <c r="I12704" t="s">
        <v>13</v>
      </c>
    </row>
    <row r="12705" spans="1:9" hidden="1" x14ac:dyDescent="0.25">
      <c r="A12705" t="s">
        <v>10467</v>
      </c>
      <c r="B12705" t="s">
        <v>23</v>
      </c>
      <c r="C12705" s="2">
        <f>HYPERLINK("https://cao.dolgi.msk.ru/account/1080054918/", 1080054918)</f>
        <v>1080054918</v>
      </c>
      <c r="D12705" t="s">
        <v>10475</v>
      </c>
      <c r="E12705">
        <v>-4684.5200000000004</v>
      </c>
      <c r="F12705">
        <v>-1.07</v>
      </c>
      <c r="G12705" t="s">
        <v>12</v>
      </c>
      <c r="I12705" t="s">
        <v>13</v>
      </c>
    </row>
    <row r="12706" spans="1:9" hidden="1" x14ac:dyDescent="0.25">
      <c r="A12706" t="s">
        <v>10467</v>
      </c>
      <c r="B12706" t="s">
        <v>24</v>
      </c>
      <c r="C12706" s="2">
        <f>HYPERLINK("https://cao.dolgi.msk.ru/account/1080054926/", 1080054926)</f>
        <v>1080054926</v>
      </c>
      <c r="D12706" t="s">
        <v>10476</v>
      </c>
      <c r="E12706">
        <v>-7377.21</v>
      </c>
      <c r="F12706">
        <v>-0.96</v>
      </c>
      <c r="G12706" t="s">
        <v>12</v>
      </c>
      <c r="I12706" t="s">
        <v>13</v>
      </c>
    </row>
    <row r="12707" spans="1:9" hidden="1" x14ac:dyDescent="0.25">
      <c r="A12707" t="s">
        <v>10467</v>
      </c>
      <c r="B12707" t="s">
        <v>27</v>
      </c>
      <c r="C12707" s="2">
        <f>HYPERLINK("https://cao.dolgi.msk.ru/account/1080054934/", 1080054934)</f>
        <v>1080054934</v>
      </c>
      <c r="D12707" t="s">
        <v>10477</v>
      </c>
      <c r="E12707">
        <v>-7593.89</v>
      </c>
      <c r="F12707">
        <v>-1.07</v>
      </c>
      <c r="G12707" t="s">
        <v>12</v>
      </c>
      <c r="I12707" t="s">
        <v>13</v>
      </c>
    </row>
    <row r="12708" spans="1:9" hidden="1" x14ac:dyDescent="0.25">
      <c r="A12708" t="s">
        <v>10467</v>
      </c>
      <c r="B12708" t="s">
        <v>29</v>
      </c>
      <c r="C12708" s="2">
        <f>HYPERLINK("https://cao.dolgi.msk.ru/account/1080054942/", 1080054942)</f>
        <v>1080054942</v>
      </c>
      <c r="D12708" t="s">
        <v>10478</v>
      </c>
      <c r="E12708">
        <v>-3800.95</v>
      </c>
      <c r="F12708">
        <v>-1.06</v>
      </c>
      <c r="G12708" t="s">
        <v>12</v>
      </c>
      <c r="I12708" t="s">
        <v>13</v>
      </c>
    </row>
    <row r="12709" spans="1:9" hidden="1" x14ac:dyDescent="0.25">
      <c r="A12709" t="s">
        <v>10467</v>
      </c>
      <c r="B12709" t="s">
        <v>31</v>
      </c>
      <c r="C12709" s="2">
        <f>HYPERLINK("https://cao.dolgi.msk.ru/account/1080054969/", 1080054969)</f>
        <v>1080054969</v>
      </c>
      <c r="D12709" t="s">
        <v>10479</v>
      </c>
      <c r="E12709">
        <v>-5614.27</v>
      </c>
      <c r="F12709">
        <v>-0.9</v>
      </c>
      <c r="G12709" t="s">
        <v>12</v>
      </c>
      <c r="I12709" t="s">
        <v>13</v>
      </c>
    </row>
    <row r="12710" spans="1:9" hidden="1" x14ac:dyDescent="0.25">
      <c r="A12710" t="s">
        <v>10467</v>
      </c>
      <c r="B12710" t="s">
        <v>33</v>
      </c>
      <c r="C12710" s="2">
        <f>HYPERLINK("https://cao.dolgi.msk.ru/account/1080054977/", 1080054977)</f>
        <v>1080054977</v>
      </c>
      <c r="D12710" t="s">
        <v>10480</v>
      </c>
      <c r="E12710">
        <v>-4861.76</v>
      </c>
      <c r="F12710">
        <v>-0.97</v>
      </c>
      <c r="G12710" t="s">
        <v>12</v>
      </c>
      <c r="I12710" t="s">
        <v>13</v>
      </c>
    </row>
    <row r="12711" spans="1:9" hidden="1" x14ac:dyDescent="0.25">
      <c r="A12711" t="s">
        <v>10467</v>
      </c>
      <c r="B12711" t="s">
        <v>34</v>
      </c>
      <c r="C12711" s="2">
        <f>HYPERLINK("https://cao.dolgi.msk.ru/account/1080054985/", 1080054985)</f>
        <v>1080054985</v>
      </c>
      <c r="D12711" t="s">
        <v>10481</v>
      </c>
      <c r="E12711">
        <v>-7049.78</v>
      </c>
      <c r="F12711">
        <v>-1.04</v>
      </c>
      <c r="G12711" t="s">
        <v>12</v>
      </c>
      <c r="I12711" t="s">
        <v>13</v>
      </c>
    </row>
    <row r="12712" spans="1:9" hidden="1" x14ac:dyDescent="0.25">
      <c r="A12712" t="s">
        <v>10467</v>
      </c>
      <c r="B12712" t="s">
        <v>36</v>
      </c>
      <c r="C12712" s="2">
        <f>HYPERLINK("https://cao.dolgi.msk.ru/account/1080054993/", 1080054993)</f>
        <v>1080054993</v>
      </c>
      <c r="D12712" t="s">
        <v>10482</v>
      </c>
      <c r="E12712">
        <v>-4487.5600000000004</v>
      </c>
      <c r="F12712">
        <v>-1.02</v>
      </c>
      <c r="G12712" t="s">
        <v>12</v>
      </c>
      <c r="I12712" t="s">
        <v>13</v>
      </c>
    </row>
    <row r="12713" spans="1:9" hidden="1" x14ac:dyDescent="0.25">
      <c r="A12713" t="s">
        <v>10467</v>
      </c>
      <c r="B12713" t="s">
        <v>38</v>
      </c>
      <c r="C12713" s="2">
        <f>HYPERLINK("https://cao.dolgi.msk.ru/account/1080055005/", 1080055005)</f>
        <v>1080055005</v>
      </c>
      <c r="D12713" t="s">
        <v>10483</v>
      </c>
      <c r="E12713">
        <v>12.88</v>
      </c>
      <c r="F12713">
        <v>0</v>
      </c>
      <c r="G12713" t="s">
        <v>12</v>
      </c>
      <c r="I12713" t="s">
        <v>13</v>
      </c>
    </row>
    <row r="12714" spans="1:9" x14ac:dyDescent="0.25">
      <c r="A12714" t="s">
        <v>10467</v>
      </c>
      <c r="B12714" t="s">
        <v>39</v>
      </c>
      <c r="C12714" s="2">
        <f>HYPERLINK("https://cao.dolgi.msk.ru/account/1080055013/", 1080055013)</f>
        <v>1080055013</v>
      </c>
      <c r="D12714" t="s">
        <v>10484</v>
      </c>
      <c r="E12714">
        <v>8106.37</v>
      </c>
      <c r="F12714">
        <v>1.04</v>
      </c>
      <c r="G12714" t="s">
        <v>12</v>
      </c>
      <c r="I12714" t="s">
        <v>13</v>
      </c>
    </row>
    <row r="12715" spans="1:9" hidden="1" x14ac:dyDescent="0.25">
      <c r="A12715" t="s">
        <v>10467</v>
      </c>
      <c r="B12715" t="s">
        <v>40</v>
      </c>
      <c r="C12715" s="2">
        <f>HYPERLINK("https://cao.dolgi.msk.ru/account/1080055021/", 1080055021)</f>
        <v>1080055021</v>
      </c>
      <c r="D12715" t="s">
        <v>10485</v>
      </c>
      <c r="E12715">
        <v>-4978.2299999999996</v>
      </c>
      <c r="F12715">
        <v>-0.52</v>
      </c>
      <c r="G12715" t="s">
        <v>12</v>
      </c>
      <c r="I12715" t="s">
        <v>13</v>
      </c>
    </row>
    <row r="12716" spans="1:9" hidden="1" x14ac:dyDescent="0.25">
      <c r="A12716" t="s">
        <v>10467</v>
      </c>
      <c r="B12716" t="s">
        <v>41</v>
      </c>
      <c r="C12716" s="2">
        <f>HYPERLINK("https://cao.dolgi.msk.ru/account/1080055048/", 1080055048)</f>
        <v>1080055048</v>
      </c>
      <c r="D12716" t="s">
        <v>10486</v>
      </c>
      <c r="E12716">
        <v>-1291.28</v>
      </c>
      <c r="F12716">
        <v>-0.19</v>
      </c>
      <c r="G12716" t="s">
        <v>12</v>
      </c>
      <c r="I12716" t="s">
        <v>13</v>
      </c>
    </row>
    <row r="12717" spans="1:9" hidden="1" x14ac:dyDescent="0.25">
      <c r="A12717" t="s">
        <v>10467</v>
      </c>
      <c r="B12717" t="s">
        <v>42</v>
      </c>
      <c r="C12717" s="2">
        <f>HYPERLINK("https://cao.dolgi.msk.ru/account/1080055056/", 1080055056)</f>
        <v>1080055056</v>
      </c>
      <c r="D12717" t="s">
        <v>10487</v>
      </c>
      <c r="E12717">
        <v>0</v>
      </c>
      <c r="G12717" t="s">
        <v>14</v>
      </c>
      <c r="I12717" t="s">
        <v>13</v>
      </c>
    </row>
    <row r="12718" spans="1:9" hidden="1" x14ac:dyDescent="0.25">
      <c r="A12718" t="s">
        <v>10467</v>
      </c>
      <c r="B12718" t="s">
        <v>42</v>
      </c>
      <c r="C12718" s="2">
        <f>HYPERLINK("https://cao.dolgi.msk.ru/account/1083272056/", 1083272056)</f>
        <v>1083272056</v>
      </c>
      <c r="D12718" t="s">
        <v>736</v>
      </c>
      <c r="E12718">
        <v>-4993.91</v>
      </c>
      <c r="F12718">
        <v>-0.99</v>
      </c>
      <c r="G12718" t="s">
        <v>12</v>
      </c>
      <c r="I12718" t="s">
        <v>13</v>
      </c>
    </row>
    <row r="12719" spans="1:9" hidden="1" x14ac:dyDescent="0.25">
      <c r="A12719" t="s">
        <v>10467</v>
      </c>
      <c r="B12719" t="s">
        <v>44</v>
      </c>
      <c r="C12719" s="2">
        <f>HYPERLINK("https://cao.dolgi.msk.ru/account/1080055064/", 1080055064)</f>
        <v>1080055064</v>
      </c>
      <c r="D12719" t="s">
        <v>10488</v>
      </c>
      <c r="E12719">
        <v>-13520.7</v>
      </c>
      <c r="F12719">
        <v>-1.01</v>
      </c>
      <c r="G12719" t="s">
        <v>12</v>
      </c>
      <c r="I12719" t="s">
        <v>13</v>
      </c>
    </row>
    <row r="12720" spans="1:9" hidden="1" x14ac:dyDescent="0.25">
      <c r="A12720" t="s">
        <v>10467</v>
      </c>
      <c r="B12720" t="s">
        <v>66</v>
      </c>
      <c r="C12720" s="2">
        <f>HYPERLINK("https://cao.dolgi.msk.ru/account/1080055072/", 1080055072)</f>
        <v>1080055072</v>
      </c>
      <c r="D12720" t="s">
        <v>10489</v>
      </c>
      <c r="E12720">
        <v>-2311.71</v>
      </c>
      <c r="F12720">
        <v>-1.08</v>
      </c>
      <c r="G12720" t="s">
        <v>12</v>
      </c>
      <c r="I12720" t="s">
        <v>13</v>
      </c>
    </row>
    <row r="12721" spans="1:9" hidden="1" x14ac:dyDescent="0.25">
      <c r="A12721" t="s">
        <v>10467</v>
      </c>
      <c r="B12721" t="s">
        <v>66</v>
      </c>
      <c r="C12721" s="2">
        <f>HYPERLINK("https://cao.dolgi.msk.ru/account/1083273809/", 1083273809)</f>
        <v>1083273809</v>
      </c>
      <c r="D12721" t="s">
        <v>10489</v>
      </c>
      <c r="E12721">
        <v>1470.09</v>
      </c>
      <c r="F12721">
        <v>0.53</v>
      </c>
      <c r="G12721" t="s">
        <v>12</v>
      </c>
      <c r="I12721" t="s">
        <v>13</v>
      </c>
    </row>
    <row r="12722" spans="1:9" hidden="1" x14ac:dyDescent="0.25">
      <c r="A12722" t="s">
        <v>10467</v>
      </c>
      <c r="B12722" t="s">
        <v>68</v>
      </c>
      <c r="C12722" s="2">
        <f>HYPERLINK("https://cao.dolgi.msk.ru/account/1080055099/", 1080055099)</f>
        <v>1080055099</v>
      </c>
      <c r="D12722" t="s">
        <v>10490</v>
      </c>
      <c r="E12722">
        <v>-4617.33</v>
      </c>
      <c r="F12722">
        <v>-1.05</v>
      </c>
      <c r="G12722" t="s">
        <v>12</v>
      </c>
      <c r="I12722" t="s">
        <v>13</v>
      </c>
    </row>
    <row r="12723" spans="1:9" hidden="1" x14ac:dyDescent="0.25">
      <c r="A12723" t="s">
        <v>10467</v>
      </c>
      <c r="B12723" t="s">
        <v>70</v>
      </c>
      <c r="C12723" s="2">
        <f>HYPERLINK("https://cao.dolgi.msk.ru/account/1080055101/", 1080055101)</f>
        <v>1080055101</v>
      </c>
      <c r="D12723" t="s">
        <v>10491</v>
      </c>
      <c r="E12723">
        <v>-6088.63</v>
      </c>
      <c r="F12723">
        <v>-1.02</v>
      </c>
      <c r="G12723" t="s">
        <v>12</v>
      </c>
      <c r="I12723" t="s">
        <v>13</v>
      </c>
    </row>
    <row r="12724" spans="1:9" hidden="1" x14ac:dyDescent="0.25">
      <c r="A12724" t="s">
        <v>10467</v>
      </c>
      <c r="B12724" t="s">
        <v>72</v>
      </c>
      <c r="C12724" s="2">
        <f>HYPERLINK("https://cao.dolgi.msk.ru/account/1080055128/", 1080055128)</f>
        <v>1080055128</v>
      </c>
      <c r="D12724" t="s">
        <v>10492</v>
      </c>
      <c r="E12724">
        <v>-7254.99</v>
      </c>
      <c r="F12724">
        <v>-1</v>
      </c>
      <c r="G12724" t="s">
        <v>12</v>
      </c>
      <c r="I12724" t="s">
        <v>13</v>
      </c>
    </row>
    <row r="12725" spans="1:9" hidden="1" x14ac:dyDescent="0.25">
      <c r="A12725" t="s">
        <v>10467</v>
      </c>
      <c r="B12725" t="s">
        <v>74</v>
      </c>
      <c r="C12725" s="2">
        <f>HYPERLINK("https://cao.dolgi.msk.ru/account/1080055136/", 1080055136)</f>
        <v>1080055136</v>
      </c>
      <c r="D12725" t="s">
        <v>10493</v>
      </c>
      <c r="E12725">
        <v>-6675.05</v>
      </c>
      <c r="F12725">
        <v>-1.1599999999999999</v>
      </c>
      <c r="G12725" t="s">
        <v>12</v>
      </c>
      <c r="I12725" t="s">
        <v>13</v>
      </c>
    </row>
    <row r="12726" spans="1:9" hidden="1" x14ac:dyDescent="0.25">
      <c r="A12726" t="s">
        <v>10467</v>
      </c>
      <c r="B12726" t="s">
        <v>76</v>
      </c>
      <c r="C12726" s="2">
        <f>HYPERLINK("https://cao.dolgi.msk.ru/account/1080055144/", 1080055144)</f>
        <v>1080055144</v>
      </c>
      <c r="D12726" t="s">
        <v>10494</v>
      </c>
      <c r="E12726">
        <v>-2244.37</v>
      </c>
      <c r="F12726">
        <v>-0.79</v>
      </c>
      <c r="G12726" t="s">
        <v>12</v>
      </c>
      <c r="I12726" t="s">
        <v>13</v>
      </c>
    </row>
    <row r="12727" spans="1:9" hidden="1" x14ac:dyDescent="0.25">
      <c r="A12727" t="s">
        <v>10467</v>
      </c>
      <c r="B12727" t="s">
        <v>78</v>
      </c>
      <c r="C12727" s="2">
        <f>HYPERLINK("https://cao.dolgi.msk.ru/account/1080055152/", 1080055152)</f>
        <v>1080055152</v>
      </c>
      <c r="D12727" t="s">
        <v>10495</v>
      </c>
      <c r="E12727">
        <v>-13576.11</v>
      </c>
      <c r="F12727">
        <v>-1</v>
      </c>
      <c r="G12727" t="s">
        <v>12</v>
      </c>
      <c r="I12727" t="s">
        <v>13</v>
      </c>
    </row>
    <row r="12728" spans="1:9" hidden="1" x14ac:dyDescent="0.25">
      <c r="A12728" t="s">
        <v>10467</v>
      </c>
      <c r="B12728" t="s">
        <v>80</v>
      </c>
      <c r="C12728" s="2">
        <f>HYPERLINK("https://cao.dolgi.msk.ru/account/1080055179/", 1080055179)</f>
        <v>1080055179</v>
      </c>
      <c r="D12728" t="s">
        <v>10496</v>
      </c>
      <c r="E12728">
        <v>-5064.6499999999996</v>
      </c>
      <c r="F12728">
        <v>-1</v>
      </c>
      <c r="G12728" t="s">
        <v>12</v>
      </c>
      <c r="I12728" t="s">
        <v>13</v>
      </c>
    </row>
    <row r="12729" spans="1:9" hidden="1" x14ac:dyDescent="0.25">
      <c r="A12729" t="s">
        <v>10467</v>
      </c>
      <c r="B12729" t="s">
        <v>82</v>
      </c>
      <c r="C12729" s="2">
        <f>HYPERLINK("https://cao.dolgi.msk.ru/account/1080055187/", 1080055187)</f>
        <v>1080055187</v>
      </c>
      <c r="D12729" t="s">
        <v>10497</v>
      </c>
      <c r="E12729">
        <v>-5737.32</v>
      </c>
      <c r="F12729">
        <v>-0.92</v>
      </c>
      <c r="G12729" t="s">
        <v>12</v>
      </c>
      <c r="I12729" t="s">
        <v>13</v>
      </c>
    </row>
    <row r="12730" spans="1:9" hidden="1" x14ac:dyDescent="0.25">
      <c r="A12730" t="s">
        <v>10467</v>
      </c>
      <c r="B12730" t="s">
        <v>84</v>
      </c>
      <c r="C12730" s="2">
        <f>HYPERLINK("https://cao.dolgi.msk.ru/account/1080055195/", 1080055195)</f>
        <v>1080055195</v>
      </c>
      <c r="D12730" t="s">
        <v>10498</v>
      </c>
      <c r="E12730">
        <v>-7920.81</v>
      </c>
      <c r="F12730">
        <v>-0.96</v>
      </c>
      <c r="G12730" t="s">
        <v>12</v>
      </c>
      <c r="I12730" t="s">
        <v>13</v>
      </c>
    </row>
    <row r="12731" spans="1:9" hidden="1" x14ac:dyDescent="0.25">
      <c r="A12731" t="s">
        <v>10467</v>
      </c>
      <c r="B12731" t="s">
        <v>86</v>
      </c>
      <c r="C12731" s="2">
        <f>HYPERLINK("https://cao.dolgi.msk.ru/account/1080055208/", 1080055208)</f>
        <v>1080055208</v>
      </c>
      <c r="D12731" t="s">
        <v>10499</v>
      </c>
      <c r="E12731">
        <v>6395.92</v>
      </c>
      <c r="F12731">
        <v>0.88</v>
      </c>
      <c r="G12731" t="s">
        <v>12</v>
      </c>
      <c r="I12731" t="s">
        <v>13</v>
      </c>
    </row>
    <row r="12732" spans="1:9" hidden="1" x14ac:dyDescent="0.25">
      <c r="A12732" t="s">
        <v>10467</v>
      </c>
      <c r="B12732" t="s">
        <v>88</v>
      </c>
      <c r="C12732" s="2">
        <f>HYPERLINK("https://cao.dolgi.msk.ru/account/1080055216/", 1080055216)</f>
        <v>1080055216</v>
      </c>
      <c r="D12732" t="s">
        <v>10500</v>
      </c>
      <c r="E12732">
        <v>4867.87</v>
      </c>
      <c r="F12732">
        <v>0.72</v>
      </c>
      <c r="G12732" t="s">
        <v>12</v>
      </c>
      <c r="I12732" t="s">
        <v>13</v>
      </c>
    </row>
    <row r="12733" spans="1:9" hidden="1" x14ac:dyDescent="0.25">
      <c r="A12733" t="s">
        <v>10467</v>
      </c>
      <c r="B12733" t="s">
        <v>90</v>
      </c>
      <c r="C12733" s="2">
        <f>HYPERLINK("https://cao.dolgi.msk.ru/account/1080055224/", 1080055224)</f>
        <v>1080055224</v>
      </c>
      <c r="D12733" t="s">
        <v>10501</v>
      </c>
      <c r="E12733">
        <v>5992.38</v>
      </c>
      <c r="F12733">
        <v>1</v>
      </c>
      <c r="G12733" t="s">
        <v>12</v>
      </c>
      <c r="I12733" t="s">
        <v>13</v>
      </c>
    </row>
    <row r="12734" spans="1:9" hidden="1" x14ac:dyDescent="0.25">
      <c r="A12734" t="s">
        <v>10467</v>
      </c>
      <c r="B12734" t="s">
        <v>92</v>
      </c>
      <c r="C12734" s="2">
        <f>HYPERLINK("https://cao.dolgi.msk.ru/account/1080055232/", 1080055232)</f>
        <v>1080055232</v>
      </c>
      <c r="D12734" t="s">
        <v>10502</v>
      </c>
      <c r="E12734">
        <v>-19420.97</v>
      </c>
      <c r="F12734">
        <v>-1</v>
      </c>
      <c r="G12734" t="s">
        <v>12</v>
      </c>
      <c r="I12734" t="s">
        <v>13</v>
      </c>
    </row>
    <row r="12735" spans="1:9" hidden="1" x14ac:dyDescent="0.25">
      <c r="A12735" t="s">
        <v>10467</v>
      </c>
      <c r="B12735" t="s">
        <v>94</v>
      </c>
      <c r="C12735" s="2">
        <f>HYPERLINK("https://cao.dolgi.msk.ru/account/1080055259/", 1080055259)</f>
        <v>1080055259</v>
      </c>
      <c r="D12735" t="s">
        <v>10503</v>
      </c>
      <c r="E12735">
        <v>-6502.1</v>
      </c>
      <c r="F12735">
        <v>-1.05</v>
      </c>
      <c r="G12735" t="s">
        <v>12</v>
      </c>
      <c r="I12735" t="s">
        <v>13</v>
      </c>
    </row>
    <row r="12736" spans="1:9" hidden="1" x14ac:dyDescent="0.25">
      <c r="A12736" t="s">
        <v>10467</v>
      </c>
      <c r="B12736" t="s">
        <v>96</v>
      </c>
      <c r="C12736" s="2">
        <f>HYPERLINK("https://cao.dolgi.msk.ru/account/1080055267/", 1080055267)</f>
        <v>1080055267</v>
      </c>
      <c r="D12736" t="s">
        <v>10504</v>
      </c>
      <c r="E12736">
        <v>172.47</v>
      </c>
      <c r="F12736">
        <v>0.03</v>
      </c>
      <c r="G12736" t="s">
        <v>12</v>
      </c>
      <c r="I12736" t="s">
        <v>13</v>
      </c>
    </row>
    <row r="12737" spans="1:9" hidden="1" x14ac:dyDescent="0.25">
      <c r="A12737" t="s">
        <v>10467</v>
      </c>
      <c r="B12737" t="s">
        <v>98</v>
      </c>
      <c r="C12737" s="2">
        <f>HYPERLINK("https://cao.dolgi.msk.ru/account/1080055275/", 1080055275)</f>
        <v>1080055275</v>
      </c>
      <c r="D12737" t="s">
        <v>10505</v>
      </c>
      <c r="E12737">
        <v>-11252.57</v>
      </c>
      <c r="F12737">
        <v>-1.92</v>
      </c>
      <c r="G12737" t="s">
        <v>12</v>
      </c>
      <c r="I12737" t="s">
        <v>13</v>
      </c>
    </row>
    <row r="12738" spans="1:9" hidden="1" x14ac:dyDescent="0.25">
      <c r="A12738" t="s">
        <v>10467</v>
      </c>
      <c r="B12738" t="s">
        <v>100</v>
      </c>
      <c r="C12738" s="2">
        <f>HYPERLINK("https://cao.dolgi.msk.ru/account/1080055283/", 1080055283)</f>
        <v>1080055283</v>
      </c>
      <c r="D12738" t="s">
        <v>10506</v>
      </c>
      <c r="E12738">
        <v>-4018.01</v>
      </c>
      <c r="F12738">
        <v>-1.01</v>
      </c>
      <c r="G12738" t="s">
        <v>12</v>
      </c>
      <c r="I12738" t="s">
        <v>13</v>
      </c>
    </row>
    <row r="12739" spans="1:9" hidden="1" x14ac:dyDescent="0.25">
      <c r="A12739" t="s">
        <v>10467</v>
      </c>
      <c r="B12739" t="s">
        <v>102</v>
      </c>
      <c r="C12739" s="2">
        <f>HYPERLINK("https://cao.dolgi.msk.ru/account/1080055291/", 1080055291)</f>
        <v>1080055291</v>
      </c>
      <c r="D12739" t="s">
        <v>10507</v>
      </c>
      <c r="E12739">
        <v>-9883.61</v>
      </c>
      <c r="F12739">
        <v>-2.19</v>
      </c>
      <c r="G12739" t="s">
        <v>12</v>
      </c>
      <c r="I12739" t="s">
        <v>13</v>
      </c>
    </row>
    <row r="12740" spans="1:9" hidden="1" x14ac:dyDescent="0.25">
      <c r="A12740" t="s">
        <v>10467</v>
      </c>
      <c r="B12740" t="s">
        <v>104</v>
      </c>
      <c r="C12740" s="2">
        <f>HYPERLINK("https://cao.dolgi.msk.ru/account/1080055304/", 1080055304)</f>
        <v>1080055304</v>
      </c>
      <c r="D12740" t="s">
        <v>10508</v>
      </c>
      <c r="E12740">
        <v>0</v>
      </c>
      <c r="F12740">
        <v>0</v>
      </c>
      <c r="G12740" t="s">
        <v>12</v>
      </c>
      <c r="I12740" t="s">
        <v>13</v>
      </c>
    </row>
    <row r="12741" spans="1:9" hidden="1" x14ac:dyDescent="0.25">
      <c r="A12741" t="s">
        <v>10467</v>
      </c>
      <c r="B12741" t="s">
        <v>106</v>
      </c>
      <c r="C12741" s="2">
        <f>HYPERLINK("https://cao.dolgi.msk.ru/account/1080055312/", 1080055312)</f>
        <v>1080055312</v>
      </c>
      <c r="D12741" t="s">
        <v>10509</v>
      </c>
      <c r="E12741">
        <v>-9904.1200000000008</v>
      </c>
      <c r="F12741">
        <v>-0.95</v>
      </c>
      <c r="G12741" t="s">
        <v>12</v>
      </c>
      <c r="I12741" t="s">
        <v>13</v>
      </c>
    </row>
    <row r="12742" spans="1:9" hidden="1" x14ac:dyDescent="0.25">
      <c r="A12742" t="s">
        <v>10467</v>
      </c>
      <c r="B12742" t="s">
        <v>108</v>
      </c>
      <c r="C12742" s="2">
        <f>HYPERLINK("https://cao.dolgi.msk.ru/account/1080055339/", 1080055339)</f>
        <v>1080055339</v>
      </c>
      <c r="D12742" t="s">
        <v>10510</v>
      </c>
      <c r="E12742">
        <v>-127.62</v>
      </c>
      <c r="F12742">
        <v>-0.03</v>
      </c>
      <c r="G12742" t="s">
        <v>12</v>
      </c>
      <c r="I12742" t="s">
        <v>13</v>
      </c>
    </row>
    <row r="12743" spans="1:9" hidden="1" x14ac:dyDescent="0.25">
      <c r="A12743" t="s">
        <v>10467</v>
      </c>
      <c r="B12743" t="s">
        <v>110</v>
      </c>
      <c r="C12743" s="2">
        <f>HYPERLINK("https://cao.dolgi.msk.ru/account/1080055347/", 1080055347)</f>
        <v>1080055347</v>
      </c>
      <c r="D12743" t="s">
        <v>10511</v>
      </c>
      <c r="E12743">
        <v>-6335.1</v>
      </c>
      <c r="F12743">
        <v>-1.01</v>
      </c>
      <c r="G12743" t="s">
        <v>12</v>
      </c>
      <c r="I12743" t="s">
        <v>13</v>
      </c>
    </row>
    <row r="12744" spans="1:9" hidden="1" x14ac:dyDescent="0.25">
      <c r="A12744" t="s">
        <v>10467</v>
      </c>
      <c r="B12744" t="s">
        <v>112</v>
      </c>
      <c r="C12744" s="2">
        <f>HYPERLINK("https://cao.dolgi.msk.ru/account/1080055355/", 1080055355)</f>
        <v>1080055355</v>
      </c>
      <c r="D12744" t="s">
        <v>15</v>
      </c>
      <c r="G12744" t="s">
        <v>14</v>
      </c>
      <c r="I12744" t="s">
        <v>13</v>
      </c>
    </row>
    <row r="12745" spans="1:9" hidden="1" x14ac:dyDescent="0.25">
      <c r="A12745" t="s">
        <v>10467</v>
      </c>
      <c r="B12745" t="s">
        <v>112</v>
      </c>
      <c r="C12745" s="2">
        <f>HYPERLINK("https://cao.dolgi.msk.ru/account/1080326098/", 1080326098)</f>
        <v>1080326098</v>
      </c>
      <c r="D12745" t="s">
        <v>10512</v>
      </c>
      <c r="E12745">
        <v>-8177.92</v>
      </c>
      <c r="F12745">
        <v>-1.03</v>
      </c>
      <c r="G12745" t="s">
        <v>12</v>
      </c>
      <c r="I12745" t="s">
        <v>13</v>
      </c>
    </row>
    <row r="12746" spans="1:9" hidden="1" x14ac:dyDescent="0.25">
      <c r="A12746" t="s">
        <v>10467</v>
      </c>
      <c r="B12746" t="s">
        <v>114</v>
      </c>
      <c r="C12746" s="2">
        <f>HYPERLINK("https://cao.dolgi.msk.ru/account/1080055363/", 1080055363)</f>
        <v>1080055363</v>
      </c>
      <c r="D12746" t="s">
        <v>10513</v>
      </c>
      <c r="E12746">
        <v>-4804.07</v>
      </c>
      <c r="F12746">
        <v>-1</v>
      </c>
      <c r="G12746" t="s">
        <v>12</v>
      </c>
      <c r="I12746" t="s">
        <v>13</v>
      </c>
    </row>
    <row r="12747" spans="1:9" hidden="1" x14ac:dyDescent="0.25">
      <c r="A12747" t="s">
        <v>10467</v>
      </c>
      <c r="B12747" t="s">
        <v>116</v>
      </c>
      <c r="C12747" s="2">
        <f>HYPERLINK("https://cao.dolgi.msk.ru/account/1080055371/", 1080055371)</f>
        <v>1080055371</v>
      </c>
      <c r="D12747" t="s">
        <v>10514</v>
      </c>
      <c r="E12747">
        <v>-3992.15</v>
      </c>
      <c r="F12747">
        <v>-0.98</v>
      </c>
      <c r="G12747" t="s">
        <v>12</v>
      </c>
      <c r="I12747" t="s">
        <v>13</v>
      </c>
    </row>
    <row r="12748" spans="1:9" hidden="1" x14ac:dyDescent="0.25">
      <c r="A12748" t="s">
        <v>10467</v>
      </c>
      <c r="B12748" t="s">
        <v>118</v>
      </c>
      <c r="C12748" s="2">
        <f>HYPERLINK("https://cao.dolgi.msk.ru/account/1080055398/", 1080055398)</f>
        <v>1080055398</v>
      </c>
      <c r="D12748" t="s">
        <v>10515</v>
      </c>
      <c r="E12748">
        <v>-2.34</v>
      </c>
      <c r="F12748">
        <v>0</v>
      </c>
      <c r="G12748" t="s">
        <v>12</v>
      </c>
      <c r="I12748" t="s">
        <v>13</v>
      </c>
    </row>
    <row r="12749" spans="1:9" hidden="1" x14ac:dyDescent="0.25">
      <c r="A12749" t="s">
        <v>10467</v>
      </c>
      <c r="B12749" t="s">
        <v>120</v>
      </c>
      <c r="C12749" s="2">
        <f>HYPERLINK("https://cao.dolgi.msk.ru/account/1080055419/", 1080055419)</f>
        <v>1080055419</v>
      </c>
      <c r="D12749" t="s">
        <v>10516</v>
      </c>
      <c r="E12749">
        <v>0.32</v>
      </c>
      <c r="F12749">
        <v>0</v>
      </c>
      <c r="G12749" t="s">
        <v>12</v>
      </c>
      <c r="I12749" t="s">
        <v>13</v>
      </c>
    </row>
    <row r="12750" spans="1:9" hidden="1" x14ac:dyDescent="0.25">
      <c r="A12750" t="s">
        <v>10467</v>
      </c>
      <c r="B12750" t="s">
        <v>122</v>
      </c>
      <c r="C12750" s="2">
        <f>HYPERLINK("https://cao.dolgi.msk.ru/account/1080055427/", 1080055427)</f>
        <v>1080055427</v>
      </c>
      <c r="D12750" t="s">
        <v>10517</v>
      </c>
      <c r="E12750">
        <v>58.1</v>
      </c>
      <c r="F12750">
        <v>0.01</v>
      </c>
      <c r="G12750" t="s">
        <v>12</v>
      </c>
      <c r="I12750" t="s">
        <v>13</v>
      </c>
    </row>
    <row r="12751" spans="1:9" hidden="1" x14ac:dyDescent="0.25">
      <c r="A12751" t="s">
        <v>10467</v>
      </c>
      <c r="B12751" t="s">
        <v>124</v>
      </c>
      <c r="C12751" s="2">
        <f>HYPERLINK("https://cao.dolgi.msk.ru/account/1080055435/", 1080055435)</f>
        <v>1080055435</v>
      </c>
      <c r="D12751" t="s">
        <v>10518</v>
      </c>
      <c r="E12751">
        <v>7.73</v>
      </c>
      <c r="F12751">
        <v>0</v>
      </c>
      <c r="G12751" t="s">
        <v>12</v>
      </c>
      <c r="I12751" t="s">
        <v>13</v>
      </c>
    </row>
    <row r="12752" spans="1:9" hidden="1" x14ac:dyDescent="0.25">
      <c r="A12752" t="s">
        <v>10467</v>
      </c>
      <c r="B12752" t="s">
        <v>126</v>
      </c>
      <c r="C12752" s="2">
        <f>HYPERLINK("https://cao.dolgi.msk.ru/account/1080055443/", 1080055443)</f>
        <v>1080055443</v>
      </c>
      <c r="D12752" t="s">
        <v>10519</v>
      </c>
      <c r="E12752">
        <v>7.43</v>
      </c>
      <c r="F12752">
        <v>0</v>
      </c>
      <c r="G12752" t="s">
        <v>12</v>
      </c>
      <c r="I12752" t="s">
        <v>13</v>
      </c>
    </row>
    <row r="12753" spans="1:9" hidden="1" x14ac:dyDescent="0.25">
      <c r="A12753" t="s">
        <v>10467</v>
      </c>
      <c r="B12753" t="s">
        <v>128</v>
      </c>
      <c r="C12753" s="2">
        <f>HYPERLINK("https://cao.dolgi.msk.ru/account/1080055451/", 1080055451)</f>
        <v>1080055451</v>
      </c>
      <c r="D12753" t="s">
        <v>10520</v>
      </c>
      <c r="E12753">
        <v>-3453.99</v>
      </c>
      <c r="F12753">
        <v>-1.02</v>
      </c>
      <c r="G12753" t="s">
        <v>12</v>
      </c>
      <c r="I12753" t="s">
        <v>13</v>
      </c>
    </row>
    <row r="12754" spans="1:9" hidden="1" x14ac:dyDescent="0.25">
      <c r="A12754" t="s">
        <v>10467</v>
      </c>
      <c r="B12754" t="s">
        <v>130</v>
      </c>
      <c r="C12754" s="2">
        <f>HYPERLINK("https://cao.dolgi.msk.ru/account/1080055478/", 1080055478)</f>
        <v>1080055478</v>
      </c>
      <c r="D12754" t="s">
        <v>10521</v>
      </c>
      <c r="E12754">
        <v>29.9</v>
      </c>
      <c r="F12754">
        <v>0</v>
      </c>
      <c r="G12754" t="s">
        <v>12</v>
      </c>
      <c r="I12754" t="s">
        <v>13</v>
      </c>
    </row>
    <row r="12755" spans="1:9" hidden="1" x14ac:dyDescent="0.25">
      <c r="A12755" t="s">
        <v>10467</v>
      </c>
      <c r="B12755" t="s">
        <v>132</v>
      </c>
      <c r="C12755" s="2">
        <f>HYPERLINK("https://cao.dolgi.msk.ru/account/1080055486/", 1080055486)</f>
        <v>1080055486</v>
      </c>
      <c r="D12755" t="s">
        <v>10522</v>
      </c>
      <c r="E12755">
        <v>-9153.34</v>
      </c>
      <c r="F12755">
        <v>-1.84</v>
      </c>
      <c r="G12755" t="s">
        <v>12</v>
      </c>
      <c r="I12755" t="s">
        <v>13</v>
      </c>
    </row>
    <row r="12756" spans="1:9" hidden="1" x14ac:dyDescent="0.25">
      <c r="A12756" t="s">
        <v>10467</v>
      </c>
      <c r="B12756" t="s">
        <v>133</v>
      </c>
      <c r="C12756" s="2">
        <f>HYPERLINK("https://cao.dolgi.msk.ru/account/1080055494/", 1080055494)</f>
        <v>1080055494</v>
      </c>
      <c r="D12756" t="s">
        <v>10523</v>
      </c>
      <c r="E12756">
        <v>-7864.33</v>
      </c>
      <c r="F12756">
        <v>-1.01</v>
      </c>
      <c r="G12756" t="s">
        <v>12</v>
      </c>
      <c r="I12756" t="s">
        <v>13</v>
      </c>
    </row>
    <row r="12757" spans="1:9" hidden="1" x14ac:dyDescent="0.25">
      <c r="A12757" t="s">
        <v>10467</v>
      </c>
      <c r="B12757" t="s">
        <v>135</v>
      </c>
      <c r="C12757" s="2">
        <f>HYPERLINK("https://cao.dolgi.msk.ru/account/1080055507/", 1080055507)</f>
        <v>1080055507</v>
      </c>
      <c r="D12757" t="s">
        <v>10524</v>
      </c>
      <c r="E12757">
        <v>6145.59</v>
      </c>
      <c r="F12757">
        <v>1</v>
      </c>
      <c r="G12757" t="s">
        <v>12</v>
      </c>
      <c r="I12757" t="s">
        <v>13</v>
      </c>
    </row>
    <row r="12758" spans="1:9" hidden="1" x14ac:dyDescent="0.25">
      <c r="A12758" t="s">
        <v>10467</v>
      </c>
      <c r="B12758" t="s">
        <v>137</v>
      </c>
      <c r="C12758" s="2">
        <f>HYPERLINK("https://cao.dolgi.msk.ru/account/1080055515/", 1080055515)</f>
        <v>1080055515</v>
      </c>
      <c r="D12758" t="s">
        <v>10525</v>
      </c>
      <c r="E12758">
        <v>0</v>
      </c>
      <c r="F12758">
        <v>0</v>
      </c>
      <c r="G12758" t="s">
        <v>12</v>
      </c>
      <c r="I12758" t="s">
        <v>13</v>
      </c>
    </row>
    <row r="12759" spans="1:9" hidden="1" x14ac:dyDescent="0.25">
      <c r="A12759" t="s">
        <v>10467</v>
      </c>
      <c r="B12759" t="s">
        <v>139</v>
      </c>
      <c r="C12759" s="2">
        <f>HYPERLINK("https://cao.dolgi.msk.ru/account/1080055523/", 1080055523)</f>
        <v>1080055523</v>
      </c>
      <c r="D12759" t="s">
        <v>10526</v>
      </c>
      <c r="E12759">
        <v>-9905.64</v>
      </c>
      <c r="F12759">
        <v>-0.98</v>
      </c>
      <c r="G12759" t="s">
        <v>12</v>
      </c>
      <c r="I12759" t="s">
        <v>13</v>
      </c>
    </row>
    <row r="12760" spans="1:9" hidden="1" x14ac:dyDescent="0.25">
      <c r="A12760" t="s">
        <v>10467</v>
      </c>
      <c r="B12760" t="s">
        <v>141</v>
      </c>
      <c r="C12760" s="2">
        <f>HYPERLINK("https://cao.dolgi.msk.ru/account/1080055531/", 1080055531)</f>
        <v>1080055531</v>
      </c>
      <c r="D12760" t="s">
        <v>10527</v>
      </c>
      <c r="E12760">
        <v>-4520.0200000000004</v>
      </c>
      <c r="F12760">
        <v>-0.92</v>
      </c>
      <c r="G12760" t="s">
        <v>12</v>
      </c>
      <c r="I12760" t="s">
        <v>13</v>
      </c>
    </row>
    <row r="12761" spans="1:9" hidden="1" x14ac:dyDescent="0.25">
      <c r="A12761" t="s">
        <v>10467</v>
      </c>
      <c r="B12761" t="s">
        <v>143</v>
      </c>
      <c r="C12761" s="2">
        <f>HYPERLINK("https://cao.dolgi.msk.ru/account/1080055558/", 1080055558)</f>
        <v>1080055558</v>
      </c>
      <c r="D12761" t="s">
        <v>10528</v>
      </c>
      <c r="E12761">
        <v>-3651.27</v>
      </c>
      <c r="F12761">
        <v>-1.02</v>
      </c>
      <c r="G12761" t="s">
        <v>12</v>
      </c>
      <c r="I12761" t="s">
        <v>13</v>
      </c>
    </row>
    <row r="12762" spans="1:9" hidden="1" x14ac:dyDescent="0.25">
      <c r="A12762" t="s">
        <v>10467</v>
      </c>
      <c r="B12762" t="s">
        <v>145</v>
      </c>
      <c r="C12762" s="2">
        <f>HYPERLINK("https://cao.dolgi.msk.ru/account/1080055566/", 1080055566)</f>
        <v>1080055566</v>
      </c>
      <c r="D12762" t="s">
        <v>10529</v>
      </c>
      <c r="E12762">
        <v>-4644.1000000000004</v>
      </c>
      <c r="F12762">
        <v>-1.02</v>
      </c>
      <c r="G12762" t="s">
        <v>12</v>
      </c>
      <c r="I12762" t="s">
        <v>13</v>
      </c>
    </row>
    <row r="12763" spans="1:9" hidden="1" x14ac:dyDescent="0.25">
      <c r="A12763" t="s">
        <v>10467</v>
      </c>
      <c r="B12763" t="s">
        <v>147</v>
      </c>
      <c r="C12763" s="2">
        <f>HYPERLINK("https://cao.dolgi.msk.ru/account/1080055574/", 1080055574)</f>
        <v>1080055574</v>
      </c>
      <c r="D12763" t="s">
        <v>10530</v>
      </c>
      <c r="E12763">
        <v>-7290.86</v>
      </c>
      <c r="F12763">
        <v>-0.93</v>
      </c>
      <c r="G12763" t="s">
        <v>12</v>
      </c>
      <c r="I12763" t="s">
        <v>13</v>
      </c>
    </row>
    <row r="12764" spans="1:9" hidden="1" x14ac:dyDescent="0.25">
      <c r="A12764" t="s">
        <v>10467</v>
      </c>
      <c r="B12764" t="s">
        <v>149</v>
      </c>
      <c r="C12764" s="2">
        <f>HYPERLINK("https://cao.dolgi.msk.ru/account/1080055582/", 1080055582)</f>
        <v>1080055582</v>
      </c>
      <c r="D12764" t="s">
        <v>10530</v>
      </c>
      <c r="E12764">
        <v>-8657.91</v>
      </c>
      <c r="F12764">
        <v>-0.99</v>
      </c>
      <c r="G12764" t="s">
        <v>12</v>
      </c>
      <c r="I12764" t="s">
        <v>13</v>
      </c>
    </row>
    <row r="12765" spans="1:9" hidden="1" x14ac:dyDescent="0.25">
      <c r="A12765" t="s">
        <v>10467</v>
      </c>
      <c r="B12765" t="s">
        <v>151</v>
      </c>
      <c r="C12765" s="2">
        <f>HYPERLINK("https://cao.dolgi.msk.ru/account/1080055603/", 1080055603)</f>
        <v>1080055603</v>
      </c>
      <c r="D12765" t="s">
        <v>10531</v>
      </c>
      <c r="E12765">
        <v>-6657.21</v>
      </c>
      <c r="F12765">
        <v>-1</v>
      </c>
      <c r="G12765" t="s">
        <v>12</v>
      </c>
      <c r="I12765" t="s">
        <v>13</v>
      </c>
    </row>
    <row r="12766" spans="1:9" hidden="1" x14ac:dyDescent="0.25">
      <c r="A12766" t="s">
        <v>10467</v>
      </c>
      <c r="B12766" t="s">
        <v>153</v>
      </c>
      <c r="C12766" s="2">
        <f>HYPERLINK("https://cao.dolgi.msk.ru/account/1080055611/", 1080055611)</f>
        <v>1080055611</v>
      </c>
      <c r="D12766" t="s">
        <v>1082</v>
      </c>
      <c r="E12766">
        <v>82.53</v>
      </c>
      <c r="F12766">
        <v>0.01</v>
      </c>
      <c r="G12766" t="s">
        <v>12</v>
      </c>
      <c r="I12766" t="s">
        <v>13</v>
      </c>
    </row>
    <row r="12767" spans="1:9" hidden="1" x14ac:dyDescent="0.25">
      <c r="A12767" t="s">
        <v>10467</v>
      </c>
      <c r="B12767" t="s">
        <v>155</v>
      </c>
      <c r="C12767" s="2">
        <f>HYPERLINK("https://cao.dolgi.msk.ru/account/1080055638/", 1080055638)</f>
        <v>1080055638</v>
      </c>
      <c r="D12767" t="s">
        <v>10532</v>
      </c>
      <c r="E12767">
        <v>61.99</v>
      </c>
      <c r="F12767">
        <v>0.01</v>
      </c>
      <c r="G12767" t="s">
        <v>12</v>
      </c>
      <c r="I12767" t="s">
        <v>13</v>
      </c>
    </row>
    <row r="12768" spans="1:9" hidden="1" x14ac:dyDescent="0.25">
      <c r="A12768" t="s">
        <v>10467</v>
      </c>
      <c r="B12768" t="s">
        <v>157</v>
      </c>
      <c r="C12768" s="2">
        <f>HYPERLINK("https://cao.dolgi.msk.ru/account/1080055646/", 1080055646)</f>
        <v>1080055646</v>
      </c>
      <c r="D12768" t="s">
        <v>10533</v>
      </c>
      <c r="E12768">
        <v>-5311.94</v>
      </c>
      <c r="F12768">
        <v>-0.95</v>
      </c>
      <c r="G12768" t="s">
        <v>12</v>
      </c>
      <c r="I12768" t="s">
        <v>13</v>
      </c>
    </row>
    <row r="12769" spans="1:9" hidden="1" x14ac:dyDescent="0.25">
      <c r="A12769" t="s">
        <v>10467</v>
      </c>
      <c r="B12769" t="s">
        <v>159</v>
      </c>
      <c r="C12769" s="2">
        <f>HYPERLINK("https://cao.dolgi.msk.ru/account/1080055654/", 1080055654)</f>
        <v>1080055654</v>
      </c>
      <c r="D12769" t="s">
        <v>10534</v>
      </c>
      <c r="E12769">
        <v>-1175.4100000000001</v>
      </c>
      <c r="F12769">
        <v>-0.22</v>
      </c>
      <c r="G12769" t="s">
        <v>12</v>
      </c>
      <c r="I12769" t="s">
        <v>13</v>
      </c>
    </row>
    <row r="12770" spans="1:9" hidden="1" x14ac:dyDescent="0.25">
      <c r="A12770" t="s">
        <v>10467</v>
      </c>
      <c r="B12770" t="s">
        <v>161</v>
      </c>
      <c r="C12770" s="2">
        <f>HYPERLINK("https://cao.dolgi.msk.ru/account/1080055662/", 1080055662)</f>
        <v>1080055662</v>
      </c>
      <c r="D12770" t="s">
        <v>10535</v>
      </c>
      <c r="E12770">
        <v>-19054.73</v>
      </c>
      <c r="F12770">
        <v>-0.99</v>
      </c>
      <c r="G12770" t="s">
        <v>12</v>
      </c>
      <c r="I12770" t="s">
        <v>13</v>
      </c>
    </row>
    <row r="12771" spans="1:9" hidden="1" x14ac:dyDescent="0.25">
      <c r="A12771" t="s">
        <v>10467</v>
      </c>
      <c r="B12771" t="s">
        <v>163</v>
      </c>
      <c r="C12771" s="2">
        <f>HYPERLINK("https://cao.dolgi.msk.ru/account/1080055689/", 1080055689)</f>
        <v>1080055689</v>
      </c>
      <c r="D12771" t="s">
        <v>10536</v>
      </c>
      <c r="E12771">
        <v>-5131.41</v>
      </c>
      <c r="F12771">
        <v>-1.07</v>
      </c>
      <c r="G12771" t="s">
        <v>12</v>
      </c>
      <c r="I12771" t="s">
        <v>13</v>
      </c>
    </row>
    <row r="12772" spans="1:9" hidden="1" x14ac:dyDescent="0.25">
      <c r="A12772" t="s">
        <v>10467</v>
      </c>
      <c r="B12772" t="s">
        <v>571</v>
      </c>
      <c r="C12772" s="2">
        <f>HYPERLINK("https://cao.dolgi.msk.ru/account/1080055697/", 1080055697)</f>
        <v>1080055697</v>
      </c>
      <c r="D12772" t="s">
        <v>10537</v>
      </c>
      <c r="E12772">
        <v>-6077.36</v>
      </c>
      <c r="F12772">
        <v>-1.1000000000000001</v>
      </c>
      <c r="G12772" t="s">
        <v>12</v>
      </c>
      <c r="I12772" t="s">
        <v>13</v>
      </c>
    </row>
    <row r="12773" spans="1:9" hidden="1" x14ac:dyDescent="0.25">
      <c r="A12773" t="s">
        <v>10467</v>
      </c>
      <c r="B12773" t="s">
        <v>682</v>
      </c>
      <c r="C12773" s="2">
        <f>HYPERLINK("https://cao.dolgi.msk.ru/account/1080055718/", 1080055718)</f>
        <v>1080055718</v>
      </c>
      <c r="D12773" t="s">
        <v>10538</v>
      </c>
      <c r="E12773">
        <v>-8543.91</v>
      </c>
      <c r="F12773">
        <v>-1.03</v>
      </c>
      <c r="G12773" t="s">
        <v>12</v>
      </c>
      <c r="I12773" t="s">
        <v>13</v>
      </c>
    </row>
    <row r="12774" spans="1:9" hidden="1" x14ac:dyDescent="0.25">
      <c r="A12774" t="s">
        <v>10467</v>
      </c>
      <c r="B12774" t="s">
        <v>578</v>
      </c>
      <c r="C12774" s="2">
        <f>HYPERLINK("https://cao.dolgi.msk.ru/account/1080055726/", 1080055726)</f>
        <v>1080055726</v>
      </c>
      <c r="D12774" t="s">
        <v>10539</v>
      </c>
      <c r="E12774">
        <v>-15094.64</v>
      </c>
      <c r="F12774">
        <v>-1.94</v>
      </c>
      <c r="G12774" t="s">
        <v>12</v>
      </c>
      <c r="I12774" t="s">
        <v>13</v>
      </c>
    </row>
    <row r="12775" spans="1:9" hidden="1" x14ac:dyDescent="0.25">
      <c r="A12775" t="s">
        <v>10467</v>
      </c>
      <c r="B12775" t="s">
        <v>580</v>
      </c>
      <c r="C12775" s="2">
        <f>HYPERLINK("https://cao.dolgi.msk.ru/account/1080055734/", 1080055734)</f>
        <v>1080055734</v>
      </c>
      <c r="D12775" t="s">
        <v>10540</v>
      </c>
      <c r="E12775">
        <v>-5033.66</v>
      </c>
      <c r="F12775">
        <v>-1.02</v>
      </c>
      <c r="G12775" t="s">
        <v>12</v>
      </c>
      <c r="I12775" t="s">
        <v>13</v>
      </c>
    </row>
    <row r="12776" spans="1:9" hidden="1" x14ac:dyDescent="0.25">
      <c r="A12776" t="s">
        <v>10467</v>
      </c>
      <c r="B12776" t="s">
        <v>686</v>
      </c>
      <c r="C12776" s="2">
        <f>HYPERLINK("https://cao.dolgi.msk.ru/account/1080055742/", 1080055742)</f>
        <v>1080055742</v>
      </c>
      <c r="D12776" t="s">
        <v>10541</v>
      </c>
      <c r="E12776">
        <v>-4160.2299999999996</v>
      </c>
      <c r="F12776">
        <v>-0.99</v>
      </c>
      <c r="G12776" t="s">
        <v>12</v>
      </c>
      <c r="I12776" t="s">
        <v>13</v>
      </c>
    </row>
    <row r="12777" spans="1:9" hidden="1" x14ac:dyDescent="0.25">
      <c r="A12777" t="s">
        <v>10467</v>
      </c>
      <c r="B12777" t="s">
        <v>582</v>
      </c>
      <c r="C12777" s="2">
        <f>HYPERLINK("https://cao.dolgi.msk.ru/account/1080055769/", 1080055769)</f>
        <v>1080055769</v>
      </c>
      <c r="D12777" t="s">
        <v>10542</v>
      </c>
      <c r="E12777">
        <v>-10275.64</v>
      </c>
      <c r="F12777">
        <v>-0.99</v>
      </c>
      <c r="G12777" t="s">
        <v>12</v>
      </c>
      <c r="I12777" t="s">
        <v>13</v>
      </c>
    </row>
    <row r="12778" spans="1:9" hidden="1" x14ac:dyDescent="0.25">
      <c r="A12778" t="s">
        <v>10467</v>
      </c>
      <c r="B12778" t="s">
        <v>584</v>
      </c>
      <c r="C12778" s="2">
        <f>HYPERLINK("https://cao.dolgi.msk.ru/account/1080055777/", 1080055777)</f>
        <v>1080055777</v>
      </c>
      <c r="D12778" t="s">
        <v>10543</v>
      </c>
      <c r="E12778">
        <v>-5372.44</v>
      </c>
      <c r="F12778">
        <v>-1.08</v>
      </c>
      <c r="G12778" t="s">
        <v>12</v>
      </c>
      <c r="I12778" t="s">
        <v>13</v>
      </c>
    </row>
    <row r="12779" spans="1:9" hidden="1" x14ac:dyDescent="0.25">
      <c r="A12779" t="s">
        <v>10467</v>
      </c>
      <c r="B12779" t="s">
        <v>586</v>
      </c>
      <c r="C12779" s="2">
        <f>HYPERLINK("https://cao.dolgi.msk.ru/account/1080055793/", 1080055793)</f>
        <v>1080055793</v>
      </c>
      <c r="D12779" t="s">
        <v>10544</v>
      </c>
      <c r="E12779">
        <v>0</v>
      </c>
      <c r="F12779">
        <v>0</v>
      </c>
      <c r="G12779" t="s">
        <v>12</v>
      </c>
      <c r="I12779" t="s">
        <v>13</v>
      </c>
    </row>
    <row r="12780" spans="1:9" hidden="1" x14ac:dyDescent="0.25">
      <c r="A12780" t="s">
        <v>10467</v>
      </c>
      <c r="B12780" t="s">
        <v>588</v>
      </c>
      <c r="C12780" s="2">
        <f>HYPERLINK("https://cao.dolgi.msk.ru/account/1080055806/", 1080055806)</f>
        <v>1080055806</v>
      </c>
      <c r="D12780" t="s">
        <v>10545</v>
      </c>
      <c r="E12780">
        <v>-7602.73</v>
      </c>
      <c r="F12780">
        <v>-1.02</v>
      </c>
      <c r="G12780" t="s">
        <v>12</v>
      </c>
      <c r="I12780" t="s">
        <v>13</v>
      </c>
    </row>
    <row r="12781" spans="1:9" hidden="1" x14ac:dyDescent="0.25">
      <c r="A12781" t="s">
        <v>10467</v>
      </c>
      <c r="B12781" t="s">
        <v>590</v>
      </c>
      <c r="C12781" s="2">
        <f>HYPERLINK("https://cao.dolgi.msk.ru/account/1080055814/", 1080055814)</f>
        <v>1080055814</v>
      </c>
      <c r="D12781" t="s">
        <v>10546</v>
      </c>
      <c r="E12781">
        <v>0</v>
      </c>
      <c r="F12781">
        <v>0</v>
      </c>
      <c r="G12781" t="s">
        <v>12</v>
      </c>
      <c r="I12781" t="s">
        <v>13</v>
      </c>
    </row>
    <row r="12782" spans="1:9" hidden="1" x14ac:dyDescent="0.25">
      <c r="A12782" t="s">
        <v>10467</v>
      </c>
      <c r="B12782" t="s">
        <v>693</v>
      </c>
      <c r="C12782" s="2">
        <f>HYPERLINK("https://cao.dolgi.msk.ru/account/1080055822/", 1080055822)</f>
        <v>1080055822</v>
      </c>
      <c r="D12782" t="s">
        <v>10547</v>
      </c>
      <c r="E12782">
        <v>-8051.44</v>
      </c>
      <c r="F12782">
        <v>-1.17</v>
      </c>
      <c r="G12782" t="s">
        <v>12</v>
      </c>
      <c r="I12782" t="s">
        <v>13</v>
      </c>
    </row>
    <row r="12783" spans="1:9" hidden="1" x14ac:dyDescent="0.25">
      <c r="A12783" t="s">
        <v>10467</v>
      </c>
      <c r="B12783" t="s">
        <v>694</v>
      </c>
      <c r="C12783" s="2">
        <f>HYPERLINK("https://cao.dolgi.msk.ru/account/1080055849/", 1080055849)</f>
        <v>1080055849</v>
      </c>
      <c r="D12783" t="s">
        <v>10548</v>
      </c>
      <c r="E12783">
        <v>-373.35</v>
      </c>
      <c r="F12783">
        <v>-0.06</v>
      </c>
      <c r="G12783" t="s">
        <v>12</v>
      </c>
      <c r="I12783" t="s">
        <v>13</v>
      </c>
    </row>
    <row r="12784" spans="1:9" hidden="1" x14ac:dyDescent="0.25">
      <c r="A12784" t="s">
        <v>10467</v>
      </c>
      <c r="B12784" t="s">
        <v>696</v>
      </c>
      <c r="C12784" s="2">
        <f>HYPERLINK("https://cao.dolgi.msk.ru/account/1080055857/", 1080055857)</f>
        <v>1080055857</v>
      </c>
      <c r="D12784" t="s">
        <v>10549</v>
      </c>
      <c r="E12784">
        <v>-4513.46</v>
      </c>
      <c r="F12784">
        <v>-1.06</v>
      </c>
      <c r="G12784" t="s">
        <v>12</v>
      </c>
      <c r="I12784" t="s">
        <v>13</v>
      </c>
    </row>
    <row r="12785" spans="1:9" hidden="1" x14ac:dyDescent="0.25">
      <c r="A12785" t="s">
        <v>10467</v>
      </c>
      <c r="B12785" t="s">
        <v>698</v>
      </c>
      <c r="C12785" s="2">
        <f>HYPERLINK("https://cao.dolgi.msk.ru/account/1080055865/", 1080055865)</f>
        <v>1080055865</v>
      </c>
      <c r="D12785" t="s">
        <v>10550</v>
      </c>
      <c r="E12785">
        <v>1371.59</v>
      </c>
      <c r="F12785">
        <v>0.23</v>
      </c>
      <c r="G12785" t="s">
        <v>12</v>
      </c>
      <c r="I12785" t="s">
        <v>13</v>
      </c>
    </row>
    <row r="12786" spans="1:9" hidden="1" x14ac:dyDescent="0.25">
      <c r="A12786" t="s">
        <v>10467</v>
      </c>
      <c r="B12786" t="s">
        <v>700</v>
      </c>
      <c r="C12786" s="2">
        <f>HYPERLINK("https://cao.dolgi.msk.ru/account/1080055873/", 1080055873)</f>
        <v>1080055873</v>
      </c>
      <c r="D12786" t="s">
        <v>10551</v>
      </c>
      <c r="E12786">
        <v>0</v>
      </c>
      <c r="F12786">
        <v>0</v>
      </c>
      <c r="G12786" t="s">
        <v>12</v>
      </c>
      <c r="I12786" t="s">
        <v>13</v>
      </c>
    </row>
    <row r="12787" spans="1:9" hidden="1" x14ac:dyDescent="0.25">
      <c r="A12787" t="s">
        <v>10467</v>
      </c>
      <c r="B12787" t="s">
        <v>702</v>
      </c>
      <c r="C12787" s="2">
        <f>HYPERLINK("https://cao.dolgi.msk.ru/account/1080055881/", 1080055881)</f>
        <v>1080055881</v>
      </c>
      <c r="D12787" t="s">
        <v>10552</v>
      </c>
      <c r="E12787">
        <v>-5730.05</v>
      </c>
      <c r="F12787">
        <v>-0.79</v>
      </c>
      <c r="G12787" t="s">
        <v>12</v>
      </c>
      <c r="I12787" t="s">
        <v>13</v>
      </c>
    </row>
    <row r="12788" spans="1:9" hidden="1" x14ac:dyDescent="0.25">
      <c r="A12788" t="s">
        <v>10467</v>
      </c>
      <c r="B12788" t="s">
        <v>703</v>
      </c>
      <c r="C12788" s="2">
        <f>HYPERLINK("https://cao.dolgi.msk.ru/account/1080055902/", 1080055902)</f>
        <v>1080055902</v>
      </c>
      <c r="D12788" t="s">
        <v>10553</v>
      </c>
      <c r="E12788">
        <v>-4240.2</v>
      </c>
      <c r="F12788">
        <v>-0.98</v>
      </c>
      <c r="G12788" t="s">
        <v>12</v>
      </c>
      <c r="I12788" t="s">
        <v>13</v>
      </c>
    </row>
    <row r="12789" spans="1:9" hidden="1" x14ac:dyDescent="0.25">
      <c r="A12789" t="s">
        <v>10467</v>
      </c>
      <c r="B12789" t="s">
        <v>705</v>
      </c>
      <c r="C12789" s="2">
        <f>HYPERLINK("https://cao.dolgi.msk.ru/account/1080055929/", 1080055929)</f>
        <v>1080055929</v>
      </c>
      <c r="D12789" t="s">
        <v>10554</v>
      </c>
      <c r="E12789">
        <v>-188.54</v>
      </c>
      <c r="F12789">
        <v>-0.03</v>
      </c>
      <c r="G12789" t="s">
        <v>12</v>
      </c>
      <c r="I12789" t="s">
        <v>13</v>
      </c>
    </row>
    <row r="12790" spans="1:9" hidden="1" x14ac:dyDescent="0.25">
      <c r="A12790" t="s">
        <v>10467</v>
      </c>
      <c r="B12790" t="s">
        <v>707</v>
      </c>
      <c r="C12790" s="2">
        <f>HYPERLINK("https://cao.dolgi.msk.ru/account/1080055937/", 1080055937)</f>
        <v>1080055937</v>
      </c>
      <c r="D12790" t="s">
        <v>10555</v>
      </c>
      <c r="E12790">
        <v>-3069.36</v>
      </c>
      <c r="F12790">
        <v>-0.98</v>
      </c>
      <c r="G12790" t="s">
        <v>12</v>
      </c>
      <c r="I12790" t="s">
        <v>13</v>
      </c>
    </row>
    <row r="12791" spans="1:9" hidden="1" x14ac:dyDescent="0.25">
      <c r="A12791" t="s">
        <v>10467</v>
      </c>
      <c r="B12791" t="s">
        <v>709</v>
      </c>
      <c r="C12791" s="2">
        <f>HYPERLINK("https://cao.dolgi.msk.ru/account/1080055945/", 1080055945)</f>
        <v>1080055945</v>
      </c>
      <c r="D12791" t="s">
        <v>10556</v>
      </c>
      <c r="E12791">
        <v>-9401.1</v>
      </c>
      <c r="F12791">
        <v>-1</v>
      </c>
      <c r="G12791" t="s">
        <v>12</v>
      </c>
      <c r="I12791" t="s">
        <v>13</v>
      </c>
    </row>
    <row r="12792" spans="1:9" hidden="1" x14ac:dyDescent="0.25">
      <c r="A12792" t="s">
        <v>10467</v>
      </c>
      <c r="B12792" t="s">
        <v>711</v>
      </c>
      <c r="C12792" s="2">
        <f>HYPERLINK("https://cao.dolgi.msk.ru/account/1080055953/", 1080055953)</f>
        <v>1080055953</v>
      </c>
      <c r="D12792" t="s">
        <v>10557</v>
      </c>
      <c r="E12792">
        <v>-6318.72</v>
      </c>
      <c r="F12792">
        <v>-1.03</v>
      </c>
      <c r="G12792" t="s">
        <v>12</v>
      </c>
      <c r="I12792" t="s">
        <v>13</v>
      </c>
    </row>
    <row r="12793" spans="1:9" hidden="1" x14ac:dyDescent="0.25">
      <c r="A12793" t="s">
        <v>10467</v>
      </c>
      <c r="B12793" t="s">
        <v>713</v>
      </c>
      <c r="C12793" s="2">
        <f>HYPERLINK("https://cao.dolgi.msk.ru/account/1080055961/", 1080055961)</f>
        <v>1080055961</v>
      </c>
      <c r="D12793" t="s">
        <v>10558</v>
      </c>
      <c r="E12793">
        <v>-3429.47</v>
      </c>
      <c r="F12793">
        <v>-1.03</v>
      </c>
      <c r="G12793" t="s">
        <v>12</v>
      </c>
      <c r="I12793" t="s">
        <v>13</v>
      </c>
    </row>
    <row r="12794" spans="1:9" hidden="1" x14ac:dyDescent="0.25">
      <c r="A12794" t="s">
        <v>10467</v>
      </c>
      <c r="B12794" t="s">
        <v>528</v>
      </c>
      <c r="C12794" s="2">
        <f>HYPERLINK("https://cao.dolgi.msk.ru/account/1080055988/", 1080055988)</f>
        <v>1080055988</v>
      </c>
      <c r="D12794" t="s">
        <v>10559</v>
      </c>
      <c r="E12794">
        <v>-5388.28</v>
      </c>
      <c r="F12794">
        <v>-1.01</v>
      </c>
      <c r="G12794" t="s">
        <v>12</v>
      </c>
      <c r="I12794" t="s">
        <v>13</v>
      </c>
    </row>
    <row r="12795" spans="1:9" hidden="1" x14ac:dyDescent="0.25">
      <c r="A12795" t="s">
        <v>10467</v>
      </c>
      <c r="B12795" t="s">
        <v>530</v>
      </c>
      <c r="C12795" s="2">
        <f>HYPERLINK("https://cao.dolgi.msk.ru/account/1080055996/", 1080055996)</f>
        <v>1080055996</v>
      </c>
      <c r="D12795" t="s">
        <v>10560</v>
      </c>
      <c r="E12795">
        <v>-7734.82</v>
      </c>
      <c r="F12795">
        <v>-1.1000000000000001</v>
      </c>
      <c r="G12795" t="s">
        <v>12</v>
      </c>
      <c r="I12795" t="s">
        <v>13</v>
      </c>
    </row>
    <row r="12796" spans="1:9" hidden="1" x14ac:dyDescent="0.25">
      <c r="A12796" t="s">
        <v>10467</v>
      </c>
      <c r="B12796" t="s">
        <v>532</v>
      </c>
      <c r="C12796" s="2">
        <f>HYPERLINK("https://cao.dolgi.msk.ru/account/1080056008/", 1080056008)</f>
        <v>1080056008</v>
      </c>
      <c r="D12796" t="s">
        <v>10561</v>
      </c>
      <c r="E12796">
        <v>-4577.03</v>
      </c>
      <c r="F12796">
        <v>-1.05</v>
      </c>
      <c r="G12796" t="s">
        <v>12</v>
      </c>
      <c r="I12796" t="s">
        <v>13</v>
      </c>
    </row>
    <row r="12797" spans="1:9" hidden="1" x14ac:dyDescent="0.25">
      <c r="A12797" t="s">
        <v>10467</v>
      </c>
      <c r="B12797" t="s">
        <v>534</v>
      </c>
      <c r="C12797" s="2">
        <f>HYPERLINK("https://cao.dolgi.msk.ru/account/1080056016/", 1080056016)</f>
        <v>1080056016</v>
      </c>
      <c r="D12797" t="s">
        <v>10562</v>
      </c>
      <c r="E12797">
        <v>-11019.19</v>
      </c>
      <c r="F12797">
        <v>-2.19</v>
      </c>
      <c r="G12797" t="s">
        <v>12</v>
      </c>
      <c r="I12797" t="s">
        <v>13</v>
      </c>
    </row>
    <row r="12798" spans="1:9" hidden="1" x14ac:dyDescent="0.25">
      <c r="A12798" t="s">
        <v>10467</v>
      </c>
      <c r="B12798" t="s">
        <v>536</v>
      </c>
      <c r="C12798" s="2">
        <f>HYPERLINK("https://cao.dolgi.msk.ru/account/1080056024/", 1080056024)</f>
        <v>1080056024</v>
      </c>
      <c r="D12798" t="s">
        <v>10563</v>
      </c>
      <c r="E12798">
        <v>-10370.959999999999</v>
      </c>
      <c r="F12798">
        <v>-1.02</v>
      </c>
      <c r="G12798" t="s">
        <v>12</v>
      </c>
      <c r="I12798" t="s">
        <v>13</v>
      </c>
    </row>
    <row r="12799" spans="1:9" hidden="1" x14ac:dyDescent="0.25">
      <c r="A12799" t="s">
        <v>10467</v>
      </c>
      <c r="B12799" t="s">
        <v>538</v>
      </c>
      <c r="C12799" s="2">
        <f>HYPERLINK("https://cao.dolgi.msk.ru/account/1080056032/", 1080056032)</f>
        <v>1080056032</v>
      </c>
      <c r="D12799" t="s">
        <v>10564</v>
      </c>
      <c r="E12799">
        <v>0</v>
      </c>
      <c r="F12799">
        <v>0</v>
      </c>
      <c r="G12799" t="s">
        <v>12</v>
      </c>
      <c r="I12799" t="s">
        <v>13</v>
      </c>
    </row>
    <row r="12800" spans="1:9" hidden="1" x14ac:dyDescent="0.25">
      <c r="A12800" t="s">
        <v>10467</v>
      </c>
      <c r="B12800" t="s">
        <v>539</v>
      </c>
      <c r="C12800" s="2">
        <f>HYPERLINK("https://cao.dolgi.msk.ru/account/1080056059/", 1080056059)</f>
        <v>1080056059</v>
      </c>
      <c r="D12800" t="s">
        <v>10565</v>
      </c>
      <c r="E12800">
        <v>-2157.1799999999998</v>
      </c>
      <c r="F12800">
        <v>-0.95</v>
      </c>
      <c r="G12800" t="s">
        <v>12</v>
      </c>
      <c r="I12800" t="s">
        <v>13</v>
      </c>
    </row>
    <row r="12801" spans="1:9" hidden="1" x14ac:dyDescent="0.25">
      <c r="A12801" t="s">
        <v>10467</v>
      </c>
      <c r="B12801" t="s">
        <v>541</v>
      </c>
      <c r="C12801" s="2">
        <f>HYPERLINK("https://cao.dolgi.msk.ru/account/1080056067/", 1080056067)</f>
        <v>1080056067</v>
      </c>
      <c r="D12801" t="s">
        <v>10566</v>
      </c>
      <c r="E12801">
        <v>-5778.33</v>
      </c>
      <c r="F12801">
        <v>-1.05</v>
      </c>
      <c r="G12801" t="s">
        <v>12</v>
      </c>
      <c r="I12801" t="s">
        <v>13</v>
      </c>
    </row>
    <row r="12802" spans="1:9" hidden="1" x14ac:dyDescent="0.25">
      <c r="A12802" t="s">
        <v>10467</v>
      </c>
      <c r="B12802" t="s">
        <v>543</v>
      </c>
      <c r="C12802" s="2">
        <f>HYPERLINK("https://cao.dolgi.msk.ru/account/1080056075/", 1080056075)</f>
        <v>1080056075</v>
      </c>
      <c r="D12802" t="s">
        <v>10567</v>
      </c>
      <c r="E12802">
        <v>-6721.02</v>
      </c>
      <c r="F12802">
        <v>-0.73</v>
      </c>
      <c r="G12802" t="s">
        <v>12</v>
      </c>
      <c r="I12802" t="s">
        <v>13</v>
      </c>
    </row>
    <row r="12803" spans="1:9" hidden="1" x14ac:dyDescent="0.25">
      <c r="A12803" t="s">
        <v>10467</v>
      </c>
      <c r="B12803" t="s">
        <v>545</v>
      </c>
      <c r="C12803" s="2">
        <f>HYPERLINK("https://cao.dolgi.msk.ru/account/1080056083/", 1080056083)</f>
        <v>1080056083</v>
      </c>
      <c r="D12803" t="s">
        <v>10568</v>
      </c>
      <c r="E12803">
        <v>-1320.65</v>
      </c>
      <c r="F12803">
        <v>-1.01</v>
      </c>
      <c r="G12803" t="s">
        <v>12</v>
      </c>
      <c r="I12803" t="s">
        <v>13</v>
      </c>
    </row>
    <row r="12804" spans="1:9" hidden="1" x14ac:dyDescent="0.25">
      <c r="A12804" t="s">
        <v>10467</v>
      </c>
      <c r="B12804" t="s">
        <v>545</v>
      </c>
      <c r="C12804" s="2">
        <f>HYPERLINK("https://cao.dolgi.msk.ru/account/1089118455/", 1089118455)</f>
        <v>1089118455</v>
      </c>
      <c r="D12804" t="s">
        <v>10569</v>
      </c>
      <c r="E12804">
        <v>-3371.68</v>
      </c>
      <c r="F12804">
        <v>-1.7</v>
      </c>
      <c r="G12804" t="s">
        <v>12</v>
      </c>
      <c r="I12804" t="s">
        <v>13</v>
      </c>
    </row>
    <row r="12805" spans="1:9" hidden="1" x14ac:dyDescent="0.25">
      <c r="A12805" t="s">
        <v>10467</v>
      </c>
      <c r="B12805" t="s">
        <v>546</v>
      </c>
      <c r="C12805" s="2">
        <f>HYPERLINK("https://cao.dolgi.msk.ru/account/1080056091/", 1080056091)</f>
        <v>1080056091</v>
      </c>
      <c r="D12805" t="s">
        <v>10570</v>
      </c>
      <c r="E12805">
        <v>-6373.27</v>
      </c>
      <c r="F12805">
        <v>-1.07</v>
      </c>
      <c r="G12805" t="s">
        <v>12</v>
      </c>
      <c r="I12805" t="s">
        <v>13</v>
      </c>
    </row>
    <row r="12806" spans="1:9" hidden="1" x14ac:dyDescent="0.25">
      <c r="A12806" t="s">
        <v>10467</v>
      </c>
      <c r="B12806" t="s">
        <v>548</v>
      </c>
      <c r="C12806" s="2">
        <f>HYPERLINK("https://cao.dolgi.msk.ru/account/1080056104/", 1080056104)</f>
        <v>1080056104</v>
      </c>
      <c r="D12806" t="s">
        <v>10571</v>
      </c>
      <c r="E12806">
        <v>-9127.51</v>
      </c>
      <c r="F12806">
        <v>-1.01</v>
      </c>
      <c r="G12806" t="s">
        <v>12</v>
      </c>
      <c r="I12806" t="s">
        <v>13</v>
      </c>
    </row>
    <row r="12807" spans="1:9" hidden="1" x14ac:dyDescent="0.25">
      <c r="A12807" t="s">
        <v>10467</v>
      </c>
      <c r="B12807" t="s">
        <v>727</v>
      </c>
      <c r="C12807" s="2">
        <f>HYPERLINK("https://cao.dolgi.msk.ru/account/1080056112/", 1080056112)</f>
        <v>1080056112</v>
      </c>
      <c r="D12807" t="s">
        <v>10572</v>
      </c>
      <c r="E12807">
        <v>-99.12</v>
      </c>
      <c r="F12807">
        <v>-0.04</v>
      </c>
      <c r="G12807" t="s">
        <v>12</v>
      </c>
      <c r="I12807" t="s">
        <v>13</v>
      </c>
    </row>
    <row r="12808" spans="1:9" hidden="1" x14ac:dyDescent="0.25">
      <c r="A12808" t="s">
        <v>10467</v>
      </c>
      <c r="B12808" t="s">
        <v>551</v>
      </c>
      <c r="C12808" s="2">
        <f>HYPERLINK("https://cao.dolgi.msk.ru/account/1080056139/", 1080056139)</f>
        <v>1080056139</v>
      </c>
      <c r="D12808" t="s">
        <v>10573</v>
      </c>
      <c r="E12808">
        <v>-3077.04</v>
      </c>
      <c r="F12808">
        <v>-1.1200000000000001</v>
      </c>
      <c r="G12808" t="s">
        <v>12</v>
      </c>
      <c r="I12808" t="s">
        <v>13</v>
      </c>
    </row>
    <row r="12809" spans="1:9" hidden="1" x14ac:dyDescent="0.25">
      <c r="A12809" t="s">
        <v>10467</v>
      </c>
      <c r="B12809" t="s">
        <v>730</v>
      </c>
      <c r="C12809" s="2">
        <f>HYPERLINK("https://cao.dolgi.msk.ru/account/1080056147/", 1080056147)</f>
        <v>1080056147</v>
      </c>
      <c r="D12809" t="s">
        <v>10574</v>
      </c>
      <c r="E12809">
        <v>-4349.1000000000004</v>
      </c>
      <c r="F12809">
        <v>-1.01</v>
      </c>
      <c r="G12809" t="s">
        <v>12</v>
      </c>
      <c r="I12809" t="s">
        <v>13</v>
      </c>
    </row>
    <row r="12810" spans="1:9" hidden="1" x14ac:dyDescent="0.25">
      <c r="A12810" t="s">
        <v>10467</v>
      </c>
      <c r="B12810" t="s">
        <v>732</v>
      </c>
      <c r="C12810" s="2">
        <f>HYPERLINK("https://cao.dolgi.msk.ru/account/1080056155/", 1080056155)</f>
        <v>1080056155</v>
      </c>
      <c r="D12810" t="s">
        <v>10575</v>
      </c>
      <c r="E12810">
        <v>-6604.13</v>
      </c>
      <c r="F12810">
        <v>-1.07</v>
      </c>
      <c r="G12810" t="s">
        <v>12</v>
      </c>
      <c r="I12810" t="s">
        <v>13</v>
      </c>
    </row>
    <row r="12811" spans="1:9" hidden="1" x14ac:dyDescent="0.25">
      <c r="A12811" t="s">
        <v>10467</v>
      </c>
      <c r="B12811" t="s">
        <v>553</v>
      </c>
      <c r="C12811" s="2">
        <f>HYPERLINK("https://cao.dolgi.msk.ru/account/1080056163/", 1080056163)</f>
        <v>1080056163</v>
      </c>
      <c r="D12811" t="s">
        <v>10576</v>
      </c>
      <c r="E12811">
        <v>-5662</v>
      </c>
      <c r="F12811">
        <v>-0.99</v>
      </c>
      <c r="G12811" t="s">
        <v>12</v>
      </c>
      <c r="I12811" t="s">
        <v>13</v>
      </c>
    </row>
    <row r="12812" spans="1:9" hidden="1" x14ac:dyDescent="0.25">
      <c r="A12812" t="s">
        <v>10467</v>
      </c>
      <c r="B12812" t="s">
        <v>555</v>
      </c>
      <c r="C12812" s="2">
        <f>HYPERLINK("https://cao.dolgi.msk.ru/account/1080056171/", 1080056171)</f>
        <v>1080056171</v>
      </c>
      <c r="D12812" t="s">
        <v>10577</v>
      </c>
      <c r="E12812">
        <v>-3364.23</v>
      </c>
      <c r="F12812">
        <v>-1.02</v>
      </c>
      <c r="G12812" t="s">
        <v>12</v>
      </c>
      <c r="I12812" t="s">
        <v>13</v>
      </c>
    </row>
    <row r="12813" spans="1:9" hidden="1" x14ac:dyDescent="0.25">
      <c r="A12813" t="s">
        <v>10467</v>
      </c>
      <c r="B12813" t="s">
        <v>736</v>
      </c>
      <c r="C12813" s="2">
        <f>HYPERLINK("https://cao.dolgi.msk.ru/account/1080055785/", 1080055785)</f>
        <v>1080055785</v>
      </c>
      <c r="D12813" t="s">
        <v>10578</v>
      </c>
      <c r="E12813">
        <v>-7307.64</v>
      </c>
      <c r="F12813">
        <v>-0.96</v>
      </c>
      <c r="G12813" t="s">
        <v>12</v>
      </c>
      <c r="I12813" t="s">
        <v>13</v>
      </c>
    </row>
    <row r="12814" spans="1:9" hidden="1" x14ac:dyDescent="0.25">
      <c r="A12814" t="s">
        <v>10467</v>
      </c>
      <c r="B12814" t="s">
        <v>736</v>
      </c>
      <c r="C12814" s="2">
        <f>HYPERLINK("https://cao.dolgi.msk.ru/account/1080056198/", 1080056198)</f>
        <v>1080056198</v>
      </c>
      <c r="D12814" t="s">
        <v>15</v>
      </c>
      <c r="E12814">
        <v>-1562.08</v>
      </c>
      <c r="G12814" t="s">
        <v>14</v>
      </c>
      <c r="I12814" t="s">
        <v>13</v>
      </c>
    </row>
    <row r="12815" spans="1:9" hidden="1" x14ac:dyDescent="0.25">
      <c r="A12815" t="s">
        <v>10467</v>
      </c>
      <c r="B12815" t="s">
        <v>738</v>
      </c>
      <c r="C12815" s="2">
        <f>HYPERLINK("https://cao.dolgi.msk.ru/account/1080056227/", 1080056227)</f>
        <v>1080056227</v>
      </c>
      <c r="D12815" t="s">
        <v>10579</v>
      </c>
      <c r="E12815">
        <v>-5345.32</v>
      </c>
      <c r="F12815">
        <v>-1.02</v>
      </c>
      <c r="G12815" t="s">
        <v>12</v>
      </c>
      <c r="I12815" t="s">
        <v>13</v>
      </c>
    </row>
    <row r="12816" spans="1:9" hidden="1" x14ac:dyDescent="0.25">
      <c r="A12816" t="s">
        <v>10467</v>
      </c>
      <c r="B12816" t="s">
        <v>740</v>
      </c>
      <c r="C12816" s="2">
        <f>HYPERLINK("https://cao.dolgi.msk.ru/account/1080056235/", 1080056235)</f>
        <v>1080056235</v>
      </c>
      <c r="D12816" t="s">
        <v>10580</v>
      </c>
      <c r="E12816">
        <v>-5139.13</v>
      </c>
      <c r="F12816">
        <v>-1.01</v>
      </c>
      <c r="G12816" t="s">
        <v>12</v>
      </c>
      <c r="I12816" t="s">
        <v>13</v>
      </c>
    </row>
    <row r="12817" spans="1:9" x14ac:dyDescent="0.25">
      <c r="A12817" t="s">
        <v>10467</v>
      </c>
      <c r="B12817" t="s">
        <v>742</v>
      </c>
      <c r="C12817" s="2">
        <f>HYPERLINK("https://cao.dolgi.msk.ru/account/1080056243/", 1080056243)</f>
        <v>1080056243</v>
      </c>
      <c r="D12817" t="s">
        <v>10581</v>
      </c>
      <c r="E12817">
        <v>61316.67</v>
      </c>
      <c r="F12817">
        <v>7.05</v>
      </c>
      <c r="G12817" t="s">
        <v>12</v>
      </c>
      <c r="I12817" t="s">
        <v>13</v>
      </c>
    </row>
    <row r="12818" spans="1:9" hidden="1" x14ac:dyDescent="0.25">
      <c r="A12818" t="s">
        <v>10467</v>
      </c>
      <c r="B12818" t="s">
        <v>557</v>
      </c>
      <c r="C12818" s="2">
        <f>HYPERLINK("https://cao.dolgi.msk.ru/account/1080056251/", 1080056251)</f>
        <v>1080056251</v>
      </c>
      <c r="D12818" t="s">
        <v>10582</v>
      </c>
      <c r="E12818">
        <v>-4987.3100000000004</v>
      </c>
      <c r="F12818">
        <v>-0.96</v>
      </c>
      <c r="G12818" t="s">
        <v>12</v>
      </c>
      <c r="I12818" t="s">
        <v>13</v>
      </c>
    </row>
    <row r="12819" spans="1:9" x14ac:dyDescent="0.25">
      <c r="A12819" t="s">
        <v>10467</v>
      </c>
      <c r="B12819" t="s">
        <v>558</v>
      </c>
      <c r="C12819" s="2">
        <f>HYPERLINK("https://cao.dolgi.msk.ru/account/1080056278/", 1080056278)</f>
        <v>1080056278</v>
      </c>
      <c r="D12819" t="s">
        <v>10583</v>
      </c>
      <c r="E12819">
        <v>4323.72</v>
      </c>
      <c r="F12819">
        <v>1.03</v>
      </c>
      <c r="G12819" t="s">
        <v>12</v>
      </c>
      <c r="I12819" t="s">
        <v>13</v>
      </c>
    </row>
    <row r="12820" spans="1:9" hidden="1" x14ac:dyDescent="0.25">
      <c r="A12820" t="s">
        <v>10467</v>
      </c>
      <c r="B12820" t="s">
        <v>746</v>
      </c>
      <c r="C12820" s="2">
        <f>HYPERLINK("https://cao.dolgi.msk.ru/account/1080056286/", 1080056286)</f>
        <v>1080056286</v>
      </c>
      <c r="D12820" t="s">
        <v>10584</v>
      </c>
      <c r="E12820">
        <v>-225.12</v>
      </c>
      <c r="F12820">
        <v>-0.03</v>
      </c>
      <c r="G12820" t="s">
        <v>12</v>
      </c>
      <c r="I12820" t="s">
        <v>13</v>
      </c>
    </row>
    <row r="12821" spans="1:9" hidden="1" x14ac:dyDescent="0.25">
      <c r="A12821" t="s">
        <v>10467</v>
      </c>
      <c r="B12821" t="s">
        <v>748</v>
      </c>
      <c r="C12821" s="2">
        <f>HYPERLINK("https://cao.dolgi.msk.ru/account/1080056294/", 1080056294)</f>
        <v>1080056294</v>
      </c>
      <c r="D12821" t="s">
        <v>10585</v>
      </c>
      <c r="E12821">
        <v>-4920.8500000000004</v>
      </c>
      <c r="F12821">
        <v>-1</v>
      </c>
      <c r="G12821" t="s">
        <v>12</v>
      </c>
      <c r="I12821" t="s">
        <v>13</v>
      </c>
    </row>
    <row r="12822" spans="1:9" hidden="1" x14ac:dyDescent="0.25">
      <c r="A12822" t="s">
        <v>10467</v>
      </c>
      <c r="B12822" t="s">
        <v>750</v>
      </c>
      <c r="C12822" s="2">
        <f>HYPERLINK("https://cao.dolgi.msk.ru/account/1080056307/", 1080056307)</f>
        <v>1080056307</v>
      </c>
      <c r="D12822" t="s">
        <v>10586</v>
      </c>
      <c r="E12822">
        <v>-6033.95</v>
      </c>
      <c r="F12822">
        <v>-0.96</v>
      </c>
      <c r="G12822" t="s">
        <v>12</v>
      </c>
      <c r="I12822" t="s">
        <v>13</v>
      </c>
    </row>
    <row r="12823" spans="1:9" hidden="1" x14ac:dyDescent="0.25">
      <c r="A12823" t="s">
        <v>10467</v>
      </c>
      <c r="B12823" t="s">
        <v>752</v>
      </c>
      <c r="C12823" s="2">
        <f>HYPERLINK("https://cao.dolgi.msk.ru/account/1080056315/", 1080056315)</f>
        <v>1080056315</v>
      </c>
      <c r="D12823" t="s">
        <v>10587</v>
      </c>
      <c r="E12823">
        <v>10206.76</v>
      </c>
      <c r="F12823">
        <v>0.96</v>
      </c>
      <c r="G12823" t="s">
        <v>12</v>
      </c>
      <c r="I12823" t="s">
        <v>13</v>
      </c>
    </row>
    <row r="12824" spans="1:9" hidden="1" x14ac:dyDescent="0.25">
      <c r="A12824" t="s">
        <v>10467</v>
      </c>
      <c r="B12824" t="s">
        <v>754</v>
      </c>
      <c r="C12824" s="2">
        <f>HYPERLINK("https://cao.dolgi.msk.ru/account/1080056323/", 1080056323)</f>
        <v>1080056323</v>
      </c>
      <c r="D12824" t="s">
        <v>10588</v>
      </c>
      <c r="E12824">
        <v>-5634.28</v>
      </c>
      <c r="F12824">
        <v>-0.95</v>
      </c>
      <c r="G12824" t="s">
        <v>12</v>
      </c>
      <c r="I12824" t="s">
        <v>13</v>
      </c>
    </row>
    <row r="12825" spans="1:9" hidden="1" x14ac:dyDescent="0.25">
      <c r="A12825" t="s">
        <v>10467</v>
      </c>
      <c r="B12825" t="s">
        <v>756</v>
      </c>
      <c r="C12825" s="2">
        <f>HYPERLINK("https://cao.dolgi.msk.ru/account/1080056331/", 1080056331)</f>
        <v>1080056331</v>
      </c>
      <c r="D12825" t="s">
        <v>10589</v>
      </c>
      <c r="E12825">
        <v>37.17</v>
      </c>
      <c r="F12825">
        <v>0.01</v>
      </c>
      <c r="G12825" t="s">
        <v>12</v>
      </c>
      <c r="I12825" t="s">
        <v>13</v>
      </c>
    </row>
    <row r="12826" spans="1:9" hidden="1" x14ac:dyDescent="0.25">
      <c r="A12826" t="s">
        <v>10467</v>
      </c>
      <c r="B12826" t="s">
        <v>758</v>
      </c>
      <c r="C12826" s="2">
        <f>HYPERLINK("https://cao.dolgi.msk.ru/account/1080056358/", 1080056358)</f>
        <v>1080056358</v>
      </c>
      <c r="D12826" t="s">
        <v>10590</v>
      </c>
      <c r="E12826">
        <v>-9680.42</v>
      </c>
      <c r="F12826">
        <v>-0.99</v>
      </c>
      <c r="G12826" t="s">
        <v>12</v>
      </c>
      <c r="I12826" t="s">
        <v>13</v>
      </c>
    </row>
    <row r="12827" spans="1:9" hidden="1" x14ac:dyDescent="0.25">
      <c r="A12827" t="s">
        <v>10467</v>
      </c>
      <c r="B12827" t="s">
        <v>760</v>
      </c>
      <c r="C12827" s="2">
        <f>HYPERLINK("https://cao.dolgi.msk.ru/account/1080056366/", 1080056366)</f>
        <v>1080056366</v>
      </c>
      <c r="D12827" t="s">
        <v>10591</v>
      </c>
      <c r="E12827">
        <v>-4515.03</v>
      </c>
      <c r="F12827">
        <v>-1.02</v>
      </c>
      <c r="G12827" t="s">
        <v>12</v>
      </c>
      <c r="I12827" t="s">
        <v>13</v>
      </c>
    </row>
    <row r="12828" spans="1:9" hidden="1" x14ac:dyDescent="0.25">
      <c r="A12828" t="s">
        <v>10467</v>
      </c>
      <c r="B12828" t="s">
        <v>762</v>
      </c>
      <c r="C12828" s="2">
        <f>HYPERLINK("https://cao.dolgi.msk.ru/account/1080056374/", 1080056374)</f>
        <v>1080056374</v>
      </c>
      <c r="D12828" t="s">
        <v>10592</v>
      </c>
      <c r="E12828">
        <v>-2713.26</v>
      </c>
      <c r="F12828">
        <v>-1.01</v>
      </c>
      <c r="G12828" t="s">
        <v>12</v>
      </c>
      <c r="I12828" t="s">
        <v>13</v>
      </c>
    </row>
    <row r="12829" spans="1:9" hidden="1" x14ac:dyDescent="0.25">
      <c r="A12829" t="s">
        <v>10467</v>
      </c>
      <c r="B12829" t="s">
        <v>764</v>
      </c>
      <c r="C12829" s="2">
        <f>HYPERLINK("https://cao.dolgi.msk.ru/account/1080056382/", 1080056382)</f>
        <v>1080056382</v>
      </c>
      <c r="D12829" t="s">
        <v>10593</v>
      </c>
      <c r="E12829">
        <v>-10118.41</v>
      </c>
      <c r="F12829">
        <v>-1</v>
      </c>
      <c r="G12829" t="s">
        <v>12</v>
      </c>
      <c r="I12829" t="s">
        <v>13</v>
      </c>
    </row>
    <row r="12830" spans="1:9" hidden="1" x14ac:dyDescent="0.25">
      <c r="A12830" t="s">
        <v>10467</v>
      </c>
      <c r="B12830" t="s">
        <v>766</v>
      </c>
      <c r="C12830" s="2">
        <f>HYPERLINK("https://cao.dolgi.msk.ru/account/1080056403/", 1080056403)</f>
        <v>1080056403</v>
      </c>
      <c r="D12830" t="s">
        <v>10594</v>
      </c>
      <c r="E12830">
        <v>0</v>
      </c>
      <c r="F12830">
        <v>0</v>
      </c>
      <c r="G12830" t="s">
        <v>12</v>
      </c>
      <c r="I12830" t="s">
        <v>13</v>
      </c>
    </row>
    <row r="12831" spans="1:9" hidden="1" x14ac:dyDescent="0.25">
      <c r="A12831" t="s">
        <v>10467</v>
      </c>
      <c r="B12831" t="s">
        <v>768</v>
      </c>
      <c r="C12831" s="2">
        <f>HYPERLINK("https://cao.dolgi.msk.ru/account/1080056411/", 1080056411)</f>
        <v>1080056411</v>
      </c>
      <c r="D12831" t="s">
        <v>10595</v>
      </c>
      <c r="E12831">
        <v>-5337.44</v>
      </c>
      <c r="F12831">
        <v>-0.62</v>
      </c>
      <c r="G12831" t="s">
        <v>12</v>
      </c>
      <c r="I12831" t="s">
        <v>13</v>
      </c>
    </row>
    <row r="12832" spans="1:9" hidden="1" x14ac:dyDescent="0.25">
      <c r="A12832" t="s">
        <v>10467</v>
      </c>
      <c r="B12832" t="s">
        <v>770</v>
      </c>
      <c r="C12832" s="2">
        <f>HYPERLINK("https://cao.dolgi.msk.ru/account/1080056438/", 1080056438)</f>
        <v>1080056438</v>
      </c>
      <c r="D12832" t="s">
        <v>10596</v>
      </c>
      <c r="E12832">
        <v>-20958.46</v>
      </c>
      <c r="F12832">
        <v>-2.08</v>
      </c>
      <c r="G12832" t="s">
        <v>12</v>
      </c>
      <c r="I12832" t="s">
        <v>13</v>
      </c>
    </row>
    <row r="12833" spans="1:9" hidden="1" x14ac:dyDescent="0.25">
      <c r="A12833" t="s">
        <v>10467</v>
      </c>
      <c r="B12833" t="s">
        <v>772</v>
      </c>
      <c r="C12833" s="2">
        <f>HYPERLINK("https://cao.dolgi.msk.ru/account/1080056446/", 1080056446)</f>
        <v>1080056446</v>
      </c>
      <c r="D12833" t="s">
        <v>10597</v>
      </c>
      <c r="E12833">
        <v>-645.16999999999996</v>
      </c>
      <c r="F12833">
        <v>-0.13</v>
      </c>
      <c r="G12833" t="s">
        <v>12</v>
      </c>
      <c r="I12833" t="s">
        <v>13</v>
      </c>
    </row>
    <row r="12834" spans="1:9" hidden="1" x14ac:dyDescent="0.25">
      <c r="A12834" t="s">
        <v>10467</v>
      </c>
      <c r="B12834" t="s">
        <v>774</v>
      </c>
      <c r="C12834" s="2">
        <f>HYPERLINK("https://cao.dolgi.msk.ru/account/1080056454/", 1080056454)</f>
        <v>1080056454</v>
      </c>
      <c r="D12834" t="s">
        <v>10598</v>
      </c>
      <c r="E12834">
        <v>-4335.5</v>
      </c>
      <c r="F12834">
        <v>-1.02</v>
      </c>
      <c r="G12834" t="s">
        <v>12</v>
      </c>
      <c r="I12834" t="s">
        <v>13</v>
      </c>
    </row>
    <row r="12835" spans="1:9" hidden="1" x14ac:dyDescent="0.25">
      <c r="A12835" t="s">
        <v>10467</v>
      </c>
      <c r="B12835" t="s">
        <v>776</v>
      </c>
      <c r="C12835" s="2">
        <f>HYPERLINK("https://cao.dolgi.msk.ru/account/1080056462/", 1080056462)</f>
        <v>1080056462</v>
      </c>
      <c r="D12835" t="s">
        <v>10599</v>
      </c>
      <c r="E12835">
        <v>-6513.31</v>
      </c>
      <c r="F12835">
        <v>-1.01</v>
      </c>
      <c r="G12835" t="s">
        <v>12</v>
      </c>
      <c r="I12835" t="s">
        <v>13</v>
      </c>
    </row>
    <row r="12836" spans="1:9" hidden="1" x14ac:dyDescent="0.25">
      <c r="A12836" t="s">
        <v>10467</v>
      </c>
      <c r="B12836" t="s">
        <v>778</v>
      </c>
      <c r="C12836" s="2">
        <f>HYPERLINK("https://cao.dolgi.msk.ru/account/1080056489/", 1080056489)</f>
        <v>1080056489</v>
      </c>
      <c r="D12836" t="s">
        <v>10600</v>
      </c>
      <c r="E12836">
        <v>188.4</v>
      </c>
      <c r="F12836">
        <v>0.04</v>
      </c>
      <c r="G12836" t="s">
        <v>12</v>
      </c>
      <c r="I12836" t="s">
        <v>13</v>
      </c>
    </row>
    <row r="12837" spans="1:9" hidden="1" x14ac:dyDescent="0.25">
      <c r="A12837" t="s">
        <v>10467</v>
      </c>
      <c r="B12837" t="s">
        <v>780</v>
      </c>
      <c r="C12837" s="2">
        <f>HYPERLINK("https://cao.dolgi.msk.ru/account/1080056497/", 1080056497)</f>
        <v>1080056497</v>
      </c>
      <c r="D12837" t="s">
        <v>10601</v>
      </c>
      <c r="E12837">
        <v>-2721.18</v>
      </c>
      <c r="F12837">
        <v>-1.02</v>
      </c>
      <c r="G12837" t="s">
        <v>12</v>
      </c>
      <c r="I12837" t="s">
        <v>13</v>
      </c>
    </row>
    <row r="12838" spans="1:9" hidden="1" x14ac:dyDescent="0.25">
      <c r="A12838" t="s">
        <v>10467</v>
      </c>
      <c r="B12838" t="s">
        <v>781</v>
      </c>
      <c r="C12838" s="2">
        <f>HYPERLINK("https://cao.dolgi.msk.ru/account/1080056518/", 1080056518)</f>
        <v>1080056518</v>
      </c>
      <c r="D12838" t="s">
        <v>10602</v>
      </c>
      <c r="E12838">
        <v>516.04</v>
      </c>
      <c r="F12838">
        <v>0.06</v>
      </c>
      <c r="G12838" t="s">
        <v>12</v>
      </c>
      <c r="I12838" t="s">
        <v>13</v>
      </c>
    </row>
    <row r="12839" spans="1:9" hidden="1" x14ac:dyDescent="0.25">
      <c r="A12839" t="s">
        <v>10467</v>
      </c>
      <c r="B12839" t="s">
        <v>782</v>
      </c>
      <c r="C12839" s="2">
        <f>HYPERLINK("https://cao.dolgi.msk.ru/account/1080056526/", 1080056526)</f>
        <v>1080056526</v>
      </c>
      <c r="D12839" t="s">
        <v>10603</v>
      </c>
      <c r="E12839">
        <v>-5575.02</v>
      </c>
      <c r="F12839">
        <v>-1.0900000000000001</v>
      </c>
      <c r="G12839" t="s">
        <v>12</v>
      </c>
      <c r="I12839" t="s">
        <v>13</v>
      </c>
    </row>
    <row r="12840" spans="1:9" hidden="1" x14ac:dyDescent="0.25">
      <c r="A12840" t="s">
        <v>10467</v>
      </c>
      <c r="B12840" t="s">
        <v>784</v>
      </c>
      <c r="C12840" s="2">
        <f>HYPERLINK("https://cao.dolgi.msk.ru/account/1080056534/", 1080056534)</f>
        <v>1080056534</v>
      </c>
      <c r="D12840" t="s">
        <v>10604</v>
      </c>
      <c r="E12840">
        <v>-3661.87</v>
      </c>
      <c r="F12840">
        <v>-1.08</v>
      </c>
      <c r="G12840" t="s">
        <v>12</v>
      </c>
      <c r="I12840" t="s">
        <v>13</v>
      </c>
    </row>
    <row r="12841" spans="1:9" hidden="1" x14ac:dyDescent="0.25">
      <c r="A12841" t="s">
        <v>10467</v>
      </c>
      <c r="B12841" t="s">
        <v>786</v>
      </c>
      <c r="C12841" s="2">
        <f>HYPERLINK("https://cao.dolgi.msk.ru/account/1080056542/", 1080056542)</f>
        <v>1080056542</v>
      </c>
      <c r="D12841" t="s">
        <v>10605</v>
      </c>
      <c r="E12841">
        <v>-10696.43</v>
      </c>
      <c r="F12841">
        <v>-1.0900000000000001</v>
      </c>
      <c r="G12841" t="s">
        <v>12</v>
      </c>
      <c r="I12841" t="s">
        <v>13</v>
      </c>
    </row>
    <row r="12842" spans="1:9" hidden="1" x14ac:dyDescent="0.25">
      <c r="A12842" t="s">
        <v>10467</v>
      </c>
      <c r="B12842" t="s">
        <v>788</v>
      </c>
      <c r="C12842" s="2">
        <f>HYPERLINK("https://cao.dolgi.msk.ru/account/1080056569/", 1080056569)</f>
        <v>1080056569</v>
      </c>
      <c r="D12842" t="s">
        <v>10606</v>
      </c>
      <c r="E12842">
        <v>-6483.61</v>
      </c>
      <c r="F12842">
        <v>-1</v>
      </c>
      <c r="G12842" t="s">
        <v>12</v>
      </c>
      <c r="I12842" t="s">
        <v>13</v>
      </c>
    </row>
    <row r="12843" spans="1:9" hidden="1" x14ac:dyDescent="0.25">
      <c r="A12843" t="s">
        <v>10467</v>
      </c>
      <c r="B12843" t="s">
        <v>789</v>
      </c>
      <c r="C12843" s="2">
        <f>HYPERLINK("https://cao.dolgi.msk.ru/account/1080056577/", 1080056577)</f>
        <v>1080056577</v>
      </c>
      <c r="D12843" t="s">
        <v>10607</v>
      </c>
      <c r="E12843">
        <v>-5794.64</v>
      </c>
      <c r="F12843">
        <v>-1.33</v>
      </c>
      <c r="G12843" t="s">
        <v>12</v>
      </c>
      <c r="I12843" t="s">
        <v>13</v>
      </c>
    </row>
    <row r="12844" spans="1:9" hidden="1" x14ac:dyDescent="0.25">
      <c r="A12844" t="s">
        <v>10467</v>
      </c>
      <c r="B12844" t="s">
        <v>790</v>
      </c>
      <c r="C12844" s="2">
        <f>HYPERLINK("https://cao.dolgi.msk.ru/account/1080056585/", 1080056585)</f>
        <v>1080056585</v>
      </c>
      <c r="D12844" t="s">
        <v>10608</v>
      </c>
      <c r="E12844">
        <v>543.99</v>
      </c>
      <c r="F12844">
        <v>0.05</v>
      </c>
      <c r="G12844" t="s">
        <v>12</v>
      </c>
      <c r="I12844" t="s">
        <v>13</v>
      </c>
    </row>
    <row r="12845" spans="1:9" hidden="1" x14ac:dyDescent="0.25">
      <c r="A12845" t="s">
        <v>10467</v>
      </c>
      <c r="B12845" t="s">
        <v>792</v>
      </c>
      <c r="C12845" s="2">
        <f>HYPERLINK("https://cao.dolgi.msk.ru/account/1080056593/", 1080056593)</f>
        <v>1080056593</v>
      </c>
      <c r="D12845" t="s">
        <v>10609</v>
      </c>
      <c r="E12845">
        <v>-6385.97</v>
      </c>
      <c r="F12845">
        <v>-1.0900000000000001</v>
      </c>
      <c r="G12845" t="s">
        <v>12</v>
      </c>
      <c r="I12845" t="s">
        <v>13</v>
      </c>
    </row>
    <row r="12846" spans="1:9" hidden="1" x14ac:dyDescent="0.25">
      <c r="A12846" t="s">
        <v>10467</v>
      </c>
      <c r="B12846" t="s">
        <v>794</v>
      </c>
      <c r="C12846" s="2">
        <f>HYPERLINK("https://cao.dolgi.msk.ru/account/1080056606/", 1080056606)</f>
        <v>1080056606</v>
      </c>
      <c r="D12846" t="s">
        <v>10610</v>
      </c>
      <c r="E12846">
        <v>-6581.33</v>
      </c>
      <c r="F12846">
        <v>-1.01</v>
      </c>
      <c r="G12846" t="s">
        <v>12</v>
      </c>
      <c r="I12846" t="s">
        <v>13</v>
      </c>
    </row>
    <row r="12847" spans="1:9" hidden="1" x14ac:dyDescent="0.25">
      <c r="A12847" t="s">
        <v>10467</v>
      </c>
      <c r="B12847" t="s">
        <v>796</v>
      </c>
      <c r="C12847" s="2">
        <f>HYPERLINK("https://cao.dolgi.msk.ru/account/1080056614/", 1080056614)</f>
        <v>1080056614</v>
      </c>
      <c r="D12847" t="s">
        <v>10611</v>
      </c>
      <c r="E12847">
        <v>-28811.97</v>
      </c>
      <c r="F12847">
        <v>-2.73</v>
      </c>
      <c r="G12847" t="s">
        <v>12</v>
      </c>
      <c r="I12847" t="s">
        <v>13</v>
      </c>
    </row>
    <row r="12848" spans="1:9" hidden="1" x14ac:dyDescent="0.25">
      <c r="A12848" t="s">
        <v>10467</v>
      </c>
      <c r="B12848" t="s">
        <v>798</v>
      </c>
      <c r="C12848" s="2">
        <f>HYPERLINK("https://cao.dolgi.msk.ru/account/1080056622/", 1080056622)</f>
        <v>1080056622</v>
      </c>
      <c r="D12848" t="s">
        <v>10612</v>
      </c>
      <c r="E12848">
        <v>-5251.62</v>
      </c>
      <c r="F12848">
        <v>-1</v>
      </c>
      <c r="G12848" t="s">
        <v>12</v>
      </c>
      <c r="I12848" t="s">
        <v>13</v>
      </c>
    </row>
    <row r="12849" spans="1:9" hidden="1" x14ac:dyDescent="0.25">
      <c r="A12849" t="s">
        <v>10467</v>
      </c>
      <c r="B12849" t="s">
        <v>800</v>
      </c>
      <c r="C12849" s="2">
        <f>HYPERLINK("https://cao.dolgi.msk.ru/account/1080056649/", 1080056649)</f>
        <v>1080056649</v>
      </c>
      <c r="D12849" t="s">
        <v>10613</v>
      </c>
      <c r="E12849">
        <v>-4766.6400000000003</v>
      </c>
      <c r="F12849">
        <v>-0.72</v>
      </c>
      <c r="G12849" t="s">
        <v>12</v>
      </c>
      <c r="I12849" t="s">
        <v>13</v>
      </c>
    </row>
    <row r="12850" spans="1:9" hidden="1" x14ac:dyDescent="0.25">
      <c r="A12850" t="s">
        <v>10467</v>
      </c>
      <c r="B12850" t="s">
        <v>802</v>
      </c>
      <c r="C12850" s="2">
        <f>HYPERLINK("https://cao.dolgi.msk.ru/account/1080056657/", 1080056657)</f>
        <v>1080056657</v>
      </c>
      <c r="D12850" t="s">
        <v>10614</v>
      </c>
      <c r="E12850">
        <v>-11595.88</v>
      </c>
      <c r="F12850">
        <v>-1.07</v>
      </c>
      <c r="G12850" t="s">
        <v>12</v>
      </c>
      <c r="I12850" t="s">
        <v>13</v>
      </c>
    </row>
    <row r="12851" spans="1:9" hidden="1" x14ac:dyDescent="0.25">
      <c r="A12851" t="s">
        <v>10467</v>
      </c>
      <c r="B12851" t="s">
        <v>804</v>
      </c>
      <c r="C12851" s="2">
        <f>HYPERLINK("https://cao.dolgi.msk.ru/account/1080056665/", 1080056665)</f>
        <v>1080056665</v>
      </c>
      <c r="D12851" t="s">
        <v>10615</v>
      </c>
      <c r="E12851">
        <v>0</v>
      </c>
      <c r="F12851">
        <v>0</v>
      </c>
      <c r="G12851" t="s">
        <v>12</v>
      </c>
      <c r="I12851" t="s">
        <v>13</v>
      </c>
    </row>
    <row r="12852" spans="1:9" hidden="1" x14ac:dyDescent="0.25">
      <c r="A12852" t="s">
        <v>10467</v>
      </c>
      <c r="B12852" t="s">
        <v>806</v>
      </c>
      <c r="C12852" s="2">
        <f>HYPERLINK("https://cao.dolgi.msk.ru/account/1080056673/", 1080056673)</f>
        <v>1080056673</v>
      </c>
      <c r="D12852" t="s">
        <v>10616</v>
      </c>
      <c r="E12852">
        <v>-5623.94</v>
      </c>
      <c r="F12852">
        <v>-0.93</v>
      </c>
      <c r="G12852" t="s">
        <v>12</v>
      </c>
      <c r="I12852" t="s">
        <v>13</v>
      </c>
    </row>
    <row r="12853" spans="1:9" hidden="1" x14ac:dyDescent="0.25">
      <c r="A12853" t="s">
        <v>10467</v>
      </c>
      <c r="B12853" t="s">
        <v>808</v>
      </c>
      <c r="C12853" s="2">
        <f>HYPERLINK("https://cao.dolgi.msk.ru/account/1080056681/", 1080056681)</f>
        <v>1080056681</v>
      </c>
      <c r="D12853" t="s">
        <v>10617</v>
      </c>
      <c r="E12853">
        <v>-8994.77</v>
      </c>
      <c r="F12853">
        <v>-1.06</v>
      </c>
      <c r="G12853" t="s">
        <v>12</v>
      </c>
      <c r="I12853" t="s">
        <v>13</v>
      </c>
    </row>
    <row r="12854" spans="1:9" hidden="1" x14ac:dyDescent="0.25">
      <c r="A12854" t="s">
        <v>10467</v>
      </c>
      <c r="B12854" t="s">
        <v>810</v>
      </c>
      <c r="C12854" s="2">
        <f>HYPERLINK("https://cao.dolgi.msk.ru/account/1080056702/", 1080056702)</f>
        <v>1080056702</v>
      </c>
      <c r="D12854" t="s">
        <v>10618</v>
      </c>
      <c r="E12854">
        <v>-2408.8000000000002</v>
      </c>
      <c r="F12854">
        <v>-0.99</v>
      </c>
      <c r="G12854" t="s">
        <v>12</v>
      </c>
      <c r="I12854" t="s">
        <v>13</v>
      </c>
    </row>
    <row r="12855" spans="1:9" hidden="1" x14ac:dyDescent="0.25">
      <c r="A12855" t="s">
        <v>10467</v>
      </c>
      <c r="B12855" t="s">
        <v>812</v>
      </c>
      <c r="C12855" s="2">
        <f>HYPERLINK("https://cao.dolgi.msk.ru/account/1080056729/", 1080056729)</f>
        <v>1080056729</v>
      </c>
      <c r="D12855" t="s">
        <v>10619</v>
      </c>
      <c r="E12855">
        <v>-3239.9</v>
      </c>
      <c r="F12855">
        <v>-1.38</v>
      </c>
      <c r="G12855" t="s">
        <v>12</v>
      </c>
      <c r="I12855" t="s">
        <v>13</v>
      </c>
    </row>
    <row r="12856" spans="1:9" hidden="1" x14ac:dyDescent="0.25">
      <c r="A12856" t="s">
        <v>10467</v>
      </c>
      <c r="B12856" t="s">
        <v>814</v>
      </c>
      <c r="C12856" s="2">
        <f>HYPERLINK("https://cao.dolgi.msk.ru/account/1080056737/", 1080056737)</f>
        <v>1080056737</v>
      </c>
      <c r="D12856" t="s">
        <v>10620</v>
      </c>
      <c r="E12856">
        <v>-10167.120000000001</v>
      </c>
      <c r="F12856">
        <v>-1.01</v>
      </c>
      <c r="G12856" t="s">
        <v>12</v>
      </c>
      <c r="I12856" t="s">
        <v>13</v>
      </c>
    </row>
    <row r="12857" spans="1:9" hidden="1" x14ac:dyDescent="0.25">
      <c r="A12857" t="s">
        <v>10467</v>
      </c>
      <c r="B12857" t="s">
        <v>816</v>
      </c>
      <c r="C12857" s="2">
        <f>HYPERLINK("https://cao.dolgi.msk.ru/account/1080056745/", 1080056745)</f>
        <v>1080056745</v>
      </c>
      <c r="D12857" t="s">
        <v>10621</v>
      </c>
      <c r="E12857">
        <v>-5433.16</v>
      </c>
      <c r="F12857">
        <v>-1.17</v>
      </c>
      <c r="G12857" t="s">
        <v>12</v>
      </c>
      <c r="I12857" t="s">
        <v>13</v>
      </c>
    </row>
    <row r="12858" spans="1:9" hidden="1" x14ac:dyDescent="0.25">
      <c r="A12858" t="s">
        <v>10467</v>
      </c>
      <c r="B12858" t="s">
        <v>818</v>
      </c>
      <c r="C12858" s="2">
        <f>HYPERLINK("https://cao.dolgi.msk.ru/account/1080056753/", 1080056753)</f>
        <v>1080056753</v>
      </c>
      <c r="D12858" t="s">
        <v>10622</v>
      </c>
      <c r="E12858">
        <v>-2807.76</v>
      </c>
      <c r="F12858">
        <v>-1.01</v>
      </c>
      <c r="G12858" t="s">
        <v>12</v>
      </c>
      <c r="I12858" t="s">
        <v>13</v>
      </c>
    </row>
    <row r="12859" spans="1:9" hidden="1" x14ac:dyDescent="0.25">
      <c r="A12859" t="s">
        <v>10467</v>
      </c>
      <c r="B12859" t="s">
        <v>820</v>
      </c>
      <c r="C12859" s="2">
        <f>HYPERLINK("https://cao.dolgi.msk.ru/account/1080056761/", 1080056761)</f>
        <v>1080056761</v>
      </c>
      <c r="D12859" t="s">
        <v>10623</v>
      </c>
      <c r="E12859">
        <v>-10102.33</v>
      </c>
      <c r="F12859">
        <v>-1.02</v>
      </c>
      <c r="G12859" t="s">
        <v>12</v>
      </c>
      <c r="I12859" t="s">
        <v>13</v>
      </c>
    </row>
    <row r="12860" spans="1:9" hidden="1" x14ac:dyDescent="0.25">
      <c r="A12860" t="s">
        <v>10467</v>
      </c>
      <c r="B12860" t="s">
        <v>822</v>
      </c>
      <c r="C12860" s="2">
        <f>HYPERLINK("https://cao.dolgi.msk.ru/account/1080056788/", 1080056788)</f>
        <v>1080056788</v>
      </c>
      <c r="D12860" t="s">
        <v>10624</v>
      </c>
      <c r="E12860">
        <v>-6331.06</v>
      </c>
      <c r="F12860">
        <v>-1.01</v>
      </c>
      <c r="G12860" t="s">
        <v>12</v>
      </c>
      <c r="I12860" t="s">
        <v>13</v>
      </c>
    </row>
    <row r="12861" spans="1:9" hidden="1" x14ac:dyDescent="0.25">
      <c r="A12861" t="s">
        <v>10467</v>
      </c>
      <c r="B12861" t="s">
        <v>824</v>
      </c>
      <c r="C12861" s="2">
        <f>HYPERLINK("https://cao.dolgi.msk.ru/account/1080056796/", 1080056796)</f>
        <v>1080056796</v>
      </c>
      <c r="D12861" t="s">
        <v>10625</v>
      </c>
      <c r="E12861">
        <v>-4797.12</v>
      </c>
      <c r="F12861">
        <v>-1.06</v>
      </c>
      <c r="G12861" t="s">
        <v>12</v>
      </c>
      <c r="I12861" t="s">
        <v>13</v>
      </c>
    </row>
    <row r="12862" spans="1:9" x14ac:dyDescent="0.25">
      <c r="A12862" t="s">
        <v>10467</v>
      </c>
      <c r="B12862" t="s">
        <v>826</v>
      </c>
      <c r="C12862" s="2">
        <f>HYPERLINK("https://cao.dolgi.msk.ru/account/1080056809/", 1080056809)</f>
        <v>1080056809</v>
      </c>
      <c r="D12862" t="s">
        <v>10626</v>
      </c>
      <c r="E12862">
        <v>10756.1</v>
      </c>
      <c r="F12862">
        <v>1.02</v>
      </c>
      <c r="G12862" t="s">
        <v>12</v>
      </c>
      <c r="I12862" t="s">
        <v>13</v>
      </c>
    </row>
    <row r="12863" spans="1:9" hidden="1" x14ac:dyDescent="0.25">
      <c r="A12863" t="s">
        <v>10467</v>
      </c>
      <c r="B12863" t="s">
        <v>828</v>
      </c>
      <c r="C12863" s="2">
        <f>HYPERLINK("https://cao.dolgi.msk.ru/account/1080056817/", 1080056817)</f>
        <v>1080056817</v>
      </c>
      <c r="D12863" t="s">
        <v>10627</v>
      </c>
      <c r="E12863">
        <v>4021.9</v>
      </c>
      <c r="F12863">
        <v>0.42</v>
      </c>
      <c r="G12863" t="s">
        <v>12</v>
      </c>
      <c r="I12863" t="s">
        <v>13</v>
      </c>
    </row>
    <row r="12864" spans="1:9" hidden="1" x14ac:dyDescent="0.25">
      <c r="A12864" t="s">
        <v>10467</v>
      </c>
      <c r="B12864" t="s">
        <v>830</v>
      </c>
      <c r="C12864" s="2">
        <f>HYPERLINK("https://cao.dolgi.msk.ru/account/1080056825/", 1080056825)</f>
        <v>1080056825</v>
      </c>
      <c r="D12864" t="s">
        <v>10628</v>
      </c>
      <c r="E12864">
        <v>-4838.29</v>
      </c>
      <c r="F12864">
        <v>-0.99</v>
      </c>
      <c r="G12864" t="s">
        <v>12</v>
      </c>
      <c r="I12864" t="s">
        <v>13</v>
      </c>
    </row>
    <row r="12865" spans="1:9" hidden="1" x14ac:dyDescent="0.25">
      <c r="A12865" t="s">
        <v>10467</v>
      </c>
      <c r="B12865" t="s">
        <v>831</v>
      </c>
      <c r="C12865" s="2">
        <f>HYPERLINK("https://cao.dolgi.msk.ru/account/1080056833/", 1080056833)</f>
        <v>1080056833</v>
      </c>
      <c r="D12865" t="s">
        <v>10629</v>
      </c>
      <c r="E12865">
        <v>-8819.0300000000007</v>
      </c>
      <c r="F12865">
        <v>-1.03</v>
      </c>
      <c r="G12865" t="s">
        <v>12</v>
      </c>
      <c r="I12865" t="s">
        <v>13</v>
      </c>
    </row>
    <row r="12866" spans="1:9" hidden="1" x14ac:dyDescent="0.25">
      <c r="A12866" t="s">
        <v>10467</v>
      </c>
      <c r="B12866" t="s">
        <v>833</v>
      </c>
      <c r="C12866" s="2">
        <f>HYPERLINK("https://cao.dolgi.msk.ru/account/1080056841/", 1080056841)</f>
        <v>1080056841</v>
      </c>
      <c r="D12866" t="s">
        <v>62</v>
      </c>
      <c r="E12866">
        <v>-6212.13</v>
      </c>
      <c r="F12866">
        <v>-1.02</v>
      </c>
      <c r="G12866" t="s">
        <v>12</v>
      </c>
      <c r="I12866" t="s">
        <v>13</v>
      </c>
    </row>
    <row r="12867" spans="1:9" hidden="1" x14ac:dyDescent="0.25">
      <c r="A12867" t="s">
        <v>10467</v>
      </c>
      <c r="B12867" t="s">
        <v>835</v>
      </c>
      <c r="C12867" s="2">
        <f>HYPERLINK("https://cao.dolgi.msk.ru/account/1080056868/", 1080056868)</f>
        <v>1080056868</v>
      </c>
      <c r="D12867" t="s">
        <v>10630</v>
      </c>
      <c r="E12867">
        <v>-4291.3100000000004</v>
      </c>
      <c r="F12867">
        <v>-1.07</v>
      </c>
      <c r="G12867" t="s">
        <v>12</v>
      </c>
      <c r="I12867" t="s">
        <v>13</v>
      </c>
    </row>
    <row r="12868" spans="1:9" hidden="1" x14ac:dyDescent="0.25">
      <c r="A12868" t="s">
        <v>10467</v>
      </c>
      <c r="B12868" t="s">
        <v>837</v>
      </c>
      <c r="C12868" s="2">
        <f>HYPERLINK("https://cao.dolgi.msk.ru/account/1080056876/", 1080056876)</f>
        <v>1080056876</v>
      </c>
      <c r="D12868" t="s">
        <v>15</v>
      </c>
      <c r="E12868">
        <v>-4434.3999999999996</v>
      </c>
      <c r="F12868">
        <v>-1.03</v>
      </c>
      <c r="G12868" t="s">
        <v>12</v>
      </c>
      <c r="I12868" t="s">
        <v>13</v>
      </c>
    </row>
    <row r="12869" spans="1:9" hidden="1" x14ac:dyDescent="0.25">
      <c r="A12869" t="s">
        <v>10467</v>
      </c>
      <c r="B12869" t="s">
        <v>838</v>
      </c>
      <c r="C12869" s="2">
        <f>HYPERLINK("https://cao.dolgi.msk.ru/account/1080056884/", 1080056884)</f>
        <v>1080056884</v>
      </c>
      <c r="D12869" t="s">
        <v>10631</v>
      </c>
      <c r="E12869">
        <v>-9776.82</v>
      </c>
      <c r="F12869">
        <v>-1.41</v>
      </c>
      <c r="G12869" t="s">
        <v>12</v>
      </c>
      <c r="I12869" t="s">
        <v>13</v>
      </c>
    </row>
    <row r="12870" spans="1:9" hidden="1" x14ac:dyDescent="0.25">
      <c r="A12870" t="s">
        <v>10467</v>
      </c>
      <c r="B12870" t="s">
        <v>840</v>
      </c>
      <c r="C12870" s="2">
        <f>HYPERLINK("https://cao.dolgi.msk.ru/account/1080056892/", 1080056892)</f>
        <v>1080056892</v>
      </c>
      <c r="D12870" t="s">
        <v>10632</v>
      </c>
      <c r="E12870">
        <v>2334.13</v>
      </c>
      <c r="F12870">
        <v>0.36</v>
      </c>
      <c r="G12870" t="s">
        <v>12</v>
      </c>
      <c r="I12870" t="s">
        <v>13</v>
      </c>
    </row>
    <row r="12871" spans="1:9" hidden="1" x14ac:dyDescent="0.25">
      <c r="A12871" t="s">
        <v>10467</v>
      </c>
      <c r="B12871" t="s">
        <v>842</v>
      </c>
      <c r="C12871" s="2">
        <f>HYPERLINK("https://cao.dolgi.msk.ru/account/1080056905/", 1080056905)</f>
        <v>1080056905</v>
      </c>
      <c r="D12871" t="s">
        <v>10633</v>
      </c>
      <c r="E12871">
        <v>-17524.75</v>
      </c>
      <c r="F12871">
        <v>-1.8</v>
      </c>
      <c r="G12871" t="s">
        <v>12</v>
      </c>
      <c r="I12871" t="s">
        <v>13</v>
      </c>
    </row>
    <row r="12872" spans="1:9" hidden="1" x14ac:dyDescent="0.25">
      <c r="A12872" t="s">
        <v>10467</v>
      </c>
      <c r="B12872" t="s">
        <v>844</v>
      </c>
      <c r="C12872" s="2">
        <f>HYPERLINK("https://cao.dolgi.msk.ru/account/1080056913/", 1080056913)</f>
        <v>1080056913</v>
      </c>
      <c r="D12872" t="s">
        <v>10634</v>
      </c>
      <c r="E12872">
        <v>-4641.55</v>
      </c>
      <c r="F12872">
        <v>-1.03</v>
      </c>
      <c r="G12872" t="s">
        <v>12</v>
      </c>
      <c r="I12872" t="s">
        <v>13</v>
      </c>
    </row>
    <row r="12873" spans="1:9" hidden="1" x14ac:dyDescent="0.25">
      <c r="A12873" t="s">
        <v>10467</v>
      </c>
      <c r="B12873" t="s">
        <v>846</v>
      </c>
      <c r="C12873" s="2">
        <f>HYPERLINK("https://cao.dolgi.msk.ru/account/1080056921/", 1080056921)</f>
        <v>1080056921</v>
      </c>
      <c r="D12873" t="s">
        <v>10635</v>
      </c>
      <c r="E12873">
        <v>-5577.06</v>
      </c>
      <c r="F12873">
        <v>-0.97</v>
      </c>
      <c r="G12873" t="s">
        <v>12</v>
      </c>
      <c r="I12873" t="s">
        <v>13</v>
      </c>
    </row>
    <row r="12874" spans="1:9" hidden="1" x14ac:dyDescent="0.25">
      <c r="A12874" t="s">
        <v>10467</v>
      </c>
      <c r="B12874" t="s">
        <v>848</v>
      </c>
      <c r="C12874" s="2">
        <f>HYPERLINK("https://cao.dolgi.msk.ru/account/1080056948/", 1080056948)</f>
        <v>1080056948</v>
      </c>
      <c r="D12874" t="s">
        <v>10636</v>
      </c>
      <c r="E12874">
        <v>-7024.02</v>
      </c>
      <c r="F12874">
        <v>-1.1000000000000001</v>
      </c>
      <c r="G12874" t="s">
        <v>12</v>
      </c>
      <c r="I12874" t="s">
        <v>13</v>
      </c>
    </row>
    <row r="12875" spans="1:9" hidden="1" x14ac:dyDescent="0.25">
      <c r="A12875" t="s">
        <v>10467</v>
      </c>
      <c r="B12875" t="s">
        <v>850</v>
      </c>
      <c r="C12875" s="2">
        <f>HYPERLINK("https://cao.dolgi.msk.ru/account/1080056956/", 1080056956)</f>
        <v>1080056956</v>
      </c>
      <c r="D12875" t="s">
        <v>10637</v>
      </c>
      <c r="E12875">
        <v>-6294.33</v>
      </c>
      <c r="F12875">
        <v>-1.08</v>
      </c>
      <c r="G12875" t="s">
        <v>12</v>
      </c>
      <c r="I12875" t="s">
        <v>13</v>
      </c>
    </row>
    <row r="12876" spans="1:9" hidden="1" x14ac:dyDescent="0.25">
      <c r="A12876" t="s">
        <v>10467</v>
      </c>
      <c r="B12876" t="s">
        <v>852</v>
      </c>
      <c r="C12876" s="2">
        <f>HYPERLINK("https://cao.dolgi.msk.ru/account/1080056964/", 1080056964)</f>
        <v>1080056964</v>
      </c>
      <c r="D12876" t="s">
        <v>10638</v>
      </c>
      <c r="E12876">
        <v>-4914.8999999999996</v>
      </c>
      <c r="F12876">
        <v>-0.99</v>
      </c>
      <c r="G12876" t="s">
        <v>12</v>
      </c>
      <c r="I12876" t="s">
        <v>13</v>
      </c>
    </row>
    <row r="12877" spans="1:9" hidden="1" x14ac:dyDescent="0.25">
      <c r="A12877" t="s">
        <v>10467</v>
      </c>
      <c r="B12877" t="s">
        <v>854</v>
      </c>
      <c r="C12877" s="2">
        <f>HYPERLINK("https://cao.dolgi.msk.ru/account/1080056972/", 1080056972)</f>
        <v>1080056972</v>
      </c>
      <c r="D12877" t="s">
        <v>10639</v>
      </c>
      <c r="E12877">
        <v>-8930.39</v>
      </c>
      <c r="F12877">
        <v>-1.17</v>
      </c>
      <c r="G12877" t="s">
        <v>12</v>
      </c>
      <c r="I12877" t="s">
        <v>13</v>
      </c>
    </row>
    <row r="12878" spans="1:9" hidden="1" x14ac:dyDescent="0.25">
      <c r="A12878" t="s">
        <v>10467</v>
      </c>
      <c r="B12878" t="s">
        <v>856</v>
      </c>
      <c r="C12878" s="2">
        <f>HYPERLINK("https://cao.dolgi.msk.ru/account/1080056999/", 1080056999)</f>
        <v>1080056999</v>
      </c>
      <c r="D12878" t="s">
        <v>10640</v>
      </c>
      <c r="E12878">
        <v>-6250.63</v>
      </c>
      <c r="F12878">
        <v>-0.84</v>
      </c>
      <c r="G12878" t="s">
        <v>12</v>
      </c>
      <c r="I12878" t="s">
        <v>13</v>
      </c>
    </row>
    <row r="12879" spans="1:9" hidden="1" x14ac:dyDescent="0.25">
      <c r="A12879" t="s">
        <v>10467</v>
      </c>
      <c r="B12879" t="s">
        <v>858</v>
      </c>
      <c r="C12879" s="2">
        <f>HYPERLINK("https://cao.dolgi.msk.ru/account/1080057019/", 1080057019)</f>
        <v>1080057019</v>
      </c>
      <c r="D12879" t="s">
        <v>10641</v>
      </c>
      <c r="E12879">
        <v>-4948.08</v>
      </c>
      <c r="F12879">
        <v>-1.1200000000000001</v>
      </c>
      <c r="G12879" t="s">
        <v>12</v>
      </c>
      <c r="I12879" t="s">
        <v>13</v>
      </c>
    </row>
    <row r="12880" spans="1:9" hidden="1" x14ac:dyDescent="0.25">
      <c r="A12880" t="s">
        <v>10467</v>
      </c>
      <c r="B12880" t="s">
        <v>860</v>
      </c>
      <c r="C12880" s="2">
        <f>HYPERLINK("https://cao.dolgi.msk.ru/account/1080057027/", 1080057027)</f>
        <v>1080057027</v>
      </c>
      <c r="D12880" t="s">
        <v>10642</v>
      </c>
      <c r="E12880">
        <v>-6557.08</v>
      </c>
      <c r="F12880">
        <v>-0.99</v>
      </c>
      <c r="G12880" t="s">
        <v>12</v>
      </c>
      <c r="I12880" t="s">
        <v>13</v>
      </c>
    </row>
    <row r="12881" spans="1:9" hidden="1" x14ac:dyDescent="0.25">
      <c r="A12881" t="s">
        <v>10467</v>
      </c>
      <c r="B12881" t="s">
        <v>860</v>
      </c>
      <c r="C12881" s="2">
        <f>HYPERLINK("https://cao.dolgi.msk.ru/account/1080326127/", 1080326127)</f>
        <v>1080326127</v>
      </c>
      <c r="D12881" t="s">
        <v>10642</v>
      </c>
      <c r="E12881">
        <v>0</v>
      </c>
      <c r="F12881">
        <v>0</v>
      </c>
      <c r="G12881" t="s">
        <v>12</v>
      </c>
      <c r="I12881" t="s">
        <v>13</v>
      </c>
    </row>
    <row r="12882" spans="1:9" hidden="1" x14ac:dyDescent="0.25">
      <c r="A12882" t="s">
        <v>10467</v>
      </c>
      <c r="B12882" t="s">
        <v>862</v>
      </c>
      <c r="C12882" s="2">
        <f>HYPERLINK("https://cao.dolgi.msk.ru/account/1080057035/", 1080057035)</f>
        <v>1080057035</v>
      </c>
      <c r="D12882" t="s">
        <v>10643</v>
      </c>
      <c r="E12882">
        <v>4208.1899999999996</v>
      </c>
      <c r="F12882">
        <v>0.98</v>
      </c>
      <c r="G12882" t="s">
        <v>12</v>
      </c>
      <c r="I12882" t="s">
        <v>13</v>
      </c>
    </row>
    <row r="12883" spans="1:9" hidden="1" x14ac:dyDescent="0.25">
      <c r="A12883" t="s">
        <v>10467</v>
      </c>
      <c r="B12883" t="s">
        <v>864</v>
      </c>
      <c r="C12883" s="2">
        <f>HYPERLINK("https://cao.dolgi.msk.ru/account/1080057043/", 1080057043)</f>
        <v>1080057043</v>
      </c>
      <c r="D12883" t="s">
        <v>10644</v>
      </c>
      <c r="E12883">
        <v>-2919.04</v>
      </c>
      <c r="F12883">
        <v>-1.01</v>
      </c>
      <c r="G12883" t="s">
        <v>12</v>
      </c>
      <c r="I12883" t="s">
        <v>13</v>
      </c>
    </row>
    <row r="12884" spans="1:9" hidden="1" x14ac:dyDescent="0.25">
      <c r="A12884" t="s">
        <v>10467</v>
      </c>
      <c r="B12884" t="s">
        <v>866</v>
      </c>
      <c r="C12884" s="2">
        <f>HYPERLINK("https://cao.dolgi.msk.ru/account/1080057051/", 1080057051)</f>
        <v>1080057051</v>
      </c>
      <c r="D12884" t="s">
        <v>10645</v>
      </c>
      <c r="E12884">
        <v>-27.4</v>
      </c>
      <c r="F12884">
        <v>0</v>
      </c>
      <c r="G12884" t="s">
        <v>12</v>
      </c>
      <c r="I12884" t="s">
        <v>13</v>
      </c>
    </row>
    <row r="12885" spans="1:9" hidden="1" x14ac:dyDescent="0.25">
      <c r="A12885" t="s">
        <v>10467</v>
      </c>
      <c r="B12885" t="s">
        <v>868</v>
      </c>
      <c r="C12885" s="2">
        <f>HYPERLINK("https://cao.dolgi.msk.ru/account/1089114921/", 1089114921)</f>
        <v>1089114921</v>
      </c>
      <c r="D12885" t="s">
        <v>15</v>
      </c>
      <c r="E12885">
        <v>-7000</v>
      </c>
      <c r="F12885">
        <v>-1.21</v>
      </c>
      <c r="G12885" t="s">
        <v>12</v>
      </c>
      <c r="I12885" t="s">
        <v>13</v>
      </c>
    </row>
    <row r="12886" spans="1:9" hidden="1" x14ac:dyDescent="0.25">
      <c r="A12886" t="s">
        <v>10467</v>
      </c>
      <c r="B12886" t="s">
        <v>870</v>
      </c>
      <c r="C12886" s="2">
        <f>HYPERLINK("https://cao.dolgi.msk.ru/account/1080057086/", 1080057086)</f>
        <v>1080057086</v>
      </c>
      <c r="D12886" t="s">
        <v>10646</v>
      </c>
      <c r="E12886">
        <v>4153.1000000000004</v>
      </c>
      <c r="F12886">
        <v>0.64</v>
      </c>
      <c r="G12886" t="s">
        <v>12</v>
      </c>
      <c r="I12886" t="s">
        <v>13</v>
      </c>
    </row>
    <row r="12887" spans="1:9" hidden="1" x14ac:dyDescent="0.25">
      <c r="A12887" t="s">
        <v>10467</v>
      </c>
      <c r="B12887" t="s">
        <v>872</v>
      </c>
      <c r="C12887" s="2">
        <f>HYPERLINK("https://cao.dolgi.msk.ru/account/1080057094/", 1080057094)</f>
        <v>1080057094</v>
      </c>
      <c r="D12887" t="s">
        <v>10647</v>
      </c>
      <c r="E12887">
        <v>-17066.75</v>
      </c>
      <c r="F12887">
        <v>-1</v>
      </c>
      <c r="G12887" t="s">
        <v>12</v>
      </c>
      <c r="I12887" t="s">
        <v>13</v>
      </c>
    </row>
    <row r="12888" spans="1:9" hidden="1" x14ac:dyDescent="0.25">
      <c r="A12888" t="s">
        <v>10467</v>
      </c>
      <c r="B12888" t="s">
        <v>874</v>
      </c>
      <c r="C12888" s="2">
        <f>HYPERLINK("https://cao.dolgi.msk.ru/account/1080057107/", 1080057107)</f>
        <v>1080057107</v>
      </c>
      <c r="D12888" t="s">
        <v>10648</v>
      </c>
      <c r="E12888">
        <v>-5870.78</v>
      </c>
      <c r="F12888">
        <v>-1.01</v>
      </c>
      <c r="G12888" t="s">
        <v>12</v>
      </c>
      <c r="I12888" t="s">
        <v>13</v>
      </c>
    </row>
    <row r="12889" spans="1:9" hidden="1" x14ac:dyDescent="0.25">
      <c r="A12889" t="s">
        <v>10467</v>
      </c>
      <c r="B12889" t="s">
        <v>875</v>
      </c>
      <c r="C12889" s="2">
        <f>HYPERLINK("https://cao.dolgi.msk.ru/account/1080057115/", 1080057115)</f>
        <v>1080057115</v>
      </c>
      <c r="D12889" t="s">
        <v>10649</v>
      </c>
      <c r="E12889">
        <v>19.399999999999999</v>
      </c>
      <c r="F12889">
        <v>0</v>
      </c>
      <c r="G12889" t="s">
        <v>12</v>
      </c>
      <c r="I12889" t="s">
        <v>13</v>
      </c>
    </row>
    <row r="12890" spans="1:9" hidden="1" x14ac:dyDescent="0.25">
      <c r="A12890" t="s">
        <v>10467</v>
      </c>
      <c r="B12890" t="s">
        <v>877</v>
      </c>
      <c r="C12890" s="2">
        <f>HYPERLINK("https://cao.dolgi.msk.ru/account/1080057123/", 1080057123)</f>
        <v>1080057123</v>
      </c>
      <c r="D12890" t="s">
        <v>10650</v>
      </c>
      <c r="E12890">
        <v>-2138.5300000000002</v>
      </c>
      <c r="F12890">
        <v>-0.2</v>
      </c>
      <c r="G12890" t="s">
        <v>12</v>
      </c>
      <c r="I12890" t="s">
        <v>13</v>
      </c>
    </row>
    <row r="12891" spans="1:9" hidden="1" x14ac:dyDescent="0.25">
      <c r="A12891" t="s">
        <v>10467</v>
      </c>
      <c r="B12891" t="s">
        <v>879</v>
      </c>
      <c r="C12891" s="2">
        <f>HYPERLINK("https://cao.dolgi.msk.ru/account/1080057131/", 1080057131)</f>
        <v>1080057131</v>
      </c>
      <c r="D12891" t="s">
        <v>10651</v>
      </c>
      <c r="E12891">
        <v>-4965.28</v>
      </c>
      <c r="F12891">
        <v>-1.05</v>
      </c>
      <c r="G12891" t="s">
        <v>12</v>
      </c>
      <c r="I12891" t="s">
        <v>13</v>
      </c>
    </row>
    <row r="12892" spans="1:9" hidden="1" x14ac:dyDescent="0.25">
      <c r="A12892" t="s">
        <v>10467</v>
      </c>
      <c r="B12892" t="s">
        <v>881</v>
      </c>
      <c r="C12892" s="2">
        <f>HYPERLINK("https://cao.dolgi.msk.ru/account/1080057158/", 1080057158)</f>
        <v>1080057158</v>
      </c>
      <c r="D12892" t="s">
        <v>10652</v>
      </c>
      <c r="E12892">
        <v>-6643.73</v>
      </c>
      <c r="F12892">
        <v>-1.01</v>
      </c>
      <c r="G12892" t="s">
        <v>12</v>
      </c>
      <c r="I12892" t="s">
        <v>13</v>
      </c>
    </row>
    <row r="12893" spans="1:9" hidden="1" x14ac:dyDescent="0.25">
      <c r="A12893" t="s">
        <v>10467</v>
      </c>
      <c r="B12893" t="s">
        <v>883</v>
      </c>
      <c r="C12893" s="2">
        <f>HYPERLINK("https://cao.dolgi.msk.ru/account/1080057166/", 1080057166)</f>
        <v>1080057166</v>
      </c>
      <c r="D12893" t="s">
        <v>10653</v>
      </c>
      <c r="E12893">
        <v>-10138.27</v>
      </c>
      <c r="F12893">
        <v>-1.01</v>
      </c>
      <c r="G12893" t="s">
        <v>12</v>
      </c>
      <c r="I12893" t="s">
        <v>13</v>
      </c>
    </row>
    <row r="12894" spans="1:9" hidden="1" x14ac:dyDescent="0.25">
      <c r="A12894" t="s">
        <v>10467</v>
      </c>
      <c r="B12894" t="s">
        <v>3443</v>
      </c>
      <c r="C12894" s="2">
        <f>HYPERLINK("https://cao.dolgi.msk.ru/account/1080057174/", 1080057174)</f>
        <v>1080057174</v>
      </c>
      <c r="D12894" t="s">
        <v>10654</v>
      </c>
      <c r="E12894">
        <v>-6283.31</v>
      </c>
      <c r="F12894">
        <v>-1.31</v>
      </c>
      <c r="G12894" t="s">
        <v>12</v>
      </c>
      <c r="I12894" t="s">
        <v>13</v>
      </c>
    </row>
    <row r="12895" spans="1:9" hidden="1" x14ac:dyDescent="0.25">
      <c r="A12895" t="s">
        <v>10467</v>
      </c>
      <c r="B12895" t="s">
        <v>3445</v>
      </c>
      <c r="C12895" s="2">
        <f>HYPERLINK("https://cao.dolgi.msk.ru/account/1080057182/", 1080057182)</f>
        <v>1080057182</v>
      </c>
      <c r="D12895" t="s">
        <v>10655</v>
      </c>
      <c r="E12895">
        <v>-6093.52</v>
      </c>
      <c r="F12895">
        <v>-1.01</v>
      </c>
      <c r="G12895" t="s">
        <v>12</v>
      </c>
      <c r="I12895" t="s">
        <v>13</v>
      </c>
    </row>
    <row r="12896" spans="1:9" hidden="1" x14ac:dyDescent="0.25">
      <c r="A12896" t="s">
        <v>10467</v>
      </c>
      <c r="B12896" t="s">
        <v>3447</v>
      </c>
      <c r="C12896" s="2">
        <f>HYPERLINK("https://cao.dolgi.msk.ru/account/1080057203/", 1080057203)</f>
        <v>1080057203</v>
      </c>
      <c r="D12896" t="s">
        <v>10656</v>
      </c>
      <c r="E12896">
        <v>-6498.21</v>
      </c>
      <c r="F12896">
        <v>-1.02</v>
      </c>
      <c r="G12896" t="s">
        <v>12</v>
      </c>
      <c r="I12896" t="s">
        <v>13</v>
      </c>
    </row>
    <row r="12897" spans="1:9" hidden="1" x14ac:dyDescent="0.25">
      <c r="A12897" t="s">
        <v>10467</v>
      </c>
      <c r="B12897" t="s">
        <v>3449</v>
      </c>
      <c r="C12897" s="2">
        <f>HYPERLINK("https://cao.dolgi.msk.ru/account/1080057211/", 1080057211)</f>
        <v>1080057211</v>
      </c>
      <c r="D12897" t="s">
        <v>10657</v>
      </c>
      <c r="E12897">
        <v>0</v>
      </c>
      <c r="F12897">
        <v>0</v>
      </c>
      <c r="G12897" t="s">
        <v>12</v>
      </c>
      <c r="I12897" t="s">
        <v>13</v>
      </c>
    </row>
    <row r="12898" spans="1:9" hidden="1" x14ac:dyDescent="0.25">
      <c r="A12898" t="s">
        <v>10467</v>
      </c>
      <c r="B12898" t="s">
        <v>3451</v>
      </c>
      <c r="C12898" s="2">
        <f>HYPERLINK("https://cao.dolgi.msk.ru/account/1080057238/", 1080057238)</f>
        <v>1080057238</v>
      </c>
      <c r="D12898" t="s">
        <v>10658</v>
      </c>
      <c r="E12898">
        <v>-4809.24</v>
      </c>
      <c r="F12898">
        <v>-1.04</v>
      </c>
      <c r="G12898" t="s">
        <v>12</v>
      </c>
      <c r="I12898" t="s">
        <v>13</v>
      </c>
    </row>
    <row r="12899" spans="1:9" hidden="1" x14ac:dyDescent="0.25">
      <c r="A12899" t="s">
        <v>10467</v>
      </c>
      <c r="B12899" t="s">
        <v>3452</v>
      </c>
      <c r="C12899" s="2">
        <f>HYPERLINK("https://cao.dolgi.msk.ru/account/1080057246/", 1080057246)</f>
        <v>1080057246</v>
      </c>
      <c r="D12899" t="s">
        <v>10659</v>
      </c>
      <c r="E12899">
        <v>-10672.54</v>
      </c>
      <c r="F12899">
        <v>-1.1599999999999999</v>
      </c>
      <c r="G12899" t="s">
        <v>12</v>
      </c>
      <c r="I12899" t="s">
        <v>13</v>
      </c>
    </row>
    <row r="12900" spans="1:9" hidden="1" x14ac:dyDescent="0.25">
      <c r="A12900" t="s">
        <v>10467</v>
      </c>
      <c r="B12900" t="s">
        <v>3454</v>
      </c>
      <c r="C12900" s="2">
        <f>HYPERLINK("https://cao.dolgi.msk.ru/account/1080057254/", 1080057254)</f>
        <v>1080057254</v>
      </c>
      <c r="D12900" t="s">
        <v>10660</v>
      </c>
      <c r="E12900">
        <v>-4989.92</v>
      </c>
      <c r="F12900">
        <v>-1.01</v>
      </c>
      <c r="G12900" t="s">
        <v>12</v>
      </c>
      <c r="I12900" t="s">
        <v>13</v>
      </c>
    </row>
    <row r="12901" spans="1:9" hidden="1" x14ac:dyDescent="0.25">
      <c r="A12901" t="s">
        <v>10467</v>
      </c>
      <c r="B12901" t="s">
        <v>3456</v>
      </c>
      <c r="C12901" s="2">
        <f>HYPERLINK("https://cao.dolgi.msk.ru/account/1080057262/", 1080057262)</f>
        <v>1080057262</v>
      </c>
      <c r="D12901" t="s">
        <v>10661</v>
      </c>
      <c r="E12901">
        <v>-6337.29</v>
      </c>
      <c r="F12901">
        <v>-0.99</v>
      </c>
      <c r="G12901" t="s">
        <v>12</v>
      </c>
      <c r="I12901" t="s">
        <v>13</v>
      </c>
    </row>
    <row r="12902" spans="1:9" hidden="1" x14ac:dyDescent="0.25">
      <c r="A12902" t="s">
        <v>10467</v>
      </c>
      <c r="B12902" t="s">
        <v>3458</v>
      </c>
      <c r="C12902" s="2">
        <f>HYPERLINK("https://cao.dolgi.msk.ru/account/1080057289/", 1080057289)</f>
        <v>1080057289</v>
      </c>
      <c r="D12902" t="s">
        <v>10662</v>
      </c>
      <c r="E12902">
        <v>-12565.81</v>
      </c>
      <c r="F12902">
        <v>-0.97</v>
      </c>
      <c r="G12902" t="s">
        <v>12</v>
      </c>
      <c r="I12902" t="s">
        <v>13</v>
      </c>
    </row>
    <row r="12903" spans="1:9" hidden="1" x14ac:dyDescent="0.25">
      <c r="A12903" t="s">
        <v>10467</v>
      </c>
      <c r="B12903" t="s">
        <v>3460</v>
      </c>
      <c r="C12903" s="2">
        <f>HYPERLINK("https://cao.dolgi.msk.ru/account/1080057297/", 1080057297)</f>
        <v>1080057297</v>
      </c>
      <c r="D12903" t="s">
        <v>10663</v>
      </c>
      <c r="E12903">
        <v>-4871.3500000000004</v>
      </c>
      <c r="F12903">
        <v>-1.33</v>
      </c>
      <c r="G12903" t="s">
        <v>12</v>
      </c>
      <c r="I12903" t="s">
        <v>13</v>
      </c>
    </row>
    <row r="12904" spans="1:9" hidden="1" x14ac:dyDescent="0.25">
      <c r="A12904" t="s">
        <v>10467</v>
      </c>
      <c r="B12904" t="s">
        <v>3462</v>
      </c>
      <c r="C12904" s="2">
        <f>HYPERLINK("https://cao.dolgi.msk.ru/account/1080057318/", 1080057318)</f>
        <v>1080057318</v>
      </c>
      <c r="D12904" t="s">
        <v>10664</v>
      </c>
      <c r="E12904">
        <v>0</v>
      </c>
      <c r="F12904">
        <v>0</v>
      </c>
      <c r="G12904" t="s">
        <v>12</v>
      </c>
      <c r="I12904" t="s">
        <v>13</v>
      </c>
    </row>
    <row r="12905" spans="1:9" hidden="1" x14ac:dyDescent="0.25">
      <c r="A12905" t="s">
        <v>10467</v>
      </c>
      <c r="B12905" t="s">
        <v>3463</v>
      </c>
      <c r="C12905" s="2">
        <f>HYPERLINK("https://cao.dolgi.msk.ru/account/1080057326/", 1080057326)</f>
        <v>1080057326</v>
      </c>
      <c r="D12905" t="s">
        <v>10665</v>
      </c>
      <c r="E12905">
        <v>-760.22</v>
      </c>
      <c r="F12905">
        <v>-0.08</v>
      </c>
      <c r="G12905" t="s">
        <v>12</v>
      </c>
      <c r="I12905" t="s">
        <v>13</v>
      </c>
    </row>
    <row r="12906" spans="1:9" hidden="1" x14ac:dyDescent="0.25">
      <c r="A12906" t="s">
        <v>10467</v>
      </c>
      <c r="B12906" t="s">
        <v>1791</v>
      </c>
      <c r="C12906" s="2">
        <f>HYPERLINK("https://cao.dolgi.msk.ru/account/1080057334/", 1080057334)</f>
        <v>1080057334</v>
      </c>
      <c r="D12906" t="s">
        <v>10666</v>
      </c>
      <c r="E12906">
        <v>-5291.94</v>
      </c>
      <c r="F12906">
        <v>-0.89</v>
      </c>
      <c r="G12906" t="s">
        <v>12</v>
      </c>
      <c r="I12906" t="s">
        <v>13</v>
      </c>
    </row>
    <row r="12907" spans="1:9" x14ac:dyDescent="0.25">
      <c r="A12907" t="s">
        <v>10467</v>
      </c>
      <c r="B12907" t="s">
        <v>3466</v>
      </c>
      <c r="C12907" s="2">
        <f>HYPERLINK("https://cao.dolgi.msk.ru/account/1080057342/", 1080057342)</f>
        <v>1080057342</v>
      </c>
      <c r="D12907" t="s">
        <v>10667</v>
      </c>
      <c r="E12907">
        <v>17767.91</v>
      </c>
      <c r="F12907">
        <v>2.04</v>
      </c>
      <c r="G12907" t="s">
        <v>12</v>
      </c>
      <c r="I12907" t="s">
        <v>13</v>
      </c>
    </row>
    <row r="12908" spans="1:9" hidden="1" x14ac:dyDescent="0.25">
      <c r="A12908" t="s">
        <v>10467</v>
      </c>
      <c r="B12908" t="s">
        <v>1792</v>
      </c>
      <c r="C12908" s="2">
        <f>HYPERLINK("https://cao.dolgi.msk.ru/account/1080057369/", 1080057369)</f>
        <v>1080057369</v>
      </c>
      <c r="D12908" t="s">
        <v>10668</v>
      </c>
      <c r="E12908">
        <v>-1143.93</v>
      </c>
      <c r="F12908">
        <v>-0.11</v>
      </c>
      <c r="G12908" t="s">
        <v>12</v>
      </c>
      <c r="I12908" t="s">
        <v>13</v>
      </c>
    </row>
    <row r="12909" spans="1:9" hidden="1" x14ac:dyDescent="0.25">
      <c r="A12909" t="s">
        <v>10467</v>
      </c>
      <c r="B12909" t="s">
        <v>3469</v>
      </c>
      <c r="C12909" s="2">
        <f>HYPERLINK("https://cao.dolgi.msk.ru/account/1080057377/", 1080057377)</f>
        <v>1080057377</v>
      </c>
      <c r="D12909" t="s">
        <v>10669</v>
      </c>
      <c r="E12909">
        <v>-5368.69</v>
      </c>
      <c r="F12909">
        <v>-1</v>
      </c>
      <c r="G12909" t="s">
        <v>12</v>
      </c>
      <c r="I12909" t="s">
        <v>13</v>
      </c>
    </row>
    <row r="12910" spans="1:9" hidden="1" x14ac:dyDescent="0.25">
      <c r="A12910" t="s">
        <v>10467</v>
      </c>
      <c r="B12910" t="s">
        <v>1793</v>
      </c>
      <c r="C12910" s="2">
        <f>HYPERLINK("https://cao.dolgi.msk.ru/account/1080057385/", 1080057385)</f>
        <v>1080057385</v>
      </c>
      <c r="D12910" t="s">
        <v>10670</v>
      </c>
      <c r="E12910">
        <v>-3959.19</v>
      </c>
      <c r="F12910">
        <v>-0.87</v>
      </c>
      <c r="G12910" t="s">
        <v>12</v>
      </c>
      <c r="I12910" t="s">
        <v>13</v>
      </c>
    </row>
    <row r="12911" spans="1:9" hidden="1" x14ac:dyDescent="0.25">
      <c r="A12911" t="s">
        <v>10467</v>
      </c>
      <c r="B12911" t="s">
        <v>3472</v>
      </c>
      <c r="C12911" s="2">
        <f>HYPERLINK("https://cao.dolgi.msk.ru/account/1080057393/", 1080057393)</f>
        <v>1080057393</v>
      </c>
      <c r="D12911" t="s">
        <v>10671</v>
      </c>
      <c r="E12911">
        <v>0</v>
      </c>
      <c r="F12911">
        <v>0</v>
      </c>
      <c r="G12911" t="s">
        <v>12</v>
      </c>
      <c r="I12911" t="s">
        <v>13</v>
      </c>
    </row>
    <row r="12912" spans="1:9" hidden="1" x14ac:dyDescent="0.25">
      <c r="A12912" t="s">
        <v>10467</v>
      </c>
      <c r="B12912" t="s">
        <v>3474</v>
      </c>
      <c r="C12912" s="2">
        <f>HYPERLINK("https://cao.dolgi.msk.ru/account/1080057406/", 1080057406)</f>
        <v>1080057406</v>
      </c>
      <c r="D12912" t="s">
        <v>10672</v>
      </c>
      <c r="E12912">
        <v>-113.08</v>
      </c>
      <c r="F12912">
        <v>-0.01</v>
      </c>
      <c r="G12912" t="s">
        <v>12</v>
      </c>
      <c r="I12912" t="s">
        <v>13</v>
      </c>
    </row>
    <row r="12913" spans="1:9" hidden="1" x14ac:dyDescent="0.25">
      <c r="A12913" t="s">
        <v>10467</v>
      </c>
      <c r="B12913" t="s">
        <v>1794</v>
      </c>
      <c r="C12913" s="2">
        <f>HYPERLINK("https://cao.dolgi.msk.ru/account/1080057414/", 1080057414)</f>
        <v>1080057414</v>
      </c>
      <c r="D12913" t="s">
        <v>10673</v>
      </c>
      <c r="E12913">
        <v>-9577.14</v>
      </c>
      <c r="F12913">
        <v>-1.02</v>
      </c>
      <c r="G12913" t="s">
        <v>12</v>
      </c>
      <c r="I12913" t="s">
        <v>13</v>
      </c>
    </row>
    <row r="12914" spans="1:9" hidden="1" x14ac:dyDescent="0.25">
      <c r="A12914" t="s">
        <v>10467</v>
      </c>
      <c r="B12914" t="s">
        <v>3477</v>
      </c>
      <c r="C12914" s="2">
        <f>HYPERLINK("https://cao.dolgi.msk.ru/account/1080057422/", 1080057422)</f>
        <v>1080057422</v>
      </c>
      <c r="D12914" t="s">
        <v>10674</v>
      </c>
      <c r="E12914">
        <v>-14009.08</v>
      </c>
      <c r="F12914">
        <v>-1.02</v>
      </c>
      <c r="G12914" t="s">
        <v>12</v>
      </c>
      <c r="I12914" t="s">
        <v>13</v>
      </c>
    </row>
    <row r="12915" spans="1:9" hidden="1" x14ac:dyDescent="0.25">
      <c r="A12915" t="s">
        <v>10467</v>
      </c>
      <c r="B12915" t="s">
        <v>1795</v>
      </c>
      <c r="C12915" s="2">
        <f>HYPERLINK("https://cao.dolgi.msk.ru/account/1080057449/", 1080057449)</f>
        <v>1080057449</v>
      </c>
      <c r="D12915" t="s">
        <v>10675</v>
      </c>
      <c r="E12915">
        <v>5091.16</v>
      </c>
      <c r="F12915">
        <v>1</v>
      </c>
      <c r="G12915" t="s">
        <v>12</v>
      </c>
      <c r="I12915" t="s">
        <v>13</v>
      </c>
    </row>
    <row r="12916" spans="1:9" x14ac:dyDescent="0.25">
      <c r="A12916" t="s">
        <v>10467</v>
      </c>
      <c r="B12916" t="s">
        <v>3480</v>
      </c>
      <c r="C12916" s="2">
        <f>HYPERLINK("https://cao.dolgi.msk.ru/account/1080057457/", 1080057457)</f>
        <v>1080057457</v>
      </c>
      <c r="D12916" t="s">
        <v>10676</v>
      </c>
      <c r="E12916">
        <v>15374.82</v>
      </c>
      <c r="F12916">
        <v>2</v>
      </c>
      <c r="G12916" t="s">
        <v>12</v>
      </c>
      <c r="I12916" t="s">
        <v>13</v>
      </c>
    </row>
    <row r="12917" spans="1:9" hidden="1" x14ac:dyDescent="0.25">
      <c r="A12917" t="s">
        <v>10467</v>
      </c>
      <c r="B12917" t="s">
        <v>1797</v>
      </c>
      <c r="C12917" s="2">
        <f>HYPERLINK("https://cao.dolgi.msk.ru/account/1080057465/", 1080057465)</f>
        <v>1080057465</v>
      </c>
      <c r="D12917" t="s">
        <v>10677</v>
      </c>
      <c r="E12917">
        <v>-6824.95</v>
      </c>
      <c r="F12917">
        <v>-1</v>
      </c>
      <c r="G12917" t="s">
        <v>12</v>
      </c>
      <c r="I12917" t="s">
        <v>13</v>
      </c>
    </row>
    <row r="12918" spans="1:9" hidden="1" x14ac:dyDescent="0.25">
      <c r="A12918" t="s">
        <v>10467</v>
      </c>
      <c r="B12918" t="s">
        <v>1798</v>
      </c>
      <c r="C12918" s="2">
        <f>HYPERLINK("https://cao.dolgi.msk.ru/account/1080057473/", 1080057473)</f>
        <v>1080057473</v>
      </c>
      <c r="D12918" t="s">
        <v>10678</v>
      </c>
      <c r="E12918">
        <v>-3406.5</v>
      </c>
      <c r="F12918">
        <v>-1.08</v>
      </c>
      <c r="G12918" t="s">
        <v>12</v>
      </c>
      <c r="I12918" t="s">
        <v>13</v>
      </c>
    </row>
    <row r="12919" spans="1:9" hidden="1" x14ac:dyDescent="0.25">
      <c r="A12919" t="s">
        <v>10467</v>
      </c>
      <c r="B12919" t="s">
        <v>1800</v>
      </c>
      <c r="C12919" s="2">
        <f>HYPERLINK("https://cao.dolgi.msk.ru/account/1080057481/", 1080057481)</f>
        <v>1080057481</v>
      </c>
      <c r="D12919" t="s">
        <v>10679</v>
      </c>
      <c r="E12919">
        <v>-6111.91</v>
      </c>
      <c r="F12919">
        <v>-0.91</v>
      </c>
      <c r="G12919" t="s">
        <v>12</v>
      </c>
      <c r="I12919" t="s">
        <v>13</v>
      </c>
    </row>
    <row r="12920" spans="1:9" hidden="1" x14ac:dyDescent="0.25">
      <c r="A12920" t="s">
        <v>10467</v>
      </c>
      <c r="B12920" t="s">
        <v>3484</v>
      </c>
      <c r="C12920" s="2">
        <f>HYPERLINK("https://cao.dolgi.msk.ru/account/1080057502/", 1080057502)</f>
        <v>1080057502</v>
      </c>
      <c r="D12920" t="s">
        <v>10680</v>
      </c>
      <c r="E12920">
        <v>-6561.93</v>
      </c>
      <c r="F12920">
        <v>-1.01</v>
      </c>
      <c r="G12920" t="s">
        <v>12</v>
      </c>
      <c r="I12920" t="s">
        <v>13</v>
      </c>
    </row>
    <row r="12921" spans="1:9" hidden="1" x14ac:dyDescent="0.25">
      <c r="A12921" t="s">
        <v>10467</v>
      </c>
      <c r="B12921" t="s">
        <v>3486</v>
      </c>
      <c r="C12921" s="2">
        <f>HYPERLINK("https://cao.dolgi.msk.ru/account/1080057529/", 1080057529)</f>
        <v>1080057529</v>
      </c>
      <c r="D12921" t="s">
        <v>10681</v>
      </c>
      <c r="E12921">
        <v>-9425.36</v>
      </c>
      <c r="F12921">
        <v>-1.04</v>
      </c>
      <c r="G12921" t="s">
        <v>12</v>
      </c>
      <c r="I12921" t="s">
        <v>13</v>
      </c>
    </row>
    <row r="12922" spans="1:9" hidden="1" x14ac:dyDescent="0.25">
      <c r="A12922" t="s">
        <v>10467</v>
      </c>
      <c r="B12922" t="s">
        <v>3488</v>
      </c>
      <c r="C12922" s="2">
        <f>HYPERLINK("https://cao.dolgi.msk.ru/account/1080057537/", 1080057537)</f>
        <v>1080057537</v>
      </c>
      <c r="D12922" t="s">
        <v>10682</v>
      </c>
      <c r="E12922">
        <v>-3478.88</v>
      </c>
      <c r="F12922">
        <v>-1.08</v>
      </c>
      <c r="G12922" t="s">
        <v>12</v>
      </c>
      <c r="I12922" t="s">
        <v>13</v>
      </c>
    </row>
    <row r="12923" spans="1:9" hidden="1" x14ac:dyDescent="0.25">
      <c r="A12923" t="s">
        <v>10467</v>
      </c>
      <c r="B12923" t="s">
        <v>1802</v>
      </c>
      <c r="C12923" s="2">
        <f>HYPERLINK("https://cao.dolgi.msk.ru/account/1080057545/", 1080057545)</f>
        <v>1080057545</v>
      </c>
      <c r="D12923" t="s">
        <v>10683</v>
      </c>
      <c r="E12923">
        <v>-2753.73</v>
      </c>
      <c r="F12923">
        <v>-1.06</v>
      </c>
      <c r="G12923" t="s">
        <v>12</v>
      </c>
      <c r="I12923" t="s">
        <v>13</v>
      </c>
    </row>
    <row r="12924" spans="1:9" hidden="1" x14ac:dyDescent="0.25">
      <c r="A12924" t="s">
        <v>10467</v>
      </c>
      <c r="B12924" t="s">
        <v>1804</v>
      </c>
      <c r="C12924" s="2">
        <f>HYPERLINK("https://cao.dolgi.msk.ru/account/1080057553/", 1080057553)</f>
        <v>1080057553</v>
      </c>
      <c r="D12924" t="s">
        <v>10684</v>
      </c>
      <c r="E12924">
        <v>-7241.16</v>
      </c>
      <c r="F12924">
        <v>-1.01</v>
      </c>
      <c r="G12924" t="s">
        <v>12</v>
      </c>
      <c r="I12924" t="s">
        <v>13</v>
      </c>
    </row>
    <row r="12925" spans="1:9" x14ac:dyDescent="0.25">
      <c r="A12925" t="s">
        <v>10467</v>
      </c>
      <c r="B12925" t="s">
        <v>1805</v>
      </c>
      <c r="C12925" s="2">
        <f>HYPERLINK("https://cao.dolgi.msk.ru/account/1080057561/", 1080057561)</f>
        <v>1080057561</v>
      </c>
      <c r="D12925" t="s">
        <v>10685</v>
      </c>
      <c r="E12925">
        <v>7171.39</v>
      </c>
      <c r="F12925">
        <v>1.01</v>
      </c>
      <c r="G12925" t="s">
        <v>12</v>
      </c>
      <c r="I12925" t="s">
        <v>13</v>
      </c>
    </row>
    <row r="12926" spans="1:9" hidden="1" x14ac:dyDescent="0.25">
      <c r="A12926" t="s">
        <v>10467</v>
      </c>
      <c r="B12926" t="s">
        <v>1807</v>
      </c>
      <c r="C12926" s="2">
        <f>HYPERLINK("https://cao.dolgi.msk.ru/account/1080057588/", 1080057588)</f>
        <v>1080057588</v>
      </c>
      <c r="D12926" t="s">
        <v>15</v>
      </c>
      <c r="E12926">
        <v>-4228.54</v>
      </c>
      <c r="F12926">
        <v>-0.78</v>
      </c>
      <c r="G12926" t="s">
        <v>12</v>
      </c>
      <c r="I12926" t="s">
        <v>13</v>
      </c>
    </row>
    <row r="12927" spans="1:9" hidden="1" x14ac:dyDescent="0.25">
      <c r="A12927" t="s">
        <v>10467</v>
      </c>
      <c r="B12927" t="s">
        <v>3494</v>
      </c>
      <c r="C12927" s="2">
        <f>HYPERLINK("https://cao.dolgi.msk.ru/account/1080057596/", 1080057596)</f>
        <v>1080057596</v>
      </c>
      <c r="D12927" t="s">
        <v>10686</v>
      </c>
      <c r="E12927">
        <v>-0.17</v>
      </c>
      <c r="G12927" t="s">
        <v>14</v>
      </c>
      <c r="I12927" t="s">
        <v>13</v>
      </c>
    </row>
    <row r="12928" spans="1:9" hidden="1" x14ac:dyDescent="0.25">
      <c r="A12928" t="s">
        <v>10467</v>
      </c>
      <c r="B12928" t="s">
        <v>3494</v>
      </c>
      <c r="C12928" s="2">
        <f>HYPERLINK("https://cao.dolgi.msk.ru/account/1089130569/", 1089130569)</f>
        <v>1089130569</v>
      </c>
      <c r="D12928" t="s">
        <v>10686</v>
      </c>
      <c r="E12928">
        <v>-3888.57</v>
      </c>
      <c r="F12928">
        <v>-1.01</v>
      </c>
      <c r="G12928" t="s">
        <v>12</v>
      </c>
      <c r="I12928" t="s">
        <v>13</v>
      </c>
    </row>
    <row r="12929" spans="1:9" hidden="1" x14ac:dyDescent="0.25">
      <c r="A12929" t="s">
        <v>10467</v>
      </c>
      <c r="B12929" t="s">
        <v>3496</v>
      </c>
      <c r="C12929" s="2">
        <f>HYPERLINK("https://cao.dolgi.msk.ru/account/1080057609/", 1080057609)</f>
        <v>1080057609</v>
      </c>
      <c r="D12929" t="s">
        <v>10687</v>
      </c>
      <c r="E12929">
        <v>-832.61</v>
      </c>
      <c r="F12929">
        <v>-0.13</v>
      </c>
      <c r="G12929" t="s">
        <v>12</v>
      </c>
      <c r="I12929" t="s">
        <v>13</v>
      </c>
    </row>
    <row r="12930" spans="1:9" hidden="1" x14ac:dyDescent="0.25">
      <c r="A12930" t="s">
        <v>10467</v>
      </c>
      <c r="B12930" t="s">
        <v>3498</v>
      </c>
      <c r="C12930" s="2">
        <f>HYPERLINK("https://cao.dolgi.msk.ru/account/1080057617/", 1080057617)</f>
        <v>1080057617</v>
      </c>
      <c r="D12930" t="s">
        <v>10688</v>
      </c>
      <c r="E12930">
        <v>-9.1300000000000008</v>
      </c>
      <c r="F12930">
        <v>0</v>
      </c>
      <c r="G12930" t="s">
        <v>12</v>
      </c>
      <c r="I12930" t="s">
        <v>13</v>
      </c>
    </row>
    <row r="12931" spans="1:9" hidden="1" x14ac:dyDescent="0.25">
      <c r="A12931" t="s">
        <v>10467</v>
      </c>
      <c r="B12931" t="s">
        <v>3500</v>
      </c>
      <c r="C12931" s="2">
        <f>HYPERLINK("https://cao.dolgi.msk.ru/account/1080057625/", 1080057625)</f>
        <v>1080057625</v>
      </c>
      <c r="D12931" t="s">
        <v>10689</v>
      </c>
      <c r="E12931">
        <v>-8554.58</v>
      </c>
      <c r="F12931">
        <v>-0.97</v>
      </c>
      <c r="G12931" t="s">
        <v>12</v>
      </c>
      <c r="I12931" t="s">
        <v>13</v>
      </c>
    </row>
    <row r="12932" spans="1:9" hidden="1" x14ac:dyDescent="0.25">
      <c r="A12932" t="s">
        <v>10467</v>
      </c>
      <c r="B12932" t="s">
        <v>1809</v>
      </c>
      <c r="C12932" s="2">
        <f>HYPERLINK("https://cao.dolgi.msk.ru/account/1080057633/", 1080057633)</f>
        <v>1080057633</v>
      </c>
      <c r="D12932" t="s">
        <v>10690</v>
      </c>
      <c r="E12932">
        <v>-1427.09</v>
      </c>
      <c r="F12932">
        <v>-0.18</v>
      </c>
      <c r="G12932" t="s">
        <v>12</v>
      </c>
      <c r="I12932" t="s">
        <v>13</v>
      </c>
    </row>
    <row r="12933" spans="1:9" hidden="1" x14ac:dyDescent="0.25">
      <c r="A12933" t="s">
        <v>10467</v>
      </c>
      <c r="B12933" t="s">
        <v>3503</v>
      </c>
      <c r="C12933" s="2">
        <f>HYPERLINK("https://cao.dolgi.msk.ru/account/1080057641/", 1080057641)</f>
        <v>1080057641</v>
      </c>
      <c r="D12933" t="s">
        <v>10691</v>
      </c>
      <c r="E12933">
        <v>-14375.75</v>
      </c>
      <c r="F12933">
        <v>-1.01</v>
      </c>
      <c r="G12933" t="s">
        <v>12</v>
      </c>
      <c r="I12933" t="s">
        <v>13</v>
      </c>
    </row>
    <row r="12934" spans="1:9" hidden="1" x14ac:dyDescent="0.25">
      <c r="A12934" t="s">
        <v>10467</v>
      </c>
      <c r="B12934" t="s">
        <v>1810</v>
      </c>
      <c r="C12934" s="2">
        <f>HYPERLINK("https://cao.dolgi.msk.ru/account/1080057668/", 1080057668)</f>
        <v>1080057668</v>
      </c>
      <c r="D12934" t="s">
        <v>10692</v>
      </c>
      <c r="E12934">
        <v>4818.4799999999996</v>
      </c>
      <c r="F12934">
        <v>0.81</v>
      </c>
      <c r="G12934" t="s">
        <v>12</v>
      </c>
      <c r="I12934" t="s">
        <v>13</v>
      </c>
    </row>
    <row r="12935" spans="1:9" hidden="1" x14ac:dyDescent="0.25">
      <c r="A12935" t="s">
        <v>10467</v>
      </c>
      <c r="B12935" t="s">
        <v>3506</v>
      </c>
      <c r="C12935" s="2">
        <f>HYPERLINK("https://cao.dolgi.msk.ru/account/1080057676/", 1080057676)</f>
        <v>1080057676</v>
      </c>
      <c r="D12935" t="s">
        <v>10693</v>
      </c>
      <c r="E12935">
        <v>26.12</v>
      </c>
      <c r="F12935">
        <v>0.01</v>
      </c>
      <c r="G12935" t="s">
        <v>12</v>
      </c>
      <c r="I12935" t="s">
        <v>13</v>
      </c>
    </row>
    <row r="12936" spans="1:9" hidden="1" x14ac:dyDescent="0.25">
      <c r="A12936" t="s">
        <v>10467</v>
      </c>
      <c r="B12936" t="s">
        <v>3508</v>
      </c>
      <c r="C12936" s="2">
        <f>HYPERLINK("https://cao.dolgi.msk.ru/account/1080057684/", 1080057684)</f>
        <v>1080057684</v>
      </c>
      <c r="D12936" t="s">
        <v>10694</v>
      </c>
      <c r="E12936">
        <v>0</v>
      </c>
      <c r="F12936">
        <v>0</v>
      </c>
      <c r="G12936" t="s">
        <v>12</v>
      </c>
      <c r="I12936" t="s">
        <v>13</v>
      </c>
    </row>
    <row r="12937" spans="1:9" hidden="1" x14ac:dyDescent="0.25">
      <c r="A12937" t="s">
        <v>10467</v>
      </c>
      <c r="B12937" t="s">
        <v>3510</v>
      </c>
      <c r="C12937" s="2">
        <f>HYPERLINK("https://cao.dolgi.msk.ru/account/1080057692/", 1080057692)</f>
        <v>1080057692</v>
      </c>
      <c r="D12937" t="s">
        <v>10695</v>
      </c>
      <c r="E12937">
        <v>-3749.03</v>
      </c>
      <c r="F12937">
        <v>-1</v>
      </c>
      <c r="G12937" t="s">
        <v>12</v>
      </c>
      <c r="I12937" t="s">
        <v>13</v>
      </c>
    </row>
    <row r="12938" spans="1:9" hidden="1" x14ac:dyDescent="0.25">
      <c r="A12938" t="s">
        <v>10467</v>
      </c>
      <c r="B12938" t="s">
        <v>3511</v>
      </c>
      <c r="C12938" s="2">
        <f>HYPERLINK("https://cao.dolgi.msk.ru/account/1080057705/", 1080057705)</f>
        <v>1080057705</v>
      </c>
      <c r="D12938" t="s">
        <v>10696</v>
      </c>
      <c r="E12938">
        <v>-6094.33</v>
      </c>
      <c r="F12938">
        <v>-0.97</v>
      </c>
      <c r="G12938" t="s">
        <v>12</v>
      </c>
      <c r="I12938" t="s">
        <v>13</v>
      </c>
    </row>
    <row r="12939" spans="1:9" hidden="1" x14ac:dyDescent="0.25">
      <c r="A12939" t="s">
        <v>10467</v>
      </c>
      <c r="B12939" t="s">
        <v>3840</v>
      </c>
      <c r="C12939" s="2">
        <f>HYPERLINK("https://cao.dolgi.msk.ru/account/1080057713/", 1080057713)</f>
        <v>1080057713</v>
      </c>
      <c r="D12939" t="s">
        <v>10697</v>
      </c>
      <c r="E12939">
        <v>-5321.79</v>
      </c>
      <c r="F12939">
        <v>-1.07</v>
      </c>
      <c r="G12939" t="s">
        <v>12</v>
      </c>
      <c r="I12939" t="s">
        <v>13</v>
      </c>
    </row>
    <row r="12940" spans="1:9" hidden="1" x14ac:dyDescent="0.25">
      <c r="A12940" t="s">
        <v>10467</v>
      </c>
      <c r="B12940" t="s">
        <v>3842</v>
      </c>
      <c r="C12940" s="2">
        <f>HYPERLINK("https://cao.dolgi.msk.ru/account/1080057721/", 1080057721)</f>
        <v>1080057721</v>
      </c>
      <c r="D12940" t="s">
        <v>10698</v>
      </c>
      <c r="E12940">
        <v>52.28</v>
      </c>
      <c r="F12940">
        <v>0.01</v>
      </c>
      <c r="G12940" t="s">
        <v>12</v>
      </c>
      <c r="I12940" t="s">
        <v>13</v>
      </c>
    </row>
    <row r="12941" spans="1:9" hidden="1" x14ac:dyDescent="0.25">
      <c r="A12941" t="s">
        <v>10467</v>
      </c>
      <c r="B12941" t="s">
        <v>3844</v>
      </c>
      <c r="C12941" s="2">
        <f>HYPERLINK("https://cao.dolgi.msk.ru/account/1080057748/", 1080057748)</f>
        <v>1080057748</v>
      </c>
      <c r="D12941" t="s">
        <v>10699</v>
      </c>
      <c r="E12941">
        <v>-54.7</v>
      </c>
      <c r="F12941">
        <v>-0.01</v>
      </c>
      <c r="G12941" t="s">
        <v>12</v>
      </c>
      <c r="I12941" t="s">
        <v>13</v>
      </c>
    </row>
    <row r="12942" spans="1:9" hidden="1" x14ac:dyDescent="0.25">
      <c r="A12942" t="s">
        <v>10467</v>
      </c>
      <c r="B12942" t="s">
        <v>3845</v>
      </c>
      <c r="C12942" s="2">
        <f>HYPERLINK("https://cao.dolgi.msk.ru/account/1080057756/", 1080057756)</f>
        <v>1080057756</v>
      </c>
      <c r="D12942" t="s">
        <v>10700</v>
      </c>
      <c r="E12942">
        <v>-2498.12</v>
      </c>
      <c r="F12942">
        <v>-1.05</v>
      </c>
      <c r="G12942" t="s">
        <v>12</v>
      </c>
      <c r="I12942" t="s">
        <v>13</v>
      </c>
    </row>
    <row r="12943" spans="1:9" hidden="1" x14ac:dyDescent="0.25">
      <c r="A12943" t="s">
        <v>10467</v>
      </c>
      <c r="B12943" t="s">
        <v>1812</v>
      </c>
      <c r="C12943" s="2">
        <f>HYPERLINK("https://cao.dolgi.msk.ru/account/1080057764/", 1080057764)</f>
        <v>1080057764</v>
      </c>
      <c r="D12943" t="s">
        <v>10701</v>
      </c>
      <c r="E12943">
        <v>-7081.6</v>
      </c>
      <c r="F12943">
        <v>-0.48</v>
      </c>
      <c r="G12943" t="s">
        <v>12</v>
      </c>
      <c r="I12943" t="s">
        <v>13</v>
      </c>
    </row>
    <row r="12944" spans="1:9" hidden="1" x14ac:dyDescent="0.25">
      <c r="A12944" t="s">
        <v>10467</v>
      </c>
      <c r="B12944" t="s">
        <v>1814</v>
      </c>
      <c r="C12944" s="2">
        <f>HYPERLINK("https://cao.dolgi.msk.ru/account/1080057772/", 1080057772)</f>
        <v>1080057772</v>
      </c>
      <c r="D12944" t="s">
        <v>10702</v>
      </c>
      <c r="E12944">
        <v>-4291.8900000000003</v>
      </c>
      <c r="F12944">
        <v>-1</v>
      </c>
      <c r="G12944" t="s">
        <v>12</v>
      </c>
      <c r="I12944" t="s">
        <v>13</v>
      </c>
    </row>
    <row r="12945" spans="1:9" hidden="1" x14ac:dyDescent="0.25">
      <c r="A12945" t="s">
        <v>10467</v>
      </c>
      <c r="B12945" t="s">
        <v>10703</v>
      </c>
      <c r="C12945" s="2">
        <f>HYPERLINK("https://cao.dolgi.msk.ru/account/1080057799/", 1080057799)</f>
        <v>1080057799</v>
      </c>
      <c r="D12945" t="s">
        <v>10704</v>
      </c>
      <c r="E12945">
        <v>-4383.84</v>
      </c>
      <c r="F12945">
        <v>-1.02</v>
      </c>
      <c r="G12945" t="s">
        <v>12</v>
      </c>
      <c r="I12945" t="s">
        <v>13</v>
      </c>
    </row>
    <row r="12946" spans="1:9" hidden="1" x14ac:dyDescent="0.25">
      <c r="A12946" t="s">
        <v>10467</v>
      </c>
      <c r="B12946" t="s">
        <v>10705</v>
      </c>
      <c r="C12946" s="2">
        <f>HYPERLINK("https://cao.dolgi.msk.ru/account/1080057801/", 1080057801)</f>
        <v>1080057801</v>
      </c>
      <c r="D12946" t="s">
        <v>10706</v>
      </c>
      <c r="E12946">
        <v>-72.900000000000006</v>
      </c>
      <c r="F12946">
        <v>-0.01</v>
      </c>
      <c r="G12946" t="s">
        <v>12</v>
      </c>
      <c r="I12946" t="s">
        <v>13</v>
      </c>
    </row>
    <row r="12947" spans="1:9" hidden="1" x14ac:dyDescent="0.25">
      <c r="A12947" t="s">
        <v>10467</v>
      </c>
      <c r="B12947" t="s">
        <v>10707</v>
      </c>
      <c r="C12947" s="2">
        <f>HYPERLINK("https://cao.dolgi.msk.ru/account/1080057828/", 1080057828)</f>
        <v>1080057828</v>
      </c>
      <c r="D12947" t="s">
        <v>10708</v>
      </c>
      <c r="E12947">
        <v>-3.66</v>
      </c>
      <c r="F12947">
        <v>0</v>
      </c>
      <c r="G12947" t="s">
        <v>12</v>
      </c>
      <c r="I12947" t="s">
        <v>13</v>
      </c>
    </row>
    <row r="12948" spans="1:9" hidden="1" x14ac:dyDescent="0.25">
      <c r="A12948" t="s">
        <v>10467</v>
      </c>
      <c r="B12948" t="s">
        <v>10709</v>
      </c>
      <c r="C12948" s="2">
        <f>HYPERLINK("https://cao.dolgi.msk.ru/account/1080057836/", 1080057836)</f>
        <v>1080057836</v>
      </c>
      <c r="D12948" t="s">
        <v>10710</v>
      </c>
      <c r="E12948">
        <v>-4376.87</v>
      </c>
      <c r="F12948">
        <v>-1.01</v>
      </c>
      <c r="G12948" t="s">
        <v>12</v>
      </c>
      <c r="I12948" t="s">
        <v>13</v>
      </c>
    </row>
    <row r="12949" spans="1:9" hidden="1" x14ac:dyDescent="0.25">
      <c r="A12949" t="s">
        <v>10467</v>
      </c>
      <c r="B12949" t="s">
        <v>10711</v>
      </c>
      <c r="C12949" s="2">
        <f>HYPERLINK("https://cao.dolgi.msk.ru/account/1080057844/", 1080057844)</f>
        <v>1080057844</v>
      </c>
      <c r="D12949" t="s">
        <v>10712</v>
      </c>
      <c r="E12949">
        <v>-2221.29</v>
      </c>
      <c r="F12949">
        <v>-1.04</v>
      </c>
      <c r="G12949" t="s">
        <v>12</v>
      </c>
      <c r="I12949" t="s">
        <v>13</v>
      </c>
    </row>
    <row r="12950" spans="1:9" hidden="1" x14ac:dyDescent="0.25">
      <c r="A12950" t="s">
        <v>10467</v>
      </c>
      <c r="B12950" t="s">
        <v>10713</v>
      </c>
      <c r="C12950" s="2">
        <f>HYPERLINK("https://cao.dolgi.msk.ru/account/1080057852/", 1080057852)</f>
        <v>1080057852</v>
      </c>
      <c r="D12950" t="s">
        <v>10714</v>
      </c>
      <c r="E12950">
        <v>-5835.27</v>
      </c>
      <c r="F12950">
        <v>-1.03</v>
      </c>
      <c r="G12950" t="s">
        <v>12</v>
      </c>
      <c r="I12950" t="s">
        <v>13</v>
      </c>
    </row>
    <row r="12951" spans="1:9" hidden="1" x14ac:dyDescent="0.25">
      <c r="A12951" t="s">
        <v>10467</v>
      </c>
      <c r="B12951" t="s">
        <v>10715</v>
      </c>
      <c r="C12951" s="2">
        <f>HYPERLINK("https://cao.dolgi.msk.ru/account/1080057879/", 1080057879)</f>
        <v>1080057879</v>
      </c>
      <c r="D12951" t="s">
        <v>10716</v>
      </c>
      <c r="E12951">
        <v>-3759.02</v>
      </c>
      <c r="F12951">
        <v>-1</v>
      </c>
      <c r="G12951" t="s">
        <v>12</v>
      </c>
      <c r="I12951" t="s">
        <v>13</v>
      </c>
    </row>
    <row r="12952" spans="1:9" hidden="1" x14ac:dyDescent="0.25">
      <c r="A12952" t="s">
        <v>10467</v>
      </c>
      <c r="B12952" t="s">
        <v>10717</v>
      </c>
      <c r="C12952" s="2">
        <f>HYPERLINK("https://cao.dolgi.msk.ru/account/1080057887/", 1080057887)</f>
        <v>1080057887</v>
      </c>
      <c r="D12952" t="s">
        <v>10718</v>
      </c>
      <c r="E12952">
        <v>-703.99</v>
      </c>
      <c r="F12952">
        <v>-0.18</v>
      </c>
      <c r="G12952" t="s">
        <v>12</v>
      </c>
      <c r="I12952" t="s">
        <v>13</v>
      </c>
    </row>
    <row r="12953" spans="1:9" hidden="1" x14ac:dyDescent="0.25">
      <c r="A12953" t="s">
        <v>10467</v>
      </c>
      <c r="B12953" t="s">
        <v>10719</v>
      </c>
      <c r="C12953" s="2">
        <f>HYPERLINK("https://cao.dolgi.msk.ru/account/1080057895/", 1080057895)</f>
        <v>1080057895</v>
      </c>
      <c r="D12953" t="s">
        <v>10720</v>
      </c>
      <c r="E12953">
        <v>-5184.3</v>
      </c>
      <c r="F12953">
        <v>-1.02</v>
      </c>
      <c r="G12953" t="s">
        <v>12</v>
      </c>
      <c r="I12953" t="s">
        <v>13</v>
      </c>
    </row>
    <row r="12954" spans="1:9" hidden="1" x14ac:dyDescent="0.25">
      <c r="A12954" t="s">
        <v>10467</v>
      </c>
      <c r="B12954" t="s">
        <v>10721</v>
      </c>
      <c r="C12954" s="2">
        <f>HYPERLINK("https://cao.dolgi.msk.ru/account/1080057908/", 1080057908)</f>
        <v>1080057908</v>
      </c>
      <c r="D12954" t="s">
        <v>10722</v>
      </c>
      <c r="E12954">
        <v>-4782.33</v>
      </c>
      <c r="F12954">
        <v>-0.99</v>
      </c>
      <c r="G12954" t="s">
        <v>12</v>
      </c>
      <c r="I12954" t="s">
        <v>13</v>
      </c>
    </row>
    <row r="12955" spans="1:9" hidden="1" x14ac:dyDescent="0.25">
      <c r="A12955" t="s">
        <v>10467</v>
      </c>
      <c r="B12955" t="s">
        <v>10723</v>
      </c>
      <c r="C12955" s="2">
        <f>HYPERLINK("https://cao.dolgi.msk.ru/account/1080057916/", 1080057916)</f>
        <v>1080057916</v>
      </c>
      <c r="D12955" t="s">
        <v>10724</v>
      </c>
      <c r="E12955">
        <v>386.43</v>
      </c>
      <c r="G12955" t="s">
        <v>14</v>
      </c>
      <c r="I12955" t="s">
        <v>13</v>
      </c>
    </row>
    <row r="12956" spans="1:9" hidden="1" x14ac:dyDescent="0.25">
      <c r="A12956" t="s">
        <v>10467</v>
      </c>
      <c r="B12956" t="s">
        <v>10723</v>
      </c>
      <c r="C12956" s="2">
        <f>HYPERLINK("https://cao.dolgi.msk.ru/account/1080058767/", 1080058767)</f>
        <v>1080058767</v>
      </c>
      <c r="D12956" t="s">
        <v>10725</v>
      </c>
      <c r="E12956">
        <v>-3042.45</v>
      </c>
      <c r="F12956">
        <v>-0.98</v>
      </c>
      <c r="G12956" t="s">
        <v>12</v>
      </c>
      <c r="I12956" t="s">
        <v>13</v>
      </c>
    </row>
    <row r="12957" spans="1:9" hidden="1" x14ac:dyDescent="0.25">
      <c r="A12957" t="s">
        <v>10467</v>
      </c>
      <c r="B12957" t="s">
        <v>10726</v>
      </c>
      <c r="C12957" s="2">
        <f>HYPERLINK("https://cao.dolgi.msk.ru/account/1080057924/", 1080057924)</f>
        <v>1080057924</v>
      </c>
      <c r="D12957" t="s">
        <v>10727</v>
      </c>
      <c r="E12957">
        <v>-5090.03</v>
      </c>
      <c r="F12957">
        <v>-1.05</v>
      </c>
      <c r="G12957" t="s">
        <v>12</v>
      </c>
      <c r="I12957" t="s">
        <v>13</v>
      </c>
    </row>
    <row r="12958" spans="1:9" hidden="1" x14ac:dyDescent="0.25">
      <c r="A12958" t="s">
        <v>10467</v>
      </c>
      <c r="B12958" t="s">
        <v>10728</v>
      </c>
      <c r="C12958" s="2">
        <f>HYPERLINK("https://cao.dolgi.msk.ru/account/1080057932/", 1080057932)</f>
        <v>1080057932</v>
      </c>
      <c r="D12958" t="s">
        <v>10729</v>
      </c>
      <c r="E12958">
        <v>-760.78</v>
      </c>
      <c r="F12958">
        <v>-0.08</v>
      </c>
      <c r="G12958" t="s">
        <v>12</v>
      </c>
      <c r="I12958" t="s">
        <v>13</v>
      </c>
    </row>
    <row r="12959" spans="1:9" hidden="1" x14ac:dyDescent="0.25">
      <c r="A12959" t="s">
        <v>10467</v>
      </c>
      <c r="B12959" t="s">
        <v>10730</v>
      </c>
      <c r="C12959" s="2">
        <f>HYPERLINK("https://cao.dolgi.msk.ru/account/1080057959/", 1080057959)</f>
        <v>1080057959</v>
      </c>
      <c r="D12959" t="s">
        <v>10731</v>
      </c>
      <c r="E12959">
        <v>-4508.99</v>
      </c>
      <c r="F12959">
        <v>-1.03</v>
      </c>
      <c r="G12959" t="s">
        <v>12</v>
      </c>
      <c r="I12959" t="s">
        <v>13</v>
      </c>
    </row>
    <row r="12960" spans="1:9" hidden="1" x14ac:dyDescent="0.25">
      <c r="A12960" t="s">
        <v>10467</v>
      </c>
      <c r="B12960" t="s">
        <v>10732</v>
      </c>
      <c r="C12960" s="2">
        <f>HYPERLINK("https://cao.dolgi.msk.ru/account/1080057967/", 1080057967)</f>
        <v>1080057967</v>
      </c>
      <c r="D12960" t="s">
        <v>10733</v>
      </c>
      <c r="E12960">
        <v>-6604.11</v>
      </c>
      <c r="F12960">
        <v>-1.22</v>
      </c>
      <c r="G12960" t="s">
        <v>12</v>
      </c>
      <c r="I12960" t="s">
        <v>13</v>
      </c>
    </row>
    <row r="12961" spans="1:9" hidden="1" x14ac:dyDescent="0.25">
      <c r="A12961" t="s">
        <v>10467</v>
      </c>
      <c r="B12961" t="s">
        <v>10734</v>
      </c>
      <c r="C12961" s="2">
        <f>HYPERLINK("https://cao.dolgi.msk.ru/account/1080057975/", 1080057975)</f>
        <v>1080057975</v>
      </c>
      <c r="D12961" t="s">
        <v>10735</v>
      </c>
      <c r="E12961">
        <v>-3217.28</v>
      </c>
      <c r="F12961">
        <v>-0.56999999999999995</v>
      </c>
      <c r="G12961" t="s">
        <v>12</v>
      </c>
      <c r="I12961" t="s">
        <v>13</v>
      </c>
    </row>
    <row r="12962" spans="1:9" hidden="1" x14ac:dyDescent="0.25">
      <c r="A12962" t="s">
        <v>10467</v>
      </c>
      <c r="B12962" t="s">
        <v>10736</v>
      </c>
      <c r="C12962" s="2">
        <f>HYPERLINK("https://cao.dolgi.msk.ru/account/1080057983/", 1080057983)</f>
        <v>1080057983</v>
      </c>
      <c r="D12962" t="s">
        <v>10737</v>
      </c>
      <c r="E12962">
        <v>-3829.82</v>
      </c>
      <c r="F12962">
        <v>-0.97</v>
      </c>
      <c r="G12962" t="s">
        <v>12</v>
      </c>
      <c r="I12962" t="s">
        <v>13</v>
      </c>
    </row>
    <row r="12963" spans="1:9" hidden="1" x14ac:dyDescent="0.25">
      <c r="A12963" t="s">
        <v>10467</v>
      </c>
      <c r="B12963" t="s">
        <v>10738</v>
      </c>
      <c r="C12963" s="2">
        <f>HYPERLINK("https://cao.dolgi.msk.ru/account/1080057991/", 1080057991)</f>
        <v>1080057991</v>
      </c>
      <c r="D12963" t="s">
        <v>10739</v>
      </c>
      <c r="E12963">
        <v>-6409.68</v>
      </c>
      <c r="F12963">
        <v>-1.1000000000000001</v>
      </c>
      <c r="G12963" t="s">
        <v>12</v>
      </c>
      <c r="I12963" t="s">
        <v>13</v>
      </c>
    </row>
    <row r="12964" spans="1:9" hidden="1" x14ac:dyDescent="0.25">
      <c r="A12964" t="s">
        <v>10467</v>
      </c>
      <c r="B12964" t="s">
        <v>10740</v>
      </c>
      <c r="C12964" s="2">
        <f>HYPERLINK("https://cao.dolgi.msk.ru/account/1080058003/", 1080058003)</f>
        <v>1080058003</v>
      </c>
      <c r="D12964" t="s">
        <v>10741</v>
      </c>
      <c r="E12964">
        <v>-5373.67</v>
      </c>
      <c r="F12964">
        <v>-0.92</v>
      </c>
      <c r="G12964" t="s">
        <v>12</v>
      </c>
      <c r="I12964" t="s">
        <v>13</v>
      </c>
    </row>
    <row r="12965" spans="1:9" hidden="1" x14ac:dyDescent="0.25">
      <c r="A12965" t="s">
        <v>10467</v>
      </c>
      <c r="B12965" t="s">
        <v>10742</v>
      </c>
      <c r="C12965" s="2">
        <f>HYPERLINK("https://cao.dolgi.msk.ru/account/1080058011/", 1080058011)</f>
        <v>1080058011</v>
      </c>
      <c r="D12965" t="s">
        <v>10743</v>
      </c>
      <c r="E12965">
        <v>0</v>
      </c>
      <c r="F12965">
        <v>0</v>
      </c>
      <c r="G12965" t="s">
        <v>12</v>
      </c>
      <c r="I12965" t="s">
        <v>13</v>
      </c>
    </row>
    <row r="12966" spans="1:9" hidden="1" x14ac:dyDescent="0.25">
      <c r="A12966" t="s">
        <v>10467</v>
      </c>
      <c r="B12966" t="s">
        <v>10744</v>
      </c>
      <c r="C12966" s="2">
        <f>HYPERLINK("https://cao.dolgi.msk.ru/account/1080058038/", 1080058038)</f>
        <v>1080058038</v>
      </c>
      <c r="D12966" t="s">
        <v>10745</v>
      </c>
      <c r="E12966">
        <v>15.86</v>
      </c>
      <c r="F12966">
        <v>0</v>
      </c>
      <c r="G12966" t="s">
        <v>12</v>
      </c>
      <c r="I12966" t="s">
        <v>13</v>
      </c>
    </row>
    <row r="12967" spans="1:9" hidden="1" x14ac:dyDescent="0.25">
      <c r="A12967" t="s">
        <v>10467</v>
      </c>
      <c r="B12967" t="s">
        <v>10746</v>
      </c>
      <c r="C12967" s="2">
        <f>HYPERLINK("https://cao.dolgi.msk.ru/account/1080058046/", 1080058046)</f>
        <v>1080058046</v>
      </c>
      <c r="D12967" t="s">
        <v>10747</v>
      </c>
      <c r="E12967">
        <v>-5440.75</v>
      </c>
      <c r="F12967">
        <v>-0.9</v>
      </c>
      <c r="G12967" t="s">
        <v>12</v>
      </c>
      <c r="I12967" t="s">
        <v>13</v>
      </c>
    </row>
    <row r="12968" spans="1:9" hidden="1" x14ac:dyDescent="0.25">
      <c r="A12968" t="s">
        <v>10467</v>
      </c>
      <c r="B12968" t="s">
        <v>10748</v>
      </c>
      <c r="C12968" s="2">
        <f>HYPERLINK("https://cao.dolgi.msk.ru/account/1080058054/", 1080058054)</f>
        <v>1080058054</v>
      </c>
      <c r="D12968" t="s">
        <v>10749</v>
      </c>
      <c r="E12968">
        <v>-4347.29</v>
      </c>
      <c r="F12968">
        <v>-1.01</v>
      </c>
      <c r="G12968" t="s">
        <v>12</v>
      </c>
      <c r="I12968" t="s">
        <v>13</v>
      </c>
    </row>
    <row r="12969" spans="1:9" hidden="1" x14ac:dyDescent="0.25">
      <c r="A12969" t="s">
        <v>10467</v>
      </c>
      <c r="B12969" t="s">
        <v>10750</v>
      </c>
      <c r="C12969" s="2">
        <f>HYPERLINK("https://cao.dolgi.msk.ru/account/1080058062/", 1080058062)</f>
        <v>1080058062</v>
      </c>
      <c r="D12969" t="s">
        <v>10751</v>
      </c>
      <c r="E12969">
        <v>-5290.47</v>
      </c>
      <c r="F12969">
        <v>-1</v>
      </c>
      <c r="G12969" t="s">
        <v>12</v>
      </c>
      <c r="I12969" t="s">
        <v>13</v>
      </c>
    </row>
    <row r="12970" spans="1:9" x14ac:dyDescent="0.25">
      <c r="A12970" t="s">
        <v>10467</v>
      </c>
      <c r="B12970" t="s">
        <v>10752</v>
      </c>
      <c r="C12970" s="2">
        <f>HYPERLINK("https://cao.dolgi.msk.ru/account/1080058089/", 1080058089)</f>
        <v>1080058089</v>
      </c>
      <c r="D12970" t="s">
        <v>10753</v>
      </c>
      <c r="E12970">
        <v>14390.12</v>
      </c>
      <c r="F12970">
        <v>2.99</v>
      </c>
      <c r="G12970" t="s">
        <v>12</v>
      </c>
      <c r="I12970" t="s">
        <v>13</v>
      </c>
    </row>
    <row r="12971" spans="1:9" hidden="1" x14ac:dyDescent="0.25">
      <c r="A12971" t="s">
        <v>10467</v>
      </c>
      <c r="B12971" t="s">
        <v>10754</v>
      </c>
      <c r="C12971" s="2">
        <f>HYPERLINK("https://cao.dolgi.msk.ru/account/1080058097/", 1080058097)</f>
        <v>1080058097</v>
      </c>
      <c r="D12971" t="s">
        <v>10755</v>
      </c>
      <c r="E12971">
        <v>-3458.95</v>
      </c>
      <c r="F12971">
        <v>-1.04</v>
      </c>
      <c r="G12971" t="s">
        <v>12</v>
      </c>
      <c r="I12971" t="s">
        <v>13</v>
      </c>
    </row>
    <row r="12972" spans="1:9" hidden="1" x14ac:dyDescent="0.25">
      <c r="A12972" t="s">
        <v>10467</v>
      </c>
      <c r="B12972" t="s">
        <v>10756</v>
      </c>
      <c r="C12972" s="2">
        <f>HYPERLINK("https://cao.dolgi.msk.ru/account/1080058118/", 1080058118)</f>
        <v>1080058118</v>
      </c>
      <c r="D12972" t="s">
        <v>10757</v>
      </c>
      <c r="E12972">
        <v>-7181.47</v>
      </c>
      <c r="F12972">
        <v>-0.9</v>
      </c>
      <c r="G12972" t="s">
        <v>12</v>
      </c>
      <c r="I12972" t="s">
        <v>13</v>
      </c>
    </row>
    <row r="12973" spans="1:9" hidden="1" x14ac:dyDescent="0.25">
      <c r="A12973" t="s">
        <v>10467</v>
      </c>
      <c r="B12973" t="s">
        <v>10758</v>
      </c>
      <c r="C12973" s="2">
        <f>HYPERLINK("https://cao.dolgi.msk.ru/account/1080058126/", 1080058126)</f>
        <v>1080058126</v>
      </c>
      <c r="D12973" t="s">
        <v>10759</v>
      </c>
      <c r="E12973">
        <v>-3363.01</v>
      </c>
      <c r="F12973">
        <v>-1</v>
      </c>
      <c r="G12973" t="s">
        <v>12</v>
      </c>
      <c r="I12973" t="s">
        <v>13</v>
      </c>
    </row>
    <row r="12974" spans="1:9" hidden="1" x14ac:dyDescent="0.25">
      <c r="A12974" t="s">
        <v>10467</v>
      </c>
      <c r="B12974" t="s">
        <v>10760</v>
      </c>
      <c r="C12974" s="2">
        <f>HYPERLINK("https://cao.dolgi.msk.ru/account/1080058134/", 1080058134)</f>
        <v>1080058134</v>
      </c>
      <c r="D12974" t="s">
        <v>10761</v>
      </c>
      <c r="E12974">
        <v>-3658.67</v>
      </c>
      <c r="F12974">
        <v>-1.06</v>
      </c>
      <c r="G12974" t="s">
        <v>12</v>
      </c>
      <c r="I12974" t="s">
        <v>13</v>
      </c>
    </row>
    <row r="12975" spans="1:9" hidden="1" x14ac:dyDescent="0.25">
      <c r="A12975" t="s">
        <v>10467</v>
      </c>
      <c r="B12975" t="s">
        <v>10762</v>
      </c>
      <c r="C12975" s="2">
        <f>HYPERLINK("https://cao.dolgi.msk.ru/account/1080058142/", 1080058142)</f>
        <v>1080058142</v>
      </c>
      <c r="D12975" t="s">
        <v>10763</v>
      </c>
      <c r="E12975">
        <v>-3686.49</v>
      </c>
      <c r="F12975">
        <v>-1.01</v>
      </c>
      <c r="G12975" t="s">
        <v>12</v>
      </c>
      <c r="I12975" t="s">
        <v>13</v>
      </c>
    </row>
    <row r="12976" spans="1:9" hidden="1" x14ac:dyDescent="0.25">
      <c r="A12976" t="s">
        <v>10467</v>
      </c>
      <c r="B12976" t="s">
        <v>10764</v>
      </c>
      <c r="C12976" s="2">
        <f>HYPERLINK("https://cao.dolgi.msk.ru/account/1080058169/", 1080058169)</f>
        <v>1080058169</v>
      </c>
      <c r="D12976" t="s">
        <v>10765</v>
      </c>
      <c r="E12976">
        <v>-6006.75</v>
      </c>
      <c r="F12976">
        <v>-1.08</v>
      </c>
      <c r="G12976" t="s">
        <v>12</v>
      </c>
      <c r="I12976" t="s">
        <v>13</v>
      </c>
    </row>
    <row r="12977" spans="1:9" hidden="1" x14ac:dyDescent="0.25">
      <c r="A12977" t="s">
        <v>10467</v>
      </c>
      <c r="B12977" t="s">
        <v>10766</v>
      </c>
      <c r="C12977" s="2">
        <f>HYPERLINK("https://cao.dolgi.msk.ru/account/1080058177/", 1080058177)</f>
        <v>1080058177</v>
      </c>
      <c r="D12977" t="s">
        <v>10767</v>
      </c>
      <c r="E12977">
        <v>-2739.1</v>
      </c>
      <c r="F12977">
        <v>-1.02</v>
      </c>
      <c r="G12977" t="s">
        <v>12</v>
      </c>
      <c r="I12977" t="s">
        <v>13</v>
      </c>
    </row>
    <row r="12978" spans="1:9" hidden="1" x14ac:dyDescent="0.25">
      <c r="A12978" t="s">
        <v>10467</v>
      </c>
      <c r="B12978" t="s">
        <v>10768</v>
      </c>
      <c r="C12978" s="2">
        <f>HYPERLINK("https://cao.dolgi.msk.ru/account/1080058185/", 1080058185)</f>
        <v>1080058185</v>
      </c>
      <c r="D12978" t="s">
        <v>10769</v>
      </c>
      <c r="E12978">
        <v>-5115.78</v>
      </c>
      <c r="F12978">
        <v>-0.93</v>
      </c>
      <c r="G12978" t="s">
        <v>12</v>
      </c>
      <c r="I12978" t="s">
        <v>13</v>
      </c>
    </row>
    <row r="12979" spans="1:9" hidden="1" x14ac:dyDescent="0.25">
      <c r="A12979" t="s">
        <v>10467</v>
      </c>
      <c r="B12979" t="s">
        <v>10770</v>
      </c>
      <c r="C12979" s="2">
        <f>HYPERLINK("https://cao.dolgi.msk.ru/account/1080058193/", 1080058193)</f>
        <v>1080058193</v>
      </c>
      <c r="D12979" t="s">
        <v>10771</v>
      </c>
      <c r="E12979">
        <v>-6911.69</v>
      </c>
      <c r="F12979">
        <v>-1.08</v>
      </c>
      <c r="G12979" t="s">
        <v>12</v>
      </c>
      <c r="I12979" t="s">
        <v>13</v>
      </c>
    </row>
    <row r="12980" spans="1:9" hidden="1" x14ac:dyDescent="0.25">
      <c r="A12980" t="s">
        <v>10467</v>
      </c>
      <c r="B12980" t="s">
        <v>10772</v>
      </c>
      <c r="C12980" s="2">
        <f>HYPERLINK("https://cao.dolgi.msk.ru/account/1080058206/", 1080058206)</f>
        <v>1080058206</v>
      </c>
      <c r="D12980" t="s">
        <v>10773</v>
      </c>
      <c r="E12980">
        <v>-3971.11</v>
      </c>
      <c r="F12980">
        <v>-0.94</v>
      </c>
      <c r="G12980" t="s">
        <v>12</v>
      </c>
      <c r="I12980" t="s">
        <v>13</v>
      </c>
    </row>
    <row r="12981" spans="1:9" hidden="1" x14ac:dyDescent="0.25">
      <c r="A12981" t="s">
        <v>10467</v>
      </c>
      <c r="B12981" t="s">
        <v>10774</v>
      </c>
      <c r="C12981" s="2">
        <f>HYPERLINK("https://cao.dolgi.msk.ru/account/1080058214/", 1080058214)</f>
        <v>1080058214</v>
      </c>
      <c r="D12981" t="s">
        <v>10775</v>
      </c>
      <c r="E12981">
        <v>-6699.01</v>
      </c>
      <c r="F12981">
        <v>-1.1299999999999999</v>
      </c>
      <c r="G12981" t="s">
        <v>12</v>
      </c>
      <c r="I12981" t="s">
        <v>13</v>
      </c>
    </row>
    <row r="12982" spans="1:9" hidden="1" x14ac:dyDescent="0.25">
      <c r="A12982" t="s">
        <v>10467</v>
      </c>
      <c r="B12982" t="s">
        <v>10776</v>
      </c>
      <c r="C12982" s="2">
        <f>HYPERLINK("https://cao.dolgi.msk.ru/account/1080058222/", 1080058222)</f>
        <v>1080058222</v>
      </c>
      <c r="D12982" t="s">
        <v>10777</v>
      </c>
      <c r="E12982">
        <v>-3188.31</v>
      </c>
      <c r="F12982">
        <v>-0.54</v>
      </c>
      <c r="G12982" t="s">
        <v>12</v>
      </c>
      <c r="I12982" t="s">
        <v>13</v>
      </c>
    </row>
    <row r="12983" spans="1:9" hidden="1" x14ac:dyDescent="0.25">
      <c r="A12983" t="s">
        <v>10467</v>
      </c>
      <c r="B12983" t="s">
        <v>10778</v>
      </c>
      <c r="C12983" s="2">
        <f>HYPERLINK("https://cao.dolgi.msk.ru/account/1080058249/", 1080058249)</f>
        <v>1080058249</v>
      </c>
      <c r="D12983" t="s">
        <v>10779</v>
      </c>
      <c r="E12983">
        <v>-5362.59</v>
      </c>
      <c r="F12983">
        <v>-1.02</v>
      </c>
      <c r="G12983" t="s">
        <v>12</v>
      </c>
      <c r="I12983" t="s">
        <v>13</v>
      </c>
    </row>
    <row r="12984" spans="1:9" hidden="1" x14ac:dyDescent="0.25">
      <c r="A12984" t="s">
        <v>10467</v>
      </c>
      <c r="B12984" t="s">
        <v>10780</v>
      </c>
      <c r="C12984" s="2">
        <f>HYPERLINK("https://cao.dolgi.msk.ru/account/1080058257/", 1080058257)</f>
        <v>1080058257</v>
      </c>
      <c r="D12984" t="s">
        <v>10781</v>
      </c>
      <c r="E12984">
        <v>-1941.21</v>
      </c>
      <c r="F12984">
        <v>-0.36</v>
      </c>
      <c r="G12984" t="s">
        <v>12</v>
      </c>
      <c r="I12984" t="s">
        <v>13</v>
      </c>
    </row>
    <row r="12985" spans="1:9" hidden="1" x14ac:dyDescent="0.25">
      <c r="A12985" t="s">
        <v>10467</v>
      </c>
      <c r="B12985" t="s">
        <v>10782</v>
      </c>
      <c r="C12985" s="2">
        <f>HYPERLINK("https://cao.dolgi.msk.ru/account/1080058265/", 1080058265)</f>
        <v>1080058265</v>
      </c>
      <c r="D12985" t="s">
        <v>10783</v>
      </c>
      <c r="E12985">
        <v>-4004.78</v>
      </c>
      <c r="F12985">
        <v>-1.01</v>
      </c>
      <c r="G12985" t="s">
        <v>12</v>
      </c>
      <c r="I12985" t="s">
        <v>13</v>
      </c>
    </row>
    <row r="12986" spans="1:9" hidden="1" x14ac:dyDescent="0.25">
      <c r="A12986" t="s">
        <v>10467</v>
      </c>
      <c r="B12986" t="s">
        <v>10784</v>
      </c>
      <c r="C12986" s="2">
        <f>HYPERLINK("https://cao.dolgi.msk.ru/account/1080058273/", 1080058273)</f>
        <v>1080058273</v>
      </c>
      <c r="D12986" t="s">
        <v>10785</v>
      </c>
      <c r="E12986">
        <v>5267.73</v>
      </c>
      <c r="F12986">
        <v>0.72</v>
      </c>
      <c r="G12986" t="s">
        <v>12</v>
      </c>
      <c r="I12986" t="s">
        <v>13</v>
      </c>
    </row>
    <row r="12987" spans="1:9" hidden="1" x14ac:dyDescent="0.25">
      <c r="A12987" t="s">
        <v>10467</v>
      </c>
      <c r="B12987" t="s">
        <v>10786</v>
      </c>
      <c r="C12987" s="2">
        <f>HYPERLINK("https://cao.dolgi.msk.ru/account/1080058281/", 1080058281)</f>
        <v>1080058281</v>
      </c>
      <c r="D12987" t="s">
        <v>10787</v>
      </c>
      <c r="E12987">
        <v>-5095.12</v>
      </c>
      <c r="F12987">
        <v>-1</v>
      </c>
      <c r="G12987" t="s">
        <v>12</v>
      </c>
      <c r="I12987" t="s">
        <v>13</v>
      </c>
    </row>
    <row r="12988" spans="1:9" hidden="1" x14ac:dyDescent="0.25">
      <c r="A12988" t="s">
        <v>10467</v>
      </c>
      <c r="B12988" t="s">
        <v>10788</v>
      </c>
      <c r="C12988" s="2">
        <f>HYPERLINK("https://cao.dolgi.msk.ru/account/1080058302/", 1080058302)</f>
        <v>1080058302</v>
      </c>
      <c r="D12988" t="s">
        <v>10789</v>
      </c>
      <c r="E12988">
        <v>-4239.1000000000004</v>
      </c>
      <c r="F12988">
        <v>-1.01</v>
      </c>
      <c r="G12988" t="s">
        <v>12</v>
      </c>
      <c r="I12988" t="s">
        <v>13</v>
      </c>
    </row>
    <row r="12989" spans="1:9" hidden="1" x14ac:dyDescent="0.25">
      <c r="A12989" t="s">
        <v>10467</v>
      </c>
      <c r="B12989" t="s">
        <v>10790</v>
      </c>
      <c r="C12989" s="2">
        <f>HYPERLINK("https://cao.dolgi.msk.ru/account/1080058329/", 1080058329)</f>
        <v>1080058329</v>
      </c>
      <c r="D12989" t="s">
        <v>10791</v>
      </c>
      <c r="E12989">
        <v>20.53</v>
      </c>
      <c r="F12989">
        <v>0</v>
      </c>
      <c r="G12989" t="s">
        <v>12</v>
      </c>
      <c r="I12989" t="s">
        <v>13</v>
      </c>
    </row>
    <row r="12990" spans="1:9" x14ac:dyDescent="0.25">
      <c r="A12990" t="s">
        <v>10467</v>
      </c>
      <c r="B12990" t="s">
        <v>10792</v>
      </c>
      <c r="C12990" s="2">
        <f>HYPERLINK("https://cao.dolgi.msk.ru/account/1080058337/", 1080058337)</f>
        <v>1080058337</v>
      </c>
      <c r="D12990" t="s">
        <v>10793</v>
      </c>
      <c r="E12990">
        <v>14320.92</v>
      </c>
      <c r="F12990">
        <v>2.02</v>
      </c>
      <c r="G12990" t="s">
        <v>12</v>
      </c>
      <c r="I12990" t="s">
        <v>13</v>
      </c>
    </row>
    <row r="12991" spans="1:9" hidden="1" x14ac:dyDescent="0.25">
      <c r="A12991" t="s">
        <v>10467</v>
      </c>
      <c r="B12991" t="s">
        <v>10792</v>
      </c>
      <c r="C12991" s="2">
        <f>HYPERLINK("https://cao.dolgi.msk.ru/account/1083399639/", 1083399639)</f>
        <v>1083399639</v>
      </c>
      <c r="D12991" t="s">
        <v>189</v>
      </c>
      <c r="E12991">
        <v>-84411.77</v>
      </c>
      <c r="G12991" t="s">
        <v>12</v>
      </c>
      <c r="I12991" t="s">
        <v>13</v>
      </c>
    </row>
    <row r="12992" spans="1:9" hidden="1" x14ac:dyDescent="0.25">
      <c r="A12992" t="s">
        <v>10467</v>
      </c>
      <c r="B12992" t="s">
        <v>10794</v>
      </c>
      <c r="C12992" s="2">
        <f>HYPERLINK("https://cao.dolgi.msk.ru/account/1080058345/", 1080058345)</f>
        <v>1080058345</v>
      </c>
      <c r="D12992" t="s">
        <v>10795</v>
      </c>
      <c r="E12992">
        <v>-4279.72</v>
      </c>
      <c r="F12992">
        <v>-0.94</v>
      </c>
      <c r="G12992" t="s">
        <v>12</v>
      </c>
      <c r="I12992" t="s">
        <v>13</v>
      </c>
    </row>
    <row r="12993" spans="1:9" hidden="1" x14ac:dyDescent="0.25">
      <c r="A12993" t="s">
        <v>10467</v>
      </c>
      <c r="B12993" t="s">
        <v>10796</v>
      </c>
      <c r="C12993" s="2">
        <f>HYPERLINK("https://cao.dolgi.msk.ru/account/1080058353/", 1080058353)</f>
        <v>1080058353</v>
      </c>
      <c r="D12993" t="s">
        <v>10797</v>
      </c>
      <c r="E12993">
        <v>-5348.09</v>
      </c>
      <c r="F12993">
        <v>-1.04</v>
      </c>
      <c r="G12993" t="s">
        <v>12</v>
      </c>
      <c r="I12993" t="s">
        <v>13</v>
      </c>
    </row>
    <row r="12994" spans="1:9" hidden="1" x14ac:dyDescent="0.25">
      <c r="A12994" t="s">
        <v>10467</v>
      </c>
      <c r="B12994" t="s">
        <v>10798</v>
      </c>
      <c r="C12994" s="2">
        <f>HYPERLINK("https://cao.dolgi.msk.ru/account/1080058361/", 1080058361)</f>
        <v>1080058361</v>
      </c>
      <c r="D12994" t="s">
        <v>10799</v>
      </c>
      <c r="E12994">
        <v>-8925.4699999999993</v>
      </c>
      <c r="F12994">
        <v>-0.97</v>
      </c>
      <c r="G12994" t="s">
        <v>12</v>
      </c>
      <c r="I12994" t="s">
        <v>13</v>
      </c>
    </row>
    <row r="12995" spans="1:9" hidden="1" x14ac:dyDescent="0.25">
      <c r="A12995" t="s">
        <v>10467</v>
      </c>
      <c r="B12995" t="s">
        <v>10800</v>
      </c>
      <c r="C12995" s="2">
        <f>HYPERLINK("https://cao.dolgi.msk.ru/account/1080058388/", 1080058388)</f>
        <v>1080058388</v>
      </c>
      <c r="D12995" t="s">
        <v>10801</v>
      </c>
      <c r="E12995">
        <v>-8746.0300000000007</v>
      </c>
      <c r="F12995">
        <v>-1.04</v>
      </c>
      <c r="G12995" t="s">
        <v>12</v>
      </c>
      <c r="I12995" t="s">
        <v>13</v>
      </c>
    </row>
    <row r="12996" spans="1:9" hidden="1" x14ac:dyDescent="0.25">
      <c r="A12996" t="s">
        <v>10467</v>
      </c>
      <c r="B12996" t="s">
        <v>10802</v>
      </c>
      <c r="C12996" s="2">
        <f>HYPERLINK("https://cao.dolgi.msk.ru/account/1080058396/", 1080058396)</f>
        <v>1080058396</v>
      </c>
      <c r="D12996" t="s">
        <v>10803</v>
      </c>
      <c r="E12996">
        <v>-5440.92</v>
      </c>
      <c r="F12996">
        <v>-1.01</v>
      </c>
      <c r="G12996" t="s">
        <v>12</v>
      </c>
      <c r="I12996" t="s">
        <v>13</v>
      </c>
    </row>
    <row r="12997" spans="1:9" hidden="1" x14ac:dyDescent="0.25">
      <c r="A12997" t="s">
        <v>10467</v>
      </c>
      <c r="B12997" t="s">
        <v>10804</v>
      </c>
      <c r="C12997" s="2">
        <f>HYPERLINK("https://cao.dolgi.msk.ru/account/1080058409/", 1080058409)</f>
        <v>1080058409</v>
      </c>
      <c r="D12997" t="s">
        <v>10805</v>
      </c>
      <c r="E12997">
        <v>-6555.45</v>
      </c>
      <c r="F12997">
        <v>-1.05</v>
      </c>
      <c r="G12997" t="s">
        <v>12</v>
      </c>
      <c r="I12997" t="s">
        <v>13</v>
      </c>
    </row>
    <row r="12998" spans="1:9" hidden="1" x14ac:dyDescent="0.25">
      <c r="A12998" t="s">
        <v>10467</v>
      </c>
      <c r="B12998" t="s">
        <v>10806</v>
      </c>
      <c r="C12998" s="2">
        <f>HYPERLINK("https://cao.dolgi.msk.ru/account/1080058417/", 1080058417)</f>
        <v>1080058417</v>
      </c>
      <c r="D12998" t="s">
        <v>10807</v>
      </c>
      <c r="E12998">
        <v>-6828.43</v>
      </c>
      <c r="F12998">
        <v>-1.07</v>
      </c>
      <c r="G12998" t="s">
        <v>12</v>
      </c>
      <c r="I12998" t="s">
        <v>13</v>
      </c>
    </row>
    <row r="12999" spans="1:9" hidden="1" x14ac:dyDescent="0.25">
      <c r="A12999" t="s">
        <v>10467</v>
      </c>
      <c r="B12999" t="s">
        <v>10808</v>
      </c>
      <c r="C12999" s="2">
        <f>HYPERLINK("https://cao.dolgi.msk.ru/account/1080058425/", 1080058425)</f>
        <v>1080058425</v>
      </c>
      <c r="D12999" t="s">
        <v>10809</v>
      </c>
      <c r="E12999">
        <v>-5418.93</v>
      </c>
      <c r="F12999">
        <v>-1.08</v>
      </c>
      <c r="G12999" t="s">
        <v>12</v>
      </c>
      <c r="I12999" t="s">
        <v>13</v>
      </c>
    </row>
    <row r="13000" spans="1:9" hidden="1" x14ac:dyDescent="0.25">
      <c r="A13000" t="s">
        <v>10467</v>
      </c>
      <c r="B13000" t="s">
        <v>10810</v>
      </c>
      <c r="C13000" s="2">
        <f>HYPERLINK("https://cao.dolgi.msk.ru/account/1080058433/", 1080058433)</f>
        <v>1080058433</v>
      </c>
      <c r="D13000" t="s">
        <v>10811</v>
      </c>
      <c r="E13000">
        <v>-49.38</v>
      </c>
      <c r="F13000">
        <v>-0.02</v>
      </c>
      <c r="G13000" t="s">
        <v>12</v>
      </c>
      <c r="I13000" t="s">
        <v>13</v>
      </c>
    </row>
    <row r="13001" spans="1:9" hidden="1" x14ac:dyDescent="0.25">
      <c r="A13001" t="s">
        <v>10467</v>
      </c>
      <c r="B13001" t="s">
        <v>10812</v>
      </c>
      <c r="C13001" s="2">
        <f>HYPERLINK("https://cao.dolgi.msk.ru/account/1080058441/", 1080058441)</f>
        <v>1080058441</v>
      </c>
      <c r="D13001" t="s">
        <v>10813</v>
      </c>
      <c r="E13001">
        <v>-10654.39</v>
      </c>
      <c r="F13001">
        <v>-1.03</v>
      </c>
      <c r="G13001" t="s">
        <v>12</v>
      </c>
      <c r="I13001" t="s">
        <v>13</v>
      </c>
    </row>
    <row r="13002" spans="1:9" hidden="1" x14ac:dyDescent="0.25">
      <c r="A13002" t="s">
        <v>10467</v>
      </c>
      <c r="B13002" t="s">
        <v>10814</v>
      </c>
      <c r="C13002" s="2">
        <f>HYPERLINK("https://cao.dolgi.msk.ru/account/1080058468/", 1080058468)</f>
        <v>1080058468</v>
      </c>
      <c r="D13002" t="s">
        <v>10815</v>
      </c>
      <c r="E13002">
        <v>-4660.49</v>
      </c>
      <c r="F13002">
        <v>-1.0900000000000001</v>
      </c>
      <c r="G13002" t="s">
        <v>12</v>
      </c>
      <c r="I13002" t="s">
        <v>13</v>
      </c>
    </row>
    <row r="13003" spans="1:9" hidden="1" x14ac:dyDescent="0.25">
      <c r="A13003" t="s">
        <v>10467</v>
      </c>
      <c r="B13003" t="s">
        <v>10816</v>
      </c>
      <c r="C13003" s="2">
        <f>HYPERLINK("https://cao.dolgi.msk.ru/account/1080058476/", 1080058476)</f>
        <v>1080058476</v>
      </c>
      <c r="D13003" t="s">
        <v>10817</v>
      </c>
      <c r="E13003">
        <v>-3591.03</v>
      </c>
      <c r="F13003">
        <v>-0.99</v>
      </c>
      <c r="G13003" t="s">
        <v>12</v>
      </c>
      <c r="I13003" t="s">
        <v>13</v>
      </c>
    </row>
    <row r="13004" spans="1:9" hidden="1" x14ac:dyDescent="0.25">
      <c r="A13004" t="s">
        <v>10467</v>
      </c>
      <c r="B13004" t="s">
        <v>10818</v>
      </c>
      <c r="C13004" s="2">
        <f>HYPERLINK("https://cao.dolgi.msk.ru/account/1080058484/", 1080058484)</f>
        <v>1080058484</v>
      </c>
      <c r="D13004" t="s">
        <v>10819</v>
      </c>
      <c r="E13004">
        <v>-3720.21</v>
      </c>
      <c r="F13004">
        <v>-1.02</v>
      </c>
      <c r="G13004" t="s">
        <v>12</v>
      </c>
      <c r="I13004" t="s">
        <v>13</v>
      </c>
    </row>
    <row r="13005" spans="1:9" hidden="1" x14ac:dyDescent="0.25">
      <c r="A13005" t="s">
        <v>10467</v>
      </c>
      <c r="B13005" t="s">
        <v>10820</v>
      </c>
      <c r="C13005" s="2">
        <f>HYPERLINK("https://cao.dolgi.msk.ru/account/1080058492/", 1080058492)</f>
        <v>1080058492</v>
      </c>
      <c r="D13005" t="s">
        <v>10821</v>
      </c>
      <c r="E13005">
        <v>-7221.07</v>
      </c>
      <c r="F13005">
        <v>-0.85</v>
      </c>
      <c r="G13005" t="s">
        <v>12</v>
      </c>
      <c r="I13005" t="s">
        <v>13</v>
      </c>
    </row>
    <row r="13006" spans="1:9" hidden="1" x14ac:dyDescent="0.25">
      <c r="A13006" t="s">
        <v>10467</v>
      </c>
      <c r="B13006" t="s">
        <v>10822</v>
      </c>
      <c r="C13006" s="2">
        <f>HYPERLINK("https://cao.dolgi.msk.ru/account/1080058505/", 1080058505)</f>
        <v>1080058505</v>
      </c>
      <c r="D13006" t="s">
        <v>10823</v>
      </c>
      <c r="E13006">
        <v>-3174.3</v>
      </c>
      <c r="F13006">
        <v>-0.98</v>
      </c>
      <c r="G13006" t="s">
        <v>12</v>
      </c>
      <c r="I13006" t="s">
        <v>13</v>
      </c>
    </row>
    <row r="13007" spans="1:9" hidden="1" x14ac:dyDescent="0.25">
      <c r="A13007" t="s">
        <v>10467</v>
      </c>
      <c r="B13007" t="s">
        <v>10824</v>
      </c>
      <c r="C13007" s="2">
        <f>HYPERLINK("https://cao.dolgi.msk.ru/account/1080058513/", 1080058513)</f>
        <v>1080058513</v>
      </c>
      <c r="D13007" t="s">
        <v>10825</v>
      </c>
      <c r="E13007">
        <v>-1767.38</v>
      </c>
      <c r="F13007">
        <v>-0.37</v>
      </c>
      <c r="G13007" t="s">
        <v>12</v>
      </c>
      <c r="I13007" t="s">
        <v>13</v>
      </c>
    </row>
    <row r="13008" spans="1:9" hidden="1" x14ac:dyDescent="0.25">
      <c r="A13008" t="s">
        <v>10467</v>
      </c>
      <c r="B13008" t="s">
        <v>10826</v>
      </c>
      <c r="C13008" s="2">
        <f>HYPERLINK("https://cao.dolgi.msk.ru/account/1080058783/", 1080058783)</f>
        <v>1080058783</v>
      </c>
      <c r="D13008" t="s">
        <v>10827</v>
      </c>
      <c r="E13008">
        <v>-9523.6299999999992</v>
      </c>
      <c r="F13008">
        <v>-1.05</v>
      </c>
      <c r="G13008" t="s">
        <v>12</v>
      </c>
      <c r="I13008" t="s">
        <v>13</v>
      </c>
    </row>
    <row r="13009" spans="1:9" hidden="1" x14ac:dyDescent="0.25">
      <c r="A13009" t="s">
        <v>10467</v>
      </c>
      <c r="B13009" t="s">
        <v>10828</v>
      </c>
      <c r="C13009" s="2">
        <f>HYPERLINK("https://cao.dolgi.msk.ru/account/1080058521/", 1080058521)</f>
        <v>1080058521</v>
      </c>
      <c r="D13009" t="s">
        <v>10829</v>
      </c>
      <c r="E13009">
        <v>-6416.03</v>
      </c>
      <c r="F13009">
        <v>-1</v>
      </c>
      <c r="G13009" t="s">
        <v>12</v>
      </c>
      <c r="I13009" t="s">
        <v>13</v>
      </c>
    </row>
    <row r="13010" spans="1:9" hidden="1" x14ac:dyDescent="0.25">
      <c r="A13010" t="s">
        <v>10467</v>
      </c>
      <c r="B13010" t="s">
        <v>10830</v>
      </c>
      <c r="C13010" s="2">
        <f>HYPERLINK("https://cao.dolgi.msk.ru/account/1080058548/", 1080058548)</f>
        <v>1080058548</v>
      </c>
      <c r="D13010" t="s">
        <v>10831</v>
      </c>
      <c r="E13010">
        <v>-5600.26</v>
      </c>
      <c r="F13010">
        <v>-0.88</v>
      </c>
      <c r="G13010" t="s">
        <v>12</v>
      </c>
      <c r="I13010" t="s">
        <v>13</v>
      </c>
    </row>
    <row r="13011" spans="1:9" hidden="1" x14ac:dyDescent="0.25">
      <c r="A13011" t="s">
        <v>10467</v>
      </c>
      <c r="B13011" t="s">
        <v>10832</v>
      </c>
      <c r="C13011" s="2">
        <f>HYPERLINK("https://cao.dolgi.msk.ru/account/1080058556/", 1080058556)</f>
        <v>1080058556</v>
      </c>
      <c r="D13011" t="s">
        <v>10833</v>
      </c>
      <c r="E13011">
        <v>-5369.99</v>
      </c>
      <c r="F13011">
        <v>-0.97</v>
      </c>
      <c r="G13011" t="s">
        <v>12</v>
      </c>
      <c r="I13011" t="s">
        <v>13</v>
      </c>
    </row>
    <row r="13012" spans="1:9" hidden="1" x14ac:dyDescent="0.25">
      <c r="A13012" t="s">
        <v>10467</v>
      </c>
      <c r="B13012" t="s">
        <v>10834</v>
      </c>
      <c r="C13012" s="2">
        <f>HYPERLINK("https://cao.dolgi.msk.ru/account/1080058564/", 1080058564)</f>
        <v>1080058564</v>
      </c>
      <c r="D13012" t="s">
        <v>10835</v>
      </c>
      <c r="E13012">
        <v>781.57</v>
      </c>
      <c r="F13012">
        <v>0.14000000000000001</v>
      </c>
      <c r="G13012" t="s">
        <v>12</v>
      </c>
      <c r="I13012" t="s">
        <v>13</v>
      </c>
    </row>
    <row r="13013" spans="1:9" hidden="1" x14ac:dyDescent="0.25">
      <c r="A13013" t="s">
        <v>10467</v>
      </c>
      <c r="B13013" t="s">
        <v>10836</v>
      </c>
      <c r="C13013" s="2">
        <f>HYPERLINK("https://cao.dolgi.msk.ru/account/1080058572/", 1080058572)</f>
        <v>1080058572</v>
      </c>
      <c r="D13013" t="s">
        <v>10837</v>
      </c>
      <c r="E13013">
        <v>-4351.5</v>
      </c>
      <c r="F13013">
        <v>-0.99</v>
      </c>
      <c r="G13013" t="s">
        <v>12</v>
      </c>
      <c r="I13013" t="s">
        <v>13</v>
      </c>
    </row>
    <row r="13014" spans="1:9" hidden="1" x14ac:dyDescent="0.25">
      <c r="A13014" t="s">
        <v>10467</v>
      </c>
      <c r="B13014" t="s">
        <v>10838</v>
      </c>
      <c r="C13014" s="2">
        <f>HYPERLINK("https://cao.dolgi.msk.ru/account/1080058599/", 1080058599)</f>
        <v>1080058599</v>
      </c>
      <c r="D13014" t="s">
        <v>10839</v>
      </c>
      <c r="E13014">
        <v>-5701.73</v>
      </c>
      <c r="F13014">
        <v>-1.1599999999999999</v>
      </c>
      <c r="G13014" t="s">
        <v>12</v>
      </c>
      <c r="I13014" t="s">
        <v>13</v>
      </c>
    </row>
    <row r="13015" spans="1:9" hidden="1" x14ac:dyDescent="0.25">
      <c r="A13015" t="s">
        <v>10467</v>
      </c>
      <c r="B13015" t="s">
        <v>10840</v>
      </c>
      <c r="C13015" s="2">
        <f>HYPERLINK("https://cao.dolgi.msk.ru/account/1080058601/", 1080058601)</f>
        <v>1080058601</v>
      </c>
      <c r="D13015" t="s">
        <v>10841</v>
      </c>
      <c r="E13015">
        <v>-11135.05</v>
      </c>
      <c r="F13015">
        <v>-1.0900000000000001</v>
      </c>
      <c r="G13015" t="s">
        <v>12</v>
      </c>
      <c r="I13015" t="s">
        <v>13</v>
      </c>
    </row>
    <row r="13016" spans="1:9" hidden="1" x14ac:dyDescent="0.25">
      <c r="A13016" t="s">
        <v>10467</v>
      </c>
      <c r="B13016" t="s">
        <v>10842</v>
      </c>
      <c r="C13016" s="2">
        <f>HYPERLINK("https://cao.dolgi.msk.ru/account/1080058628/", 1080058628)</f>
        <v>1080058628</v>
      </c>
      <c r="D13016" t="s">
        <v>10843</v>
      </c>
      <c r="E13016">
        <v>-810.36</v>
      </c>
      <c r="F13016">
        <v>-0.15</v>
      </c>
      <c r="G13016" t="s">
        <v>12</v>
      </c>
      <c r="I13016" t="s">
        <v>13</v>
      </c>
    </row>
    <row r="13017" spans="1:9" hidden="1" x14ac:dyDescent="0.25">
      <c r="A13017" t="s">
        <v>10467</v>
      </c>
      <c r="B13017" t="s">
        <v>10844</v>
      </c>
      <c r="C13017" s="2">
        <f>HYPERLINK("https://cao.dolgi.msk.ru/account/1080058636/", 1080058636)</f>
        <v>1080058636</v>
      </c>
      <c r="D13017" t="s">
        <v>10845</v>
      </c>
      <c r="E13017">
        <v>0</v>
      </c>
      <c r="F13017">
        <v>0</v>
      </c>
      <c r="G13017" t="s">
        <v>12</v>
      </c>
      <c r="I13017" t="s">
        <v>13</v>
      </c>
    </row>
    <row r="13018" spans="1:9" hidden="1" x14ac:dyDescent="0.25">
      <c r="A13018" t="s">
        <v>10467</v>
      </c>
      <c r="B13018" t="s">
        <v>10846</v>
      </c>
      <c r="C13018" s="2">
        <f>HYPERLINK("https://cao.dolgi.msk.ru/account/1080058644/", 1080058644)</f>
        <v>1080058644</v>
      </c>
      <c r="D13018" t="s">
        <v>10847</v>
      </c>
      <c r="E13018">
        <v>-20107.61</v>
      </c>
      <c r="F13018">
        <v>-4.4800000000000004</v>
      </c>
      <c r="G13018" t="s">
        <v>12</v>
      </c>
      <c r="I13018" t="s">
        <v>13</v>
      </c>
    </row>
    <row r="13019" spans="1:9" hidden="1" x14ac:dyDescent="0.25">
      <c r="A13019" t="s">
        <v>10467</v>
      </c>
      <c r="B13019" t="s">
        <v>10848</v>
      </c>
      <c r="C13019" s="2">
        <f>HYPERLINK("https://cao.dolgi.msk.ru/account/1080058652/", 1080058652)</f>
        <v>1080058652</v>
      </c>
      <c r="D13019" t="s">
        <v>10849</v>
      </c>
      <c r="E13019">
        <v>-55.68</v>
      </c>
      <c r="F13019">
        <v>-0.01</v>
      </c>
      <c r="G13019" t="s">
        <v>12</v>
      </c>
      <c r="I13019" t="s">
        <v>13</v>
      </c>
    </row>
    <row r="13020" spans="1:9" hidden="1" x14ac:dyDescent="0.25">
      <c r="A13020" t="s">
        <v>10467</v>
      </c>
      <c r="B13020" t="s">
        <v>10850</v>
      </c>
      <c r="C13020" s="2">
        <f>HYPERLINK("https://cao.dolgi.msk.ru/account/1080058679/", 1080058679)</f>
        <v>1080058679</v>
      </c>
      <c r="D13020" t="s">
        <v>10851</v>
      </c>
      <c r="E13020">
        <v>-6611.55</v>
      </c>
      <c r="F13020">
        <v>-1.93</v>
      </c>
      <c r="G13020" t="s">
        <v>12</v>
      </c>
      <c r="I13020" t="s">
        <v>13</v>
      </c>
    </row>
    <row r="13021" spans="1:9" hidden="1" x14ac:dyDescent="0.25">
      <c r="A13021" t="s">
        <v>10467</v>
      </c>
      <c r="B13021" t="s">
        <v>10852</v>
      </c>
      <c r="C13021" s="2">
        <f>HYPERLINK("https://cao.dolgi.msk.ru/account/1080058687/", 1080058687)</f>
        <v>1080058687</v>
      </c>
      <c r="D13021" t="s">
        <v>10853</v>
      </c>
      <c r="E13021">
        <v>-4572.8</v>
      </c>
      <c r="F13021">
        <v>-1.04</v>
      </c>
      <c r="G13021" t="s">
        <v>12</v>
      </c>
      <c r="I13021" t="s">
        <v>13</v>
      </c>
    </row>
    <row r="13022" spans="1:9" hidden="1" x14ac:dyDescent="0.25">
      <c r="A13022" t="s">
        <v>10467</v>
      </c>
      <c r="B13022" t="s">
        <v>10854</v>
      </c>
      <c r="C13022" s="2">
        <f>HYPERLINK("https://cao.dolgi.msk.ru/account/1080321772/", 1080321772)</f>
        <v>1080321772</v>
      </c>
      <c r="D13022" t="s">
        <v>10855</v>
      </c>
      <c r="E13022">
        <v>-6131.26</v>
      </c>
      <c r="F13022">
        <v>-0.79</v>
      </c>
      <c r="G13022" t="s">
        <v>12</v>
      </c>
      <c r="I13022" t="s">
        <v>13</v>
      </c>
    </row>
    <row r="13023" spans="1:9" hidden="1" x14ac:dyDescent="0.25">
      <c r="A13023" t="s">
        <v>10467</v>
      </c>
      <c r="B13023" t="s">
        <v>10854</v>
      </c>
      <c r="C13023" s="2">
        <f>HYPERLINK("https://cao.dolgi.msk.ru/account/1089123473/", 1089123473)</f>
        <v>1089123473</v>
      </c>
      <c r="D13023" t="s">
        <v>10856</v>
      </c>
      <c r="E13023">
        <v>-4330.6000000000004</v>
      </c>
      <c r="F13023">
        <v>-1.02</v>
      </c>
      <c r="G13023" t="s">
        <v>12</v>
      </c>
      <c r="I13023" t="s">
        <v>13</v>
      </c>
    </row>
    <row r="13024" spans="1:9" hidden="1" x14ac:dyDescent="0.25">
      <c r="A13024" t="s">
        <v>10467</v>
      </c>
      <c r="B13024" t="s">
        <v>10857</v>
      </c>
      <c r="C13024" s="2">
        <f>HYPERLINK("https://cao.dolgi.msk.ru/account/1080058708/", 1080058708)</f>
        <v>1080058708</v>
      </c>
      <c r="D13024" t="s">
        <v>10858</v>
      </c>
      <c r="E13024">
        <v>0</v>
      </c>
      <c r="F13024">
        <v>0</v>
      </c>
      <c r="G13024" t="s">
        <v>12</v>
      </c>
      <c r="I13024" t="s">
        <v>13</v>
      </c>
    </row>
    <row r="13025" spans="1:9" hidden="1" x14ac:dyDescent="0.25">
      <c r="A13025" t="s">
        <v>10467</v>
      </c>
      <c r="B13025" t="s">
        <v>10859</v>
      </c>
      <c r="C13025" s="2">
        <f>HYPERLINK("https://cao.dolgi.msk.ru/account/1080058716/", 1080058716)</f>
        <v>1080058716</v>
      </c>
      <c r="D13025" t="s">
        <v>10860</v>
      </c>
      <c r="E13025">
        <v>-7991.59</v>
      </c>
      <c r="F13025">
        <v>-1.01</v>
      </c>
      <c r="G13025" t="s">
        <v>12</v>
      </c>
      <c r="I13025" t="s">
        <v>13</v>
      </c>
    </row>
    <row r="13026" spans="1:9" hidden="1" x14ac:dyDescent="0.25">
      <c r="A13026" t="s">
        <v>10467</v>
      </c>
      <c r="B13026" t="s">
        <v>10861</v>
      </c>
      <c r="C13026" s="2">
        <f>HYPERLINK("https://cao.dolgi.msk.ru/account/1080058724/", 1080058724)</f>
        <v>1080058724</v>
      </c>
      <c r="D13026" t="s">
        <v>10862</v>
      </c>
      <c r="E13026">
        <v>0</v>
      </c>
      <c r="F13026">
        <v>0</v>
      </c>
      <c r="G13026" t="s">
        <v>12</v>
      </c>
      <c r="I13026" t="s">
        <v>13</v>
      </c>
    </row>
    <row r="13027" spans="1:9" hidden="1" x14ac:dyDescent="0.25">
      <c r="A13027" t="s">
        <v>10467</v>
      </c>
      <c r="B13027" t="s">
        <v>10863</v>
      </c>
      <c r="C13027" s="2">
        <f>HYPERLINK("https://cao.dolgi.msk.ru/account/1080058732/", 1080058732)</f>
        <v>1080058732</v>
      </c>
      <c r="D13027" t="s">
        <v>10864</v>
      </c>
      <c r="E13027">
        <v>-18812.919999999998</v>
      </c>
      <c r="F13027">
        <v>-2.81</v>
      </c>
      <c r="G13027" t="s">
        <v>12</v>
      </c>
      <c r="I13027" t="s">
        <v>13</v>
      </c>
    </row>
    <row r="13028" spans="1:9" hidden="1" x14ac:dyDescent="0.25">
      <c r="A13028" t="s">
        <v>10467</v>
      </c>
      <c r="B13028" t="s">
        <v>10865</v>
      </c>
      <c r="C13028" s="2">
        <f>HYPERLINK("https://cao.dolgi.msk.ru/account/1080058759/", 1080058759)</f>
        <v>1080058759</v>
      </c>
      <c r="D13028" t="s">
        <v>10866</v>
      </c>
      <c r="E13028">
        <v>-4356.37</v>
      </c>
      <c r="F13028">
        <v>-0.96</v>
      </c>
      <c r="G13028" t="s">
        <v>12</v>
      </c>
      <c r="I13028" t="s">
        <v>13</v>
      </c>
    </row>
    <row r="13029" spans="1:9" hidden="1" x14ac:dyDescent="0.25">
      <c r="A13029" t="s">
        <v>10867</v>
      </c>
      <c r="B13029" t="s">
        <v>10</v>
      </c>
      <c r="C13029" s="2">
        <f>HYPERLINK("https://cao.dolgi.msk.ru/account/1080075719/", 1080075719)</f>
        <v>1080075719</v>
      </c>
      <c r="D13029" t="s">
        <v>10868</v>
      </c>
      <c r="E13029">
        <v>-4511.6499999999996</v>
      </c>
      <c r="F13029">
        <v>-1.23</v>
      </c>
      <c r="G13029" t="s">
        <v>12</v>
      </c>
      <c r="I13029" t="s">
        <v>230</v>
      </c>
    </row>
    <row r="13030" spans="1:9" hidden="1" x14ac:dyDescent="0.25">
      <c r="A13030" t="s">
        <v>10867</v>
      </c>
      <c r="B13030" t="s">
        <v>16</v>
      </c>
      <c r="C13030" s="2">
        <f>HYPERLINK("https://cao.dolgi.msk.ru/account/1080075727/", 1080075727)</f>
        <v>1080075727</v>
      </c>
      <c r="D13030" t="s">
        <v>10869</v>
      </c>
      <c r="E13030">
        <v>-4458.74</v>
      </c>
      <c r="F13030">
        <v>-1.07</v>
      </c>
      <c r="G13030" t="s">
        <v>12</v>
      </c>
      <c r="I13030" t="s">
        <v>230</v>
      </c>
    </row>
    <row r="13031" spans="1:9" hidden="1" x14ac:dyDescent="0.25">
      <c r="A13031" t="s">
        <v>10867</v>
      </c>
      <c r="B13031" t="s">
        <v>18</v>
      </c>
      <c r="C13031" s="2">
        <f>HYPERLINK("https://cao.dolgi.msk.ru/account/1080075735/", 1080075735)</f>
        <v>1080075735</v>
      </c>
      <c r="D13031" t="s">
        <v>10870</v>
      </c>
      <c r="E13031">
        <v>-3542.4</v>
      </c>
      <c r="F13031">
        <v>-1.38</v>
      </c>
      <c r="G13031" t="s">
        <v>12</v>
      </c>
      <c r="H13031" t="s">
        <v>7</v>
      </c>
      <c r="I13031" t="s">
        <v>230</v>
      </c>
    </row>
    <row r="13032" spans="1:9" hidden="1" x14ac:dyDescent="0.25">
      <c r="A13032" t="s">
        <v>10867</v>
      </c>
      <c r="B13032" t="s">
        <v>18</v>
      </c>
      <c r="C13032" s="2">
        <f>HYPERLINK("https://cao.dolgi.msk.ru/account/1080075743/", 1080075743)</f>
        <v>1080075743</v>
      </c>
      <c r="D13032" t="s">
        <v>10870</v>
      </c>
      <c r="E13032">
        <v>-3422.35</v>
      </c>
      <c r="F13032">
        <v>-1.22</v>
      </c>
      <c r="G13032" t="s">
        <v>12</v>
      </c>
      <c r="H13032" t="s">
        <v>7</v>
      </c>
      <c r="I13032" t="s">
        <v>230</v>
      </c>
    </row>
    <row r="13033" spans="1:9" hidden="1" x14ac:dyDescent="0.25">
      <c r="A13033" t="s">
        <v>10867</v>
      </c>
      <c r="B13033" t="s">
        <v>18</v>
      </c>
      <c r="C13033" s="2">
        <f>HYPERLINK("https://cao.dolgi.msk.ru/account/1083272531/", 1083272531)</f>
        <v>1083272531</v>
      </c>
      <c r="D13033" t="s">
        <v>10870</v>
      </c>
      <c r="E13033">
        <v>-799.78</v>
      </c>
      <c r="F13033">
        <v>-0.32</v>
      </c>
      <c r="G13033" t="s">
        <v>12</v>
      </c>
      <c r="H13033" t="s">
        <v>7</v>
      </c>
      <c r="I13033" t="s">
        <v>230</v>
      </c>
    </row>
    <row r="13034" spans="1:9" hidden="1" x14ac:dyDescent="0.25">
      <c r="A13034" t="s">
        <v>10867</v>
      </c>
      <c r="B13034" t="s">
        <v>20</v>
      </c>
      <c r="C13034" s="2">
        <f>HYPERLINK("https://cao.dolgi.msk.ru/account/1080075751/", 1080075751)</f>
        <v>1080075751</v>
      </c>
      <c r="D13034" t="s">
        <v>10871</v>
      </c>
      <c r="E13034">
        <v>18.059999999999999</v>
      </c>
      <c r="F13034">
        <v>0</v>
      </c>
      <c r="G13034" t="s">
        <v>12</v>
      </c>
      <c r="I13034" t="s">
        <v>230</v>
      </c>
    </row>
    <row r="13035" spans="1:9" hidden="1" x14ac:dyDescent="0.25">
      <c r="A13035" t="s">
        <v>10867</v>
      </c>
      <c r="B13035" t="s">
        <v>21</v>
      </c>
      <c r="C13035" s="2">
        <f>HYPERLINK("https://cao.dolgi.msk.ru/account/1080075778/", 1080075778)</f>
        <v>1080075778</v>
      </c>
      <c r="D13035" t="s">
        <v>10872</v>
      </c>
      <c r="E13035">
        <v>-5886.13</v>
      </c>
      <c r="F13035">
        <v>-1.19</v>
      </c>
      <c r="G13035" t="s">
        <v>12</v>
      </c>
      <c r="I13035" t="s">
        <v>230</v>
      </c>
    </row>
    <row r="13036" spans="1:9" hidden="1" x14ac:dyDescent="0.25">
      <c r="A13036" t="s">
        <v>10867</v>
      </c>
      <c r="B13036" t="s">
        <v>22</v>
      </c>
      <c r="C13036" s="2">
        <f>HYPERLINK("https://cao.dolgi.msk.ru/account/1080075786/", 1080075786)</f>
        <v>1080075786</v>
      </c>
      <c r="D13036" t="s">
        <v>10873</v>
      </c>
      <c r="E13036">
        <v>-7943.53</v>
      </c>
      <c r="F13036">
        <v>-1.08</v>
      </c>
      <c r="G13036" t="s">
        <v>12</v>
      </c>
      <c r="I13036" t="s">
        <v>230</v>
      </c>
    </row>
    <row r="13037" spans="1:9" hidden="1" x14ac:dyDescent="0.25">
      <c r="A13037" t="s">
        <v>10867</v>
      </c>
      <c r="B13037" t="s">
        <v>23</v>
      </c>
      <c r="C13037" s="2">
        <f>HYPERLINK("https://cao.dolgi.msk.ru/account/1080075794/", 1080075794)</f>
        <v>1080075794</v>
      </c>
      <c r="D13037" t="s">
        <v>10874</v>
      </c>
      <c r="E13037">
        <v>-7647.6</v>
      </c>
      <c r="F13037">
        <v>-1.1000000000000001</v>
      </c>
      <c r="G13037" t="s">
        <v>12</v>
      </c>
      <c r="I13037" t="s">
        <v>230</v>
      </c>
    </row>
    <row r="13038" spans="1:9" hidden="1" x14ac:dyDescent="0.25">
      <c r="A13038" t="s">
        <v>10867</v>
      </c>
      <c r="B13038" t="s">
        <v>24</v>
      </c>
      <c r="C13038" s="2">
        <f>HYPERLINK("https://cao.dolgi.msk.ru/account/1080075807/", 1080075807)</f>
        <v>1080075807</v>
      </c>
      <c r="D13038" t="s">
        <v>10875</v>
      </c>
      <c r="E13038">
        <v>-2843.22</v>
      </c>
      <c r="F13038">
        <v>-1.1399999999999999</v>
      </c>
      <c r="G13038" t="s">
        <v>12</v>
      </c>
      <c r="I13038" t="s">
        <v>230</v>
      </c>
    </row>
    <row r="13039" spans="1:9" hidden="1" x14ac:dyDescent="0.25">
      <c r="A13039" t="s">
        <v>10867</v>
      </c>
      <c r="B13039" t="s">
        <v>27</v>
      </c>
      <c r="C13039" s="2">
        <f>HYPERLINK("https://cao.dolgi.msk.ru/account/1080075815/", 1080075815)</f>
        <v>1080075815</v>
      </c>
      <c r="D13039" t="s">
        <v>10876</v>
      </c>
      <c r="E13039">
        <v>0</v>
      </c>
      <c r="F13039">
        <v>0</v>
      </c>
      <c r="G13039" t="s">
        <v>12</v>
      </c>
      <c r="I13039" t="s">
        <v>230</v>
      </c>
    </row>
    <row r="13040" spans="1:9" hidden="1" x14ac:dyDescent="0.25">
      <c r="A13040" t="s">
        <v>10867</v>
      </c>
      <c r="B13040" t="s">
        <v>29</v>
      </c>
      <c r="C13040" s="2">
        <f>HYPERLINK("https://cao.dolgi.msk.ru/account/1080075823/", 1080075823)</f>
        <v>1080075823</v>
      </c>
      <c r="D13040" t="s">
        <v>10877</v>
      </c>
      <c r="E13040">
        <v>-6041.42</v>
      </c>
      <c r="F13040">
        <v>-1.22</v>
      </c>
      <c r="G13040" t="s">
        <v>12</v>
      </c>
      <c r="I13040" t="s">
        <v>230</v>
      </c>
    </row>
    <row r="13041" spans="1:9" hidden="1" x14ac:dyDescent="0.25">
      <c r="A13041" t="s">
        <v>10867</v>
      </c>
      <c r="B13041" t="s">
        <v>31</v>
      </c>
      <c r="C13041" s="2">
        <f>HYPERLINK("https://cao.dolgi.msk.ru/account/1080075831/", 1080075831)</f>
        <v>1080075831</v>
      </c>
      <c r="D13041" t="s">
        <v>10878</v>
      </c>
      <c r="E13041">
        <v>-3576.25</v>
      </c>
      <c r="F13041">
        <v>-1.45</v>
      </c>
      <c r="G13041" t="s">
        <v>12</v>
      </c>
      <c r="I13041" t="s">
        <v>230</v>
      </c>
    </row>
    <row r="13042" spans="1:9" hidden="1" x14ac:dyDescent="0.25">
      <c r="A13042" t="s">
        <v>10867</v>
      </c>
      <c r="B13042" t="s">
        <v>33</v>
      </c>
      <c r="C13042" s="2">
        <f>HYPERLINK("https://cao.dolgi.msk.ru/account/1080075858/", 1080075858)</f>
        <v>1080075858</v>
      </c>
      <c r="D13042" t="s">
        <v>10879</v>
      </c>
      <c r="E13042">
        <v>-6237.2</v>
      </c>
      <c r="F13042">
        <v>-1.1499999999999999</v>
      </c>
      <c r="G13042" t="s">
        <v>12</v>
      </c>
      <c r="I13042" t="s">
        <v>230</v>
      </c>
    </row>
    <row r="13043" spans="1:9" hidden="1" x14ac:dyDescent="0.25">
      <c r="A13043" t="s">
        <v>10867</v>
      </c>
      <c r="B13043" t="s">
        <v>34</v>
      </c>
      <c r="C13043" s="2">
        <f>HYPERLINK("https://cao.dolgi.msk.ru/account/1080075866/", 1080075866)</f>
        <v>1080075866</v>
      </c>
      <c r="D13043" t="s">
        <v>10880</v>
      </c>
      <c r="E13043">
        <v>-5397.68</v>
      </c>
      <c r="F13043">
        <v>-1.17</v>
      </c>
      <c r="G13043" t="s">
        <v>12</v>
      </c>
      <c r="I13043" t="s">
        <v>230</v>
      </c>
    </row>
    <row r="13044" spans="1:9" hidden="1" x14ac:dyDescent="0.25">
      <c r="A13044" t="s">
        <v>10867</v>
      </c>
      <c r="B13044" t="s">
        <v>36</v>
      </c>
      <c r="C13044" s="2">
        <f>HYPERLINK("https://cao.dolgi.msk.ru/account/1080075874/", 1080075874)</f>
        <v>1080075874</v>
      </c>
      <c r="D13044" t="s">
        <v>10881</v>
      </c>
      <c r="E13044">
        <v>-3433.86</v>
      </c>
      <c r="F13044">
        <v>-0.4</v>
      </c>
      <c r="G13044" t="s">
        <v>12</v>
      </c>
      <c r="I13044" t="s">
        <v>230</v>
      </c>
    </row>
    <row r="13045" spans="1:9" hidden="1" x14ac:dyDescent="0.25">
      <c r="A13045" t="s">
        <v>10867</v>
      </c>
      <c r="B13045" t="s">
        <v>38</v>
      </c>
      <c r="C13045" s="2">
        <f>HYPERLINK("https://cao.dolgi.msk.ru/account/1080075882/", 1080075882)</f>
        <v>1080075882</v>
      </c>
      <c r="D13045" t="s">
        <v>10882</v>
      </c>
      <c r="E13045">
        <v>-9910.74</v>
      </c>
      <c r="F13045">
        <v>-1.1100000000000001</v>
      </c>
      <c r="G13045" t="s">
        <v>12</v>
      </c>
      <c r="I13045" t="s">
        <v>230</v>
      </c>
    </row>
    <row r="13046" spans="1:9" hidden="1" x14ac:dyDescent="0.25">
      <c r="A13046" t="s">
        <v>10867</v>
      </c>
      <c r="B13046" t="s">
        <v>39</v>
      </c>
      <c r="C13046" s="2">
        <f>HYPERLINK("https://cao.dolgi.msk.ru/account/1080075903/", 1080075903)</f>
        <v>1080075903</v>
      </c>
      <c r="D13046" t="s">
        <v>10883</v>
      </c>
      <c r="E13046">
        <v>0</v>
      </c>
      <c r="F13046">
        <v>0</v>
      </c>
      <c r="G13046" t="s">
        <v>12</v>
      </c>
      <c r="I13046" t="s">
        <v>230</v>
      </c>
    </row>
    <row r="13047" spans="1:9" hidden="1" x14ac:dyDescent="0.25">
      <c r="A13047" t="s">
        <v>10867</v>
      </c>
      <c r="B13047" t="s">
        <v>40</v>
      </c>
      <c r="C13047" s="2">
        <f>HYPERLINK("https://cao.dolgi.msk.ru/account/1080075911/", 1080075911)</f>
        <v>1080075911</v>
      </c>
      <c r="D13047" t="s">
        <v>10884</v>
      </c>
      <c r="E13047">
        <v>-3899.84</v>
      </c>
      <c r="F13047">
        <v>-1.08</v>
      </c>
      <c r="G13047" t="s">
        <v>12</v>
      </c>
      <c r="I13047" t="s">
        <v>230</v>
      </c>
    </row>
    <row r="13048" spans="1:9" hidden="1" x14ac:dyDescent="0.25">
      <c r="A13048" t="s">
        <v>10867</v>
      </c>
      <c r="B13048" t="s">
        <v>41</v>
      </c>
      <c r="C13048" s="2">
        <f>HYPERLINK("https://cao.dolgi.msk.ru/account/1080075938/", 1080075938)</f>
        <v>1080075938</v>
      </c>
      <c r="D13048" t="s">
        <v>15</v>
      </c>
      <c r="E13048">
        <v>0</v>
      </c>
      <c r="G13048" t="s">
        <v>14</v>
      </c>
      <c r="I13048" t="s">
        <v>230</v>
      </c>
    </row>
    <row r="13049" spans="1:9" hidden="1" x14ac:dyDescent="0.25">
      <c r="A13049" t="s">
        <v>10867</v>
      </c>
      <c r="B13049" t="s">
        <v>41</v>
      </c>
      <c r="C13049" s="2">
        <f>HYPERLINK("https://cao.dolgi.msk.ru/account/1080075946/", 1080075946)</f>
        <v>1080075946</v>
      </c>
      <c r="D13049" t="s">
        <v>15</v>
      </c>
      <c r="E13049">
        <v>99</v>
      </c>
      <c r="G13049" t="s">
        <v>14</v>
      </c>
      <c r="I13049" t="s">
        <v>230</v>
      </c>
    </row>
    <row r="13050" spans="1:9" hidden="1" x14ac:dyDescent="0.25">
      <c r="A13050" t="s">
        <v>10867</v>
      </c>
      <c r="B13050" t="s">
        <v>41</v>
      </c>
      <c r="C13050" s="2">
        <f>HYPERLINK("https://cao.dolgi.msk.ru/account/1080075954/", 1080075954)</f>
        <v>1080075954</v>
      </c>
      <c r="D13050" t="s">
        <v>10885</v>
      </c>
      <c r="E13050">
        <v>-2031.88</v>
      </c>
      <c r="F13050">
        <v>-0.24</v>
      </c>
      <c r="G13050" t="s">
        <v>12</v>
      </c>
      <c r="I13050" t="s">
        <v>230</v>
      </c>
    </row>
    <row r="13051" spans="1:9" hidden="1" x14ac:dyDescent="0.25">
      <c r="A13051" t="s">
        <v>10867</v>
      </c>
      <c r="B13051" t="s">
        <v>42</v>
      </c>
      <c r="C13051" s="2">
        <f>HYPERLINK("https://cao.dolgi.msk.ru/account/1080075962/", 1080075962)</f>
        <v>1080075962</v>
      </c>
      <c r="D13051" t="s">
        <v>10886</v>
      </c>
      <c r="E13051">
        <v>-5920.17</v>
      </c>
      <c r="F13051">
        <v>-1.05</v>
      </c>
      <c r="G13051" t="s">
        <v>12</v>
      </c>
      <c r="I13051" t="s">
        <v>230</v>
      </c>
    </row>
    <row r="13052" spans="1:9" hidden="1" x14ac:dyDescent="0.25">
      <c r="A13052" t="s">
        <v>10867</v>
      </c>
      <c r="B13052" t="s">
        <v>44</v>
      </c>
      <c r="C13052" s="2">
        <f>HYPERLINK("https://cao.dolgi.msk.ru/account/1080075989/", 1080075989)</f>
        <v>1080075989</v>
      </c>
      <c r="D13052" t="s">
        <v>10887</v>
      </c>
      <c r="E13052">
        <v>0</v>
      </c>
      <c r="F13052">
        <v>0</v>
      </c>
      <c r="G13052" t="s">
        <v>12</v>
      </c>
      <c r="I13052" t="s">
        <v>230</v>
      </c>
    </row>
    <row r="13053" spans="1:9" hidden="1" x14ac:dyDescent="0.25">
      <c r="A13053" t="s">
        <v>10867</v>
      </c>
      <c r="B13053" t="s">
        <v>66</v>
      </c>
      <c r="C13053" s="2">
        <f>HYPERLINK("https://cao.dolgi.msk.ru/account/1080075997/", 1080075997)</f>
        <v>1080075997</v>
      </c>
      <c r="D13053" t="s">
        <v>10888</v>
      </c>
      <c r="E13053">
        <v>-7200.4</v>
      </c>
      <c r="F13053">
        <v>-1</v>
      </c>
      <c r="G13053" t="s">
        <v>12</v>
      </c>
      <c r="I13053" t="s">
        <v>230</v>
      </c>
    </row>
    <row r="13054" spans="1:9" hidden="1" x14ac:dyDescent="0.25">
      <c r="A13054" t="s">
        <v>10867</v>
      </c>
      <c r="B13054" t="s">
        <v>68</v>
      </c>
      <c r="C13054" s="2">
        <f>HYPERLINK("https://cao.dolgi.msk.ru/account/1080076009/", 1080076009)</f>
        <v>1080076009</v>
      </c>
      <c r="D13054" t="s">
        <v>10889</v>
      </c>
      <c r="E13054">
        <v>-10533.74</v>
      </c>
      <c r="F13054">
        <v>-2.21</v>
      </c>
      <c r="G13054" t="s">
        <v>12</v>
      </c>
      <c r="I13054" t="s">
        <v>230</v>
      </c>
    </row>
    <row r="13055" spans="1:9" x14ac:dyDescent="0.25">
      <c r="A13055" t="s">
        <v>10867</v>
      </c>
      <c r="B13055" t="s">
        <v>70</v>
      </c>
      <c r="C13055" s="2">
        <f>HYPERLINK("https://cao.dolgi.msk.ru/account/1080076017/", 1080076017)</f>
        <v>1080076017</v>
      </c>
      <c r="D13055" t="s">
        <v>10890</v>
      </c>
      <c r="E13055">
        <v>28331.599999999999</v>
      </c>
      <c r="F13055">
        <v>4</v>
      </c>
      <c r="G13055" t="s">
        <v>12</v>
      </c>
      <c r="I13055" t="s">
        <v>230</v>
      </c>
    </row>
    <row r="13056" spans="1:9" hidden="1" x14ac:dyDescent="0.25">
      <c r="A13056" t="s">
        <v>10867</v>
      </c>
      <c r="B13056" t="s">
        <v>72</v>
      </c>
      <c r="C13056" s="2">
        <f>HYPERLINK("https://cao.dolgi.msk.ru/account/1080076025/", 1080076025)</f>
        <v>1080076025</v>
      </c>
      <c r="D13056" t="s">
        <v>10891</v>
      </c>
      <c r="E13056">
        <v>-8985.3799999999992</v>
      </c>
      <c r="F13056">
        <v>-1.07</v>
      </c>
      <c r="G13056" t="s">
        <v>12</v>
      </c>
      <c r="I13056" t="s">
        <v>230</v>
      </c>
    </row>
    <row r="13057" spans="1:9" hidden="1" x14ac:dyDescent="0.25">
      <c r="A13057" t="s">
        <v>10867</v>
      </c>
      <c r="B13057" t="s">
        <v>74</v>
      </c>
      <c r="C13057" s="2">
        <f>HYPERLINK("https://cao.dolgi.msk.ru/account/1080076033/", 1080076033)</f>
        <v>1080076033</v>
      </c>
      <c r="D13057" t="s">
        <v>10892</v>
      </c>
      <c r="E13057">
        <v>-5932.44</v>
      </c>
      <c r="F13057">
        <v>-1.04</v>
      </c>
      <c r="G13057" t="s">
        <v>12</v>
      </c>
      <c r="I13057" t="s">
        <v>230</v>
      </c>
    </row>
    <row r="13058" spans="1:9" hidden="1" x14ac:dyDescent="0.25">
      <c r="A13058" t="s">
        <v>10867</v>
      </c>
      <c r="B13058" t="s">
        <v>76</v>
      </c>
      <c r="C13058" s="2">
        <f>HYPERLINK("https://cao.dolgi.msk.ru/account/1080076041/", 1080076041)</f>
        <v>1080076041</v>
      </c>
      <c r="D13058" t="s">
        <v>10893</v>
      </c>
      <c r="E13058">
        <v>-5491.28</v>
      </c>
      <c r="F13058">
        <v>-0.94</v>
      </c>
      <c r="G13058" t="s">
        <v>12</v>
      </c>
      <c r="I13058" t="s">
        <v>230</v>
      </c>
    </row>
    <row r="13059" spans="1:9" hidden="1" x14ac:dyDescent="0.25">
      <c r="A13059" t="s">
        <v>10867</v>
      </c>
      <c r="B13059" t="s">
        <v>78</v>
      </c>
      <c r="C13059" s="2">
        <f>HYPERLINK("https://cao.dolgi.msk.ru/account/1080076068/", 1080076068)</f>
        <v>1080076068</v>
      </c>
      <c r="D13059" t="s">
        <v>10894</v>
      </c>
      <c r="E13059">
        <v>-9616.3799999999992</v>
      </c>
      <c r="F13059">
        <v>-1.17</v>
      </c>
      <c r="G13059" t="s">
        <v>12</v>
      </c>
      <c r="I13059" t="s">
        <v>230</v>
      </c>
    </row>
    <row r="13060" spans="1:9" x14ac:dyDescent="0.25">
      <c r="A13060" t="s">
        <v>10867</v>
      </c>
      <c r="B13060" t="s">
        <v>80</v>
      </c>
      <c r="C13060" s="2">
        <f>HYPERLINK("https://cao.dolgi.msk.ru/account/1080076076/", 1080076076)</f>
        <v>1080076076</v>
      </c>
      <c r="D13060" t="s">
        <v>10895</v>
      </c>
      <c r="E13060">
        <v>109435.47</v>
      </c>
      <c r="F13060">
        <v>19.45</v>
      </c>
      <c r="G13060" t="s">
        <v>12</v>
      </c>
      <c r="I13060" t="s">
        <v>230</v>
      </c>
    </row>
    <row r="13061" spans="1:9" hidden="1" x14ac:dyDescent="0.25">
      <c r="A13061" t="s">
        <v>10867</v>
      </c>
      <c r="B13061" t="s">
        <v>82</v>
      </c>
      <c r="C13061" s="2">
        <f>HYPERLINK("https://cao.dolgi.msk.ru/account/1080076084/", 1080076084)</f>
        <v>1080076084</v>
      </c>
      <c r="D13061" t="s">
        <v>10896</v>
      </c>
      <c r="E13061">
        <v>-882.84</v>
      </c>
      <c r="F13061">
        <v>-0.17</v>
      </c>
      <c r="G13061" t="s">
        <v>12</v>
      </c>
      <c r="I13061" t="s">
        <v>230</v>
      </c>
    </row>
    <row r="13062" spans="1:9" hidden="1" x14ac:dyDescent="0.25">
      <c r="A13062" t="s">
        <v>10867</v>
      </c>
      <c r="B13062" t="s">
        <v>84</v>
      </c>
      <c r="C13062" s="2">
        <f>HYPERLINK("https://cao.dolgi.msk.ru/account/1080076092/", 1080076092)</f>
        <v>1080076092</v>
      </c>
      <c r="D13062" t="s">
        <v>10897</v>
      </c>
      <c r="E13062">
        <v>-9013.93</v>
      </c>
      <c r="F13062">
        <v>-1.07</v>
      </c>
      <c r="G13062" t="s">
        <v>12</v>
      </c>
      <c r="I13062" t="s">
        <v>230</v>
      </c>
    </row>
    <row r="13063" spans="1:9" hidden="1" x14ac:dyDescent="0.25">
      <c r="A13063" t="s">
        <v>10867</v>
      </c>
      <c r="B13063" t="s">
        <v>86</v>
      </c>
      <c r="C13063" s="2">
        <f>HYPERLINK("https://cao.dolgi.msk.ru/account/1080076105/", 1080076105)</f>
        <v>1080076105</v>
      </c>
      <c r="D13063" t="s">
        <v>10898</v>
      </c>
      <c r="E13063">
        <v>-1075.6400000000001</v>
      </c>
      <c r="F13063">
        <v>-0.19</v>
      </c>
      <c r="G13063" t="s">
        <v>12</v>
      </c>
      <c r="I13063" t="s">
        <v>230</v>
      </c>
    </row>
    <row r="13064" spans="1:9" hidden="1" x14ac:dyDescent="0.25">
      <c r="A13064" t="s">
        <v>10867</v>
      </c>
      <c r="B13064" t="s">
        <v>88</v>
      </c>
      <c r="C13064" s="2">
        <f>HYPERLINK("https://cao.dolgi.msk.ru/account/1080076113/", 1080076113)</f>
        <v>1080076113</v>
      </c>
      <c r="D13064" t="s">
        <v>10899</v>
      </c>
      <c r="E13064">
        <v>-4743.92</v>
      </c>
      <c r="F13064">
        <v>-1.06</v>
      </c>
      <c r="G13064" t="s">
        <v>12</v>
      </c>
      <c r="I13064" t="s">
        <v>230</v>
      </c>
    </row>
    <row r="13065" spans="1:9" hidden="1" x14ac:dyDescent="0.25">
      <c r="A13065" t="s">
        <v>10867</v>
      </c>
      <c r="B13065" t="s">
        <v>90</v>
      </c>
      <c r="C13065" s="2">
        <f>HYPERLINK("https://cao.dolgi.msk.ru/account/1080076121/", 1080076121)</f>
        <v>1080076121</v>
      </c>
      <c r="D13065" t="s">
        <v>10900</v>
      </c>
      <c r="E13065">
        <v>-9569.7199999999993</v>
      </c>
      <c r="F13065">
        <v>-1.1200000000000001</v>
      </c>
      <c r="G13065" t="s">
        <v>12</v>
      </c>
      <c r="I13065" t="s">
        <v>230</v>
      </c>
    </row>
    <row r="13066" spans="1:9" hidden="1" x14ac:dyDescent="0.25">
      <c r="A13066" t="s">
        <v>10867</v>
      </c>
      <c r="B13066" t="s">
        <v>92</v>
      </c>
      <c r="C13066" s="2">
        <f>HYPERLINK("https://cao.dolgi.msk.ru/account/1080076148/", 1080076148)</f>
        <v>1080076148</v>
      </c>
      <c r="D13066" t="s">
        <v>10901</v>
      </c>
      <c r="E13066">
        <v>-5721.69</v>
      </c>
      <c r="F13066">
        <v>-1.1200000000000001</v>
      </c>
      <c r="G13066" t="s">
        <v>12</v>
      </c>
      <c r="I13066" t="s">
        <v>230</v>
      </c>
    </row>
    <row r="13067" spans="1:9" hidden="1" x14ac:dyDescent="0.25">
      <c r="A13067" t="s">
        <v>10867</v>
      </c>
      <c r="B13067" t="s">
        <v>94</v>
      </c>
      <c r="C13067" s="2">
        <f>HYPERLINK("https://cao.dolgi.msk.ru/account/1080076156/", 1080076156)</f>
        <v>1080076156</v>
      </c>
      <c r="D13067" t="s">
        <v>10902</v>
      </c>
      <c r="E13067">
        <v>-5187.17</v>
      </c>
      <c r="F13067">
        <v>-1.1499999999999999</v>
      </c>
      <c r="G13067" t="s">
        <v>12</v>
      </c>
      <c r="I13067" t="s">
        <v>230</v>
      </c>
    </row>
    <row r="13068" spans="1:9" hidden="1" x14ac:dyDescent="0.25">
      <c r="A13068" t="s">
        <v>10867</v>
      </c>
      <c r="B13068" t="s">
        <v>96</v>
      </c>
      <c r="C13068" s="2">
        <f>HYPERLINK("https://cao.dolgi.msk.ru/account/1080076172/", 1080076172)</f>
        <v>1080076172</v>
      </c>
      <c r="D13068" t="s">
        <v>10903</v>
      </c>
      <c r="E13068">
        <v>-8275.3700000000008</v>
      </c>
      <c r="F13068">
        <v>-1.1399999999999999</v>
      </c>
      <c r="G13068" t="s">
        <v>12</v>
      </c>
      <c r="I13068" t="s">
        <v>230</v>
      </c>
    </row>
    <row r="13069" spans="1:9" hidden="1" x14ac:dyDescent="0.25">
      <c r="A13069" t="s">
        <v>10867</v>
      </c>
      <c r="B13069" t="s">
        <v>98</v>
      </c>
      <c r="C13069" s="2">
        <f>HYPERLINK("https://cao.dolgi.msk.ru/account/1080076199/", 1080076199)</f>
        <v>1080076199</v>
      </c>
      <c r="D13069" t="s">
        <v>10904</v>
      </c>
      <c r="E13069">
        <v>-4005.37</v>
      </c>
      <c r="F13069">
        <v>-1.1299999999999999</v>
      </c>
      <c r="G13069" t="s">
        <v>12</v>
      </c>
      <c r="I13069" t="s">
        <v>230</v>
      </c>
    </row>
    <row r="13070" spans="1:9" x14ac:dyDescent="0.25">
      <c r="A13070" t="s">
        <v>10867</v>
      </c>
      <c r="B13070" t="s">
        <v>100</v>
      </c>
      <c r="C13070" s="2">
        <f>HYPERLINK("https://cao.dolgi.msk.ru/account/1080076201/", 1080076201)</f>
        <v>1080076201</v>
      </c>
      <c r="D13070" t="s">
        <v>10905</v>
      </c>
      <c r="E13070">
        <v>19812.61</v>
      </c>
      <c r="F13070">
        <v>1.98</v>
      </c>
      <c r="G13070" t="s">
        <v>12</v>
      </c>
      <c r="I13070" t="s">
        <v>230</v>
      </c>
    </row>
    <row r="13071" spans="1:9" hidden="1" x14ac:dyDescent="0.25">
      <c r="A13071" t="s">
        <v>10867</v>
      </c>
      <c r="B13071" t="s">
        <v>102</v>
      </c>
      <c r="C13071" s="2">
        <f>HYPERLINK("https://cao.dolgi.msk.ru/account/1080076228/", 1080076228)</f>
        <v>1080076228</v>
      </c>
      <c r="D13071" t="s">
        <v>10906</v>
      </c>
      <c r="E13071">
        <v>0</v>
      </c>
      <c r="F13071">
        <v>0</v>
      </c>
      <c r="G13071" t="s">
        <v>12</v>
      </c>
      <c r="I13071" t="s">
        <v>230</v>
      </c>
    </row>
    <row r="13072" spans="1:9" hidden="1" x14ac:dyDescent="0.25">
      <c r="A13072" t="s">
        <v>10867</v>
      </c>
      <c r="B13072" t="s">
        <v>104</v>
      </c>
      <c r="C13072" s="2">
        <f>HYPERLINK("https://cao.dolgi.msk.ru/account/1080076236/", 1080076236)</f>
        <v>1080076236</v>
      </c>
      <c r="D13072" t="s">
        <v>10907</v>
      </c>
      <c r="E13072">
        <v>0</v>
      </c>
      <c r="F13072">
        <v>0</v>
      </c>
      <c r="G13072" t="s">
        <v>12</v>
      </c>
      <c r="I13072" t="s">
        <v>230</v>
      </c>
    </row>
    <row r="13073" spans="1:9" hidden="1" x14ac:dyDescent="0.25">
      <c r="A13073" t="s">
        <v>10867</v>
      </c>
      <c r="B13073" t="s">
        <v>106</v>
      </c>
      <c r="C13073" s="2">
        <f>HYPERLINK("https://cao.dolgi.msk.ru/account/1080076244/", 1080076244)</f>
        <v>1080076244</v>
      </c>
      <c r="D13073" t="s">
        <v>10908</v>
      </c>
      <c r="E13073">
        <v>-5631.79</v>
      </c>
      <c r="F13073">
        <v>-0.98</v>
      </c>
      <c r="G13073" t="s">
        <v>12</v>
      </c>
      <c r="I13073" t="s">
        <v>230</v>
      </c>
    </row>
    <row r="13074" spans="1:9" hidden="1" x14ac:dyDescent="0.25">
      <c r="A13074" t="s">
        <v>10867</v>
      </c>
      <c r="B13074" t="s">
        <v>108</v>
      </c>
      <c r="C13074" s="2">
        <f>HYPERLINK("https://cao.dolgi.msk.ru/account/1080076252/", 1080076252)</f>
        <v>1080076252</v>
      </c>
      <c r="D13074" t="s">
        <v>10909</v>
      </c>
      <c r="E13074">
        <v>278.89999999999998</v>
      </c>
      <c r="F13074">
        <v>0.04</v>
      </c>
      <c r="G13074" t="s">
        <v>12</v>
      </c>
      <c r="I13074" t="s">
        <v>230</v>
      </c>
    </row>
    <row r="13075" spans="1:9" hidden="1" x14ac:dyDescent="0.25">
      <c r="A13075" t="s">
        <v>10867</v>
      </c>
      <c r="B13075" t="s">
        <v>108</v>
      </c>
      <c r="C13075" s="2">
        <f>HYPERLINK("https://cao.dolgi.msk.ru/account/1080076279/", 1080076279)</f>
        <v>1080076279</v>
      </c>
      <c r="D13075" t="s">
        <v>15</v>
      </c>
      <c r="G13075" t="s">
        <v>14</v>
      </c>
      <c r="I13075" t="s">
        <v>230</v>
      </c>
    </row>
    <row r="13076" spans="1:9" hidden="1" x14ac:dyDescent="0.25">
      <c r="A13076" t="s">
        <v>10867</v>
      </c>
      <c r="B13076" t="s">
        <v>110</v>
      </c>
      <c r="C13076" s="2">
        <f>HYPERLINK("https://cao.dolgi.msk.ru/account/1080076287/", 1080076287)</f>
        <v>1080076287</v>
      </c>
      <c r="D13076" t="s">
        <v>10910</v>
      </c>
      <c r="E13076">
        <v>-7427.45</v>
      </c>
      <c r="F13076">
        <v>-1.07</v>
      </c>
      <c r="G13076" t="s">
        <v>12</v>
      </c>
      <c r="I13076" t="s">
        <v>230</v>
      </c>
    </row>
    <row r="13077" spans="1:9" hidden="1" x14ac:dyDescent="0.25">
      <c r="A13077" t="s">
        <v>10867</v>
      </c>
      <c r="B13077" t="s">
        <v>112</v>
      </c>
      <c r="C13077" s="2">
        <f>HYPERLINK("https://cao.dolgi.msk.ru/account/1080076295/", 1080076295)</f>
        <v>1080076295</v>
      </c>
      <c r="D13077" t="s">
        <v>10911</v>
      </c>
      <c r="E13077">
        <v>-1387.4</v>
      </c>
      <c r="F13077">
        <v>-0.2</v>
      </c>
      <c r="G13077" t="s">
        <v>12</v>
      </c>
      <c r="I13077" t="s">
        <v>230</v>
      </c>
    </row>
    <row r="13078" spans="1:9" hidden="1" x14ac:dyDescent="0.25">
      <c r="A13078" t="s">
        <v>10867</v>
      </c>
      <c r="B13078" t="s">
        <v>114</v>
      </c>
      <c r="C13078" s="2">
        <f>HYPERLINK("https://cao.dolgi.msk.ru/account/1080076308/", 1080076308)</f>
        <v>1080076308</v>
      </c>
      <c r="D13078" t="s">
        <v>10912</v>
      </c>
      <c r="E13078">
        <v>-6673.4</v>
      </c>
      <c r="F13078">
        <v>-1.01</v>
      </c>
      <c r="G13078" t="s">
        <v>12</v>
      </c>
      <c r="I13078" t="s">
        <v>230</v>
      </c>
    </row>
    <row r="13079" spans="1:9" hidden="1" x14ac:dyDescent="0.25">
      <c r="A13079" t="s">
        <v>10867</v>
      </c>
      <c r="B13079" t="s">
        <v>116</v>
      </c>
      <c r="C13079" s="2">
        <f>HYPERLINK("https://cao.dolgi.msk.ru/account/1080076316/", 1080076316)</f>
        <v>1080076316</v>
      </c>
      <c r="D13079" t="s">
        <v>10913</v>
      </c>
      <c r="E13079">
        <v>-4813.08</v>
      </c>
      <c r="F13079">
        <v>-1.0900000000000001</v>
      </c>
      <c r="G13079" t="s">
        <v>12</v>
      </c>
      <c r="I13079" t="s">
        <v>230</v>
      </c>
    </row>
    <row r="13080" spans="1:9" hidden="1" x14ac:dyDescent="0.25">
      <c r="A13080" t="s">
        <v>10867</v>
      </c>
      <c r="B13080" t="s">
        <v>116</v>
      </c>
      <c r="C13080" s="2">
        <f>HYPERLINK("https://cao.dolgi.msk.ru/account/1083273745/", 1083273745)</f>
        <v>1083273745</v>
      </c>
      <c r="D13080" t="s">
        <v>15</v>
      </c>
      <c r="E13080">
        <v>0</v>
      </c>
      <c r="G13080" t="s">
        <v>14</v>
      </c>
      <c r="I13080" t="s">
        <v>230</v>
      </c>
    </row>
    <row r="13081" spans="1:9" hidden="1" x14ac:dyDescent="0.25">
      <c r="A13081" t="s">
        <v>10867</v>
      </c>
      <c r="B13081" t="s">
        <v>118</v>
      </c>
      <c r="C13081" s="2">
        <f>HYPERLINK("https://cao.dolgi.msk.ru/account/1080076324/", 1080076324)</f>
        <v>1080076324</v>
      </c>
      <c r="D13081" t="s">
        <v>10914</v>
      </c>
      <c r="E13081">
        <v>50.14</v>
      </c>
      <c r="F13081">
        <v>0.01</v>
      </c>
      <c r="G13081" t="s">
        <v>12</v>
      </c>
      <c r="I13081" t="s">
        <v>230</v>
      </c>
    </row>
    <row r="13082" spans="1:9" hidden="1" x14ac:dyDescent="0.25">
      <c r="A13082" t="s">
        <v>10867</v>
      </c>
      <c r="B13082" t="s">
        <v>120</v>
      </c>
      <c r="C13082" s="2">
        <f>HYPERLINK("https://cao.dolgi.msk.ru/account/1080076332/", 1080076332)</f>
        <v>1080076332</v>
      </c>
      <c r="D13082" t="s">
        <v>10915</v>
      </c>
      <c r="E13082">
        <v>-7426.27</v>
      </c>
      <c r="F13082">
        <v>-1.1499999999999999</v>
      </c>
      <c r="G13082" t="s">
        <v>12</v>
      </c>
      <c r="I13082" t="s">
        <v>230</v>
      </c>
    </row>
    <row r="13083" spans="1:9" hidden="1" x14ac:dyDescent="0.25">
      <c r="A13083" t="s">
        <v>10867</v>
      </c>
      <c r="B13083" t="s">
        <v>122</v>
      </c>
      <c r="C13083" s="2">
        <f>HYPERLINK("https://cao.dolgi.msk.ru/account/1080076359/", 1080076359)</f>
        <v>1080076359</v>
      </c>
      <c r="D13083" t="s">
        <v>10916</v>
      </c>
      <c r="E13083">
        <v>-1553.58</v>
      </c>
      <c r="F13083">
        <v>-0.32</v>
      </c>
      <c r="G13083" t="s">
        <v>12</v>
      </c>
      <c r="I13083" t="s">
        <v>230</v>
      </c>
    </row>
    <row r="13084" spans="1:9" hidden="1" x14ac:dyDescent="0.25">
      <c r="A13084" t="s">
        <v>10867</v>
      </c>
      <c r="B13084" t="s">
        <v>124</v>
      </c>
      <c r="C13084" s="2">
        <f>HYPERLINK("https://cao.dolgi.msk.ru/account/1080076367/", 1080076367)</f>
        <v>1080076367</v>
      </c>
      <c r="D13084" t="s">
        <v>10917</v>
      </c>
      <c r="E13084">
        <v>-5534.64</v>
      </c>
      <c r="F13084">
        <v>-1.1299999999999999</v>
      </c>
      <c r="G13084" t="s">
        <v>12</v>
      </c>
      <c r="I13084" t="s">
        <v>230</v>
      </c>
    </row>
    <row r="13085" spans="1:9" hidden="1" x14ac:dyDescent="0.25">
      <c r="A13085" t="s">
        <v>10867</v>
      </c>
      <c r="B13085" t="s">
        <v>126</v>
      </c>
      <c r="C13085" s="2">
        <f>HYPERLINK("https://cao.dolgi.msk.ru/account/1080076375/", 1080076375)</f>
        <v>1080076375</v>
      </c>
      <c r="D13085" t="s">
        <v>10918</v>
      </c>
      <c r="E13085">
        <v>20.260000000000002</v>
      </c>
      <c r="F13085">
        <v>0</v>
      </c>
      <c r="G13085" t="s">
        <v>12</v>
      </c>
      <c r="I13085" t="s">
        <v>230</v>
      </c>
    </row>
    <row r="13086" spans="1:9" hidden="1" x14ac:dyDescent="0.25">
      <c r="A13086" t="s">
        <v>10867</v>
      </c>
      <c r="B13086" t="s">
        <v>128</v>
      </c>
      <c r="C13086" s="2">
        <f>HYPERLINK("https://cao.dolgi.msk.ru/account/1080076391/", 1080076391)</f>
        <v>1080076391</v>
      </c>
      <c r="D13086" t="s">
        <v>10919</v>
      </c>
      <c r="E13086">
        <v>-3270.05</v>
      </c>
      <c r="F13086">
        <v>-1.18</v>
      </c>
      <c r="G13086" t="s">
        <v>12</v>
      </c>
      <c r="I13086" t="s">
        <v>230</v>
      </c>
    </row>
    <row r="13087" spans="1:9" hidden="1" x14ac:dyDescent="0.25">
      <c r="A13087" t="s">
        <v>10867</v>
      </c>
      <c r="B13087" t="s">
        <v>130</v>
      </c>
      <c r="C13087" s="2">
        <f>HYPERLINK("https://cao.dolgi.msk.ru/account/1080076404/", 1080076404)</f>
        <v>1080076404</v>
      </c>
      <c r="D13087" t="s">
        <v>10920</v>
      </c>
      <c r="E13087">
        <v>-4474.38</v>
      </c>
      <c r="F13087">
        <v>-1.17</v>
      </c>
      <c r="G13087" t="s">
        <v>12</v>
      </c>
      <c r="I13087" t="s">
        <v>230</v>
      </c>
    </row>
    <row r="13088" spans="1:9" hidden="1" x14ac:dyDescent="0.25">
      <c r="A13088" t="s">
        <v>10867</v>
      </c>
      <c r="B13088" t="s">
        <v>132</v>
      </c>
      <c r="C13088" s="2">
        <f>HYPERLINK("https://cao.dolgi.msk.ru/account/1080076412/", 1080076412)</f>
        <v>1080076412</v>
      </c>
      <c r="D13088" t="s">
        <v>10921</v>
      </c>
      <c r="E13088">
        <v>-7184</v>
      </c>
      <c r="F13088">
        <v>-1.1100000000000001</v>
      </c>
      <c r="G13088" t="s">
        <v>12</v>
      </c>
      <c r="I13088" t="s">
        <v>230</v>
      </c>
    </row>
    <row r="13089" spans="1:9" x14ac:dyDescent="0.25">
      <c r="A13089" t="s">
        <v>10867</v>
      </c>
      <c r="B13089" t="s">
        <v>133</v>
      </c>
      <c r="C13089" s="2">
        <f>HYPERLINK("https://cao.dolgi.msk.ru/account/1080076439/", 1080076439)</f>
        <v>1080076439</v>
      </c>
      <c r="D13089" t="s">
        <v>10922</v>
      </c>
      <c r="E13089">
        <v>48967.07</v>
      </c>
      <c r="F13089">
        <v>6.73</v>
      </c>
      <c r="G13089" t="s">
        <v>12</v>
      </c>
      <c r="I13089" t="s">
        <v>230</v>
      </c>
    </row>
    <row r="13090" spans="1:9" hidden="1" x14ac:dyDescent="0.25">
      <c r="A13090" t="s">
        <v>10867</v>
      </c>
      <c r="B13090" t="s">
        <v>135</v>
      </c>
      <c r="C13090" s="2">
        <f>HYPERLINK("https://cao.dolgi.msk.ru/account/1080076447/", 1080076447)</f>
        <v>1080076447</v>
      </c>
      <c r="D13090" t="s">
        <v>10923</v>
      </c>
      <c r="E13090">
        <v>-9614.51</v>
      </c>
      <c r="F13090">
        <v>-1.08</v>
      </c>
      <c r="G13090" t="s">
        <v>12</v>
      </c>
      <c r="I13090" t="s">
        <v>230</v>
      </c>
    </row>
    <row r="13091" spans="1:9" hidden="1" x14ac:dyDescent="0.25">
      <c r="A13091" t="s">
        <v>10867</v>
      </c>
      <c r="B13091" t="s">
        <v>137</v>
      </c>
      <c r="C13091" s="2">
        <f>HYPERLINK("https://cao.dolgi.msk.ru/account/1080076455/", 1080076455)</f>
        <v>1080076455</v>
      </c>
      <c r="D13091" t="s">
        <v>10924</v>
      </c>
      <c r="E13091">
        <v>-5510.95</v>
      </c>
      <c r="F13091">
        <v>-1.52</v>
      </c>
      <c r="G13091" t="s">
        <v>12</v>
      </c>
      <c r="I13091" t="s">
        <v>230</v>
      </c>
    </row>
    <row r="13092" spans="1:9" hidden="1" x14ac:dyDescent="0.25">
      <c r="A13092" t="s">
        <v>10867</v>
      </c>
      <c r="B13092" t="s">
        <v>137</v>
      </c>
      <c r="C13092" s="2">
        <f>HYPERLINK("https://cao.dolgi.msk.ru/account/1083272101/", 1083272101)</f>
        <v>1083272101</v>
      </c>
      <c r="D13092" t="s">
        <v>15</v>
      </c>
      <c r="E13092">
        <v>-186.38</v>
      </c>
      <c r="G13092" t="s">
        <v>14</v>
      </c>
      <c r="I13092" t="s">
        <v>230</v>
      </c>
    </row>
    <row r="13093" spans="1:9" hidden="1" x14ac:dyDescent="0.25">
      <c r="A13093" t="s">
        <v>10867</v>
      </c>
      <c r="B13093" t="s">
        <v>139</v>
      </c>
      <c r="C13093" s="2">
        <f>HYPERLINK("https://cao.dolgi.msk.ru/account/1080076463/", 1080076463)</f>
        <v>1080076463</v>
      </c>
      <c r="D13093" t="s">
        <v>10925</v>
      </c>
      <c r="E13093">
        <v>-6079.31</v>
      </c>
      <c r="F13093">
        <v>-1.2</v>
      </c>
      <c r="G13093" t="s">
        <v>12</v>
      </c>
      <c r="I13093" t="s">
        <v>230</v>
      </c>
    </row>
    <row r="13094" spans="1:9" hidden="1" x14ac:dyDescent="0.25">
      <c r="A13094" t="s">
        <v>10867</v>
      </c>
      <c r="B13094" t="s">
        <v>141</v>
      </c>
      <c r="C13094" s="2">
        <f>HYPERLINK("https://cao.dolgi.msk.ru/account/1080076471/", 1080076471)</f>
        <v>1080076471</v>
      </c>
      <c r="D13094" t="s">
        <v>10926</v>
      </c>
      <c r="E13094">
        <v>-8592.81</v>
      </c>
      <c r="F13094">
        <v>-1.1299999999999999</v>
      </c>
      <c r="G13094" t="s">
        <v>12</v>
      </c>
      <c r="I13094" t="s">
        <v>230</v>
      </c>
    </row>
    <row r="13095" spans="1:9" hidden="1" x14ac:dyDescent="0.25">
      <c r="A13095" t="s">
        <v>10867</v>
      </c>
      <c r="B13095" t="s">
        <v>143</v>
      </c>
      <c r="C13095" s="2">
        <f>HYPERLINK("https://cao.dolgi.msk.ru/account/1080076498/", 1080076498)</f>
        <v>1080076498</v>
      </c>
      <c r="D13095" t="s">
        <v>10927</v>
      </c>
      <c r="E13095">
        <v>-4856.6899999999996</v>
      </c>
      <c r="F13095">
        <v>-1.1599999999999999</v>
      </c>
      <c r="G13095" t="s">
        <v>12</v>
      </c>
      <c r="I13095" t="s">
        <v>230</v>
      </c>
    </row>
    <row r="13096" spans="1:9" hidden="1" x14ac:dyDescent="0.25">
      <c r="A13096" t="s">
        <v>10867</v>
      </c>
      <c r="B13096" t="s">
        <v>145</v>
      </c>
      <c r="C13096" s="2">
        <f>HYPERLINK("https://cao.dolgi.msk.ru/account/1080076519/", 1080076519)</f>
        <v>1080076519</v>
      </c>
      <c r="D13096" t="s">
        <v>10928</v>
      </c>
      <c r="E13096">
        <v>-38.799999999999997</v>
      </c>
      <c r="F13096">
        <v>-0.01</v>
      </c>
      <c r="G13096" t="s">
        <v>12</v>
      </c>
      <c r="I13096" t="s">
        <v>230</v>
      </c>
    </row>
    <row r="13097" spans="1:9" hidden="1" x14ac:dyDescent="0.25">
      <c r="A13097" t="s">
        <v>10867</v>
      </c>
      <c r="B13097" t="s">
        <v>147</v>
      </c>
      <c r="C13097" s="2">
        <f>HYPERLINK("https://cao.dolgi.msk.ru/account/1080076527/", 1080076527)</f>
        <v>1080076527</v>
      </c>
      <c r="D13097" t="s">
        <v>10929</v>
      </c>
      <c r="E13097">
        <v>-299.10000000000002</v>
      </c>
      <c r="F13097">
        <v>-0.09</v>
      </c>
      <c r="G13097" t="s">
        <v>12</v>
      </c>
      <c r="I13097" t="s">
        <v>230</v>
      </c>
    </row>
    <row r="13098" spans="1:9" hidden="1" x14ac:dyDescent="0.25">
      <c r="A13098" t="s">
        <v>10867</v>
      </c>
      <c r="B13098" t="s">
        <v>149</v>
      </c>
      <c r="C13098" s="2">
        <f>HYPERLINK("https://cao.dolgi.msk.ru/account/1080076535/", 1080076535)</f>
        <v>1080076535</v>
      </c>
      <c r="D13098" t="s">
        <v>10930</v>
      </c>
      <c r="E13098">
        <v>-9073.1200000000008</v>
      </c>
      <c r="F13098">
        <v>-0.93</v>
      </c>
      <c r="G13098" t="s">
        <v>12</v>
      </c>
      <c r="I13098" t="s">
        <v>230</v>
      </c>
    </row>
    <row r="13099" spans="1:9" hidden="1" x14ac:dyDescent="0.25">
      <c r="A13099" t="s">
        <v>10867</v>
      </c>
      <c r="B13099" t="s">
        <v>151</v>
      </c>
      <c r="C13099" s="2">
        <f>HYPERLINK("https://cao.dolgi.msk.ru/account/1080076543/", 1080076543)</f>
        <v>1080076543</v>
      </c>
      <c r="D13099" t="s">
        <v>10931</v>
      </c>
      <c r="E13099">
        <v>-1126.98</v>
      </c>
      <c r="F13099">
        <v>-0.09</v>
      </c>
      <c r="G13099" t="s">
        <v>12</v>
      </c>
      <c r="I13099" t="s">
        <v>230</v>
      </c>
    </row>
    <row r="13100" spans="1:9" hidden="1" x14ac:dyDescent="0.25">
      <c r="A13100" t="s">
        <v>10867</v>
      </c>
      <c r="B13100" t="s">
        <v>153</v>
      </c>
      <c r="C13100" s="2">
        <f>HYPERLINK("https://cao.dolgi.msk.ru/account/1080076551/", 1080076551)</f>
        <v>1080076551</v>
      </c>
      <c r="D13100" t="s">
        <v>10932</v>
      </c>
      <c r="E13100">
        <v>-4621.41</v>
      </c>
      <c r="F13100">
        <v>-1.1100000000000001</v>
      </c>
      <c r="G13100" t="s">
        <v>12</v>
      </c>
      <c r="I13100" t="s">
        <v>230</v>
      </c>
    </row>
    <row r="13101" spans="1:9" hidden="1" x14ac:dyDescent="0.25">
      <c r="A13101" t="s">
        <v>10867</v>
      </c>
      <c r="B13101" t="s">
        <v>155</v>
      </c>
      <c r="C13101" s="2">
        <f>HYPERLINK("https://cao.dolgi.msk.ru/account/1080076578/", 1080076578)</f>
        <v>1080076578</v>
      </c>
      <c r="D13101" t="s">
        <v>10933</v>
      </c>
      <c r="E13101">
        <v>-7496.59</v>
      </c>
      <c r="F13101">
        <v>-1.96</v>
      </c>
      <c r="G13101" t="s">
        <v>12</v>
      </c>
      <c r="I13101" t="s">
        <v>230</v>
      </c>
    </row>
    <row r="13102" spans="1:9" hidden="1" x14ac:dyDescent="0.25">
      <c r="A13102" t="s">
        <v>10867</v>
      </c>
      <c r="B13102" t="s">
        <v>157</v>
      </c>
      <c r="C13102" s="2">
        <f>HYPERLINK("https://cao.dolgi.msk.ru/account/1080076586/", 1080076586)</f>
        <v>1080076586</v>
      </c>
      <c r="D13102" t="s">
        <v>10934</v>
      </c>
      <c r="E13102">
        <v>-8573.3799999999992</v>
      </c>
      <c r="F13102">
        <v>-1.0900000000000001</v>
      </c>
      <c r="G13102" t="s">
        <v>12</v>
      </c>
      <c r="I13102" t="s">
        <v>230</v>
      </c>
    </row>
    <row r="13103" spans="1:9" hidden="1" x14ac:dyDescent="0.25">
      <c r="A13103" t="s">
        <v>10867</v>
      </c>
      <c r="B13103" t="s">
        <v>159</v>
      </c>
      <c r="C13103" s="2">
        <f>HYPERLINK("https://cao.dolgi.msk.ru/account/1080076594/", 1080076594)</f>
        <v>1080076594</v>
      </c>
      <c r="D13103" t="s">
        <v>10935</v>
      </c>
      <c r="E13103">
        <v>-4986.7</v>
      </c>
      <c r="F13103">
        <v>-1.07</v>
      </c>
      <c r="G13103" t="s">
        <v>12</v>
      </c>
      <c r="I13103" t="s">
        <v>230</v>
      </c>
    </row>
    <row r="13104" spans="1:9" hidden="1" x14ac:dyDescent="0.25">
      <c r="A13104" t="s">
        <v>10867</v>
      </c>
      <c r="B13104" t="s">
        <v>161</v>
      </c>
      <c r="C13104" s="2">
        <f>HYPERLINK("https://cao.dolgi.msk.ru/account/1080076607/", 1080076607)</f>
        <v>1080076607</v>
      </c>
      <c r="D13104" t="s">
        <v>10936</v>
      </c>
      <c r="E13104">
        <v>-4448.57</v>
      </c>
      <c r="F13104">
        <v>-1.33</v>
      </c>
      <c r="G13104" t="s">
        <v>12</v>
      </c>
      <c r="I13104" t="s">
        <v>230</v>
      </c>
    </row>
    <row r="13105" spans="1:9" hidden="1" x14ac:dyDescent="0.25">
      <c r="A13105" t="s">
        <v>10867</v>
      </c>
      <c r="B13105" t="s">
        <v>163</v>
      </c>
      <c r="C13105" s="2">
        <f>HYPERLINK("https://cao.dolgi.msk.ru/account/1080076615/", 1080076615)</f>
        <v>1080076615</v>
      </c>
      <c r="D13105" t="s">
        <v>10937</v>
      </c>
      <c r="E13105">
        <v>-4563.92</v>
      </c>
      <c r="F13105">
        <v>-1.0900000000000001</v>
      </c>
      <c r="G13105" t="s">
        <v>12</v>
      </c>
      <c r="I13105" t="s">
        <v>230</v>
      </c>
    </row>
    <row r="13106" spans="1:9" hidden="1" x14ac:dyDescent="0.25">
      <c r="A13106" t="s">
        <v>10867</v>
      </c>
      <c r="B13106" t="s">
        <v>571</v>
      </c>
      <c r="C13106" s="2">
        <f>HYPERLINK("https://cao.dolgi.msk.ru/account/1080076623/", 1080076623)</f>
        <v>1080076623</v>
      </c>
      <c r="D13106" t="s">
        <v>10938</v>
      </c>
      <c r="E13106">
        <v>-9900.7800000000007</v>
      </c>
      <c r="F13106">
        <v>-1.2</v>
      </c>
      <c r="G13106" t="s">
        <v>12</v>
      </c>
      <c r="I13106" t="s">
        <v>230</v>
      </c>
    </row>
    <row r="13107" spans="1:9" hidden="1" x14ac:dyDescent="0.25">
      <c r="A13107" t="s">
        <v>10867</v>
      </c>
      <c r="B13107" t="s">
        <v>682</v>
      </c>
      <c r="C13107" s="2">
        <f>HYPERLINK("https://cao.dolgi.msk.ru/account/1080076631/", 1080076631)</f>
        <v>1080076631</v>
      </c>
      <c r="D13107" t="s">
        <v>10939</v>
      </c>
      <c r="E13107">
        <v>0</v>
      </c>
      <c r="G13107" t="s">
        <v>14</v>
      </c>
      <c r="I13107" t="s">
        <v>230</v>
      </c>
    </row>
    <row r="13108" spans="1:9" hidden="1" x14ac:dyDescent="0.25">
      <c r="A13108" t="s">
        <v>10867</v>
      </c>
      <c r="B13108" t="s">
        <v>682</v>
      </c>
      <c r="C13108" s="2">
        <f>HYPERLINK("https://cao.dolgi.msk.ru/account/1089126164/", 1089126164)</f>
        <v>1089126164</v>
      </c>
      <c r="D13108" t="s">
        <v>15</v>
      </c>
      <c r="E13108">
        <v>0</v>
      </c>
      <c r="F13108">
        <v>0</v>
      </c>
      <c r="G13108" t="s">
        <v>12</v>
      </c>
      <c r="I13108" t="s">
        <v>230</v>
      </c>
    </row>
    <row r="13109" spans="1:9" hidden="1" x14ac:dyDescent="0.25">
      <c r="A13109" t="s">
        <v>10867</v>
      </c>
      <c r="B13109" t="s">
        <v>578</v>
      </c>
      <c r="C13109" s="2">
        <f>HYPERLINK("https://cao.dolgi.msk.ru/account/1080076658/", 1080076658)</f>
        <v>1080076658</v>
      </c>
      <c r="D13109" t="s">
        <v>10940</v>
      </c>
      <c r="E13109">
        <v>0</v>
      </c>
      <c r="F13109">
        <v>0</v>
      </c>
      <c r="G13109" t="s">
        <v>12</v>
      </c>
      <c r="I13109" t="s">
        <v>230</v>
      </c>
    </row>
    <row r="13110" spans="1:9" hidden="1" x14ac:dyDescent="0.25">
      <c r="A13110" t="s">
        <v>10867</v>
      </c>
      <c r="B13110" t="s">
        <v>580</v>
      </c>
      <c r="C13110" s="2">
        <f>HYPERLINK("https://cao.dolgi.msk.ru/account/1080076666/", 1080076666)</f>
        <v>1080076666</v>
      </c>
      <c r="D13110" t="s">
        <v>10941</v>
      </c>
      <c r="E13110">
        <v>-9700.17</v>
      </c>
      <c r="F13110">
        <v>-3.13</v>
      </c>
      <c r="G13110" t="s">
        <v>12</v>
      </c>
      <c r="I13110" t="s">
        <v>230</v>
      </c>
    </row>
    <row r="13111" spans="1:9" hidden="1" x14ac:dyDescent="0.25">
      <c r="A13111" t="s">
        <v>10867</v>
      </c>
      <c r="B13111" t="s">
        <v>686</v>
      </c>
      <c r="C13111" s="2">
        <f>HYPERLINK("https://cao.dolgi.msk.ru/account/1080076674/", 1080076674)</f>
        <v>1080076674</v>
      </c>
      <c r="D13111" t="s">
        <v>10942</v>
      </c>
      <c r="E13111">
        <v>-5194.08</v>
      </c>
      <c r="F13111">
        <v>-2.2799999999999998</v>
      </c>
      <c r="G13111" t="s">
        <v>12</v>
      </c>
      <c r="H13111" t="s">
        <v>7</v>
      </c>
      <c r="I13111" t="s">
        <v>230</v>
      </c>
    </row>
    <row r="13112" spans="1:9" hidden="1" x14ac:dyDescent="0.25">
      <c r="A13112" t="s">
        <v>10867</v>
      </c>
      <c r="B13112" t="s">
        <v>686</v>
      </c>
      <c r="C13112" s="2">
        <f>HYPERLINK("https://cao.dolgi.msk.ru/account/1080076682/", 1080076682)</f>
        <v>1080076682</v>
      </c>
      <c r="D13112" t="s">
        <v>10942</v>
      </c>
      <c r="E13112">
        <v>-7415.42</v>
      </c>
      <c r="F13112">
        <v>-1.1100000000000001</v>
      </c>
      <c r="G13112" t="s">
        <v>12</v>
      </c>
      <c r="H13112" t="s">
        <v>7</v>
      </c>
      <c r="I13112" t="s">
        <v>230</v>
      </c>
    </row>
    <row r="13113" spans="1:9" hidden="1" x14ac:dyDescent="0.25">
      <c r="A13113" t="s">
        <v>10867</v>
      </c>
      <c r="B13113" t="s">
        <v>686</v>
      </c>
      <c r="C13113" s="2">
        <f>HYPERLINK("https://cao.dolgi.msk.ru/account/1080076703/", 1080076703)</f>
        <v>1080076703</v>
      </c>
      <c r="D13113" t="s">
        <v>15</v>
      </c>
      <c r="G13113" t="s">
        <v>14</v>
      </c>
      <c r="H13113" t="s">
        <v>7</v>
      </c>
      <c r="I13113" t="s">
        <v>230</v>
      </c>
    </row>
    <row r="13114" spans="1:9" hidden="1" x14ac:dyDescent="0.25">
      <c r="A13114" t="s">
        <v>10867</v>
      </c>
      <c r="B13114" t="s">
        <v>686</v>
      </c>
      <c r="C13114" s="2">
        <f>HYPERLINK("https://cao.dolgi.msk.ru/account/1080076711/", 1080076711)</f>
        <v>1080076711</v>
      </c>
      <c r="D13114" t="s">
        <v>10942</v>
      </c>
      <c r="E13114">
        <v>-1948.89</v>
      </c>
      <c r="F13114">
        <v>-1.32</v>
      </c>
      <c r="G13114" t="s">
        <v>12</v>
      </c>
      <c r="H13114" t="s">
        <v>7</v>
      </c>
      <c r="I13114" t="s">
        <v>230</v>
      </c>
    </row>
    <row r="13115" spans="1:9" hidden="1" x14ac:dyDescent="0.25">
      <c r="A13115" t="s">
        <v>10867</v>
      </c>
      <c r="B13115" t="s">
        <v>582</v>
      </c>
      <c r="C13115" s="2">
        <f>HYPERLINK("https://cao.dolgi.msk.ru/account/1080076738/", 1080076738)</f>
        <v>1080076738</v>
      </c>
      <c r="D13115" t="s">
        <v>10943</v>
      </c>
      <c r="E13115">
        <v>-3322.2</v>
      </c>
      <c r="F13115">
        <v>-1.1299999999999999</v>
      </c>
      <c r="G13115" t="s">
        <v>12</v>
      </c>
      <c r="I13115" t="s">
        <v>230</v>
      </c>
    </row>
    <row r="13116" spans="1:9" hidden="1" x14ac:dyDescent="0.25">
      <c r="A13116" t="s">
        <v>10867</v>
      </c>
      <c r="B13116" t="s">
        <v>582</v>
      </c>
      <c r="C13116" s="2">
        <f>HYPERLINK("https://cao.dolgi.msk.ru/account/1089124759/", 1089124759)</f>
        <v>1089124759</v>
      </c>
      <c r="D13116" t="s">
        <v>15</v>
      </c>
      <c r="E13116">
        <v>-1992.95</v>
      </c>
      <c r="F13116">
        <v>-1.19</v>
      </c>
      <c r="G13116" t="s">
        <v>12</v>
      </c>
      <c r="I13116" t="s">
        <v>230</v>
      </c>
    </row>
    <row r="13117" spans="1:9" hidden="1" x14ac:dyDescent="0.25">
      <c r="A13117" t="s">
        <v>10867</v>
      </c>
      <c r="B13117" t="s">
        <v>584</v>
      </c>
      <c r="C13117" s="2">
        <f>HYPERLINK("https://cao.dolgi.msk.ru/account/1080076746/", 1080076746)</f>
        <v>1080076746</v>
      </c>
      <c r="D13117" t="s">
        <v>10944</v>
      </c>
      <c r="E13117">
        <v>0</v>
      </c>
      <c r="F13117">
        <v>0</v>
      </c>
      <c r="G13117" t="s">
        <v>12</v>
      </c>
      <c r="I13117" t="s">
        <v>230</v>
      </c>
    </row>
    <row r="13118" spans="1:9" hidden="1" x14ac:dyDescent="0.25">
      <c r="A13118" t="s">
        <v>10867</v>
      </c>
      <c r="B13118" t="s">
        <v>586</v>
      </c>
      <c r="C13118" s="2">
        <f>HYPERLINK("https://cao.dolgi.msk.ru/account/1080076754/", 1080076754)</f>
        <v>1080076754</v>
      </c>
      <c r="D13118" t="s">
        <v>10945</v>
      </c>
      <c r="E13118">
        <v>-8053.14</v>
      </c>
      <c r="F13118">
        <v>-1.95</v>
      </c>
      <c r="G13118" t="s">
        <v>12</v>
      </c>
      <c r="I13118" t="s">
        <v>230</v>
      </c>
    </row>
    <row r="13119" spans="1:9" hidden="1" x14ac:dyDescent="0.25">
      <c r="A13119" t="s">
        <v>10867</v>
      </c>
      <c r="B13119" t="s">
        <v>588</v>
      </c>
      <c r="C13119" s="2">
        <f>HYPERLINK("https://cao.dolgi.msk.ru/account/1080076762/", 1080076762)</f>
        <v>1080076762</v>
      </c>
      <c r="D13119" t="s">
        <v>10946</v>
      </c>
      <c r="G13119" t="s">
        <v>14</v>
      </c>
      <c r="I13119" t="s">
        <v>230</v>
      </c>
    </row>
    <row r="13120" spans="1:9" hidden="1" x14ac:dyDescent="0.25">
      <c r="A13120" t="s">
        <v>10867</v>
      </c>
      <c r="B13120" t="s">
        <v>693</v>
      </c>
      <c r="C13120" s="2">
        <f>HYPERLINK("https://cao.dolgi.msk.ru/account/1080076789/", 1080076789)</f>
        <v>1080076789</v>
      </c>
      <c r="D13120" t="s">
        <v>10947</v>
      </c>
      <c r="G13120" t="s">
        <v>14</v>
      </c>
      <c r="I13120" t="s">
        <v>230</v>
      </c>
    </row>
    <row r="13121" spans="1:9" hidden="1" x14ac:dyDescent="0.25">
      <c r="A13121" t="s">
        <v>10867</v>
      </c>
      <c r="B13121" t="s">
        <v>694</v>
      </c>
      <c r="C13121" s="2">
        <f>HYPERLINK("https://cao.dolgi.msk.ru/account/1080076797/", 1080076797)</f>
        <v>1080076797</v>
      </c>
      <c r="D13121" t="s">
        <v>10948</v>
      </c>
      <c r="E13121">
        <v>-12106.74</v>
      </c>
      <c r="F13121">
        <v>-1.05</v>
      </c>
      <c r="G13121" t="s">
        <v>12</v>
      </c>
      <c r="I13121" t="s">
        <v>230</v>
      </c>
    </row>
    <row r="13122" spans="1:9" hidden="1" x14ac:dyDescent="0.25">
      <c r="A13122" t="s">
        <v>10867</v>
      </c>
      <c r="B13122" t="s">
        <v>696</v>
      </c>
      <c r="C13122" s="2">
        <f>HYPERLINK("https://cao.dolgi.msk.ru/account/1080076818/", 1080076818)</f>
        <v>1080076818</v>
      </c>
      <c r="D13122" t="s">
        <v>10949</v>
      </c>
      <c r="E13122">
        <v>-9752.0300000000007</v>
      </c>
      <c r="F13122">
        <v>-2.92</v>
      </c>
      <c r="G13122" t="s">
        <v>12</v>
      </c>
      <c r="I13122" t="s">
        <v>230</v>
      </c>
    </row>
    <row r="13123" spans="1:9" hidden="1" x14ac:dyDescent="0.25">
      <c r="A13123" t="s">
        <v>10867</v>
      </c>
      <c r="B13123" t="s">
        <v>698</v>
      </c>
      <c r="C13123" s="2">
        <f>HYPERLINK("https://cao.dolgi.msk.ru/account/1080076826/", 1080076826)</f>
        <v>1080076826</v>
      </c>
      <c r="D13123" t="s">
        <v>10950</v>
      </c>
      <c r="E13123">
        <v>-1029.48</v>
      </c>
      <c r="F13123">
        <v>-0.32</v>
      </c>
      <c r="G13123" t="s">
        <v>12</v>
      </c>
      <c r="I13123" t="s">
        <v>230</v>
      </c>
    </row>
    <row r="13124" spans="1:9" hidden="1" x14ac:dyDescent="0.25">
      <c r="A13124" t="s">
        <v>10867</v>
      </c>
      <c r="B13124" t="s">
        <v>700</v>
      </c>
      <c r="C13124" s="2">
        <f>HYPERLINK("https://cao.dolgi.msk.ru/account/1080076834/", 1080076834)</f>
        <v>1080076834</v>
      </c>
      <c r="D13124" t="s">
        <v>10951</v>
      </c>
      <c r="E13124">
        <v>-5116.4799999999996</v>
      </c>
      <c r="F13124">
        <v>-1.27</v>
      </c>
      <c r="G13124" t="s">
        <v>12</v>
      </c>
      <c r="I13124" t="s">
        <v>230</v>
      </c>
    </row>
    <row r="13125" spans="1:9" hidden="1" x14ac:dyDescent="0.25">
      <c r="A13125" t="s">
        <v>10867</v>
      </c>
      <c r="B13125" t="s">
        <v>702</v>
      </c>
      <c r="C13125" s="2">
        <f>HYPERLINK("https://cao.dolgi.msk.ru/account/1080076842/", 1080076842)</f>
        <v>1080076842</v>
      </c>
      <c r="D13125" t="s">
        <v>10952</v>
      </c>
      <c r="E13125">
        <v>-6930.08</v>
      </c>
      <c r="F13125">
        <v>-1.28</v>
      </c>
      <c r="G13125" t="s">
        <v>12</v>
      </c>
      <c r="I13125" t="s">
        <v>230</v>
      </c>
    </row>
    <row r="13126" spans="1:9" hidden="1" x14ac:dyDescent="0.25">
      <c r="A13126" t="s">
        <v>10867</v>
      </c>
      <c r="B13126" t="s">
        <v>703</v>
      </c>
      <c r="C13126" s="2">
        <f>HYPERLINK("https://cao.dolgi.msk.ru/account/1080076869/", 1080076869)</f>
        <v>1080076869</v>
      </c>
      <c r="D13126" t="s">
        <v>10953</v>
      </c>
      <c r="E13126">
        <v>-7107.56</v>
      </c>
      <c r="F13126">
        <v>-1.1100000000000001</v>
      </c>
      <c r="G13126" t="s">
        <v>12</v>
      </c>
      <c r="I13126" t="s">
        <v>230</v>
      </c>
    </row>
    <row r="13127" spans="1:9" hidden="1" x14ac:dyDescent="0.25">
      <c r="A13127" t="s">
        <v>10867</v>
      </c>
      <c r="B13127" t="s">
        <v>705</v>
      </c>
      <c r="C13127" s="2">
        <f>HYPERLINK("https://cao.dolgi.msk.ru/account/1080076877/", 1080076877)</f>
        <v>1080076877</v>
      </c>
      <c r="D13127" t="s">
        <v>10954</v>
      </c>
      <c r="E13127">
        <v>-6199.43</v>
      </c>
      <c r="F13127">
        <v>-1.18</v>
      </c>
      <c r="G13127" t="s">
        <v>12</v>
      </c>
      <c r="I13127" t="s">
        <v>230</v>
      </c>
    </row>
    <row r="13128" spans="1:9" hidden="1" x14ac:dyDescent="0.25">
      <c r="A13128" t="s">
        <v>10867</v>
      </c>
      <c r="B13128" t="s">
        <v>707</v>
      </c>
      <c r="C13128" s="2">
        <f>HYPERLINK("https://cao.dolgi.msk.ru/account/1080076885/", 1080076885)</f>
        <v>1080076885</v>
      </c>
      <c r="D13128" t="s">
        <v>10955</v>
      </c>
      <c r="E13128">
        <v>36.68</v>
      </c>
      <c r="F13128">
        <v>0.01</v>
      </c>
      <c r="G13128" t="s">
        <v>12</v>
      </c>
      <c r="I13128" t="s">
        <v>230</v>
      </c>
    </row>
    <row r="13129" spans="1:9" hidden="1" x14ac:dyDescent="0.25">
      <c r="A13129" t="s">
        <v>10867</v>
      </c>
      <c r="B13129" t="s">
        <v>709</v>
      </c>
      <c r="C13129" s="2">
        <f>HYPERLINK("https://cao.dolgi.msk.ru/account/1080076893/", 1080076893)</f>
        <v>1080076893</v>
      </c>
      <c r="D13129" t="s">
        <v>10956</v>
      </c>
      <c r="E13129">
        <v>-6856.64</v>
      </c>
      <c r="F13129">
        <v>-1.0900000000000001</v>
      </c>
      <c r="G13129" t="s">
        <v>12</v>
      </c>
      <c r="I13129" t="s">
        <v>230</v>
      </c>
    </row>
    <row r="13130" spans="1:9" hidden="1" x14ac:dyDescent="0.25">
      <c r="A13130" t="s">
        <v>10867</v>
      </c>
      <c r="B13130" t="s">
        <v>711</v>
      </c>
      <c r="C13130" s="2">
        <f>HYPERLINK("https://cao.dolgi.msk.ru/account/1080076906/", 1080076906)</f>
        <v>1080076906</v>
      </c>
      <c r="D13130" t="s">
        <v>10957</v>
      </c>
      <c r="E13130">
        <v>-6044.23</v>
      </c>
      <c r="F13130">
        <v>-1.35</v>
      </c>
      <c r="G13130" t="s">
        <v>12</v>
      </c>
      <c r="I13130" t="s">
        <v>230</v>
      </c>
    </row>
    <row r="13131" spans="1:9" hidden="1" x14ac:dyDescent="0.25">
      <c r="A13131" t="s">
        <v>10867</v>
      </c>
      <c r="B13131" t="s">
        <v>713</v>
      </c>
      <c r="C13131" s="2">
        <f>HYPERLINK("https://cao.dolgi.msk.ru/account/1080076914/", 1080076914)</f>
        <v>1080076914</v>
      </c>
      <c r="D13131" t="s">
        <v>10958</v>
      </c>
      <c r="E13131">
        <v>-3122.23</v>
      </c>
      <c r="F13131">
        <v>-0.96</v>
      </c>
      <c r="G13131" t="s">
        <v>12</v>
      </c>
      <c r="I13131" t="s">
        <v>230</v>
      </c>
    </row>
    <row r="13132" spans="1:9" hidden="1" x14ac:dyDescent="0.25">
      <c r="A13132" t="s">
        <v>10867</v>
      </c>
      <c r="B13132" t="s">
        <v>528</v>
      </c>
      <c r="C13132" s="2">
        <f>HYPERLINK("https://cao.dolgi.msk.ru/account/1080076922/", 1080076922)</f>
        <v>1080076922</v>
      </c>
      <c r="D13132" t="s">
        <v>10959</v>
      </c>
      <c r="E13132">
        <v>-3192.4</v>
      </c>
      <c r="F13132">
        <v>-1.1499999999999999</v>
      </c>
      <c r="G13132" t="s">
        <v>12</v>
      </c>
      <c r="I13132" t="s">
        <v>230</v>
      </c>
    </row>
    <row r="13133" spans="1:9" hidden="1" x14ac:dyDescent="0.25">
      <c r="A13133" t="s">
        <v>10867</v>
      </c>
      <c r="B13133" t="s">
        <v>530</v>
      </c>
      <c r="C13133" s="2">
        <f>HYPERLINK("https://cao.dolgi.msk.ru/account/1080076949/", 1080076949)</f>
        <v>1080076949</v>
      </c>
      <c r="D13133" t="s">
        <v>10960</v>
      </c>
      <c r="E13133">
        <v>-4251.72</v>
      </c>
      <c r="F13133">
        <v>-0.52</v>
      </c>
      <c r="G13133" t="s">
        <v>12</v>
      </c>
      <c r="H13133" t="s">
        <v>7</v>
      </c>
      <c r="I13133" t="s">
        <v>230</v>
      </c>
    </row>
    <row r="13134" spans="1:9" hidden="1" x14ac:dyDescent="0.25">
      <c r="A13134" t="s">
        <v>10867</v>
      </c>
      <c r="B13134" t="s">
        <v>530</v>
      </c>
      <c r="C13134" s="2">
        <f>HYPERLINK("https://cao.dolgi.msk.ru/account/1080076957/", 1080076957)</f>
        <v>1080076957</v>
      </c>
      <c r="D13134" t="s">
        <v>10960</v>
      </c>
      <c r="E13134">
        <v>-4015.12</v>
      </c>
      <c r="F13134">
        <v>-2.2200000000000002</v>
      </c>
      <c r="G13134" t="s">
        <v>12</v>
      </c>
      <c r="H13134" t="s">
        <v>7</v>
      </c>
      <c r="I13134" t="s">
        <v>230</v>
      </c>
    </row>
    <row r="13135" spans="1:9" hidden="1" x14ac:dyDescent="0.25">
      <c r="A13135" t="s">
        <v>10867</v>
      </c>
      <c r="B13135" t="s">
        <v>532</v>
      </c>
      <c r="C13135" s="2">
        <f>HYPERLINK("https://cao.dolgi.msk.ru/account/1080076965/", 1080076965)</f>
        <v>1080076965</v>
      </c>
      <c r="D13135" t="s">
        <v>10961</v>
      </c>
      <c r="E13135">
        <v>-3789.49</v>
      </c>
      <c r="F13135">
        <v>-0.91</v>
      </c>
      <c r="G13135" t="s">
        <v>12</v>
      </c>
      <c r="I13135" t="s">
        <v>230</v>
      </c>
    </row>
    <row r="13136" spans="1:9" hidden="1" x14ac:dyDescent="0.25">
      <c r="A13136" t="s">
        <v>10867</v>
      </c>
      <c r="B13136" t="s">
        <v>534</v>
      </c>
      <c r="C13136" s="2">
        <f>HYPERLINK("https://cao.dolgi.msk.ru/account/1080076973/", 1080076973)</f>
        <v>1080076973</v>
      </c>
      <c r="D13136" t="s">
        <v>10962</v>
      </c>
      <c r="E13136">
        <v>-461.26</v>
      </c>
      <c r="F13136">
        <v>-0.08</v>
      </c>
      <c r="G13136" t="s">
        <v>12</v>
      </c>
      <c r="I13136" t="s">
        <v>230</v>
      </c>
    </row>
    <row r="13137" spans="1:9" hidden="1" x14ac:dyDescent="0.25">
      <c r="A13137" t="s">
        <v>10867</v>
      </c>
      <c r="B13137" t="s">
        <v>536</v>
      </c>
      <c r="C13137" s="2">
        <f>HYPERLINK("https://cao.dolgi.msk.ru/account/1080076981/", 1080076981)</f>
        <v>1080076981</v>
      </c>
      <c r="D13137" t="s">
        <v>10963</v>
      </c>
      <c r="E13137">
        <v>-6254.24</v>
      </c>
      <c r="F13137">
        <v>-1.0900000000000001</v>
      </c>
      <c r="G13137" t="s">
        <v>12</v>
      </c>
      <c r="I13137" t="s">
        <v>230</v>
      </c>
    </row>
    <row r="13138" spans="1:9" hidden="1" x14ac:dyDescent="0.25">
      <c r="A13138" t="s">
        <v>10867</v>
      </c>
      <c r="B13138" t="s">
        <v>538</v>
      </c>
      <c r="C13138" s="2">
        <f>HYPERLINK("https://cao.dolgi.msk.ru/account/1080077001/", 1080077001)</f>
        <v>1080077001</v>
      </c>
      <c r="D13138" t="s">
        <v>10964</v>
      </c>
      <c r="E13138">
        <v>-117.96</v>
      </c>
      <c r="F13138">
        <v>-0.03</v>
      </c>
      <c r="G13138" t="s">
        <v>12</v>
      </c>
      <c r="I13138" t="s">
        <v>230</v>
      </c>
    </row>
    <row r="13139" spans="1:9" hidden="1" x14ac:dyDescent="0.25">
      <c r="A13139" t="s">
        <v>10867</v>
      </c>
      <c r="B13139" t="s">
        <v>539</v>
      </c>
      <c r="C13139" s="2">
        <f>HYPERLINK("https://cao.dolgi.msk.ru/account/1080077028/", 1080077028)</f>
        <v>1080077028</v>
      </c>
      <c r="D13139" t="s">
        <v>10965</v>
      </c>
      <c r="E13139">
        <v>-3852.42</v>
      </c>
      <c r="F13139">
        <v>-1.46</v>
      </c>
      <c r="G13139" t="s">
        <v>12</v>
      </c>
      <c r="I13139" t="s">
        <v>230</v>
      </c>
    </row>
    <row r="13140" spans="1:9" hidden="1" x14ac:dyDescent="0.25">
      <c r="A13140" t="s">
        <v>10966</v>
      </c>
      <c r="B13140" t="s">
        <v>98</v>
      </c>
      <c r="C13140" s="2">
        <f>HYPERLINK("https://cao.dolgi.msk.ru/account/1080082062/", 1080082062)</f>
        <v>1080082062</v>
      </c>
      <c r="D13140" t="s">
        <v>10967</v>
      </c>
      <c r="E13140">
        <v>-8960.76</v>
      </c>
      <c r="F13140">
        <v>-1.05</v>
      </c>
      <c r="G13140" t="s">
        <v>12</v>
      </c>
      <c r="I13140" t="s">
        <v>230</v>
      </c>
    </row>
    <row r="13141" spans="1:9" hidden="1" x14ac:dyDescent="0.25">
      <c r="A13141" t="s">
        <v>10966</v>
      </c>
      <c r="B13141" t="s">
        <v>100</v>
      </c>
      <c r="C13141" s="2">
        <f>HYPERLINK("https://cao.dolgi.msk.ru/account/1080082089/", 1080082089)</f>
        <v>1080082089</v>
      </c>
      <c r="D13141" t="s">
        <v>10968</v>
      </c>
      <c r="E13141">
        <v>-4256.8</v>
      </c>
      <c r="F13141">
        <v>-1.07</v>
      </c>
      <c r="G13141" t="s">
        <v>12</v>
      </c>
      <c r="H13141" t="s">
        <v>7</v>
      </c>
      <c r="I13141" t="s">
        <v>230</v>
      </c>
    </row>
    <row r="13142" spans="1:9" hidden="1" x14ac:dyDescent="0.25">
      <c r="A13142" t="s">
        <v>10966</v>
      </c>
      <c r="B13142" t="s">
        <v>100</v>
      </c>
      <c r="C13142" s="2">
        <f>HYPERLINK("https://cao.dolgi.msk.ru/account/1080082097/", 1080082097)</f>
        <v>1080082097</v>
      </c>
      <c r="D13142" t="s">
        <v>10968</v>
      </c>
      <c r="E13142">
        <v>-1902.08</v>
      </c>
      <c r="F13142">
        <v>-1</v>
      </c>
      <c r="G13142" t="s">
        <v>12</v>
      </c>
      <c r="H13142" t="s">
        <v>7</v>
      </c>
      <c r="I13142" t="s">
        <v>230</v>
      </c>
    </row>
    <row r="13143" spans="1:9" hidden="1" x14ac:dyDescent="0.25">
      <c r="A13143" t="s">
        <v>10966</v>
      </c>
      <c r="B13143" t="s">
        <v>102</v>
      </c>
      <c r="C13143" s="2">
        <f>HYPERLINK("https://cao.dolgi.msk.ru/account/1080082118/", 1080082118)</f>
        <v>1080082118</v>
      </c>
      <c r="D13143" t="s">
        <v>10969</v>
      </c>
      <c r="E13143">
        <v>-773.42</v>
      </c>
      <c r="F13143">
        <v>-0.09</v>
      </c>
      <c r="G13143" t="s">
        <v>12</v>
      </c>
      <c r="I13143" t="s">
        <v>230</v>
      </c>
    </row>
    <row r="13144" spans="1:9" hidden="1" x14ac:dyDescent="0.25">
      <c r="A13144" t="s">
        <v>10966</v>
      </c>
      <c r="B13144" t="s">
        <v>104</v>
      </c>
      <c r="C13144" s="2">
        <f>HYPERLINK("https://cao.dolgi.msk.ru/account/1080082126/", 1080082126)</f>
        <v>1080082126</v>
      </c>
      <c r="D13144" t="s">
        <v>10970</v>
      </c>
      <c r="E13144">
        <v>-14900.62</v>
      </c>
      <c r="F13144">
        <v>-2.2400000000000002</v>
      </c>
      <c r="G13144" t="s">
        <v>12</v>
      </c>
      <c r="I13144" t="s">
        <v>230</v>
      </c>
    </row>
    <row r="13145" spans="1:9" hidden="1" x14ac:dyDescent="0.25">
      <c r="A13145" t="s">
        <v>10966</v>
      </c>
      <c r="B13145" t="s">
        <v>106</v>
      </c>
      <c r="C13145" s="2">
        <f>HYPERLINK("https://cao.dolgi.msk.ru/account/1080082134/", 1080082134)</f>
        <v>1080082134</v>
      </c>
      <c r="D13145" t="s">
        <v>10971</v>
      </c>
      <c r="E13145">
        <v>-7800.56</v>
      </c>
      <c r="F13145">
        <v>-1.03</v>
      </c>
      <c r="G13145" t="s">
        <v>12</v>
      </c>
      <c r="I13145" t="s">
        <v>230</v>
      </c>
    </row>
    <row r="13146" spans="1:9" hidden="1" x14ac:dyDescent="0.25">
      <c r="A13146" t="s">
        <v>10966</v>
      </c>
      <c r="B13146" t="s">
        <v>108</v>
      </c>
      <c r="C13146" s="2">
        <f>HYPERLINK("https://cao.dolgi.msk.ru/account/1080082142/", 1080082142)</f>
        <v>1080082142</v>
      </c>
      <c r="D13146" t="s">
        <v>10972</v>
      </c>
      <c r="E13146">
        <v>-10706.08</v>
      </c>
      <c r="F13146">
        <v>-1.1200000000000001</v>
      </c>
      <c r="G13146" t="s">
        <v>12</v>
      </c>
      <c r="I13146" t="s">
        <v>230</v>
      </c>
    </row>
    <row r="13147" spans="1:9" hidden="1" x14ac:dyDescent="0.25">
      <c r="A13147" t="s">
        <v>10966</v>
      </c>
      <c r="B13147" t="s">
        <v>110</v>
      </c>
      <c r="C13147" s="2">
        <f>HYPERLINK("https://cao.dolgi.msk.ru/account/1080082169/", 1080082169)</f>
        <v>1080082169</v>
      </c>
      <c r="D13147" t="s">
        <v>10973</v>
      </c>
      <c r="E13147">
        <v>25.27</v>
      </c>
      <c r="F13147">
        <v>0</v>
      </c>
      <c r="G13147" t="s">
        <v>12</v>
      </c>
      <c r="I13147" t="s">
        <v>230</v>
      </c>
    </row>
    <row r="13148" spans="1:9" hidden="1" x14ac:dyDescent="0.25">
      <c r="A13148" t="s">
        <v>10966</v>
      </c>
      <c r="B13148" t="s">
        <v>112</v>
      </c>
      <c r="C13148" s="2">
        <f>HYPERLINK("https://cao.dolgi.msk.ru/account/1080082177/", 1080082177)</f>
        <v>1080082177</v>
      </c>
      <c r="D13148" t="s">
        <v>10974</v>
      </c>
      <c r="E13148">
        <v>-14898.35</v>
      </c>
      <c r="F13148">
        <v>-1.28</v>
      </c>
      <c r="G13148" t="s">
        <v>12</v>
      </c>
      <c r="I13148" t="s">
        <v>230</v>
      </c>
    </row>
    <row r="13149" spans="1:9" hidden="1" x14ac:dyDescent="0.25">
      <c r="A13149" t="s">
        <v>10966</v>
      </c>
      <c r="B13149" t="s">
        <v>114</v>
      </c>
      <c r="C13149" s="2">
        <f>HYPERLINK("https://cao.dolgi.msk.ru/account/1080082185/", 1080082185)</f>
        <v>1080082185</v>
      </c>
      <c r="D13149" t="s">
        <v>10975</v>
      </c>
      <c r="E13149">
        <v>-4068.71</v>
      </c>
      <c r="F13149">
        <v>-1.17</v>
      </c>
      <c r="G13149" t="s">
        <v>12</v>
      </c>
      <c r="I13149" t="s">
        <v>230</v>
      </c>
    </row>
    <row r="13150" spans="1:9" hidden="1" x14ac:dyDescent="0.25">
      <c r="A13150" t="s">
        <v>10966</v>
      </c>
      <c r="B13150" t="s">
        <v>116</v>
      </c>
      <c r="C13150" s="2">
        <f>HYPERLINK("https://cao.dolgi.msk.ru/account/1080082193/", 1080082193)</f>
        <v>1080082193</v>
      </c>
      <c r="D13150" t="s">
        <v>10976</v>
      </c>
      <c r="E13150">
        <v>58.87</v>
      </c>
      <c r="F13150">
        <v>0.01</v>
      </c>
      <c r="G13150" t="s">
        <v>12</v>
      </c>
      <c r="I13150" t="s">
        <v>230</v>
      </c>
    </row>
    <row r="13151" spans="1:9" hidden="1" x14ac:dyDescent="0.25">
      <c r="A13151" t="s">
        <v>10966</v>
      </c>
      <c r="B13151" t="s">
        <v>118</v>
      </c>
      <c r="C13151" s="2">
        <f>HYPERLINK("https://cao.dolgi.msk.ru/account/1080082206/", 1080082206)</f>
        <v>1080082206</v>
      </c>
      <c r="D13151" t="s">
        <v>10977</v>
      </c>
      <c r="E13151">
        <v>-6811.44</v>
      </c>
      <c r="F13151">
        <v>-1.17</v>
      </c>
      <c r="G13151" t="s">
        <v>12</v>
      </c>
      <c r="I13151" t="s">
        <v>230</v>
      </c>
    </row>
    <row r="13152" spans="1:9" hidden="1" x14ac:dyDescent="0.25">
      <c r="A13152" t="s">
        <v>10966</v>
      </c>
      <c r="B13152" t="s">
        <v>120</v>
      </c>
      <c r="C13152" s="2">
        <f>HYPERLINK("https://cao.dolgi.msk.ru/account/1080082214/", 1080082214)</f>
        <v>1080082214</v>
      </c>
      <c r="D13152" t="s">
        <v>10978</v>
      </c>
      <c r="E13152">
        <v>-7902.73</v>
      </c>
      <c r="F13152">
        <v>-1.1100000000000001</v>
      </c>
      <c r="G13152" t="s">
        <v>12</v>
      </c>
      <c r="I13152" t="s">
        <v>230</v>
      </c>
    </row>
    <row r="13153" spans="1:9" hidden="1" x14ac:dyDescent="0.25">
      <c r="A13153" t="s">
        <v>10966</v>
      </c>
      <c r="B13153" t="s">
        <v>120</v>
      </c>
      <c r="C13153" s="2">
        <f>HYPERLINK("https://cao.dolgi.msk.ru/account/1089122905/", 1089122905)</f>
        <v>1089122905</v>
      </c>
      <c r="D13153" t="s">
        <v>10979</v>
      </c>
      <c r="G13153" t="s">
        <v>14</v>
      </c>
      <c r="I13153" t="s">
        <v>230</v>
      </c>
    </row>
    <row r="13154" spans="1:9" hidden="1" x14ac:dyDescent="0.25">
      <c r="A13154" t="s">
        <v>10966</v>
      </c>
      <c r="B13154" t="s">
        <v>122</v>
      </c>
      <c r="C13154" s="2">
        <f>HYPERLINK("https://cao.dolgi.msk.ru/account/1080082222/", 1080082222)</f>
        <v>1080082222</v>
      </c>
      <c r="D13154" t="s">
        <v>10980</v>
      </c>
      <c r="E13154">
        <v>-6243.24</v>
      </c>
      <c r="F13154">
        <v>-1.0900000000000001</v>
      </c>
      <c r="G13154" t="s">
        <v>12</v>
      </c>
      <c r="I13154" t="s">
        <v>230</v>
      </c>
    </row>
    <row r="13155" spans="1:9" hidden="1" x14ac:dyDescent="0.25">
      <c r="A13155" t="s">
        <v>10966</v>
      </c>
      <c r="B13155" t="s">
        <v>124</v>
      </c>
      <c r="C13155" s="2">
        <f>HYPERLINK("https://cao.dolgi.msk.ru/account/1080082249/", 1080082249)</f>
        <v>1080082249</v>
      </c>
      <c r="D13155" t="s">
        <v>10981</v>
      </c>
      <c r="E13155">
        <v>-5111.59</v>
      </c>
      <c r="F13155">
        <v>-1.1599999999999999</v>
      </c>
      <c r="G13155" t="s">
        <v>12</v>
      </c>
      <c r="I13155" t="s">
        <v>230</v>
      </c>
    </row>
    <row r="13156" spans="1:9" hidden="1" x14ac:dyDescent="0.25">
      <c r="A13156" t="s">
        <v>10966</v>
      </c>
      <c r="B13156" t="s">
        <v>126</v>
      </c>
      <c r="C13156" s="2">
        <f>HYPERLINK("https://cao.dolgi.msk.ru/account/1080082257/", 1080082257)</f>
        <v>1080082257</v>
      </c>
      <c r="D13156" t="s">
        <v>10982</v>
      </c>
      <c r="E13156">
        <v>5411.86</v>
      </c>
      <c r="F13156">
        <v>0.68</v>
      </c>
      <c r="G13156" t="s">
        <v>12</v>
      </c>
      <c r="I13156" t="s">
        <v>230</v>
      </c>
    </row>
    <row r="13157" spans="1:9" x14ac:dyDescent="0.25">
      <c r="A13157" t="s">
        <v>10966</v>
      </c>
      <c r="B13157" t="s">
        <v>128</v>
      </c>
      <c r="C13157" s="2">
        <f>HYPERLINK("https://cao.dolgi.msk.ru/account/1080082265/", 1080082265)</f>
        <v>1080082265</v>
      </c>
      <c r="D13157" t="s">
        <v>10983</v>
      </c>
      <c r="E13157">
        <v>11897.68</v>
      </c>
      <c r="F13157">
        <v>1.21</v>
      </c>
      <c r="G13157" t="s">
        <v>12</v>
      </c>
      <c r="I13157" t="s">
        <v>230</v>
      </c>
    </row>
    <row r="13158" spans="1:9" hidden="1" x14ac:dyDescent="0.25">
      <c r="A13158" t="s">
        <v>10966</v>
      </c>
      <c r="B13158" t="s">
        <v>130</v>
      </c>
      <c r="C13158" s="2">
        <f>HYPERLINK("https://cao.dolgi.msk.ru/account/1080082273/", 1080082273)</f>
        <v>1080082273</v>
      </c>
      <c r="D13158" t="s">
        <v>10984</v>
      </c>
      <c r="E13158">
        <v>-6093.05</v>
      </c>
      <c r="F13158">
        <v>-1.1599999999999999</v>
      </c>
      <c r="G13158" t="s">
        <v>12</v>
      </c>
      <c r="I13158" t="s">
        <v>230</v>
      </c>
    </row>
    <row r="13159" spans="1:9" hidden="1" x14ac:dyDescent="0.25">
      <c r="A13159" t="s">
        <v>10966</v>
      </c>
      <c r="B13159" t="s">
        <v>132</v>
      </c>
      <c r="C13159" s="2">
        <f>HYPERLINK("https://cao.dolgi.msk.ru/account/1080082281/", 1080082281)</f>
        <v>1080082281</v>
      </c>
      <c r="D13159" t="s">
        <v>10985</v>
      </c>
      <c r="E13159">
        <v>-6463.76</v>
      </c>
      <c r="F13159">
        <v>-1.1000000000000001</v>
      </c>
      <c r="G13159" t="s">
        <v>12</v>
      </c>
      <c r="I13159" t="s">
        <v>230</v>
      </c>
    </row>
    <row r="13160" spans="1:9" hidden="1" x14ac:dyDescent="0.25">
      <c r="A13160" t="s">
        <v>10966</v>
      </c>
      <c r="B13160" t="s">
        <v>133</v>
      </c>
      <c r="C13160" s="2">
        <f>HYPERLINK("https://cao.dolgi.msk.ru/account/1080082302/", 1080082302)</f>
        <v>1080082302</v>
      </c>
      <c r="D13160" t="s">
        <v>10986</v>
      </c>
      <c r="E13160">
        <v>-5230.6899999999996</v>
      </c>
      <c r="F13160">
        <v>-1.1000000000000001</v>
      </c>
      <c r="G13160" t="s">
        <v>12</v>
      </c>
      <c r="I13160" t="s">
        <v>230</v>
      </c>
    </row>
    <row r="13161" spans="1:9" hidden="1" x14ac:dyDescent="0.25">
      <c r="A13161" t="s">
        <v>10966</v>
      </c>
      <c r="B13161" t="s">
        <v>135</v>
      </c>
      <c r="C13161" s="2">
        <f>HYPERLINK("https://cao.dolgi.msk.ru/account/1080082329/", 1080082329)</f>
        <v>1080082329</v>
      </c>
      <c r="D13161" t="s">
        <v>10987</v>
      </c>
      <c r="E13161">
        <v>-48.5</v>
      </c>
      <c r="F13161">
        <v>-0.01</v>
      </c>
      <c r="G13161" t="s">
        <v>12</v>
      </c>
      <c r="I13161" t="s">
        <v>230</v>
      </c>
    </row>
    <row r="13162" spans="1:9" x14ac:dyDescent="0.25">
      <c r="A13162" t="s">
        <v>10966</v>
      </c>
      <c r="B13162" t="s">
        <v>137</v>
      </c>
      <c r="C13162" s="2">
        <f>HYPERLINK("https://cao.dolgi.msk.ru/account/1080082337/", 1080082337)</f>
        <v>1080082337</v>
      </c>
      <c r="D13162" t="s">
        <v>10988</v>
      </c>
      <c r="E13162">
        <v>3929.15</v>
      </c>
      <c r="F13162">
        <v>1.02</v>
      </c>
      <c r="G13162" t="s">
        <v>12</v>
      </c>
      <c r="H13162" t="s">
        <v>7</v>
      </c>
      <c r="I13162" t="s">
        <v>230</v>
      </c>
    </row>
    <row r="13163" spans="1:9" hidden="1" x14ac:dyDescent="0.25">
      <c r="A13163" t="s">
        <v>10966</v>
      </c>
      <c r="B13163" t="s">
        <v>137</v>
      </c>
      <c r="C13163" s="2">
        <f>HYPERLINK("https://cao.dolgi.msk.ru/account/1080082345/", 1080082345)</f>
        <v>1080082345</v>
      </c>
      <c r="D13163" t="s">
        <v>10989</v>
      </c>
      <c r="E13163">
        <v>-2670.1</v>
      </c>
      <c r="F13163">
        <v>-1.08</v>
      </c>
      <c r="G13163" t="s">
        <v>12</v>
      </c>
      <c r="H13163" t="s">
        <v>7</v>
      </c>
      <c r="I13163" t="s">
        <v>230</v>
      </c>
    </row>
    <row r="13164" spans="1:9" hidden="1" x14ac:dyDescent="0.25">
      <c r="A13164" t="s">
        <v>10966</v>
      </c>
      <c r="B13164" t="s">
        <v>139</v>
      </c>
      <c r="C13164" s="2">
        <f>HYPERLINK("https://cao.dolgi.msk.ru/account/1080082353/", 1080082353)</f>
        <v>1080082353</v>
      </c>
      <c r="D13164" t="s">
        <v>10990</v>
      </c>
      <c r="E13164">
        <v>-5942.53</v>
      </c>
      <c r="F13164">
        <v>-1.1000000000000001</v>
      </c>
      <c r="G13164" t="s">
        <v>12</v>
      </c>
      <c r="I13164" t="s">
        <v>230</v>
      </c>
    </row>
    <row r="13165" spans="1:9" x14ac:dyDescent="0.25">
      <c r="A13165" t="s">
        <v>10966</v>
      </c>
      <c r="B13165" t="s">
        <v>141</v>
      </c>
      <c r="C13165" s="2">
        <f>HYPERLINK("https://cao.dolgi.msk.ru/account/1080082361/", 1080082361)</f>
        <v>1080082361</v>
      </c>
      <c r="D13165" t="s">
        <v>10991</v>
      </c>
      <c r="E13165">
        <v>9519.4</v>
      </c>
      <c r="F13165">
        <v>1.01</v>
      </c>
      <c r="G13165" t="s">
        <v>12</v>
      </c>
      <c r="I13165" t="s">
        <v>230</v>
      </c>
    </row>
    <row r="13166" spans="1:9" hidden="1" x14ac:dyDescent="0.25">
      <c r="A13166" t="s">
        <v>10966</v>
      </c>
      <c r="B13166" t="s">
        <v>143</v>
      </c>
      <c r="C13166" s="2">
        <f>HYPERLINK("https://cao.dolgi.msk.ru/account/1080082388/", 1080082388)</f>
        <v>1080082388</v>
      </c>
      <c r="D13166" t="s">
        <v>15</v>
      </c>
      <c r="E13166">
        <v>-2094.92</v>
      </c>
      <c r="F13166">
        <v>-1.17</v>
      </c>
      <c r="G13166" t="s">
        <v>12</v>
      </c>
      <c r="H13166" t="s">
        <v>7</v>
      </c>
      <c r="I13166" t="s">
        <v>230</v>
      </c>
    </row>
    <row r="13167" spans="1:9" hidden="1" x14ac:dyDescent="0.25">
      <c r="A13167" t="s">
        <v>10966</v>
      </c>
      <c r="B13167" t="s">
        <v>143</v>
      </c>
      <c r="C13167" s="2">
        <f>HYPERLINK("https://cao.dolgi.msk.ru/account/1080082396/", 1080082396)</f>
        <v>1080082396</v>
      </c>
      <c r="D13167" t="s">
        <v>10992</v>
      </c>
      <c r="E13167">
        <v>7.75</v>
      </c>
      <c r="F13167">
        <v>0</v>
      </c>
      <c r="G13167" t="s">
        <v>12</v>
      </c>
      <c r="H13167" t="s">
        <v>7</v>
      </c>
      <c r="I13167" t="s">
        <v>230</v>
      </c>
    </row>
    <row r="13168" spans="1:9" hidden="1" x14ac:dyDescent="0.25">
      <c r="A13168" t="s">
        <v>10966</v>
      </c>
      <c r="B13168" t="s">
        <v>143</v>
      </c>
      <c r="C13168" s="2">
        <f>HYPERLINK("https://cao.dolgi.msk.ru/account/1080082409/", 1080082409)</f>
        <v>1080082409</v>
      </c>
      <c r="D13168" t="s">
        <v>10993</v>
      </c>
      <c r="E13168">
        <v>-1619.99</v>
      </c>
      <c r="F13168">
        <v>-0.65</v>
      </c>
      <c r="G13168" t="s">
        <v>12</v>
      </c>
      <c r="H13168" t="s">
        <v>7</v>
      </c>
      <c r="I13168" t="s">
        <v>230</v>
      </c>
    </row>
    <row r="13169" spans="1:9" hidden="1" x14ac:dyDescent="0.25">
      <c r="A13169" t="s">
        <v>10966</v>
      </c>
      <c r="B13169" t="s">
        <v>143</v>
      </c>
      <c r="C13169" s="2">
        <f>HYPERLINK("https://cao.dolgi.msk.ru/account/1080082417/", 1080082417)</f>
        <v>1080082417</v>
      </c>
      <c r="D13169" t="s">
        <v>15</v>
      </c>
      <c r="E13169">
        <v>-2234.5300000000002</v>
      </c>
      <c r="F13169">
        <v>-1</v>
      </c>
      <c r="G13169" t="s">
        <v>12</v>
      </c>
      <c r="H13169" t="s">
        <v>7</v>
      </c>
      <c r="I13169" t="s">
        <v>230</v>
      </c>
    </row>
    <row r="13170" spans="1:9" hidden="1" x14ac:dyDescent="0.25">
      <c r="A13170" t="s">
        <v>10966</v>
      </c>
      <c r="B13170" t="s">
        <v>145</v>
      </c>
      <c r="C13170" s="2">
        <f>HYPERLINK("https://cao.dolgi.msk.ru/account/1080082425/", 1080082425)</f>
        <v>1080082425</v>
      </c>
      <c r="D13170" t="s">
        <v>15</v>
      </c>
      <c r="E13170">
        <v>1039.3</v>
      </c>
      <c r="G13170" t="s">
        <v>14</v>
      </c>
      <c r="I13170" t="s">
        <v>230</v>
      </c>
    </row>
    <row r="13171" spans="1:9" hidden="1" x14ac:dyDescent="0.25">
      <c r="A13171" t="s">
        <v>10966</v>
      </c>
      <c r="B13171" t="s">
        <v>145</v>
      </c>
      <c r="C13171" s="2">
        <f>HYPERLINK("https://cao.dolgi.msk.ru/account/1080082433/", 1080082433)</f>
        <v>1080082433</v>
      </c>
      <c r="D13171" t="s">
        <v>15</v>
      </c>
      <c r="G13171" t="s">
        <v>14</v>
      </c>
      <c r="I13171" t="s">
        <v>230</v>
      </c>
    </row>
    <row r="13172" spans="1:9" hidden="1" x14ac:dyDescent="0.25">
      <c r="A13172" t="s">
        <v>10966</v>
      </c>
      <c r="B13172" t="s">
        <v>145</v>
      </c>
      <c r="C13172" s="2">
        <f>HYPERLINK("https://cao.dolgi.msk.ru/account/1080324244/", 1080324244)</f>
        <v>1080324244</v>
      </c>
      <c r="D13172" t="s">
        <v>15</v>
      </c>
      <c r="E13172">
        <v>0</v>
      </c>
      <c r="G13172" t="s">
        <v>14</v>
      </c>
      <c r="I13172" t="s">
        <v>230</v>
      </c>
    </row>
    <row r="13173" spans="1:9" hidden="1" x14ac:dyDescent="0.25">
      <c r="A13173" t="s">
        <v>10966</v>
      </c>
      <c r="B13173" t="s">
        <v>147</v>
      </c>
      <c r="C13173" s="2">
        <f>HYPERLINK("https://cao.dolgi.msk.ru/account/1080082441/", 1080082441)</f>
        <v>1080082441</v>
      </c>
      <c r="D13173" t="s">
        <v>10994</v>
      </c>
      <c r="G13173" t="s">
        <v>14</v>
      </c>
      <c r="I13173" t="s">
        <v>230</v>
      </c>
    </row>
    <row r="13174" spans="1:9" hidden="1" x14ac:dyDescent="0.25">
      <c r="A13174" t="s">
        <v>10966</v>
      </c>
      <c r="B13174" t="s">
        <v>149</v>
      </c>
      <c r="C13174" s="2">
        <f>HYPERLINK("https://cao.dolgi.msk.ru/account/1080082468/", 1080082468)</f>
        <v>1080082468</v>
      </c>
      <c r="D13174" t="s">
        <v>10995</v>
      </c>
      <c r="E13174">
        <v>-5688.64</v>
      </c>
      <c r="F13174">
        <v>-0.88</v>
      </c>
      <c r="G13174" t="s">
        <v>12</v>
      </c>
      <c r="I13174" t="s">
        <v>230</v>
      </c>
    </row>
    <row r="13175" spans="1:9" hidden="1" x14ac:dyDescent="0.25">
      <c r="A13175" t="s">
        <v>10966</v>
      </c>
      <c r="B13175" t="s">
        <v>151</v>
      </c>
      <c r="C13175" s="2">
        <f>HYPERLINK("https://cao.dolgi.msk.ru/account/1080082476/", 1080082476)</f>
        <v>1080082476</v>
      </c>
      <c r="D13175" t="s">
        <v>15</v>
      </c>
      <c r="E13175">
        <v>-2349.86</v>
      </c>
      <c r="F13175">
        <v>-1.0900000000000001</v>
      </c>
      <c r="G13175" t="s">
        <v>12</v>
      </c>
      <c r="H13175" t="s">
        <v>7</v>
      </c>
      <c r="I13175" t="s">
        <v>230</v>
      </c>
    </row>
    <row r="13176" spans="1:9" hidden="1" x14ac:dyDescent="0.25">
      <c r="A13176" t="s">
        <v>10966</v>
      </c>
      <c r="B13176" t="s">
        <v>151</v>
      </c>
      <c r="C13176" s="2">
        <f>HYPERLINK("https://cao.dolgi.msk.ru/account/1080082484/", 1080082484)</f>
        <v>1080082484</v>
      </c>
      <c r="D13176" t="s">
        <v>1414</v>
      </c>
      <c r="E13176">
        <v>-2640.5</v>
      </c>
      <c r="F13176">
        <v>-0.98</v>
      </c>
      <c r="G13176" t="s">
        <v>12</v>
      </c>
      <c r="H13176" t="s">
        <v>7</v>
      </c>
      <c r="I13176" t="s">
        <v>230</v>
      </c>
    </row>
    <row r="13177" spans="1:9" hidden="1" x14ac:dyDescent="0.25">
      <c r="A13177" t="s">
        <v>10966</v>
      </c>
      <c r="B13177" t="s">
        <v>151</v>
      </c>
      <c r="C13177" s="2">
        <f>HYPERLINK("https://cao.dolgi.msk.ru/account/1080082492/", 1080082492)</f>
        <v>1080082492</v>
      </c>
      <c r="D13177" t="s">
        <v>10996</v>
      </c>
      <c r="E13177">
        <v>-2476.21</v>
      </c>
      <c r="F13177">
        <v>-1.1000000000000001</v>
      </c>
      <c r="G13177" t="s">
        <v>12</v>
      </c>
      <c r="H13177" t="s">
        <v>7</v>
      </c>
      <c r="I13177" t="s">
        <v>230</v>
      </c>
    </row>
    <row r="13178" spans="1:9" hidden="1" x14ac:dyDescent="0.25">
      <c r="A13178" t="s">
        <v>10966</v>
      </c>
      <c r="B13178" t="s">
        <v>151</v>
      </c>
      <c r="C13178" s="2">
        <f>HYPERLINK("https://cao.dolgi.msk.ru/account/1080082505/", 1080082505)</f>
        <v>1080082505</v>
      </c>
      <c r="D13178" t="s">
        <v>10996</v>
      </c>
      <c r="E13178">
        <v>-1670.93</v>
      </c>
      <c r="F13178">
        <v>-1.1000000000000001</v>
      </c>
      <c r="G13178" t="s">
        <v>12</v>
      </c>
      <c r="H13178" t="s">
        <v>7</v>
      </c>
      <c r="I13178" t="s">
        <v>230</v>
      </c>
    </row>
    <row r="13179" spans="1:9" hidden="1" x14ac:dyDescent="0.25">
      <c r="A13179" t="s">
        <v>10966</v>
      </c>
      <c r="B13179" t="s">
        <v>153</v>
      </c>
      <c r="C13179" s="2">
        <f>HYPERLINK("https://cao.dolgi.msk.ru/account/1080082513/", 1080082513)</f>
        <v>1080082513</v>
      </c>
      <c r="D13179" t="s">
        <v>1151</v>
      </c>
      <c r="E13179">
        <v>-3055.36</v>
      </c>
      <c r="F13179">
        <v>-0.99</v>
      </c>
      <c r="G13179" t="s">
        <v>12</v>
      </c>
      <c r="H13179" t="s">
        <v>7</v>
      </c>
      <c r="I13179" t="s">
        <v>230</v>
      </c>
    </row>
    <row r="13180" spans="1:9" hidden="1" x14ac:dyDescent="0.25">
      <c r="A13180" t="s">
        <v>10966</v>
      </c>
      <c r="B13180" t="s">
        <v>153</v>
      </c>
      <c r="C13180" s="2">
        <f>HYPERLINK("https://cao.dolgi.msk.ru/account/1080082521/", 1080082521)</f>
        <v>1080082521</v>
      </c>
      <c r="D13180" t="s">
        <v>1151</v>
      </c>
      <c r="E13180">
        <v>-2430.4899999999998</v>
      </c>
      <c r="F13180">
        <v>-1.0900000000000001</v>
      </c>
      <c r="G13180" t="s">
        <v>12</v>
      </c>
      <c r="H13180" t="s">
        <v>7</v>
      </c>
      <c r="I13180" t="s">
        <v>230</v>
      </c>
    </row>
    <row r="13181" spans="1:9" hidden="1" x14ac:dyDescent="0.25">
      <c r="A13181" t="s">
        <v>10966</v>
      </c>
      <c r="B13181" t="s">
        <v>153</v>
      </c>
      <c r="C13181" s="2">
        <f>HYPERLINK("https://cao.dolgi.msk.ru/account/1080082548/", 1080082548)</f>
        <v>1080082548</v>
      </c>
      <c r="D13181" t="s">
        <v>1151</v>
      </c>
      <c r="E13181">
        <v>-3782.88</v>
      </c>
      <c r="F13181">
        <v>-1.33</v>
      </c>
      <c r="G13181" t="s">
        <v>12</v>
      </c>
      <c r="H13181" t="s">
        <v>7</v>
      </c>
      <c r="I13181" t="s">
        <v>230</v>
      </c>
    </row>
    <row r="13182" spans="1:9" hidden="1" x14ac:dyDescent="0.25">
      <c r="A13182" t="s">
        <v>10966</v>
      </c>
      <c r="B13182" t="s">
        <v>155</v>
      </c>
      <c r="C13182" s="2">
        <f>HYPERLINK("https://cao.dolgi.msk.ru/account/1080082556/", 1080082556)</f>
        <v>1080082556</v>
      </c>
      <c r="D13182" t="s">
        <v>10997</v>
      </c>
      <c r="E13182">
        <v>-10708.14</v>
      </c>
      <c r="F13182">
        <v>-1.1000000000000001</v>
      </c>
      <c r="G13182" t="s">
        <v>12</v>
      </c>
      <c r="I13182" t="s">
        <v>230</v>
      </c>
    </row>
    <row r="13183" spans="1:9" hidden="1" x14ac:dyDescent="0.25">
      <c r="A13183" t="s">
        <v>10966</v>
      </c>
      <c r="B13183" t="s">
        <v>157</v>
      </c>
      <c r="C13183" s="2">
        <f>HYPERLINK("https://cao.dolgi.msk.ru/account/1080082564/", 1080082564)</f>
        <v>1080082564</v>
      </c>
      <c r="D13183" t="s">
        <v>10998</v>
      </c>
      <c r="E13183">
        <v>-2530.5100000000002</v>
      </c>
      <c r="F13183">
        <v>-1.1100000000000001</v>
      </c>
      <c r="G13183" t="s">
        <v>12</v>
      </c>
      <c r="H13183" t="s">
        <v>7</v>
      </c>
      <c r="I13183" t="s">
        <v>230</v>
      </c>
    </row>
    <row r="13184" spans="1:9" hidden="1" x14ac:dyDescent="0.25">
      <c r="A13184" t="s">
        <v>10966</v>
      </c>
      <c r="B13184" t="s">
        <v>157</v>
      </c>
      <c r="C13184" s="2">
        <f>HYPERLINK("https://cao.dolgi.msk.ru/account/1080082572/", 1080082572)</f>
        <v>1080082572</v>
      </c>
      <c r="D13184" t="s">
        <v>10999</v>
      </c>
      <c r="E13184">
        <v>-4444.2299999999996</v>
      </c>
      <c r="F13184">
        <v>-1.05</v>
      </c>
      <c r="G13184" t="s">
        <v>12</v>
      </c>
      <c r="H13184" t="s">
        <v>7</v>
      </c>
      <c r="I13184" t="s">
        <v>230</v>
      </c>
    </row>
    <row r="13185" spans="1:9" hidden="1" x14ac:dyDescent="0.25">
      <c r="A13185" t="s">
        <v>10966</v>
      </c>
      <c r="B13185" t="s">
        <v>157</v>
      </c>
      <c r="C13185" s="2">
        <f>HYPERLINK("https://cao.dolgi.msk.ru/account/1080082599/", 1080082599)</f>
        <v>1080082599</v>
      </c>
      <c r="D13185" t="s">
        <v>10998</v>
      </c>
      <c r="E13185">
        <v>-1939.27</v>
      </c>
      <c r="F13185">
        <v>-1.2</v>
      </c>
      <c r="G13185" t="s">
        <v>12</v>
      </c>
      <c r="H13185" t="s">
        <v>7</v>
      </c>
      <c r="I13185" t="s">
        <v>230</v>
      </c>
    </row>
    <row r="13186" spans="1:9" hidden="1" x14ac:dyDescent="0.25">
      <c r="A13186" t="s">
        <v>10966</v>
      </c>
      <c r="B13186" t="s">
        <v>159</v>
      </c>
      <c r="C13186" s="2">
        <f>HYPERLINK("https://cao.dolgi.msk.ru/account/1080082601/", 1080082601)</f>
        <v>1080082601</v>
      </c>
      <c r="D13186" t="s">
        <v>11000</v>
      </c>
      <c r="E13186">
        <v>-8224.82</v>
      </c>
      <c r="F13186">
        <v>-1.1100000000000001</v>
      </c>
      <c r="G13186" t="s">
        <v>12</v>
      </c>
      <c r="I13186" t="s">
        <v>230</v>
      </c>
    </row>
    <row r="13187" spans="1:9" hidden="1" x14ac:dyDescent="0.25">
      <c r="A13187" t="s">
        <v>10966</v>
      </c>
      <c r="B13187" t="s">
        <v>161</v>
      </c>
      <c r="C13187" s="2">
        <f>HYPERLINK("https://cao.dolgi.msk.ru/account/1080082628/", 1080082628)</f>
        <v>1080082628</v>
      </c>
      <c r="D13187" t="s">
        <v>15</v>
      </c>
      <c r="E13187">
        <v>5281.25</v>
      </c>
      <c r="F13187">
        <v>0.88</v>
      </c>
      <c r="G13187" t="s">
        <v>12</v>
      </c>
      <c r="I13187" t="s">
        <v>230</v>
      </c>
    </row>
    <row r="13188" spans="1:9" hidden="1" x14ac:dyDescent="0.25">
      <c r="A13188" t="s">
        <v>10966</v>
      </c>
      <c r="B13188" t="s">
        <v>163</v>
      </c>
      <c r="C13188" s="2">
        <f>HYPERLINK("https://cao.dolgi.msk.ru/account/1080082636/", 1080082636)</f>
        <v>1080082636</v>
      </c>
      <c r="D13188" t="s">
        <v>11001</v>
      </c>
      <c r="E13188">
        <v>-6145.67</v>
      </c>
      <c r="F13188">
        <v>-1.05</v>
      </c>
      <c r="G13188" t="s">
        <v>12</v>
      </c>
      <c r="I13188" t="s">
        <v>230</v>
      </c>
    </row>
    <row r="13189" spans="1:9" hidden="1" x14ac:dyDescent="0.25">
      <c r="A13189" t="s">
        <v>10966</v>
      </c>
      <c r="B13189" t="s">
        <v>571</v>
      </c>
      <c r="C13189" s="2">
        <f>HYPERLINK("https://cao.dolgi.msk.ru/account/1080082644/", 1080082644)</f>
        <v>1080082644</v>
      </c>
      <c r="D13189" t="s">
        <v>15</v>
      </c>
      <c r="E13189">
        <v>-333.65</v>
      </c>
      <c r="F13189">
        <v>-0.13</v>
      </c>
      <c r="G13189" t="s">
        <v>12</v>
      </c>
      <c r="H13189" t="s">
        <v>7</v>
      </c>
      <c r="I13189" t="s">
        <v>230</v>
      </c>
    </row>
    <row r="13190" spans="1:9" x14ac:dyDescent="0.25">
      <c r="A13190" t="s">
        <v>10966</v>
      </c>
      <c r="B13190" t="s">
        <v>571</v>
      </c>
      <c r="C13190" s="2">
        <f>HYPERLINK("https://cao.dolgi.msk.ru/account/1080082652/", 1080082652)</f>
        <v>1080082652</v>
      </c>
      <c r="D13190" t="s">
        <v>15</v>
      </c>
      <c r="E13190">
        <v>39626.839999999997</v>
      </c>
      <c r="F13190">
        <v>17.48</v>
      </c>
      <c r="G13190" t="s">
        <v>12</v>
      </c>
      <c r="H13190" t="s">
        <v>7</v>
      </c>
      <c r="I13190" t="s">
        <v>230</v>
      </c>
    </row>
    <row r="13191" spans="1:9" hidden="1" x14ac:dyDescent="0.25">
      <c r="A13191" t="s">
        <v>10966</v>
      </c>
      <c r="B13191" t="s">
        <v>571</v>
      </c>
      <c r="C13191" s="2">
        <f>HYPERLINK("https://cao.dolgi.msk.ru/account/1080082679/", 1080082679)</f>
        <v>1080082679</v>
      </c>
      <c r="D13191" t="s">
        <v>15</v>
      </c>
      <c r="E13191">
        <v>-2252.7800000000002</v>
      </c>
      <c r="F13191">
        <v>-1.02</v>
      </c>
      <c r="G13191" t="s">
        <v>12</v>
      </c>
      <c r="H13191" t="s">
        <v>7</v>
      </c>
      <c r="I13191" t="s">
        <v>230</v>
      </c>
    </row>
    <row r="13192" spans="1:9" hidden="1" x14ac:dyDescent="0.25">
      <c r="A13192" t="s">
        <v>10966</v>
      </c>
      <c r="B13192" t="s">
        <v>682</v>
      </c>
      <c r="C13192" s="2">
        <f>HYPERLINK("https://cao.dolgi.msk.ru/account/1080082687/", 1080082687)</f>
        <v>1080082687</v>
      </c>
      <c r="D13192" t="s">
        <v>11002</v>
      </c>
      <c r="E13192">
        <v>-7634.26</v>
      </c>
      <c r="F13192">
        <v>-1.0900000000000001</v>
      </c>
      <c r="G13192" t="s">
        <v>12</v>
      </c>
      <c r="I13192" t="s">
        <v>230</v>
      </c>
    </row>
    <row r="13193" spans="1:9" hidden="1" x14ac:dyDescent="0.25">
      <c r="A13193" t="s">
        <v>11003</v>
      </c>
      <c r="B13193" t="s">
        <v>942</v>
      </c>
      <c r="C13193" s="2">
        <f>HYPERLINK("https://cao.dolgi.msk.ru/account/1080083305/", 1080083305)</f>
        <v>1080083305</v>
      </c>
      <c r="D13193" t="s">
        <v>15</v>
      </c>
      <c r="G13193" t="s">
        <v>14</v>
      </c>
      <c r="I13193" t="s">
        <v>230</v>
      </c>
    </row>
    <row r="13194" spans="1:9" hidden="1" x14ac:dyDescent="0.25">
      <c r="A13194" t="s">
        <v>11003</v>
      </c>
      <c r="B13194" t="s">
        <v>942</v>
      </c>
      <c r="C13194" s="2">
        <f>HYPERLINK("https://cao.dolgi.msk.ru/account/1080319621/", 1080319621)</f>
        <v>1080319621</v>
      </c>
      <c r="D13194" t="s">
        <v>15</v>
      </c>
      <c r="G13194" t="s">
        <v>14</v>
      </c>
      <c r="I13194" t="s">
        <v>230</v>
      </c>
    </row>
    <row r="13195" spans="1:9" hidden="1" x14ac:dyDescent="0.25">
      <c r="A13195" t="s">
        <v>11003</v>
      </c>
      <c r="B13195" t="s">
        <v>10</v>
      </c>
      <c r="C13195" s="2">
        <f>HYPERLINK("https://cao.dolgi.msk.ru/account/1080081385/", 1080081385)</f>
        <v>1080081385</v>
      </c>
      <c r="D13195" t="s">
        <v>15</v>
      </c>
      <c r="G13195" t="s">
        <v>14</v>
      </c>
      <c r="I13195" t="s">
        <v>230</v>
      </c>
    </row>
    <row r="13196" spans="1:9" hidden="1" x14ac:dyDescent="0.25">
      <c r="A13196" t="s">
        <v>11003</v>
      </c>
      <c r="B13196" t="s">
        <v>10</v>
      </c>
      <c r="C13196" s="2">
        <f>HYPERLINK("https://cao.dolgi.msk.ru/account/1080081393/", 1080081393)</f>
        <v>1080081393</v>
      </c>
      <c r="D13196" t="s">
        <v>11004</v>
      </c>
      <c r="G13196" t="s">
        <v>14</v>
      </c>
      <c r="I13196" t="s">
        <v>230</v>
      </c>
    </row>
    <row r="13197" spans="1:9" hidden="1" x14ac:dyDescent="0.25">
      <c r="A13197" t="s">
        <v>11003</v>
      </c>
      <c r="B13197" t="s">
        <v>16</v>
      </c>
      <c r="C13197" s="2">
        <f>HYPERLINK("https://cao.dolgi.msk.ru/account/1080081406/", 1080081406)</f>
        <v>1080081406</v>
      </c>
      <c r="D13197" t="s">
        <v>11005</v>
      </c>
      <c r="E13197">
        <v>-39.56</v>
      </c>
      <c r="F13197">
        <v>-0.01</v>
      </c>
      <c r="G13197" t="s">
        <v>12</v>
      </c>
      <c r="H13197" t="s">
        <v>7</v>
      </c>
      <c r="I13197" t="s">
        <v>230</v>
      </c>
    </row>
    <row r="13198" spans="1:9" hidden="1" x14ac:dyDescent="0.25">
      <c r="A13198" t="s">
        <v>11003</v>
      </c>
      <c r="B13198" t="s">
        <v>16</v>
      </c>
      <c r="C13198" s="2">
        <f>HYPERLINK("https://cao.dolgi.msk.ru/account/1080081414/", 1080081414)</f>
        <v>1080081414</v>
      </c>
      <c r="D13198" t="s">
        <v>15</v>
      </c>
      <c r="G13198" t="s">
        <v>14</v>
      </c>
      <c r="H13198" t="s">
        <v>7</v>
      </c>
      <c r="I13198" t="s">
        <v>230</v>
      </c>
    </row>
    <row r="13199" spans="1:9" hidden="1" x14ac:dyDescent="0.25">
      <c r="A13199" t="s">
        <v>11003</v>
      </c>
      <c r="B13199" t="s">
        <v>16</v>
      </c>
      <c r="C13199" s="2">
        <f>HYPERLINK("https://cao.dolgi.msk.ru/account/1080081422/", 1080081422)</f>
        <v>1080081422</v>
      </c>
      <c r="D13199" t="s">
        <v>11005</v>
      </c>
      <c r="E13199">
        <v>-385.85</v>
      </c>
      <c r="F13199">
        <v>-0.1</v>
      </c>
      <c r="G13199" t="s">
        <v>12</v>
      </c>
      <c r="H13199" t="s">
        <v>7</v>
      </c>
      <c r="I13199" t="s">
        <v>230</v>
      </c>
    </row>
    <row r="13200" spans="1:9" hidden="1" x14ac:dyDescent="0.25">
      <c r="A13200" t="s">
        <v>11003</v>
      </c>
      <c r="B13200" t="s">
        <v>18</v>
      </c>
      <c r="C13200" s="2">
        <f>HYPERLINK("https://cao.dolgi.msk.ru/account/1080081449/", 1080081449)</f>
        <v>1080081449</v>
      </c>
      <c r="D13200" t="s">
        <v>11006</v>
      </c>
      <c r="E13200">
        <v>-372.92</v>
      </c>
      <c r="F13200">
        <v>-0.04</v>
      </c>
      <c r="G13200" t="s">
        <v>12</v>
      </c>
      <c r="I13200" t="s">
        <v>230</v>
      </c>
    </row>
    <row r="13201" spans="1:9" hidden="1" x14ac:dyDescent="0.25">
      <c r="A13201" t="s">
        <v>11003</v>
      </c>
      <c r="B13201" t="s">
        <v>20</v>
      </c>
      <c r="C13201" s="2">
        <f>HYPERLINK("https://cao.dolgi.msk.ru/account/1080081457/", 1080081457)</f>
        <v>1080081457</v>
      </c>
      <c r="D13201" t="s">
        <v>11007</v>
      </c>
      <c r="E13201">
        <v>-10482.26</v>
      </c>
      <c r="F13201">
        <v>-1.1000000000000001</v>
      </c>
      <c r="G13201" t="s">
        <v>12</v>
      </c>
      <c r="I13201" t="s">
        <v>230</v>
      </c>
    </row>
    <row r="13202" spans="1:9" hidden="1" x14ac:dyDescent="0.25">
      <c r="A13202" t="s">
        <v>11003</v>
      </c>
      <c r="B13202" t="s">
        <v>21</v>
      </c>
      <c r="C13202" s="2">
        <f>HYPERLINK("https://cao.dolgi.msk.ru/account/1080081481/", 1080081481)</f>
        <v>1080081481</v>
      </c>
      <c r="D13202" t="s">
        <v>11008</v>
      </c>
      <c r="E13202">
        <v>-7117.28</v>
      </c>
      <c r="F13202">
        <v>-1.1299999999999999</v>
      </c>
      <c r="G13202" t="s">
        <v>12</v>
      </c>
      <c r="I13202" t="s">
        <v>230</v>
      </c>
    </row>
    <row r="13203" spans="1:9" hidden="1" x14ac:dyDescent="0.25">
      <c r="A13203" t="s">
        <v>11003</v>
      </c>
      <c r="B13203" t="s">
        <v>22</v>
      </c>
      <c r="C13203" s="2">
        <f>HYPERLINK("https://cao.dolgi.msk.ru/account/1080081502/", 1080081502)</f>
        <v>1080081502</v>
      </c>
      <c r="D13203" t="s">
        <v>11009</v>
      </c>
      <c r="E13203">
        <v>-10181.879999999999</v>
      </c>
      <c r="F13203">
        <v>-1.06</v>
      </c>
      <c r="G13203" t="s">
        <v>12</v>
      </c>
      <c r="I13203" t="s">
        <v>230</v>
      </c>
    </row>
    <row r="13204" spans="1:9" hidden="1" x14ac:dyDescent="0.25">
      <c r="A13204" t="s">
        <v>11003</v>
      </c>
      <c r="B13204" t="s">
        <v>22</v>
      </c>
      <c r="C13204" s="2">
        <f>HYPERLINK("https://cao.dolgi.msk.ru/account/1080323946/", 1080323946)</f>
        <v>1080323946</v>
      </c>
      <c r="D13204" t="s">
        <v>15</v>
      </c>
      <c r="G13204" t="s">
        <v>14</v>
      </c>
      <c r="I13204" t="s">
        <v>230</v>
      </c>
    </row>
    <row r="13205" spans="1:9" hidden="1" x14ac:dyDescent="0.25">
      <c r="A13205" t="s">
        <v>11003</v>
      </c>
      <c r="B13205" t="s">
        <v>23</v>
      </c>
      <c r="C13205" s="2">
        <f>HYPERLINK("https://cao.dolgi.msk.ru/account/1080081529/", 1080081529)</f>
        <v>1080081529</v>
      </c>
      <c r="D13205" t="s">
        <v>11010</v>
      </c>
      <c r="E13205">
        <v>-2796.84</v>
      </c>
      <c r="G13205" t="s">
        <v>14</v>
      </c>
      <c r="I13205" t="s">
        <v>230</v>
      </c>
    </row>
    <row r="13206" spans="1:9" hidden="1" x14ac:dyDescent="0.25">
      <c r="A13206" t="s">
        <v>11003</v>
      </c>
      <c r="B13206" t="s">
        <v>23</v>
      </c>
      <c r="C13206" s="2">
        <f>HYPERLINK("https://cao.dolgi.msk.ru/account/1080081537/", 1080081537)</f>
        <v>1080081537</v>
      </c>
      <c r="D13206" t="s">
        <v>11010</v>
      </c>
      <c r="E13206">
        <v>-162.46</v>
      </c>
      <c r="F13206">
        <v>-0.02</v>
      </c>
      <c r="G13206" t="s">
        <v>12</v>
      </c>
      <c r="I13206" t="s">
        <v>230</v>
      </c>
    </row>
    <row r="13207" spans="1:9" hidden="1" x14ac:dyDescent="0.25">
      <c r="A13207" t="s">
        <v>11003</v>
      </c>
      <c r="B13207" t="s">
        <v>24</v>
      </c>
      <c r="C13207" s="2">
        <f>HYPERLINK("https://cao.dolgi.msk.ru/account/1080081545/", 1080081545)</f>
        <v>1080081545</v>
      </c>
      <c r="D13207" t="s">
        <v>11011</v>
      </c>
      <c r="E13207">
        <v>-2890.05</v>
      </c>
      <c r="F13207">
        <v>-0.4</v>
      </c>
      <c r="G13207" t="s">
        <v>12</v>
      </c>
      <c r="I13207" t="s">
        <v>230</v>
      </c>
    </row>
    <row r="13208" spans="1:9" hidden="1" x14ac:dyDescent="0.25">
      <c r="A13208" t="s">
        <v>11003</v>
      </c>
      <c r="B13208" t="s">
        <v>27</v>
      </c>
      <c r="C13208" s="2">
        <f>HYPERLINK("https://cao.dolgi.msk.ru/account/1080081553/", 1080081553)</f>
        <v>1080081553</v>
      </c>
      <c r="D13208" t="s">
        <v>11012</v>
      </c>
      <c r="E13208">
        <v>-2786.48</v>
      </c>
      <c r="F13208">
        <v>-0.36</v>
      </c>
      <c r="G13208" t="s">
        <v>12</v>
      </c>
      <c r="I13208" t="s">
        <v>230</v>
      </c>
    </row>
    <row r="13209" spans="1:9" hidden="1" x14ac:dyDescent="0.25">
      <c r="A13209" t="s">
        <v>11003</v>
      </c>
      <c r="B13209" t="s">
        <v>29</v>
      </c>
      <c r="C13209" s="2">
        <f>HYPERLINK("https://cao.dolgi.msk.ru/account/1080081561/", 1080081561)</f>
        <v>1080081561</v>
      </c>
      <c r="D13209" t="s">
        <v>11013</v>
      </c>
      <c r="E13209">
        <v>-9891.61</v>
      </c>
      <c r="F13209">
        <v>-1.0900000000000001</v>
      </c>
      <c r="G13209" t="s">
        <v>12</v>
      </c>
      <c r="I13209" t="s">
        <v>230</v>
      </c>
    </row>
    <row r="13210" spans="1:9" hidden="1" x14ac:dyDescent="0.25">
      <c r="A13210" t="s">
        <v>11003</v>
      </c>
      <c r="B13210" t="s">
        <v>31</v>
      </c>
      <c r="C13210" s="2">
        <f>HYPERLINK("https://cao.dolgi.msk.ru/account/1080081588/", 1080081588)</f>
        <v>1080081588</v>
      </c>
      <c r="D13210" t="s">
        <v>11014</v>
      </c>
      <c r="E13210">
        <v>-10664.44</v>
      </c>
      <c r="F13210">
        <v>-1.01</v>
      </c>
      <c r="G13210" t="s">
        <v>12</v>
      </c>
      <c r="I13210" t="s">
        <v>230</v>
      </c>
    </row>
    <row r="13211" spans="1:9" hidden="1" x14ac:dyDescent="0.25">
      <c r="A13211" t="s">
        <v>11003</v>
      </c>
      <c r="B13211" t="s">
        <v>33</v>
      </c>
      <c r="C13211" s="2">
        <f>HYPERLINK("https://cao.dolgi.msk.ru/account/1080081596/", 1080081596)</f>
        <v>1080081596</v>
      </c>
      <c r="D13211" t="s">
        <v>11015</v>
      </c>
      <c r="E13211">
        <v>-10418.52</v>
      </c>
      <c r="F13211">
        <v>-1.1499999999999999</v>
      </c>
      <c r="G13211" t="s">
        <v>12</v>
      </c>
      <c r="I13211" t="s">
        <v>230</v>
      </c>
    </row>
    <row r="13212" spans="1:9" hidden="1" x14ac:dyDescent="0.25">
      <c r="A13212" t="s">
        <v>11003</v>
      </c>
      <c r="B13212" t="s">
        <v>34</v>
      </c>
      <c r="C13212" s="2">
        <f>HYPERLINK("https://cao.dolgi.msk.ru/account/1080081625/", 1080081625)</f>
        <v>1080081625</v>
      </c>
      <c r="D13212" t="s">
        <v>15</v>
      </c>
      <c r="E13212">
        <v>20.56</v>
      </c>
      <c r="F13212">
        <v>0</v>
      </c>
      <c r="G13212" t="s">
        <v>12</v>
      </c>
      <c r="I13212" t="s">
        <v>230</v>
      </c>
    </row>
    <row r="13213" spans="1:9" x14ac:dyDescent="0.25">
      <c r="A13213" t="s">
        <v>11003</v>
      </c>
      <c r="B13213" t="s">
        <v>36</v>
      </c>
      <c r="C13213" s="2">
        <f>HYPERLINK("https://cao.dolgi.msk.ru/account/1080081641/", 1080081641)</f>
        <v>1080081641</v>
      </c>
      <c r="D13213" t="s">
        <v>11016</v>
      </c>
      <c r="E13213">
        <v>18933.16</v>
      </c>
      <c r="F13213">
        <v>2</v>
      </c>
      <c r="G13213" t="s">
        <v>12</v>
      </c>
      <c r="I13213" t="s">
        <v>230</v>
      </c>
    </row>
    <row r="13214" spans="1:9" hidden="1" x14ac:dyDescent="0.25">
      <c r="A13214" t="s">
        <v>11003</v>
      </c>
      <c r="B13214" t="s">
        <v>36</v>
      </c>
      <c r="C13214" s="2">
        <f>HYPERLINK("https://cao.dolgi.msk.ru/account/1080081668/", 1080081668)</f>
        <v>1080081668</v>
      </c>
      <c r="D13214" t="s">
        <v>15</v>
      </c>
      <c r="E13214">
        <v>0</v>
      </c>
      <c r="G13214" t="s">
        <v>14</v>
      </c>
      <c r="I13214" t="s">
        <v>230</v>
      </c>
    </row>
    <row r="13215" spans="1:9" hidden="1" x14ac:dyDescent="0.25">
      <c r="A13215" t="s">
        <v>11003</v>
      </c>
      <c r="B13215" t="s">
        <v>38</v>
      </c>
      <c r="C13215" s="2">
        <f>HYPERLINK("https://cao.dolgi.msk.ru/account/1080081676/", 1080081676)</f>
        <v>1080081676</v>
      </c>
      <c r="D13215" t="s">
        <v>11017</v>
      </c>
      <c r="E13215">
        <v>-475.34</v>
      </c>
      <c r="F13215">
        <v>-0.08</v>
      </c>
      <c r="G13215" t="s">
        <v>12</v>
      </c>
      <c r="I13215" t="s">
        <v>230</v>
      </c>
    </row>
    <row r="13216" spans="1:9" hidden="1" x14ac:dyDescent="0.25">
      <c r="A13216" t="s">
        <v>11003</v>
      </c>
      <c r="B13216" t="s">
        <v>39</v>
      </c>
      <c r="C13216" s="2">
        <f>HYPERLINK("https://cao.dolgi.msk.ru/account/1080081684/", 1080081684)</f>
        <v>1080081684</v>
      </c>
      <c r="D13216" t="s">
        <v>11018</v>
      </c>
      <c r="E13216">
        <v>-9148.49</v>
      </c>
      <c r="F13216">
        <v>-1.05</v>
      </c>
      <c r="G13216" t="s">
        <v>12</v>
      </c>
      <c r="I13216" t="s">
        <v>230</v>
      </c>
    </row>
    <row r="13217" spans="1:9" hidden="1" x14ac:dyDescent="0.25">
      <c r="A13217" t="s">
        <v>11003</v>
      </c>
      <c r="B13217" t="s">
        <v>39</v>
      </c>
      <c r="C13217" s="2">
        <f>HYPERLINK("https://cao.dolgi.msk.ru/account/1080081692/", 1080081692)</f>
        <v>1080081692</v>
      </c>
      <c r="D13217" t="s">
        <v>15</v>
      </c>
      <c r="G13217" t="s">
        <v>14</v>
      </c>
      <c r="I13217" t="s">
        <v>230</v>
      </c>
    </row>
    <row r="13218" spans="1:9" hidden="1" x14ac:dyDescent="0.25">
      <c r="A13218" t="s">
        <v>11003</v>
      </c>
      <c r="B13218" t="s">
        <v>39</v>
      </c>
      <c r="C13218" s="2">
        <f>HYPERLINK("https://cao.dolgi.msk.ru/account/1080081705/", 1080081705)</f>
        <v>1080081705</v>
      </c>
      <c r="D13218" t="s">
        <v>15</v>
      </c>
      <c r="E13218">
        <v>0</v>
      </c>
      <c r="G13218" t="s">
        <v>14</v>
      </c>
      <c r="I13218" t="s">
        <v>230</v>
      </c>
    </row>
    <row r="13219" spans="1:9" hidden="1" x14ac:dyDescent="0.25">
      <c r="A13219" t="s">
        <v>11003</v>
      </c>
      <c r="B13219" t="s">
        <v>39</v>
      </c>
      <c r="C13219" s="2">
        <f>HYPERLINK("https://cao.dolgi.msk.ru/account/1080323735/", 1080323735)</f>
        <v>1080323735</v>
      </c>
      <c r="D13219" t="s">
        <v>15</v>
      </c>
      <c r="E13219">
        <v>0</v>
      </c>
      <c r="G13219" t="s">
        <v>14</v>
      </c>
      <c r="I13219" t="s">
        <v>230</v>
      </c>
    </row>
    <row r="13220" spans="1:9" hidden="1" x14ac:dyDescent="0.25">
      <c r="A13220" t="s">
        <v>11003</v>
      </c>
      <c r="B13220" t="s">
        <v>39</v>
      </c>
      <c r="C13220" s="2">
        <f>HYPERLINK("https://cao.dolgi.msk.ru/account/1080323743/", 1080323743)</f>
        <v>1080323743</v>
      </c>
      <c r="D13220" t="s">
        <v>15</v>
      </c>
      <c r="G13220" t="s">
        <v>14</v>
      </c>
      <c r="I13220" t="s">
        <v>230</v>
      </c>
    </row>
    <row r="13221" spans="1:9" hidden="1" x14ac:dyDescent="0.25">
      <c r="A13221" t="s">
        <v>11003</v>
      </c>
      <c r="B13221" t="s">
        <v>40</v>
      </c>
      <c r="C13221" s="2">
        <f>HYPERLINK("https://cao.dolgi.msk.ru/account/1080081713/", 1080081713)</f>
        <v>1080081713</v>
      </c>
      <c r="D13221" t="s">
        <v>11019</v>
      </c>
      <c r="E13221">
        <v>0</v>
      </c>
      <c r="F13221">
        <v>0</v>
      </c>
      <c r="G13221" t="s">
        <v>12</v>
      </c>
      <c r="I13221" t="s">
        <v>230</v>
      </c>
    </row>
    <row r="13222" spans="1:9" hidden="1" x14ac:dyDescent="0.25">
      <c r="A13222" t="s">
        <v>11003</v>
      </c>
      <c r="B13222" t="s">
        <v>41</v>
      </c>
      <c r="C13222" s="2">
        <f>HYPERLINK("https://cao.dolgi.msk.ru/account/1080081721/", 1080081721)</f>
        <v>1080081721</v>
      </c>
      <c r="D13222" t="s">
        <v>11020</v>
      </c>
      <c r="E13222">
        <v>-2895.86</v>
      </c>
      <c r="F13222">
        <v>-1.1599999999999999</v>
      </c>
      <c r="G13222" t="s">
        <v>12</v>
      </c>
      <c r="H13222" t="s">
        <v>7</v>
      </c>
      <c r="I13222" t="s">
        <v>230</v>
      </c>
    </row>
    <row r="13223" spans="1:9" hidden="1" x14ac:dyDescent="0.25">
      <c r="A13223" t="s">
        <v>11003</v>
      </c>
      <c r="B13223" t="s">
        <v>41</v>
      </c>
      <c r="C13223" s="2">
        <f>HYPERLINK("https://cao.dolgi.msk.ru/account/1080081748/", 1080081748)</f>
        <v>1080081748</v>
      </c>
      <c r="D13223" t="s">
        <v>11021</v>
      </c>
      <c r="E13223">
        <v>-2133.59</v>
      </c>
      <c r="F13223">
        <v>-1.19</v>
      </c>
      <c r="G13223" t="s">
        <v>12</v>
      </c>
      <c r="H13223" t="s">
        <v>7</v>
      </c>
      <c r="I13223" t="s">
        <v>230</v>
      </c>
    </row>
    <row r="13224" spans="1:9" hidden="1" x14ac:dyDescent="0.25">
      <c r="A13224" t="s">
        <v>11003</v>
      </c>
      <c r="B13224" t="s">
        <v>41</v>
      </c>
      <c r="C13224" s="2">
        <f>HYPERLINK("https://cao.dolgi.msk.ru/account/1080081756/", 1080081756)</f>
        <v>1080081756</v>
      </c>
      <c r="D13224" t="s">
        <v>11022</v>
      </c>
      <c r="E13224">
        <v>-3160.84</v>
      </c>
      <c r="F13224">
        <v>-1.0900000000000001</v>
      </c>
      <c r="G13224" t="s">
        <v>12</v>
      </c>
      <c r="H13224" t="s">
        <v>7</v>
      </c>
      <c r="I13224" t="s">
        <v>230</v>
      </c>
    </row>
    <row r="13225" spans="1:9" hidden="1" x14ac:dyDescent="0.25">
      <c r="A13225" t="s">
        <v>11003</v>
      </c>
      <c r="B13225" t="s">
        <v>41</v>
      </c>
      <c r="C13225" s="2">
        <f>HYPERLINK("https://cao.dolgi.msk.ru/account/1080081764/", 1080081764)</f>
        <v>1080081764</v>
      </c>
      <c r="D13225" t="s">
        <v>11022</v>
      </c>
      <c r="E13225">
        <v>-2367</v>
      </c>
      <c r="F13225">
        <v>-1.1000000000000001</v>
      </c>
      <c r="G13225" t="s">
        <v>12</v>
      </c>
      <c r="H13225" t="s">
        <v>7</v>
      </c>
      <c r="I13225" t="s">
        <v>230</v>
      </c>
    </row>
    <row r="13226" spans="1:9" hidden="1" x14ac:dyDescent="0.25">
      <c r="A13226" t="s">
        <v>11003</v>
      </c>
      <c r="B13226" t="s">
        <v>42</v>
      </c>
      <c r="C13226" s="2">
        <f>HYPERLINK("https://cao.dolgi.msk.ru/account/1080081772/", 1080081772)</f>
        <v>1080081772</v>
      </c>
      <c r="D13226" t="s">
        <v>11023</v>
      </c>
      <c r="E13226">
        <v>-58.92</v>
      </c>
      <c r="F13226">
        <v>-0.01</v>
      </c>
      <c r="G13226" t="s">
        <v>12</v>
      </c>
      <c r="I13226" t="s">
        <v>230</v>
      </c>
    </row>
    <row r="13227" spans="1:9" hidden="1" x14ac:dyDescent="0.25">
      <c r="A13227" t="s">
        <v>11003</v>
      </c>
      <c r="B13227" t="s">
        <v>44</v>
      </c>
      <c r="C13227" s="2">
        <f>HYPERLINK("https://cao.dolgi.msk.ru/account/1080081799/", 1080081799)</f>
        <v>1080081799</v>
      </c>
      <c r="D13227" t="s">
        <v>11024</v>
      </c>
      <c r="E13227">
        <v>-20394.78</v>
      </c>
      <c r="F13227">
        <v>-2.93</v>
      </c>
      <c r="G13227" t="s">
        <v>12</v>
      </c>
      <c r="I13227" t="s">
        <v>230</v>
      </c>
    </row>
    <row r="13228" spans="1:9" hidden="1" x14ac:dyDescent="0.25">
      <c r="A13228" t="s">
        <v>11003</v>
      </c>
      <c r="B13228" t="s">
        <v>66</v>
      </c>
      <c r="C13228" s="2">
        <f>HYPERLINK("https://cao.dolgi.msk.ru/account/1080081801/", 1080081801)</f>
        <v>1080081801</v>
      </c>
      <c r="D13228" t="s">
        <v>11025</v>
      </c>
      <c r="E13228">
        <v>-7883.71</v>
      </c>
      <c r="F13228">
        <v>-1.08</v>
      </c>
      <c r="G13228" t="s">
        <v>12</v>
      </c>
      <c r="I13228" t="s">
        <v>230</v>
      </c>
    </row>
    <row r="13229" spans="1:9" hidden="1" x14ac:dyDescent="0.25">
      <c r="A13229" t="s">
        <v>11003</v>
      </c>
      <c r="B13229" t="s">
        <v>68</v>
      </c>
      <c r="C13229" s="2">
        <f>HYPERLINK("https://cao.dolgi.msk.ru/account/1080081828/", 1080081828)</f>
        <v>1080081828</v>
      </c>
      <c r="D13229" t="s">
        <v>11026</v>
      </c>
      <c r="E13229">
        <v>-8214.6</v>
      </c>
      <c r="F13229">
        <v>-1.08</v>
      </c>
      <c r="G13229" t="s">
        <v>12</v>
      </c>
      <c r="I13229" t="s">
        <v>230</v>
      </c>
    </row>
    <row r="13230" spans="1:9" hidden="1" x14ac:dyDescent="0.25">
      <c r="A13230" t="s">
        <v>11003</v>
      </c>
      <c r="B13230" t="s">
        <v>70</v>
      </c>
      <c r="C13230" s="2">
        <f>HYPERLINK("https://cao.dolgi.msk.ru/account/1080081836/", 1080081836)</f>
        <v>1080081836</v>
      </c>
      <c r="D13230" t="s">
        <v>11027</v>
      </c>
      <c r="E13230">
        <v>-11745.47</v>
      </c>
      <c r="F13230">
        <v>-1.17</v>
      </c>
      <c r="G13230" t="s">
        <v>12</v>
      </c>
      <c r="I13230" t="s">
        <v>230</v>
      </c>
    </row>
    <row r="13231" spans="1:9" hidden="1" x14ac:dyDescent="0.25">
      <c r="A13231" t="s">
        <v>11003</v>
      </c>
      <c r="B13231" t="s">
        <v>72</v>
      </c>
      <c r="C13231" s="2">
        <f>HYPERLINK("https://cao.dolgi.msk.ru/account/1080081844/", 1080081844)</f>
        <v>1080081844</v>
      </c>
      <c r="D13231" t="s">
        <v>11028</v>
      </c>
      <c r="E13231">
        <v>12174.09</v>
      </c>
      <c r="F13231">
        <v>1</v>
      </c>
      <c r="G13231" t="s">
        <v>12</v>
      </c>
      <c r="I13231" t="s">
        <v>230</v>
      </c>
    </row>
    <row r="13232" spans="1:9" hidden="1" x14ac:dyDescent="0.25">
      <c r="A13232" t="s">
        <v>11003</v>
      </c>
      <c r="B13232" t="s">
        <v>74</v>
      </c>
      <c r="C13232" s="2">
        <f>HYPERLINK("https://cao.dolgi.msk.ru/account/1080081879/", 1080081879)</f>
        <v>1080081879</v>
      </c>
      <c r="D13232" t="s">
        <v>11029</v>
      </c>
      <c r="E13232">
        <v>1809.32</v>
      </c>
      <c r="F13232">
        <v>0.22</v>
      </c>
      <c r="G13232" t="s">
        <v>12</v>
      </c>
      <c r="I13232" t="s">
        <v>230</v>
      </c>
    </row>
    <row r="13233" spans="1:9" hidden="1" x14ac:dyDescent="0.25">
      <c r="A13233" t="s">
        <v>11003</v>
      </c>
      <c r="B13233" t="s">
        <v>76</v>
      </c>
      <c r="C13233" s="2">
        <f>HYPERLINK("https://cao.dolgi.msk.ru/account/1080081887/", 1080081887)</f>
        <v>1080081887</v>
      </c>
      <c r="D13233" t="s">
        <v>11030</v>
      </c>
      <c r="E13233">
        <v>-8765.44</v>
      </c>
      <c r="F13233">
        <v>-1.1399999999999999</v>
      </c>
      <c r="G13233" t="s">
        <v>12</v>
      </c>
      <c r="I13233" t="s">
        <v>230</v>
      </c>
    </row>
    <row r="13234" spans="1:9" hidden="1" x14ac:dyDescent="0.25">
      <c r="A13234" t="s">
        <v>11003</v>
      </c>
      <c r="B13234" t="s">
        <v>76</v>
      </c>
      <c r="C13234" s="2">
        <f>HYPERLINK("https://cao.dolgi.msk.ru/account/1080081895/", 1080081895)</f>
        <v>1080081895</v>
      </c>
      <c r="D13234" t="s">
        <v>11030</v>
      </c>
      <c r="E13234">
        <v>9.5399999999999991</v>
      </c>
      <c r="G13234" t="s">
        <v>14</v>
      </c>
      <c r="I13234" t="s">
        <v>230</v>
      </c>
    </row>
    <row r="13235" spans="1:9" hidden="1" x14ac:dyDescent="0.25">
      <c r="A13235" t="s">
        <v>11003</v>
      </c>
      <c r="B13235" t="s">
        <v>76</v>
      </c>
      <c r="C13235" s="2">
        <f>HYPERLINK("https://cao.dolgi.msk.ru/account/1080081908/", 1080081908)</f>
        <v>1080081908</v>
      </c>
      <c r="D13235" t="s">
        <v>11030</v>
      </c>
      <c r="E13235">
        <v>701.29</v>
      </c>
      <c r="G13235" t="s">
        <v>14</v>
      </c>
      <c r="I13235" t="s">
        <v>230</v>
      </c>
    </row>
    <row r="13236" spans="1:9" hidden="1" x14ac:dyDescent="0.25">
      <c r="A13236" t="s">
        <v>11003</v>
      </c>
      <c r="B13236" t="s">
        <v>78</v>
      </c>
      <c r="C13236" s="2">
        <f>HYPERLINK("https://cao.dolgi.msk.ru/account/1080081916/", 1080081916)</f>
        <v>1080081916</v>
      </c>
      <c r="D13236" t="s">
        <v>11031</v>
      </c>
      <c r="E13236">
        <v>-3422.87</v>
      </c>
      <c r="F13236">
        <v>-0.99</v>
      </c>
      <c r="G13236" t="s">
        <v>12</v>
      </c>
      <c r="I13236" t="s">
        <v>230</v>
      </c>
    </row>
    <row r="13237" spans="1:9" hidden="1" x14ac:dyDescent="0.25">
      <c r="A13237" t="s">
        <v>11003</v>
      </c>
      <c r="B13237" t="s">
        <v>80</v>
      </c>
      <c r="C13237" s="2">
        <f>HYPERLINK("https://cao.dolgi.msk.ru/account/1080081924/", 1080081924)</f>
        <v>1080081924</v>
      </c>
      <c r="D13237" t="s">
        <v>11032</v>
      </c>
      <c r="E13237">
        <v>-10255.17</v>
      </c>
      <c r="F13237">
        <v>-1.1599999999999999</v>
      </c>
      <c r="G13237" t="s">
        <v>12</v>
      </c>
      <c r="I13237" t="s">
        <v>230</v>
      </c>
    </row>
    <row r="13238" spans="1:9" hidden="1" x14ac:dyDescent="0.25">
      <c r="A13238" t="s">
        <v>11003</v>
      </c>
      <c r="B13238" t="s">
        <v>82</v>
      </c>
      <c r="C13238" s="2">
        <f>HYPERLINK("https://cao.dolgi.msk.ru/account/1080081932/", 1080081932)</f>
        <v>1080081932</v>
      </c>
      <c r="D13238" t="s">
        <v>11033</v>
      </c>
      <c r="E13238">
        <v>-7833.27</v>
      </c>
      <c r="F13238">
        <v>-1.08</v>
      </c>
      <c r="G13238" t="s">
        <v>12</v>
      </c>
      <c r="I13238" t="s">
        <v>230</v>
      </c>
    </row>
    <row r="13239" spans="1:9" hidden="1" x14ac:dyDescent="0.25">
      <c r="A13239" t="s">
        <v>11003</v>
      </c>
      <c r="B13239" t="s">
        <v>84</v>
      </c>
      <c r="C13239" s="2">
        <f>HYPERLINK("https://cao.dolgi.msk.ru/account/1080081959/", 1080081959)</f>
        <v>1080081959</v>
      </c>
      <c r="D13239" t="s">
        <v>11034</v>
      </c>
      <c r="E13239">
        <v>-10894.11</v>
      </c>
      <c r="F13239">
        <v>-1.06</v>
      </c>
      <c r="G13239" t="s">
        <v>12</v>
      </c>
      <c r="I13239" t="s">
        <v>230</v>
      </c>
    </row>
    <row r="13240" spans="1:9" hidden="1" x14ac:dyDescent="0.25">
      <c r="A13240" t="s">
        <v>11003</v>
      </c>
      <c r="B13240" t="s">
        <v>86</v>
      </c>
      <c r="C13240" s="2">
        <f>HYPERLINK("https://cao.dolgi.msk.ru/account/1080081967/", 1080081967)</f>
        <v>1080081967</v>
      </c>
      <c r="D13240" t="s">
        <v>11035</v>
      </c>
      <c r="E13240">
        <v>-6671.18</v>
      </c>
      <c r="F13240">
        <v>-1.1000000000000001</v>
      </c>
      <c r="G13240" t="s">
        <v>12</v>
      </c>
      <c r="I13240" t="s">
        <v>230</v>
      </c>
    </row>
    <row r="13241" spans="1:9" hidden="1" x14ac:dyDescent="0.25">
      <c r="A13241" t="s">
        <v>11003</v>
      </c>
      <c r="B13241" t="s">
        <v>88</v>
      </c>
      <c r="C13241" s="2">
        <f>HYPERLINK("https://cao.dolgi.msk.ru/account/1080081975/", 1080081975)</f>
        <v>1080081975</v>
      </c>
      <c r="D13241" t="s">
        <v>11036</v>
      </c>
      <c r="E13241">
        <v>-4258.17</v>
      </c>
      <c r="G13241" t="s">
        <v>12</v>
      </c>
      <c r="H13241" t="s">
        <v>7</v>
      </c>
      <c r="I13241" t="s">
        <v>230</v>
      </c>
    </row>
    <row r="13242" spans="1:9" hidden="1" x14ac:dyDescent="0.25">
      <c r="A13242" t="s">
        <v>11003</v>
      </c>
      <c r="B13242" t="s">
        <v>88</v>
      </c>
      <c r="C13242" s="2">
        <f>HYPERLINK("https://cao.dolgi.msk.ru/account/1080081983/", 1080081983)</f>
        <v>1080081983</v>
      </c>
      <c r="D13242" t="s">
        <v>11037</v>
      </c>
      <c r="E13242">
        <v>-2846.93</v>
      </c>
      <c r="F13242">
        <v>-1.0900000000000001</v>
      </c>
      <c r="G13242" t="s">
        <v>12</v>
      </c>
      <c r="H13242" t="s">
        <v>7</v>
      </c>
      <c r="I13242" t="s">
        <v>230</v>
      </c>
    </row>
    <row r="13243" spans="1:9" hidden="1" x14ac:dyDescent="0.25">
      <c r="A13243" t="s">
        <v>11003</v>
      </c>
      <c r="B13243" t="s">
        <v>88</v>
      </c>
      <c r="C13243" s="2">
        <f>HYPERLINK("https://cao.dolgi.msk.ru/account/1080081991/", 1080081991)</f>
        <v>1080081991</v>
      </c>
      <c r="D13243" t="s">
        <v>11038</v>
      </c>
      <c r="E13243">
        <v>-1332.53</v>
      </c>
      <c r="F13243">
        <v>-1.0900000000000001</v>
      </c>
      <c r="G13243" t="s">
        <v>12</v>
      </c>
      <c r="H13243" t="s">
        <v>7</v>
      </c>
      <c r="I13243" t="s">
        <v>230</v>
      </c>
    </row>
    <row r="13244" spans="1:9" hidden="1" x14ac:dyDescent="0.25">
      <c r="A13244" t="s">
        <v>11003</v>
      </c>
      <c r="B13244" t="s">
        <v>90</v>
      </c>
      <c r="C13244" s="2">
        <f>HYPERLINK("https://cao.dolgi.msk.ru/account/1080082003/", 1080082003)</f>
        <v>1080082003</v>
      </c>
      <c r="D13244" t="s">
        <v>11039</v>
      </c>
      <c r="E13244">
        <v>-7748.17</v>
      </c>
      <c r="F13244">
        <v>-1.0900000000000001</v>
      </c>
      <c r="G13244" t="s">
        <v>12</v>
      </c>
      <c r="I13244" t="s">
        <v>230</v>
      </c>
    </row>
    <row r="13245" spans="1:9" hidden="1" x14ac:dyDescent="0.25">
      <c r="A13245" t="s">
        <v>11003</v>
      </c>
      <c r="B13245" t="s">
        <v>92</v>
      </c>
      <c r="C13245" s="2">
        <f>HYPERLINK("https://cao.dolgi.msk.ru/account/1080082011/", 1080082011)</f>
        <v>1080082011</v>
      </c>
      <c r="D13245" t="s">
        <v>15</v>
      </c>
      <c r="E13245">
        <v>-14652.54</v>
      </c>
      <c r="F13245">
        <v>-2.06</v>
      </c>
      <c r="G13245" t="s">
        <v>12</v>
      </c>
      <c r="I13245" t="s">
        <v>230</v>
      </c>
    </row>
    <row r="13246" spans="1:9" hidden="1" x14ac:dyDescent="0.25">
      <c r="A13246" t="s">
        <v>11003</v>
      </c>
      <c r="B13246" t="s">
        <v>94</v>
      </c>
      <c r="C13246" s="2">
        <f>HYPERLINK("https://cao.dolgi.msk.ru/account/1080082038/", 1080082038)</f>
        <v>1080082038</v>
      </c>
      <c r="D13246" t="s">
        <v>11040</v>
      </c>
      <c r="E13246">
        <v>794.59</v>
      </c>
      <c r="F13246">
        <v>0.11</v>
      </c>
      <c r="G13246" t="s">
        <v>12</v>
      </c>
      <c r="I13246" t="s">
        <v>230</v>
      </c>
    </row>
    <row r="13247" spans="1:9" hidden="1" x14ac:dyDescent="0.25">
      <c r="A13247" t="s">
        <v>11003</v>
      </c>
      <c r="B13247" t="s">
        <v>96</v>
      </c>
      <c r="C13247" s="2">
        <f>HYPERLINK("https://cao.dolgi.msk.ru/account/1080082054/", 1080082054)</f>
        <v>1080082054</v>
      </c>
      <c r="D13247" t="s">
        <v>11041</v>
      </c>
      <c r="E13247">
        <v>-11019.17</v>
      </c>
      <c r="F13247">
        <v>-1.1100000000000001</v>
      </c>
      <c r="G13247" t="s">
        <v>12</v>
      </c>
      <c r="I13247" t="s">
        <v>230</v>
      </c>
    </row>
    <row r="13248" spans="1:9" x14ac:dyDescent="0.25">
      <c r="A13248" t="s">
        <v>11042</v>
      </c>
      <c r="B13248" t="s">
        <v>16</v>
      </c>
      <c r="C13248" s="2">
        <f>HYPERLINK("https://cao.dolgi.msk.ru/account/1080079605/", 1080079605)</f>
        <v>1080079605</v>
      </c>
      <c r="D13248" t="s">
        <v>11043</v>
      </c>
      <c r="E13248">
        <v>507806.32</v>
      </c>
      <c r="F13248">
        <v>33.479999999999997</v>
      </c>
      <c r="G13248" t="s">
        <v>12</v>
      </c>
      <c r="I13248" t="s">
        <v>230</v>
      </c>
    </row>
    <row r="13249" spans="1:9" hidden="1" x14ac:dyDescent="0.25">
      <c r="A13249" t="s">
        <v>11042</v>
      </c>
      <c r="B13249" t="s">
        <v>234</v>
      </c>
      <c r="C13249" s="2">
        <f>HYPERLINK("https://cao.dolgi.msk.ru/account/1080079576/", 1080079576)</f>
        <v>1080079576</v>
      </c>
      <c r="D13249" t="s">
        <v>11044</v>
      </c>
      <c r="E13249">
        <v>-9802.27</v>
      </c>
      <c r="F13249">
        <v>-0.88</v>
      </c>
      <c r="G13249" t="s">
        <v>12</v>
      </c>
      <c r="I13249" t="s">
        <v>230</v>
      </c>
    </row>
    <row r="13250" spans="1:9" hidden="1" x14ac:dyDescent="0.25">
      <c r="A13250" t="s">
        <v>11042</v>
      </c>
      <c r="B13250" t="s">
        <v>11045</v>
      </c>
      <c r="C13250" s="2">
        <f>HYPERLINK("https://cao.dolgi.msk.ru/account/1080079592/", 1080079592)</f>
        <v>1080079592</v>
      </c>
      <c r="D13250" t="s">
        <v>11046</v>
      </c>
      <c r="E13250">
        <v>-6143.37</v>
      </c>
      <c r="F13250">
        <v>-1.0900000000000001</v>
      </c>
      <c r="G13250" t="s">
        <v>12</v>
      </c>
      <c r="I13250" t="s">
        <v>230</v>
      </c>
    </row>
    <row r="13251" spans="1:9" hidden="1" x14ac:dyDescent="0.25">
      <c r="A13251" t="s">
        <v>11042</v>
      </c>
      <c r="B13251" t="s">
        <v>18</v>
      </c>
      <c r="C13251" s="2">
        <f>HYPERLINK("https://cao.dolgi.msk.ru/account/1080079648/", 1080079648)</f>
        <v>1080079648</v>
      </c>
      <c r="D13251" t="s">
        <v>11047</v>
      </c>
      <c r="E13251">
        <v>-5912.94</v>
      </c>
      <c r="F13251">
        <v>-1.1200000000000001</v>
      </c>
      <c r="G13251" t="s">
        <v>12</v>
      </c>
      <c r="I13251" t="s">
        <v>230</v>
      </c>
    </row>
    <row r="13252" spans="1:9" hidden="1" x14ac:dyDescent="0.25">
      <c r="A13252" t="s">
        <v>11042</v>
      </c>
      <c r="B13252" t="s">
        <v>237</v>
      </c>
      <c r="C13252" s="2">
        <f>HYPERLINK("https://cao.dolgi.msk.ru/account/1080079621/", 1080079621)</f>
        <v>1080079621</v>
      </c>
      <c r="D13252" t="s">
        <v>15</v>
      </c>
      <c r="E13252">
        <v>-8890.65</v>
      </c>
      <c r="F13252">
        <v>-1.1000000000000001</v>
      </c>
      <c r="G13252" t="s">
        <v>12</v>
      </c>
      <c r="I13252" t="s">
        <v>230</v>
      </c>
    </row>
    <row r="13253" spans="1:9" hidden="1" x14ac:dyDescent="0.25">
      <c r="A13253" t="s">
        <v>11042</v>
      </c>
      <c r="B13253" t="s">
        <v>11048</v>
      </c>
      <c r="C13253" s="2">
        <f>HYPERLINK("https://cao.dolgi.msk.ru/account/1080079613/", 1080079613)</f>
        <v>1080079613</v>
      </c>
      <c r="D13253" t="s">
        <v>11049</v>
      </c>
      <c r="E13253">
        <v>-1021.62</v>
      </c>
      <c r="F13253">
        <v>-0.11</v>
      </c>
      <c r="G13253" t="s">
        <v>12</v>
      </c>
      <c r="I13253" t="s">
        <v>230</v>
      </c>
    </row>
    <row r="13254" spans="1:9" hidden="1" x14ac:dyDescent="0.25">
      <c r="A13254" t="s">
        <v>11042</v>
      </c>
      <c r="B13254" t="s">
        <v>20</v>
      </c>
      <c r="C13254" s="2">
        <f>HYPERLINK("https://cao.dolgi.msk.ru/account/1080079373/", 1080079373)</f>
        <v>1080079373</v>
      </c>
      <c r="D13254" t="s">
        <v>11050</v>
      </c>
      <c r="E13254">
        <v>-6078.99</v>
      </c>
      <c r="F13254">
        <v>-0.96</v>
      </c>
      <c r="G13254" t="s">
        <v>12</v>
      </c>
      <c r="I13254" t="s">
        <v>230</v>
      </c>
    </row>
    <row r="13255" spans="1:9" hidden="1" x14ac:dyDescent="0.25">
      <c r="A13255" t="s">
        <v>11042</v>
      </c>
      <c r="B13255" t="s">
        <v>240</v>
      </c>
      <c r="C13255" s="2">
        <f>HYPERLINK("https://cao.dolgi.msk.ru/account/1080079568/", 1080079568)</f>
        <v>1080079568</v>
      </c>
      <c r="D13255" t="s">
        <v>11051</v>
      </c>
      <c r="E13255">
        <v>-6.63</v>
      </c>
      <c r="F13255">
        <v>0</v>
      </c>
      <c r="G13255" t="s">
        <v>12</v>
      </c>
      <c r="I13255" t="s">
        <v>230</v>
      </c>
    </row>
    <row r="13256" spans="1:9" hidden="1" x14ac:dyDescent="0.25">
      <c r="A13256" t="s">
        <v>11042</v>
      </c>
      <c r="B13256" t="s">
        <v>7837</v>
      </c>
      <c r="C13256" s="2">
        <f>HYPERLINK("https://cao.dolgi.msk.ru/account/1080079656/", 1080079656)</f>
        <v>1080079656</v>
      </c>
      <c r="D13256" t="s">
        <v>11052</v>
      </c>
      <c r="E13256">
        <v>-10547.63</v>
      </c>
      <c r="F13256">
        <v>-1.1100000000000001</v>
      </c>
      <c r="G13256" t="s">
        <v>12</v>
      </c>
      <c r="I13256" t="s">
        <v>230</v>
      </c>
    </row>
    <row r="13257" spans="1:9" hidden="1" x14ac:dyDescent="0.25">
      <c r="A13257" t="s">
        <v>11042</v>
      </c>
      <c r="B13257" t="s">
        <v>21</v>
      </c>
      <c r="C13257" s="2">
        <f>HYPERLINK("https://cao.dolgi.msk.ru/account/1080079381/", 1080079381)</f>
        <v>1080079381</v>
      </c>
      <c r="D13257" t="s">
        <v>11053</v>
      </c>
      <c r="E13257">
        <v>-1997.51</v>
      </c>
      <c r="F13257">
        <v>-0.8</v>
      </c>
      <c r="G13257" t="s">
        <v>12</v>
      </c>
      <c r="H13257" t="s">
        <v>7</v>
      </c>
      <c r="I13257" t="s">
        <v>230</v>
      </c>
    </row>
    <row r="13258" spans="1:9" x14ac:dyDescent="0.25">
      <c r="A13258" t="s">
        <v>11042</v>
      </c>
      <c r="B13258" t="s">
        <v>21</v>
      </c>
      <c r="C13258" s="2">
        <f>HYPERLINK("https://cao.dolgi.msk.ru/account/1080079533/", 1080079533)</f>
        <v>1080079533</v>
      </c>
      <c r="D13258" t="s">
        <v>11053</v>
      </c>
      <c r="E13258">
        <v>44732.85</v>
      </c>
      <c r="F13258">
        <v>9.75</v>
      </c>
      <c r="G13258" t="s">
        <v>12</v>
      </c>
      <c r="H13258" t="s">
        <v>7</v>
      </c>
      <c r="I13258" t="s">
        <v>230</v>
      </c>
    </row>
    <row r="13259" spans="1:9" hidden="1" x14ac:dyDescent="0.25">
      <c r="A13259" t="s">
        <v>11042</v>
      </c>
      <c r="B13259" t="s">
        <v>242</v>
      </c>
      <c r="C13259" s="2">
        <f>HYPERLINK("https://cao.dolgi.msk.ru/account/1080079402/", 1080079402)</f>
        <v>1080079402</v>
      </c>
      <c r="D13259" t="s">
        <v>11054</v>
      </c>
      <c r="E13259">
        <v>-996.24</v>
      </c>
      <c r="F13259">
        <v>-0.18</v>
      </c>
      <c r="G13259" t="s">
        <v>12</v>
      </c>
      <c r="I13259" t="s">
        <v>230</v>
      </c>
    </row>
    <row r="13260" spans="1:9" hidden="1" x14ac:dyDescent="0.25">
      <c r="A13260" t="s">
        <v>11042</v>
      </c>
      <c r="B13260" t="s">
        <v>11055</v>
      </c>
      <c r="C13260" s="2">
        <f>HYPERLINK("https://cao.dolgi.msk.ru/account/1080079779/", 1080079779)</f>
        <v>1080079779</v>
      </c>
      <c r="D13260" t="s">
        <v>11056</v>
      </c>
      <c r="E13260">
        <v>-8671.2099999999991</v>
      </c>
      <c r="F13260">
        <v>-1.08</v>
      </c>
      <c r="G13260" t="s">
        <v>12</v>
      </c>
      <c r="I13260" t="s">
        <v>230</v>
      </c>
    </row>
    <row r="13261" spans="1:9" hidden="1" x14ac:dyDescent="0.25">
      <c r="A13261" t="s">
        <v>11042</v>
      </c>
      <c r="B13261" t="s">
        <v>22</v>
      </c>
      <c r="C13261" s="2">
        <f>HYPERLINK("https://cao.dolgi.msk.ru/account/1080079517/", 1080079517)</f>
        <v>1080079517</v>
      </c>
      <c r="D13261" t="s">
        <v>11057</v>
      </c>
      <c r="E13261">
        <v>-2762.52</v>
      </c>
      <c r="F13261">
        <v>-1.1000000000000001</v>
      </c>
      <c r="G13261" t="s">
        <v>12</v>
      </c>
      <c r="I13261" t="s">
        <v>230</v>
      </c>
    </row>
    <row r="13262" spans="1:9" hidden="1" x14ac:dyDescent="0.25">
      <c r="A13262" t="s">
        <v>11042</v>
      </c>
      <c r="B13262" t="s">
        <v>245</v>
      </c>
      <c r="C13262" s="2">
        <f>HYPERLINK("https://cao.dolgi.msk.ru/account/1080079525/", 1080079525)</f>
        <v>1080079525</v>
      </c>
      <c r="D13262" t="s">
        <v>11058</v>
      </c>
      <c r="E13262">
        <v>-9197.27</v>
      </c>
      <c r="F13262">
        <v>-1.24</v>
      </c>
      <c r="G13262" t="s">
        <v>12</v>
      </c>
      <c r="I13262" t="s">
        <v>230</v>
      </c>
    </row>
    <row r="13263" spans="1:9" hidden="1" x14ac:dyDescent="0.25">
      <c r="A13263" t="s">
        <v>11042</v>
      </c>
      <c r="B13263" t="s">
        <v>11059</v>
      </c>
      <c r="C13263" s="2">
        <f>HYPERLINK("https://cao.dolgi.msk.ru/account/1080079664/", 1080079664)</f>
        <v>1080079664</v>
      </c>
      <c r="D13263" t="s">
        <v>11060</v>
      </c>
      <c r="E13263">
        <v>-19639.02</v>
      </c>
      <c r="F13263">
        <v>-1.1299999999999999</v>
      </c>
      <c r="G13263" t="s">
        <v>12</v>
      </c>
      <c r="I13263" t="s">
        <v>230</v>
      </c>
    </row>
    <row r="13264" spans="1:9" hidden="1" x14ac:dyDescent="0.25">
      <c r="A13264" t="s">
        <v>11042</v>
      </c>
      <c r="B13264" t="s">
        <v>24</v>
      </c>
      <c r="C13264" s="2">
        <f>HYPERLINK("https://cao.dolgi.msk.ru/account/1080079541/", 1080079541)</f>
        <v>1080079541</v>
      </c>
      <c r="D13264" t="s">
        <v>11061</v>
      </c>
      <c r="E13264">
        <v>-5984.13</v>
      </c>
      <c r="F13264">
        <v>-1.1200000000000001</v>
      </c>
      <c r="G13264" t="s">
        <v>12</v>
      </c>
      <c r="I13264" t="s">
        <v>230</v>
      </c>
    </row>
    <row r="13265" spans="1:9" hidden="1" x14ac:dyDescent="0.25">
      <c r="A13265" t="s">
        <v>11042</v>
      </c>
      <c r="B13265" t="s">
        <v>251</v>
      </c>
      <c r="C13265" s="2">
        <f>HYPERLINK("https://cao.dolgi.msk.ru/account/1080079672/", 1080079672)</f>
        <v>1080079672</v>
      </c>
      <c r="D13265" t="s">
        <v>11062</v>
      </c>
      <c r="E13265">
        <v>-6535.49</v>
      </c>
      <c r="F13265">
        <v>-1.05</v>
      </c>
      <c r="G13265" t="s">
        <v>12</v>
      </c>
      <c r="I13265" t="s">
        <v>230</v>
      </c>
    </row>
    <row r="13266" spans="1:9" hidden="1" x14ac:dyDescent="0.25">
      <c r="A13266" t="s">
        <v>11042</v>
      </c>
      <c r="B13266" t="s">
        <v>27</v>
      </c>
      <c r="C13266" s="2">
        <f>HYPERLINK("https://cao.dolgi.msk.ru/account/1080079584/", 1080079584)</f>
        <v>1080079584</v>
      </c>
      <c r="D13266" t="s">
        <v>11063</v>
      </c>
      <c r="E13266">
        <v>-183.97</v>
      </c>
      <c r="F13266">
        <v>-0.02</v>
      </c>
      <c r="G13266" t="s">
        <v>12</v>
      </c>
      <c r="I13266" t="s">
        <v>230</v>
      </c>
    </row>
    <row r="13267" spans="1:9" hidden="1" x14ac:dyDescent="0.25">
      <c r="A13267" t="s">
        <v>11042</v>
      </c>
      <c r="B13267" t="s">
        <v>29</v>
      </c>
      <c r="C13267" s="2">
        <f>HYPERLINK("https://cao.dolgi.msk.ru/account/1080079699/", 1080079699)</f>
        <v>1080079699</v>
      </c>
      <c r="D13267" t="s">
        <v>11064</v>
      </c>
      <c r="E13267">
        <v>-16617.919999999998</v>
      </c>
      <c r="F13267">
        <v>-1.19</v>
      </c>
      <c r="G13267" t="s">
        <v>12</v>
      </c>
      <c r="I13267" t="s">
        <v>230</v>
      </c>
    </row>
    <row r="13268" spans="1:9" hidden="1" x14ac:dyDescent="0.25">
      <c r="A13268" t="s">
        <v>11042</v>
      </c>
      <c r="B13268" t="s">
        <v>256</v>
      </c>
      <c r="C13268" s="2">
        <f>HYPERLINK("https://cao.dolgi.msk.ru/account/1080079701/", 1080079701)</f>
        <v>1080079701</v>
      </c>
      <c r="D13268" t="s">
        <v>11065</v>
      </c>
      <c r="E13268">
        <v>-12661.95</v>
      </c>
      <c r="F13268">
        <v>-1.0900000000000001</v>
      </c>
      <c r="G13268" t="s">
        <v>12</v>
      </c>
      <c r="I13268" t="s">
        <v>230</v>
      </c>
    </row>
    <row r="13269" spans="1:9" x14ac:dyDescent="0.25">
      <c r="A13269" t="s">
        <v>11042</v>
      </c>
      <c r="B13269" t="s">
        <v>11066</v>
      </c>
      <c r="C13269" s="2">
        <f>HYPERLINK("https://cao.dolgi.msk.ru/account/1080079752/", 1080079752)</f>
        <v>1080079752</v>
      </c>
      <c r="D13269" t="s">
        <v>11067</v>
      </c>
      <c r="E13269">
        <v>17613.59</v>
      </c>
      <c r="F13269">
        <v>1.86</v>
      </c>
      <c r="G13269" t="s">
        <v>12</v>
      </c>
      <c r="I13269" t="s">
        <v>230</v>
      </c>
    </row>
    <row r="13270" spans="1:9" hidden="1" x14ac:dyDescent="0.25">
      <c r="A13270" t="s">
        <v>11042</v>
      </c>
      <c r="B13270" t="s">
        <v>31</v>
      </c>
      <c r="C13270" s="2">
        <f>HYPERLINK("https://cao.dolgi.msk.ru/account/1080079728/", 1080079728)</f>
        <v>1080079728</v>
      </c>
      <c r="D13270" t="s">
        <v>11068</v>
      </c>
      <c r="E13270">
        <v>89.89</v>
      </c>
      <c r="F13270">
        <v>0</v>
      </c>
      <c r="G13270" t="s">
        <v>12</v>
      </c>
      <c r="I13270" t="s">
        <v>230</v>
      </c>
    </row>
    <row r="13271" spans="1:9" x14ac:dyDescent="0.25">
      <c r="A13271" t="s">
        <v>11042</v>
      </c>
      <c r="B13271" t="s">
        <v>260</v>
      </c>
      <c r="C13271" s="2">
        <f>HYPERLINK("https://cao.dolgi.msk.ru/account/1080079736/", 1080079736)</f>
        <v>1080079736</v>
      </c>
      <c r="D13271" t="s">
        <v>11069</v>
      </c>
      <c r="E13271">
        <v>19455.02</v>
      </c>
      <c r="F13271">
        <v>2.1800000000000002</v>
      </c>
      <c r="G13271" t="s">
        <v>12</v>
      </c>
      <c r="I13271" t="s">
        <v>230</v>
      </c>
    </row>
    <row r="13272" spans="1:9" hidden="1" x14ac:dyDescent="0.25">
      <c r="A13272" t="s">
        <v>11042</v>
      </c>
      <c r="B13272" t="s">
        <v>11070</v>
      </c>
      <c r="C13272" s="2">
        <f>HYPERLINK("https://cao.dolgi.msk.ru/account/1080079744/", 1080079744)</f>
        <v>1080079744</v>
      </c>
      <c r="D13272" t="s">
        <v>11071</v>
      </c>
      <c r="E13272">
        <v>-8677.44</v>
      </c>
      <c r="F13272">
        <v>-1.1499999999999999</v>
      </c>
      <c r="G13272" t="s">
        <v>12</v>
      </c>
      <c r="I13272" t="s">
        <v>230</v>
      </c>
    </row>
    <row r="13273" spans="1:9" hidden="1" x14ac:dyDescent="0.25">
      <c r="A13273" t="s">
        <v>11042</v>
      </c>
      <c r="B13273" t="s">
        <v>33</v>
      </c>
      <c r="C13273" s="2">
        <f>HYPERLINK("https://cao.dolgi.msk.ru/account/1080079453/", 1080079453)</f>
        <v>1080079453</v>
      </c>
      <c r="D13273" t="s">
        <v>11072</v>
      </c>
      <c r="E13273">
        <v>-15984.88</v>
      </c>
      <c r="F13273">
        <v>-1.06</v>
      </c>
      <c r="G13273" t="s">
        <v>12</v>
      </c>
      <c r="I13273" t="s">
        <v>230</v>
      </c>
    </row>
    <row r="13274" spans="1:9" hidden="1" x14ac:dyDescent="0.25">
      <c r="A13274" t="s">
        <v>11042</v>
      </c>
      <c r="B13274" t="s">
        <v>34</v>
      </c>
      <c r="C13274" s="2">
        <f>HYPERLINK("https://cao.dolgi.msk.ru/account/1080079787/", 1080079787)</f>
        <v>1080079787</v>
      </c>
      <c r="D13274" t="s">
        <v>11073</v>
      </c>
      <c r="E13274">
        <v>-30581.51</v>
      </c>
      <c r="F13274">
        <v>-1.79</v>
      </c>
      <c r="G13274" t="s">
        <v>12</v>
      </c>
      <c r="I13274" t="s">
        <v>230</v>
      </c>
    </row>
    <row r="13275" spans="1:9" hidden="1" x14ac:dyDescent="0.25">
      <c r="A13275" t="s">
        <v>11042</v>
      </c>
      <c r="B13275" t="s">
        <v>11074</v>
      </c>
      <c r="C13275" s="2">
        <f>HYPERLINK("https://cao.dolgi.msk.ru/account/1080079496/", 1080079496)</f>
        <v>1080079496</v>
      </c>
      <c r="D13275" t="s">
        <v>11075</v>
      </c>
      <c r="E13275">
        <v>0</v>
      </c>
      <c r="F13275">
        <v>0</v>
      </c>
      <c r="G13275" t="s">
        <v>12</v>
      </c>
      <c r="I13275" t="s">
        <v>230</v>
      </c>
    </row>
    <row r="13276" spans="1:9" hidden="1" x14ac:dyDescent="0.25">
      <c r="A13276" t="s">
        <v>11042</v>
      </c>
      <c r="B13276" t="s">
        <v>11076</v>
      </c>
      <c r="C13276" s="2">
        <f>HYPERLINK("https://cao.dolgi.msk.ru/account/1080079488/", 1080079488)</f>
        <v>1080079488</v>
      </c>
      <c r="D13276" t="s">
        <v>11077</v>
      </c>
      <c r="E13276">
        <v>-4721.8599999999997</v>
      </c>
      <c r="F13276">
        <v>-0.94</v>
      </c>
      <c r="G13276" t="s">
        <v>12</v>
      </c>
      <c r="I13276" t="s">
        <v>230</v>
      </c>
    </row>
    <row r="13277" spans="1:9" hidden="1" x14ac:dyDescent="0.25">
      <c r="A13277" t="s">
        <v>11042</v>
      </c>
      <c r="B13277" t="s">
        <v>36</v>
      </c>
      <c r="C13277" s="2">
        <f>HYPERLINK("https://cao.dolgi.msk.ru/account/1080079795/", 1080079795)</f>
        <v>1080079795</v>
      </c>
      <c r="D13277" t="s">
        <v>11078</v>
      </c>
      <c r="E13277">
        <v>142.61000000000001</v>
      </c>
      <c r="G13277" t="s">
        <v>14</v>
      </c>
      <c r="I13277" t="s">
        <v>230</v>
      </c>
    </row>
    <row r="13278" spans="1:9" hidden="1" x14ac:dyDescent="0.25">
      <c r="A13278" t="s">
        <v>11042</v>
      </c>
      <c r="B13278" t="s">
        <v>36</v>
      </c>
      <c r="C13278" s="2">
        <f>HYPERLINK("https://cao.dolgi.msk.ru/account/1083273446/", 1083273446)</f>
        <v>1083273446</v>
      </c>
      <c r="D13278" t="s">
        <v>15</v>
      </c>
      <c r="E13278">
        <v>-41.3</v>
      </c>
      <c r="F13278">
        <v>0</v>
      </c>
      <c r="G13278" t="s">
        <v>12</v>
      </c>
      <c r="I13278" t="s">
        <v>230</v>
      </c>
    </row>
    <row r="13279" spans="1:9" hidden="1" x14ac:dyDescent="0.25">
      <c r="A13279" t="s">
        <v>11042</v>
      </c>
      <c r="B13279" t="s">
        <v>7665</v>
      </c>
      <c r="C13279" s="2">
        <f>HYPERLINK("https://cao.dolgi.msk.ru/account/1080079808/", 1080079808)</f>
        <v>1080079808</v>
      </c>
      <c r="D13279" t="s">
        <v>11079</v>
      </c>
      <c r="E13279">
        <v>-10622.5</v>
      </c>
      <c r="F13279">
        <v>-1.1100000000000001</v>
      </c>
      <c r="G13279" t="s">
        <v>12</v>
      </c>
      <c r="I13279" t="s">
        <v>230</v>
      </c>
    </row>
    <row r="13280" spans="1:9" hidden="1" x14ac:dyDescent="0.25">
      <c r="A13280" t="s">
        <v>11042</v>
      </c>
      <c r="B13280" t="s">
        <v>11080</v>
      </c>
      <c r="C13280" s="2">
        <f>HYPERLINK("https://cao.dolgi.msk.ru/account/1080079816/", 1080079816)</f>
        <v>1080079816</v>
      </c>
      <c r="D13280" t="s">
        <v>11081</v>
      </c>
      <c r="E13280">
        <v>-8803.84</v>
      </c>
      <c r="F13280">
        <v>-1.07</v>
      </c>
      <c r="G13280" t="s">
        <v>12</v>
      </c>
      <c r="I13280" t="s">
        <v>230</v>
      </c>
    </row>
    <row r="13281" spans="1:9" hidden="1" x14ac:dyDescent="0.25">
      <c r="A13281" t="s">
        <v>11042</v>
      </c>
      <c r="B13281" t="s">
        <v>38</v>
      </c>
      <c r="C13281" s="2">
        <f>HYPERLINK("https://cao.dolgi.msk.ru/account/1080079429/", 1080079429)</f>
        <v>1080079429</v>
      </c>
      <c r="D13281" t="s">
        <v>11082</v>
      </c>
      <c r="E13281">
        <v>2911.75</v>
      </c>
      <c r="F13281">
        <v>0.47</v>
      </c>
      <c r="G13281" t="s">
        <v>12</v>
      </c>
      <c r="I13281" t="s">
        <v>230</v>
      </c>
    </row>
    <row r="13282" spans="1:9" hidden="1" x14ac:dyDescent="0.25">
      <c r="A13282" t="s">
        <v>11042</v>
      </c>
      <c r="B13282" t="s">
        <v>41</v>
      </c>
      <c r="C13282" s="2">
        <f>HYPERLINK("https://cao.dolgi.msk.ru/account/1080079445/", 1080079445)</f>
        <v>1080079445</v>
      </c>
      <c r="D13282" t="s">
        <v>11083</v>
      </c>
      <c r="E13282">
        <v>-344.89</v>
      </c>
      <c r="F13282">
        <v>-0.02</v>
      </c>
      <c r="G13282" t="s">
        <v>12</v>
      </c>
      <c r="I13282" t="s">
        <v>230</v>
      </c>
    </row>
    <row r="13283" spans="1:9" hidden="1" x14ac:dyDescent="0.25">
      <c r="A13283" t="s">
        <v>11042</v>
      </c>
      <c r="B13283" t="s">
        <v>66</v>
      </c>
      <c r="C13283" s="2">
        <f>HYPERLINK("https://cao.dolgi.msk.ru/account/1080079509/", 1080079509)</f>
        <v>1080079509</v>
      </c>
      <c r="D13283" t="s">
        <v>11084</v>
      </c>
      <c r="E13283">
        <v>-11683.52</v>
      </c>
      <c r="F13283">
        <v>-1.17</v>
      </c>
      <c r="G13283" t="s">
        <v>12</v>
      </c>
      <c r="I13283" t="s">
        <v>230</v>
      </c>
    </row>
    <row r="13284" spans="1:9" hidden="1" x14ac:dyDescent="0.25">
      <c r="A13284" t="s">
        <v>11042</v>
      </c>
      <c r="B13284" t="s">
        <v>68</v>
      </c>
      <c r="C13284" s="2">
        <f>HYPERLINK("https://cao.dolgi.msk.ru/account/1080079832/", 1080079832)</f>
        <v>1080079832</v>
      </c>
      <c r="D13284" t="s">
        <v>15</v>
      </c>
      <c r="G13284" t="s">
        <v>14</v>
      </c>
      <c r="H13284" t="s">
        <v>7</v>
      </c>
      <c r="I13284" t="s">
        <v>230</v>
      </c>
    </row>
    <row r="13285" spans="1:9" hidden="1" x14ac:dyDescent="0.25">
      <c r="A13285" t="s">
        <v>11042</v>
      </c>
      <c r="B13285" t="s">
        <v>68</v>
      </c>
      <c r="C13285" s="2">
        <f>HYPERLINK("https://cao.dolgi.msk.ru/account/1080079859/", 1080079859)</f>
        <v>1080079859</v>
      </c>
      <c r="D13285" t="s">
        <v>15</v>
      </c>
      <c r="G13285" t="s">
        <v>14</v>
      </c>
      <c r="H13285" t="s">
        <v>7</v>
      </c>
      <c r="I13285" t="s">
        <v>230</v>
      </c>
    </row>
    <row r="13286" spans="1:9" hidden="1" x14ac:dyDescent="0.25">
      <c r="A13286" t="s">
        <v>11042</v>
      </c>
      <c r="B13286" t="s">
        <v>70</v>
      </c>
      <c r="C13286" s="2">
        <f>HYPERLINK("https://cao.dolgi.msk.ru/account/1080079883/", 1080079883)</f>
        <v>1080079883</v>
      </c>
      <c r="D13286" t="s">
        <v>11085</v>
      </c>
      <c r="E13286">
        <v>-11136.76</v>
      </c>
      <c r="F13286">
        <v>-1.1499999999999999</v>
      </c>
      <c r="G13286" t="s">
        <v>12</v>
      </c>
      <c r="I13286" t="s">
        <v>230</v>
      </c>
    </row>
    <row r="13287" spans="1:9" hidden="1" x14ac:dyDescent="0.25">
      <c r="A13287" t="s">
        <v>11042</v>
      </c>
      <c r="B13287" t="s">
        <v>72</v>
      </c>
      <c r="C13287" s="2">
        <f>HYPERLINK("https://cao.dolgi.msk.ru/account/1080079891/", 1080079891)</f>
        <v>1080079891</v>
      </c>
      <c r="D13287" t="s">
        <v>11086</v>
      </c>
      <c r="E13287">
        <v>7855.31</v>
      </c>
      <c r="F13287">
        <v>0.94</v>
      </c>
      <c r="G13287" t="s">
        <v>12</v>
      </c>
      <c r="I13287" t="s">
        <v>230</v>
      </c>
    </row>
    <row r="13288" spans="1:9" hidden="1" x14ac:dyDescent="0.25">
      <c r="A13288" t="s">
        <v>11042</v>
      </c>
      <c r="B13288" t="s">
        <v>74</v>
      </c>
      <c r="C13288" s="2">
        <f>HYPERLINK("https://cao.dolgi.msk.ru/account/1080079904/", 1080079904)</f>
        <v>1080079904</v>
      </c>
      <c r="D13288" t="s">
        <v>11087</v>
      </c>
      <c r="E13288">
        <v>-18027.63</v>
      </c>
      <c r="F13288">
        <v>-1.1299999999999999</v>
      </c>
      <c r="G13288" t="s">
        <v>12</v>
      </c>
      <c r="I13288" t="s">
        <v>230</v>
      </c>
    </row>
    <row r="13289" spans="1:9" hidden="1" x14ac:dyDescent="0.25">
      <c r="A13289" t="s">
        <v>11042</v>
      </c>
      <c r="B13289" t="s">
        <v>76</v>
      </c>
      <c r="C13289" s="2">
        <f>HYPERLINK("https://cao.dolgi.msk.ru/account/1080079912/", 1080079912)</f>
        <v>1080079912</v>
      </c>
      <c r="D13289" t="s">
        <v>11088</v>
      </c>
      <c r="E13289">
        <v>82.44</v>
      </c>
      <c r="F13289">
        <v>0.01</v>
      </c>
      <c r="G13289" t="s">
        <v>12</v>
      </c>
      <c r="I13289" t="s">
        <v>230</v>
      </c>
    </row>
    <row r="13290" spans="1:9" hidden="1" x14ac:dyDescent="0.25">
      <c r="A13290" t="s">
        <v>11042</v>
      </c>
      <c r="B13290" t="s">
        <v>78</v>
      </c>
      <c r="C13290" s="2">
        <f>HYPERLINK("https://cao.dolgi.msk.ru/account/1080079939/", 1080079939)</f>
        <v>1080079939</v>
      </c>
      <c r="D13290" t="s">
        <v>11089</v>
      </c>
      <c r="E13290">
        <v>50.01</v>
      </c>
      <c r="F13290">
        <v>0</v>
      </c>
      <c r="G13290" t="s">
        <v>12</v>
      </c>
      <c r="I13290" t="s">
        <v>230</v>
      </c>
    </row>
    <row r="13291" spans="1:9" hidden="1" x14ac:dyDescent="0.25">
      <c r="A13291" t="s">
        <v>11042</v>
      </c>
      <c r="B13291" t="s">
        <v>80</v>
      </c>
      <c r="C13291" s="2">
        <f>HYPERLINK("https://cao.dolgi.msk.ru/account/1080079947/", 1080079947)</f>
        <v>1080079947</v>
      </c>
      <c r="D13291" t="s">
        <v>11090</v>
      </c>
      <c r="E13291">
        <v>-9316.9699999999993</v>
      </c>
      <c r="F13291">
        <v>-1.1299999999999999</v>
      </c>
      <c r="G13291" t="s">
        <v>12</v>
      </c>
      <c r="I13291" t="s">
        <v>230</v>
      </c>
    </row>
    <row r="13292" spans="1:9" x14ac:dyDescent="0.25">
      <c r="A13292" t="s">
        <v>11042</v>
      </c>
      <c r="B13292" t="s">
        <v>82</v>
      </c>
      <c r="C13292" s="2">
        <f>HYPERLINK("https://cao.dolgi.msk.ru/account/1080079824/", 1080079824)</f>
        <v>1080079824</v>
      </c>
      <c r="D13292" t="s">
        <v>11091</v>
      </c>
      <c r="E13292">
        <v>42096.19</v>
      </c>
      <c r="F13292">
        <v>2.09</v>
      </c>
      <c r="G13292" t="s">
        <v>12</v>
      </c>
      <c r="I13292" t="s">
        <v>230</v>
      </c>
    </row>
    <row r="13293" spans="1:9" hidden="1" x14ac:dyDescent="0.25">
      <c r="A13293" t="s">
        <v>11042</v>
      </c>
      <c r="B13293" t="s">
        <v>84</v>
      </c>
      <c r="C13293" s="2">
        <f>HYPERLINK("https://cao.dolgi.msk.ru/account/1080079955/", 1080079955)</f>
        <v>1080079955</v>
      </c>
      <c r="D13293" t="s">
        <v>11092</v>
      </c>
      <c r="E13293">
        <v>-10236.14</v>
      </c>
      <c r="F13293">
        <v>-1.08</v>
      </c>
      <c r="G13293" t="s">
        <v>12</v>
      </c>
      <c r="I13293" t="s">
        <v>230</v>
      </c>
    </row>
    <row r="13294" spans="1:9" hidden="1" x14ac:dyDescent="0.25">
      <c r="A13294" t="s">
        <v>11042</v>
      </c>
      <c r="B13294" t="s">
        <v>86</v>
      </c>
      <c r="C13294" s="2">
        <f>HYPERLINK("https://cao.dolgi.msk.ru/account/1080079963/", 1080079963)</f>
        <v>1080079963</v>
      </c>
      <c r="D13294" t="s">
        <v>11093</v>
      </c>
      <c r="E13294">
        <v>-6745.25</v>
      </c>
      <c r="F13294">
        <v>-1.1399999999999999</v>
      </c>
      <c r="G13294" t="s">
        <v>12</v>
      </c>
      <c r="I13294" t="s">
        <v>230</v>
      </c>
    </row>
    <row r="13295" spans="1:9" x14ac:dyDescent="0.25">
      <c r="A13295" t="s">
        <v>11042</v>
      </c>
      <c r="B13295" t="s">
        <v>88</v>
      </c>
      <c r="C13295" s="2">
        <f>HYPERLINK("https://cao.dolgi.msk.ru/account/1080079971/", 1080079971)</f>
        <v>1080079971</v>
      </c>
      <c r="D13295" t="s">
        <v>11094</v>
      </c>
      <c r="E13295">
        <v>174907.91</v>
      </c>
      <c r="F13295">
        <v>24.31</v>
      </c>
      <c r="G13295" t="s">
        <v>12</v>
      </c>
      <c r="I13295" t="s">
        <v>230</v>
      </c>
    </row>
    <row r="13296" spans="1:9" hidden="1" x14ac:dyDescent="0.25">
      <c r="A13296" t="s">
        <v>11042</v>
      </c>
      <c r="B13296" t="s">
        <v>90</v>
      </c>
      <c r="C13296" s="2">
        <f>HYPERLINK("https://cao.dolgi.msk.ru/account/1080079461/", 1080079461)</f>
        <v>1080079461</v>
      </c>
      <c r="D13296" t="s">
        <v>15</v>
      </c>
      <c r="E13296">
        <v>-3796.64</v>
      </c>
      <c r="F13296">
        <v>-1.07</v>
      </c>
      <c r="G13296" t="s">
        <v>12</v>
      </c>
      <c r="H13296" t="s">
        <v>7</v>
      </c>
      <c r="I13296" t="s">
        <v>230</v>
      </c>
    </row>
    <row r="13297" spans="1:9" x14ac:dyDescent="0.25">
      <c r="A13297" t="s">
        <v>11042</v>
      </c>
      <c r="B13297" t="s">
        <v>90</v>
      </c>
      <c r="C13297" s="2">
        <f>HYPERLINK("https://cao.dolgi.msk.ru/account/1080079998/", 1080079998)</f>
        <v>1080079998</v>
      </c>
      <c r="D13297" t="s">
        <v>15</v>
      </c>
      <c r="E13297">
        <v>331884.76</v>
      </c>
      <c r="F13297">
        <v>38.28</v>
      </c>
      <c r="G13297" t="s">
        <v>12</v>
      </c>
      <c r="H13297" t="s">
        <v>7</v>
      </c>
      <c r="I13297" t="s">
        <v>230</v>
      </c>
    </row>
    <row r="13298" spans="1:9" x14ac:dyDescent="0.25">
      <c r="A13298" t="s">
        <v>11042</v>
      </c>
      <c r="B13298" t="s">
        <v>90</v>
      </c>
      <c r="C13298" s="2">
        <f>HYPERLINK("https://cao.dolgi.msk.ru/account/1080080008/", 1080080008)</f>
        <v>1080080008</v>
      </c>
      <c r="D13298" t="s">
        <v>15</v>
      </c>
      <c r="E13298">
        <v>194199.67999999999</v>
      </c>
      <c r="F13298">
        <v>55.7</v>
      </c>
      <c r="G13298" t="s">
        <v>12</v>
      </c>
      <c r="H13298" t="s">
        <v>7</v>
      </c>
      <c r="I13298" t="s">
        <v>230</v>
      </c>
    </row>
    <row r="13299" spans="1:9" hidden="1" x14ac:dyDescent="0.25">
      <c r="A13299" t="s">
        <v>11042</v>
      </c>
      <c r="B13299" t="s">
        <v>92</v>
      </c>
      <c r="C13299" s="2">
        <f>HYPERLINK("https://cao.dolgi.msk.ru/account/1080081369/", 1080081369)</f>
        <v>1080081369</v>
      </c>
      <c r="D13299" t="s">
        <v>11095</v>
      </c>
      <c r="E13299">
        <v>-14469.18</v>
      </c>
      <c r="F13299">
        <v>-1.05</v>
      </c>
      <c r="G13299" t="s">
        <v>12</v>
      </c>
      <c r="I13299" t="s">
        <v>230</v>
      </c>
    </row>
    <row r="13300" spans="1:9" hidden="1" x14ac:dyDescent="0.25">
      <c r="A13300" t="s">
        <v>11042</v>
      </c>
      <c r="B13300" t="s">
        <v>94</v>
      </c>
      <c r="C13300" s="2">
        <f>HYPERLINK("https://cao.dolgi.msk.ru/account/1080080016/", 1080080016)</f>
        <v>1080080016</v>
      </c>
      <c r="D13300" t="s">
        <v>11096</v>
      </c>
      <c r="E13300">
        <v>-10542.47</v>
      </c>
      <c r="F13300">
        <v>-1.1000000000000001</v>
      </c>
      <c r="G13300" t="s">
        <v>12</v>
      </c>
      <c r="I13300" t="s">
        <v>230</v>
      </c>
    </row>
    <row r="13301" spans="1:9" hidden="1" x14ac:dyDescent="0.25">
      <c r="A13301" t="s">
        <v>11042</v>
      </c>
      <c r="B13301" t="s">
        <v>96</v>
      </c>
      <c r="C13301" s="2">
        <f>HYPERLINK("https://cao.dolgi.msk.ru/account/1080080024/", 1080080024)</f>
        <v>1080080024</v>
      </c>
      <c r="D13301" t="s">
        <v>11097</v>
      </c>
      <c r="E13301">
        <v>-9041.26</v>
      </c>
      <c r="F13301">
        <v>-1.1000000000000001</v>
      </c>
      <c r="G13301" t="s">
        <v>12</v>
      </c>
      <c r="I13301" t="s">
        <v>230</v>
      </c>
    </row>
    <row r="13302" spans="1:9" hidden="1" x14ac:dyDescent="0.25">
      <c r="A13302" t="s">
        <v>11042</v>
      </c>
      <c r="B13302" t="s">
        <v>98</v>
      </c>
      <c r="C13302" s="2">
        <f>HYPERLINK("https://cao.dolgi.msk.ru/account/1080080032/", 1080080032)</f>
        <v>1080080032</v>
      </c>
      <c r="D13302" t="s">
        <v>11098</v>
      </c>
      <c r="E13302">
        <v>-15.34</v>
      </c>
      <c r="F13302">
        <v>0</v>
      </c>
      <c r="G13302" t="s">
        <v>12</v>
      </c>
      <c r="I13302" t="s">
        <v>230</v>
      </c>
    </row>
    <row r="13303" spans="1:9" hidden="1" x14ac:dyDescent="0.25">
      <c r="A13303" t="s">
        <v>11042</v>
      </c>
      <c r="B13303" t="s">
        <v>100</v>
      </c>
      <c r="C13303" s="2">
        <f>HYPERLINK("https://cao.dolgi.msk.ru/account/1080080059/", 1080080059)</f>
        <v>1080080059</v>
      </c>
      <c r="D13303" t="s">
        <v>62</v>
      </c>
      <c r="E13303">
        <v>12589.35</v>
      </c>
      <c r="F13303">
        <v>1</v>
      </c>
      <c r="G13303" t="s">
        <v>12</v>
      </c>
      <c r="I13303" t="s">
        <v>230</v>
      </c>
    </row>
    <row r="13304" spans="1:9" hidden="1" x14ac:dyDescent="0.25">
      <c r="A13304" t="s">
        <v>11042</v>
      </c>
      <c r="B13304" t="s">
        <v>102</v>
      </c>
      <c r="C13304" s="2">
        <f>HYPERLINK("https://cao.dolgi.msk.ru/account/1080080067/", 1080080067)</f>
        <v>1080080067</v>
      </c>
      <c r="D13304" t="s">
        <v>11099</v>
      </c>
      <c r="E13304">
        <v>-6027.98</v>
      </c>
      <c r="F13304">
        <v>-1.1000000000000001</v>
      </c>
      <c r="G13304" t="s">
        <v>12</v>
      </c>
      <c r="I13304" t="s">
        <v>230</v>
      </c>
    </row>
    <row r="13305" spans="1:9" hidden="1" x14ac:dyDescent="0.25">
      <c r="A13305" t="s">
        <v>11042</v>
      </c>
      <c r="B13305" t="s">
        <v>104</v>
      </c>
      <c r="C13305" s="2">
        <f>HYPERLINK("https://cao.dolgi.msk.ru/account/1080080075/", 1080080075)</f>
        <v>1080080075</v>
      </c>
      <c r="D13305" t="s">
        <v>11100</v>
      </c>
      <c r="E13305">
        <v>-5783.64</v>
      </c>
      <c r="F13305">
        <v>-1.1000000000000001</v>
      </c>
      <c r="G13305" t="s">
        <v>12</v>
      </c>
      <c r="I13305" t="s">
        <v>230</v>
      </c>
    </row>
    <row r="13306" spans="1:9" hidden="1" x14ac:dyDescent="0.25">
      <c r="A13306" t="s">
        <v>11042</v>
      </c>
      <c r="B13306" t="s">
        <v>104</v>
      </c>
      <c r="C13306" s="2">
        <f>HYPERLINK("https://cao.dolgi.msk.ru/account/1083272099/", 1083272099)</f>
        <v>1083272099</v>
      </c>
      <c r="D13306" t="s">
        <v>15</v>
      </c>
      <c r="E13306">
        <v>-1305.47</v>
      </c>
      <c r="F13306">
        <v>-1.3</v>
      </c>
      <c r="G13306" t="s">
        <v>12</v>
      </c>
      <c r="I13306" t="s">
        <v>230</v>
      </c>
    </row>
    <row r="13307" spans="1:9" hidden="1" x14ac:dyDescent="0.25">
      <c r="A13307" t="s">
        <v>11042</v>
      </c>
      <c r="B13307" t="s">
        <v>106</v>
      </c>
      <c r="C13307" s="2">
        <f>HYPERLINK("https://cao.dolgi.msk.ru/account/1080080083/", 1080080083)</f>
        <v>1080080083</v>
      </c>
      <c r="D13307" t="s">
        <v>11101</v>
      </c>
      <c r="E13307">
        <v>-17010.39</v>
      </c>
      <c r="F13307">
        <v>-1.1100000000000001</v>
      </c>
      <c r="G13307" t="s">
        <v>12</v>
      </c>
      <c r="I13307" t="s">
        <v>230</v>
      </c>
    </row>
    <row r="13308" spans="1:9" hidden="1" x14ac:dyDescent="0.25">
      <c r="A13308" t="s">
        <v>11042</v>
      </c>
      <c r="B13308" t="s">
        <v>108</v>
      </c>
      <c r="C13308" s="2">
        <f>HYPERLINK("https://cao.dolgi.msk.ru/account/1080080091/", 1080080091)</f>
        <v>1080080091</v>
      </c>
      <c r="D13308" t="s">
        <v>11102</v>
      </c>
      <c r="E13308">
        <v>-13339.76</v>
      </c>
      <c r="F13308">
        <v>-1.1499999999999999</v>
      </c>
      <c r="G13308" t="s">
        <v>12</v>
      </c>
      <c r="I13308" t="s">
        <v>230</v>
      </c>
    </row>
    <row r="13309" spans="1:9" hidden="1" x14ac:dyDescent="0.25">
      <c r="A13309" t="s">
        <v>11042</v>
      </c>
      <c r="B13309" t="s">
        <v>110</v>
      </c>
      <c r="C13309" s="2">
        <f>HYPERLINK("https://cao.dolgi.msk.ru/account/1080080104/", 1080080104)</f>
        <v>1080080104</v>
      </c>
      <c r="D13309" t="s">
        <v>11103</v>
      </c>
      <c r="E13309">
        <v>737.41</v>
      </c>
      <c r="F13309">
        <v>0.08</v>
      </c>
      <c r="G13309" t="s">
        <v>12</v>
      </c>
      <c r="I13309" t="s">
        <v>230</v>
      </c>
    </row>
    <row r="13310" spans="1:9" hidden="1" x14ac:dyDescent="0.25">
      <c r="A13310" t="s">
        <v>11042</v>
      </c>
      <c r="B13310" t="s">
        <v>112</v>
      </c>
      <c r="C13310" s="2">
        <f>HYPERLINK("https://cao.dolgi.msk.ru/account/1080080112/", 1080080112)</f>
        <v>1080080112</v>
      </c>
      <c r="D13310" t="s">
        <v>11104</v>
      </c>
      <c r="E13310">
        <v>6490.61</v>
      </c>
      <c r="F13310">
        <v>0.95</v>
      </c>
      <c r="G13310" t="s">
        <v>12</v>
      </c>
      <c r="I13310" t="s">
        <v>230</v>
      </c>
    </row>
    <row r="13311" spans="1:9" hidden="1" x14ac:dyDescent="0.25">
      <c r="A13311" t="s">
        <v>11042</v>
      </c>
      <c r="B13311" t="s">
        <v>118</v>
      </c>
      <c r="C13311" s="2">
        <f>HYPERLINK("https://cao.dolgi.msk.ru/account/1080080147/", 1080080147)</f>
        <v>1080080147</v>
      </c>
      <c r="D13311" t="s">
        <v>11105</v>
      </c>
      <c r="E13311">
        <v>-3414.05</v>
      </c>
      <c r="F13311">
        <v>-1.05</v>
      </c>
      <c r="G13311" t="s">
        <v>12</v>
      </c>
      <c r="H13311" t="s">
        <v>7</v>
      </c>
      <c r="I13311" t="s">
        <v>230</v>
      </c>
    </row>
    <row r="13312" spans="1:9" hidden="1" x14ac:dyDescent="0.25">
      <c r="A13312" t="s">
        <v>11042</v>
      </c>
      <c r="B13312" t="s">
        <v>118</v>
      </c>
      <c r="C13312" s="2">
        <f>HYPERLINK("https://cao.dolgi.msk.ru/account/1080080155/", 1080080155)</f>
        <v>1080080155</v>
      </c>
      <c r="D13312" t="s">
        <v>62</v>
      </c>
      <c r="E13312">
        <v>-2641.12</v>
      </c>
      <c r="F13312">
        <v>-1.08</v>
      </c>
      <c r="G13312" t="s">
        <v>12</v>
      </c>
      <c r="H13312" t="s">
        <v>7</v>
      </c>
      <c r="I13312" t="s">
        <v>230</v>
      </c>
    </row>
    <row r="13313" spans="1:9" hidden="1" x14ac:dyDescent="0.25">
      <c r="A13313" t="s">
        <v>11042</v>
      </c>
      <c r="B13313" t="s">
        <v>118</v>
      </c>
      <c r="C13313" s="2">
        <f>HYPERLINK("https://cao.dolgi.msk.ru/account/1080080163/", 1080080163)</f>
        <v>1080080163</v>
      </c>
      <c r="D13313" t="s">
        <v>11106</v>
      </c>
      <c r="E13313">
        <v>-3029.04</v>
      </c>
      <c r="F13313">
        <v>-1.18</v>
      </c>
      <c r="G13313" t="s">
        <v>12</v>
      </c>
      <c r="H13313" t="s">
        <v>7</v>
      </c>
      <c r="I13313" t="s">
        <v>230</v>
      </c>
    </row>
    <row r="13314" spans="1:9" hidden="1" x14ac:dyDescent="0.25">
      <c r="A13314" t="s">
        <v>11042</v>
      </c>
      <c r="B13314" t="s">
        <v>118</v>
      </c>
      <c r="C13314" s="2">
        <f>HYPERLINK("https://cao.dolgi.msk.ru/account/1080080198/", 1080080198)</f>
        <v>1080080198</v>
      </c>
      <c r="D13314" t="s">
        <v>11106</v>
      </c>
      <c r="E13314">
        <v>-2634.55</v>
      </c>
      <c r="F13314">
        <v>-0.94</v>
      </c>
      <c r="G13314" t="s">
        <v>12</v>
      </c>
      <c r="H13314" t="s">
        <v>7</v>
      </c>
      <c r="I13314" t="s">
        <v>230</v>
      </c>
    </row>
    <row r="13315" spans="1:9" hidden="1" x14ac:dyDescent="0.25">
      <c r="A13315" t="s">
        <v>11042</v>
      </c>
      <c r="B13315" t="s">
        <v>118</v>
      </c>
      <c r="C13315" s="2">
        <f>HYPERLINK("https://cao.dolgi.msk.ru/account/1083274684/", 1083274684)</f>
        <v>1083274684</v>
      </c>
      <c r="D13315" t="s">
        <v>15</v>
      </c>
      <c r="E13315">
        <v>-3525.02</v>
      </c>
      <c r="F13315">
        <v>-1.1100000000000001</v>
      </c>
      <c r="G13315" t="s">
        <v>12</v>
      </c>
      <c r="H13315" t="s">
        <v>7</v>
      </c>
      <c r="I13315" t="s">
        <v>230</v>
      </c>
    </row>
    <row r="13316" spans="1:9" hidden="1" x14ac:dyDescent="0.25">
      <c r="A13316" t="s">
        <v>11042</v>
      </c>
      <c r="B13316" t="s">
        <v>120</v>
      </c>
      <c r="C13316" s="2">
        <f>HYPERLINK("https://cao.dolgi.msk.ru/account/1080080171/", 1080080171)</f>
        <v>1080080171</v>
      </c>
      <c r="D13316" t="s">
        <v>11107</v>
      </c>
      <c r="E13316">
        <v>-7736</v>
      </c>
      <c r="F13316">
        <v>-1.0900000000000001</v>
      </c>
      <c r="G13316" t="s">
        <v>12</v>
      </c>
      <c r="I13316" t="s">
        <v>230</v>
      </c>
    </row>
    <row r="13317" spans="1:9" hidden="1" x14ac:dyDescent="0.25">
      <c r="A13317" t="s">
        <v>11042</v>
      </c>
      <c r="B13317" t="s">
        <v>122</v>
      </c>
      <c r="C13317" s="2">
        <f>HYPERLINK("https://cao.dolgi.msk.ru/account/1080080219/", 1080080219)</f>
        <v>1080080219</v>
      </c>
      <c r="D13317" t="s">
        <v>62</v>
      </c>
      <c r="E13317">
        <v>-2631.13</v>
      </c>
      <c r="F13317">
        <v>-0.16</v>
      </c>
      <c r="G13317" t="s">
        <v>12</v>
      </c>
      <c r="I13317" t="s">
        <v>230</v>
      </c>
    </row>
    <row r="13318" spans="1:9" hidden="1" x14ac:dyDescent="0.25">
      <c r="A13318" t="s">
        <v>11042</v>
      </c>
      <c r="B13318" t="s">
        <v>124</v>
      </c>
      <c r="C13318" s="2">
        <f>HYPERLINK("https://cao.dolgi.msk.ru/account/1080080227/", 1080080227)</f>
        <v>1080080227</v>
      </c>
      <c r="D13318" t="s">
        <v>11108</v>
      </c>
      <c r="E13318">
        <v>-9503.64</v>
      </c>
      <c r="F13318">
        <v>-1.18</v>
      </c>
      <c r="G13318" t="s">
        <v>12</v>
      </c>
      <c r="I13318" t="s">
        <v>230</v>
      </c>
    </row>
    <row r="13319" spans="1:9" x14ac:dyDescent="0.25">
      <c r="A13319" t="s">
        <v>11042</v>
      </c>
      <c r="B13319" t="s">
        <v>126</v>
      </c>
      <c r="C13319" s="2">
        <f>HYPERLINK("https://cao.dolgi.msk.ru/account/1080080235/", 1080080235)</f>
        <v>1080080235</v>
      </c>
      <c r="D13319" t="s">
        <v>15</v>
      </c>
      <c r="E13319">
        <v>21485.73</v>
      </c>
      <c r="F13319">
        <v>1.77</v>
      </c>
      <c r="G13319" t="s">
        <v>12</v>
      </c>
      <c r="I13319" t="s">
        <v>230</v>
      </c>
    </row>
    <row r="13320" spans="1:9" hidden="1" x14ac:dyDescent="0.25">
      <c r="A13320" t="s">
        <v>11042</v>
      </c>
      <c r="B13320" t="s">
        <v>128</v>
      </c>
      <c r="C13320" s="2">
        <f>HYPERLINK("https://cao.dolgi.msk.ru/account/1080080243/", 1080080243)</f>
        <v>1080080243</v>
      </c>
      <c r="D13320" t="s">
        <v>11109</v>
      </c>
      <c r="E13320">
        <v>-10235.700000000001</v>
      </c>
      <c r="F13320">
        <v>-1.1399999999999999</v>
      </c>
      <c r="G13320" t="s">
        <v>12</v>
      </c>
      <c r="I13320" t="s">
        <v>230</v>
      </c>
    </row>
    <row r="13321" spans="1:9" hidden="1" x14ac:dyDescent="0.25">
      <c r="A13321" t="s">
        <v>11042</v>
      </c>
      <c r="B13321" t="s">
        <v>130</v>
      </c>
      <c r="C13321" s="2">
        <f>HYPERLINK("https://cao.dolgi.msk.ru/account/1080080251/", 1080080251)</f>
        <v>1080080251</v>
      </c>
      <c r="D13321" t="s">
        <v>15</v>
      </c>
      <c r="E13321">
        <v>-10486.21</v>
      </c>
      <c r="F13321">
        <v>-0.76</v>
      </c>
      <c r="G13321" t="s">
        <v>12</v>
      </c>
      <c r="I13321" t="s">
        <v>230</v>
      </c>
    </row>
    <row r="13322" spans="1:9" hidden="1" x14ac:dyDescent="0.25">
      <c r="A13322" t="s">
        <v>11042</v>
      </c>
      <c r="B13322" t="s">
        <v>132</v>
      </c>
      <c r="C13322" s="2">
        <f>HYPERLINK("https://cao.dolgi.msk.ru/account/1080080278/", 1080080278)</f>
        <v>1080080278</v>
      </c>
      <c r="D13322" t="s">
        <v>11110</v>
      </c>
      <c r="E13322">
        <v>-13810.54</v>
      </c>
      <c r="F13322">
        <v>-1.07</v>
      </c>
      <c r="G13322" t="s">
        <v>12</v>
      </c>
      <c r="I13322" t="s">
        <v>230</v>
      </c>
    </row>
    <row r="13323" spans="1:9" hidden="1" x14ac:dyDescent="0.25">
      <c r="A13323" t="s">
        <v>11042</v>
      </c>
      <c r="B13323" t="s">
        <v>133</v>
      </c>
      <c r="C13323" s="2">
        <f>HYPERLINK("https://cao.dolgi.msk.ru/account/1080080286/", 1080080286)</f>
        <v>1080080286</v>
      </c>
      <c r="D13323" t="s">
        <v>11111</v>
      </c>
      <c r="E13323">
        <v>-71.48</v>
      </c>
      <c r="F13323">
        <v>-0.01</v>
      </c>
      <c r="G13323" t="s">
        <v>12</v>
      </c>
      <c r="I13323" t="s">
        <v>230</v>
      </c>
    </row>
    <row r="13324" spans="1:9" hidden="1" x14ac:dyDescent="0.25">
      <c r="A13324" t="s">
        <v>11042</v>
      </c>
      <c r="B13324" t="s">
        <v>135</v>
      </c>
      <c r="C13324" s="2">
        <f>HYPERLINK("https://cao.dolgi.msk.ru/account/1080080323/", 1080080323)</f>
        <v>1080080323</v>
      </c>
      <c r="D13324" t="s">
        <v>11112</v>
      </c>
      <c r="E13324">
        <v>1696.95</v>
      </c>
      <c r="F13324">
        <v>0.11</v>
      </c>
      <c r="G13324" t="s">
        <v>12</v>
      </c>
      <c r="I13324" t="s">
        <v>230</v>
      </c>
    </row>
    <row r="13325" spans="1:9" hidden="1" x14ac:dyDescent="0.25">
      <c r="A13325" t="s">
        <v>11042</v>
      </c>
      <c r="B13325" t="s">
        <v>137</v>
      </c>
      <c r="C13325" s="2">
        <f>HYPERLINK("https://cao.dolgi.msk.ru/account/1080080331/", 1080080331)</f>
        <v>1080080331</v>
      </c>
      <c r="D13325" t="s">
        <v>15</v>
      </c>
      <c r="E13325">
        <v>381.6</v>
      </c>
      <c r="G13325" t="s">
        <v>14</v>
      </c>
      <c r="I13325" t="s">
        <v>230</v>
      </c>
    </row>
    <row r="13326" spans="1:9" hidden="1" x14ac:dyDescent="0.25">
      <c r="A13326" t="s">
        <v>11042</v>
      </c>
      <c r="B13326" t="s">
        <v>137</v>
      </c>
      <c r="C13326" s="2">
        <f>HYPERLINK("https://cao.dolgi.msk.ru/account/1080080358/", 1080080358)</f>
        <v>1080080358</v>
      </c>
      <c r="D13326" t="s">
        <v>15</v>
      </c>
      <c r="G13326" t="s">
        <v>14</v>
      </c>
      <c r="I13326" t="s">
        <v>230</v>
      </c>
    </row>
    <row r="13327" spans="1:9" hidden="1" x14ac:dyDescent="0.25">
      <c r="A13327" t="s">
        <v>11042</v>
      </c>
      <c r="B13327" t="s">
        <v>139</v>
      </c>
      <c r="C13327" s="2">
        <f>HYPERLINK("https://cao.dolgi.msk.ru/account/1080080366/", 1080080366)</f>
        <v>1080080366</v>
      </c>
      <c r="D13327" t="s">
        <v>11113</v>
      </c>
      <c r="E13327">
        <v>-5910.59</v>
      </c>
      <c r="F13327">
        <v>-1.07</v>
      </c>
      <c r="G13327" t="s">
        <v>12</v>
      </c>
      <c r="I13327" t="s">
        <v>230</v>
      </c>
    </row>
    <row r="13328" spans="1:9" hidden="1" x14ac:dyDescent="0.25">
      <c r="A13328" t="s">
        <v>11042</v>
      </c>
      <c r="B13328" t="s">
        <v>11114</v>
      </c>
      <c r="C13328" s="2">
        <f>HYPERLINK("https://cao.dolgi.msk.ru/account/1083391346/", 1083391346)</f>
        <v>1083391346</v>
      </c>
      <c r="D13328" t="s">
        <v>189</v>
      </c>
      <c r="E13328">
        <v>-5175.57</v>
      </c>
      <c r="F13328">
        <v>-1.26</v>
      </c>
      <c r="G13328" t="s">
        <v>12</v>
      </c>
      <c r="I13328" t="s">
        <v>230</v>
      </c>
    </row>
    <row r="13329" spans="1:9" hidden="1" x14ac:dyDescent="0.25">
      <c r="A13329" t="s">
        <v>11042</v>
      </c>
      <c r="B13329" t="s">
        <v>141</v>
      </c>
      <c r="C13329" s="2">
        <f>HYPERLINK("https://cao.dolgi.msk.ru/account/1080080374/", 1080080374)</f>
        <v>1080080374</v>
      </c>
      <c r="D13329" t="s">
        <v>15</v>
      </c>
      <c r="G13329" t="s">
        <v>14</v>
      </c>
      <c r="I13329" t="s">
        <v>230</v>
      </c>
    </row>
    <row r="13330" spans="1:9" hidden="1" x14ac:dyDescent="0.25">
      <c r="A13330" t="s">
        <v>11042</v>
      </c>
      <c r="B13330" t="s">
        <v>143</v>
      </c>
      <c r="C13330" s="2">
        <f>HYPERLINK("https://cao.dolgi.msk.ru/account/1080080382/", 1080080382)</f>
        <v>1080080382</v>
      </c>
      <c r="D13330" t="s">
        <v>11115</v>
      </c>
      <c r="E13330">
        <v>0</v>
      </c>
      <c r="F13330">
        <v>0</v>
      </c>
      <c r="G13330" t="s">
        <v>12</v>
      </c>
      <c r="I13330" t="s">
        <v>230</v>
      </c>
    </row>
    <row r="13331" spans="1:9" hidden="1" x14ac:dyDescent="0.25">
      <c r="A13331" t="s">
        <v>11042</v>
      </c>
      <c r="B13331" t="s">
        <v>145</v>
      </c>
      <c r="C13331" s="2">
        <f>HYPERLINK("https://cao.dolgi.msk.ru/account/1080080403/", 1080080403)</f>
        <v>1080080403</v>
      </c>
      <c r="D13331" t="s">
        <v>11116</v>
      </c>
      <c r="E13331">
        <v>172.61</v>
      </c>
      <c r="F13331">
        <v>0.01</v>
      </c>
      <c r="G13331" t="s">
        <v>12</v>
      </c>
      <c r="I13331" t="s">
        <v>230</v>
      </c>
    </row>
    <row r="13332" spans="1:9" hidden="1" x14ac:dyDescent="0.25">
      <c r="A13332" t="s">
        <v>11042</v>
      </c>
      <c r="B13332" t="s">
        <v>147</v>
      </c>
      <c r="C13332" s="2">
        <f>HYPERLINK("https://cao.dolgi.msk.ru/account/1080080438/", 1080080438)</f>
        <v>1080080438</v>
      </c>
      <c r="D13332" t="s">
        <v>11117</v>
      </c>
      <c r="E13332">
        <v>-11302.26</v>
      </c>
      <c r="F13332">
        <v>-1.08</v>
      </c>
      <c r="G13332" t="s">
        <v>12</v>
      </c>
      <c r="I13332" t="s">
        <v>230</v>
      </c>
    </row>
    <row r="13333" spans="1:9" x14ac:dyDescent="0.25">
      <c r="A13333" t="s">
        <v>11042</v>
      </c>
      <c r="B13333" t="s">
        <v>149</v>
      </c>
      <c r="C13333" s="2">
        <f>HYPERLINK("https://cao.dolgi.msk.ru/account/1080080446/", 1080080446)</f>
        <v>1080080446</v>
      </c>
      <c r="D13333" t="s">
        <v>11118</v>
      </c>
      <c r="E13333">
        <v>10638.85</v>
      </c>
      <c r="F13333">
        <v>1.83</v>
      </c>
      <c r="G13333" t="s">
        <v>12</v>
      </c>
      <c r="H13333" t="s">
        <v>7</v>
      </c>
      <c r="I13333" t="s">
        <v>230</v>
      </c>
    </row>
    <row r="13334" spans="1:9" hidden="1" x14ac:dyDescent="0.25">
      <c r="A13334" t="s">
        <v>11042</v>
      </c>
      <c r="B13334" t="s">
        <v>149</v>
      </c>
      <c r="C13334" s="2">
        <f>HYPERLINK("https://cao.dolgi.msk.ru/account/1080080454/", 1080080454)</f>
        <v>1080080454</v>
      </c>
      <c r="D13334" t="s">
        <v>62</v>
      </c>
      <c r="E13334">
        <v>-595.70000000000005</v>
      </c>
      <c r="G13334" t="s">
        <v>12</v>
      </c>
      <c r="H13334" t="s">
        <v>7</v>
      </c>
      <c r="I13334" t="s">
        <v>230</v>
      </c>
    </row>
    <row r="13335" spans="1:9" hidden="1" x14ac:dyDescent="0.25">
      <c r="A13335" t="s">
        <v>11042</v>
      </c>
      <c r="B13335" t="s">
        <v>151</v>
      </c>
      <c r="C13335" s="2">
        <f>HYPERLINK("https://cao.dolgi.msk.ru/account/1080080462/", 1080080462)</f>
        <v>1080080462</v>
      </c>
      <c r="D13335" t="s">
        <v>11119</v>
      </c>
      <c r="E13335">
        <v>-15546.18</v>
      </c>
      <c r="F13335">
        <v>-1.05</v>
      </c>
      <c r="G13335" t="s">
        <v>12</v>
      </c>
      <c r="I13335" t="s">
        <v>230</v>
      </c>
    </row>
    <row r="13336" spans="1:9" hidden="1" x14ac:dyDescent="0.25">
      <c r="A13336" t="s">
        <v>11042</v>
      </c>
      <c r="B13336" t="s">
        <v>151</v>
      </c>
      <c r="C13336" s="2">
        <f>HYPERLINK("https://cao.dolgi.msk.ru/account/1080080489/", 1080080489)</f>
        <v>1080080489</v>
      </c>
      <c r="D13336" t="s">
        <v>15</v>
      </c>
      <c r="E13336">
        <v>-934.45</v>
      </c>
      <c r="G13336" t="s">
        <v>14</v>
      </c>
      <c r="I13336" t="s">
        <v>230</v>
      </c>
    </row>
    <row r="13337" spans="1:9" hidden="1" x14ac:dyDescent="0.25">
      <c r="A13337" t="s">
        <v>11042</v>
      </c>
      <c r="B13337" t="s">
        <v>153</v>
      </c>
      <c r="C13337" s="2">
        <f>HYPERLINK("https://cao.dolgi.msk.ru/account/1080080497/", 1080080497)</f>
        <v>1080080497</v>
      </c>
      <c r="D13337" t="s">
        <v>11120</v>
      </c>
      <c r="E13337">
        <v>-2203.4</v>
      </c>
      <c r="F13337">
        <v>-0.4</v>
      </c>
      <c r="G13337" t="s">
        <v>12</v>
      </c>
      <c r="I13337" t="s">
        <v>230</v>
      </c>
    </row>
    <row r="13338" spans="1:9" hidden="1" x14ac:dyDescent="0.25">
      <c r="A13338" t="s">
        <v>11042</v>
      </c>
      <c r="B13338" t="s">
        <v>155</v>
      </c>
      <c r="C13338" s="2">
        <f>HYPERLINK("https://cao.dolgi.msk.ru/account/1080080518/", 1080080518)</f>
        <v>1080080518</v>
      </c>
      <c r="D13338" t="s">
        <v>11121</v>
      </c>
      <c r="E13338">
        <v>-8573.77</v>
      </c>
      <c r="F13338">
        <v>-1.08</v>
      </c>
      <c r="G13338" t="s">
        <v>12</v>
      </c>
      <c r="I13338" t="s">
        <v>230</v>
      </c>
    </row>
    <row r="13339" spans="1:9" hidden="1" x14ac:dyDescent="0.25">
      <c r="A13339" t="s">
        <v>11042</v>
      </c>
      <c r="B13339" t="s">
        <v>155</v>
      </c>
      <c r="C13339" s="2">
        <f>HYPERLINK("https://cao.dolgi.msk.ru/account/1080080526/", 1080080526)</f>
        <v>1080080526</v>
      </c>
      <c r="D13339" t="s">
        <v>15</v>
      </c>
      <c r="G13339" t="s">
        <v>14</v>
      </c>
      <c r="I13339" t="s">
        <v>230</v>
      </c>
    </row>
    <row r="13340" spans="1:9" hidden="1" x14ac:dyDescent="0.25">
      <c r="A13340" t="s">
        <v>11042</v>
      </c>
      <c r="B13340" t="s">
        <v>157</v>
      </c>
      <c r="C13340" s="2">
        <f>HYPERLINK("https://cao.dolgi.msk.ru/account/1080080534/", 1080080534)</f>
        <v>1080080534</v>
      </c>
      <c r="D13340" t="s">
        <v>62</v>
      </c>
      <c r="E13340">
        <v>-10886.19</v>
      </c>
      <c r="F13340">
        <v>-1.35</v>
      </c>
      <c r="G13340" t="s">
        <v>12</v>
      </c>
      <c r="I13340" t="s">
        <v>230</v>
      </c>
    </row>
    <row r="13341" spans="1:9" hidden="1" x14ac:dyDescent="0.25">
      <c r="A13341" t="s">
        <v>11042</v>
      </c>
      <c r="B13341" t="s">
        <v>159</v>
      </c>
      <c r="C13341" s="2">
        <f>HYPERLINK("https://cao.dolgi.msk.ru/account/1080080542/", 1080080542)</f>
        <v>1080080542</v>
      </c>
      <c r="D13341" t="s">
        <v>11122</v>
      </c>
      <c r="E13341">
        <v>83.29</v>
      </c>
      <c r="F13341">
        <v>0.01</v>
      </c>
      <c r="G13341" t="s">
        <v>12</v>
      </c>
      <c r="I13341" t="s">
        <v>230</v>
      </c>
    </row>
    <row r="13342" spans="1:9" hidden="1" x14ac:dyDescent="0.25">
      <c r="A13342" t="s">
        <v>11042</v>
      </c>
      <c r="B13342" t="s">
        <v>161</v>
      </c>
      <c r="C13342" s="2">
        <f>HYPERLINK("https://cao.dolgi.msk.ru/account/1080080577/", 1080080577)</f>
        <v>1080080577</v>
      </c>
      <c r="D13342" t="s">
        <v>11123</v>
      </c>
      <c r="E13342">
        <v>-12911.36</v>
      </c>
      <c r="F13342">
        <v>-1.21</v>
      </c>
      <c r="G13342" t="s">
        <v>12</v>
      </c>
      <c r="I13342" t="s">
        <v>230</v>
      </c>
    </row>
    <row r="13343" spans="1:9" hidden="1" x14ac:dyDescent="0.25">
      <c r="A13343" t="s">
        <v>11042</v>
      </c>
      <c r="B13343" t="s">
        <v>163</v>
      </c>
      <c r="C13343" s="2">
        <f>HYPERLINK("https://cao.dolgi.msk.ru/account/1080080585/", 1080080585)</f>
        <v>1080080585</v>
      </c>
      <c r="D13343" t="s">
        <v>11124</v>
      </c>
      <c r="E13343">
        <v>-136.33000000000001</v>
      </c>
      <c r="F13343">
        <v>-0.01</v>
      </c>
      <c r="G13343" t="s">
        <v>12</v>
      </c>
      <c r="I13343" t="s">
        <v>230</v>
      </c>
    </row>
    <row r="13344" spans="1:9" hidden="1" x14ac:dyDescent="0.25">
      <c r="A13344" t="s">
        <v>11042</v>
      </c>
      <c r="B13344" t="s">
        <v>571</v>
      </c>
      <c r="C13344" s="2">
        <f>HYPERLINK("https://cao.dolgi.msk.ru/account/1080080593/", 1080080593)</f>
        <v>1080080593</v>
      </c>
      <c r="D13344" t="s">
        <v>11125</v>
      </c>
      <c r="E13344">
        <v>-7167.36</v>
      </c>
      <c r="F13344">
        <v>-1.24</v>
      </c>
      <c r="G13344" t="s">
        <v>12</v>
      </c>
      <c r="I13344" t="s">
        <v>230</v>
      </c>
    </row>
    <row r="13345" spans="1:9" hidden="1" x14ac:dyDescent="0.25">
      <c r="A13345" t="s">
        <v>11042</v>
      </c>
      <c r="B13345" t="s">
        <v>682</v>
      </c>
      <c r="C13345" s="2">
        <f>HYPERLINK("https://cao.dolgi.msk.ru/account/1080080606/", 1080080606)</f>
        <v>1080080606</v>
      </c>
      <c r="D13345" t="s">
        <v>15</v>
      </c>
      <c r="E13345">
        <v>0</v>
      </c>
      <c r="F13345">
        <v>0</v>
      </c>
      <c r="G13345" t="s">
        <v>12</v>
      </c>
      <c r="I13345" t="s">
        <v>230</v>
      </c>
    </row>
    <row r="13346" spans="1:9" hidden="1" x14ac:dyDescent="0.25">
      <c r="A13346" t="s">
        <v>11042</v>
      </c>
      <c r="B13346" t="s">
        <v>682</v>
      </c>
      <c r="C13346" s="2">
        <f>HYPERLINK("https://cao.dolgi.msk.ru/account/1080080614/", 1080080614)</f>
        <v>1080080614</v>
      </c>
      <c r="D13346" t="s">
        <v>15</v>
      </c>
      <c r="E13346">
        <v>0</v>
      </c>
      <c r="G13346" t="s">
        <v>14</v>
      </c>
      <c r="I13346" t="s">
        <v>230</v>
      </c>
    </row>
    <row r="13347" spans="1:9" hidden="1" x14ac:dyDescent="0.25">
      <c r="A13347" t="s">
        <v>11042</v>
      </c>
      <c r="B13347" t="s">
        <v>682</v>
      </c>
      <c r="C13347" s="2">
        <f>HYPERLINK("https://cao.dolgi.msk.ru/account/1080080622/", 1080080622)</f>
        <v>1080080622</v>
      </c>
      <c r="D13347" t="s">
        <v>15</v>
      </c>
      <c r="E13347">
        <v>0</v>
      </c>
      <c r="G13347" t="s">
        <v>14</v>
      </c>
      <c r="I13347" t="s">
        <v>230</v>
      </c>
    </row>
    <row r="13348" spans="1:9" hidden="1" x14ac:dyDescent="0.25">
      <c r="A13348" t="s">
        <v>11042</v>
      </c>
      <c r="B13348" t="s">
        <v>682</v>
      </c>
      <c r="C13348" s="2">
        <f>HYPERLINK("https://cao.dolgi.msk.ru/account/1080080649/", 1080080649)</f>
        <v>1080080649</v>
      </c>
      <c r="D13348" t="s">
        <v>15</v>
      </c>
      <c r="E13348">
        <v>0</v>
      </c>
      <c r="G13348" t="s">
        <v>14</v>
      </c>
      <c r="I13348" t="s">
        <v>230</v>
      </c>
    </row>
    <row r="13349" spans="1:9" hidden="1" x14ac:dyDescent="0.25">
      <c r="A13349" t="s">
        <v>11042</v>
      </c>
      <c r="B13349" t="s">
        <v>682</v>
      </c>
      <c r="C13349" s="2">
        <f>HYPERLINK("https://cao.dolgi.msk.ru/account/1083370326/", 1083370326)</f>
        <v>1083370326</v>
      </c>
      <c r="D13349" t="s">
        <v>15</v>
      </c>
      <c r="E13349">
        <v>0</v>
      </c>
      <c r="F13349">
        <v>0</v>
      </c>
      <c r="G13349" t="s">
        <v>14</v>
      </c>
      <c r="I13349" t="s">
        <v>230</v>
      </c>
    </row>
    <row r="13350" spans="1:9" hidden="1" x14ac:dyDescent="0.25">
      <c r="A13350" t="s">
        <v>11042</v>
      </c>
      <c r="B13350" t="s">
        <v>578</v>
      </c>
      <c r="C13350" s="2">
        <f>HYPERLINK("https://cao.dolgi.msk.ru/account/1080080569/", 1080080569)</f>
        <v>1080080569</v>
      </c>
      <c r="D13350" t="s">
        <v>11126</v>
      </c>
      <c r="E13350">
        <v>52.35</v>
      </c>
      <c r="F13350">
        <v>0</v>
      </c>
      <c r="G13350" t="s">
        <v>12</v>
      </c>
      <c r="I13350" t="s">
        <v>230</v>
      </c>
    </row>
    <row r="13351" spans="1:9" hidden="1" x14ac:dyDescent="0.25">
      <c r="A13351" t="s">
        <v>11042</v>
      </c>
      <c r="B13351" t="s">
        <v>580</v>
      </c>
      <c r="C13351" s="2">
        <f>HYPERLINK("https://cao.dolgi.msk.ru/account/1080080657/", 1080080657)</f>
        <v>1080080657</v>
      </c>
      <c r="D13351" t="s">
        <v>11127</v>
      </c>
      <c r="E13351">
        <v>-18802.34</v>
      </c>
      <c r="F13351">
        <v>-1.0900000000000001</v>
      </c>
      <c r="G13351" t="s">
        <v>12</v>
      </c>
      <c r="I13351" t="s">
        <v>230</v>
      </c>
    </row>
    <row r="13352" spans="1:9" hidden="1" x14ac:dyDescent="0.25">
      <c r="A13352" t="s">
        <v>11042</v>
      </c>
      <c r="B13352" t="s">
        <v>686</v>
      </c>
      <c r="C13352" s="2">
        <f>HYPERLINK("https://cao.dolgi.msk.ru/account/1080080665/", 1080080665)</f>
        <v>1080080665</v>
      </c>
      <c r="D13352" t="s">
        <v>11128</v>
      </c>
      <c r="E13352">
        <v>-10454.530000000001</v>
      </c>
      <c r="F13352">
        <v>-1.1100000000000001</v>
      </c>
      <c r="G13352" t="s">
        <v>12</v>
      </c>
      <c r="I13352" t="s">
        <v>230</v>
      </c>
    </row>
    <row r="13353" spans="1:9" hidden="1" x14ac:dyDescent="0.25">
      <c r="A13353" t="s">
        <v>11042</v>
      </c>
      <c r="B13353" t="s">
        <v>582</v>
      </c>
      <c r="C13353" s="2">
        <f>HYPERLINK("https://cao.dolgi.msk.ru/account/1080080673/", 1080080673)</f>
        <v>1080080673</v>
      </c>
      <c r="D13353" t="s">
        <v>11129</v>
      </c>
      <c r="E13353">
        <v>-12619.52</v>
      </c>
      <c r="F13353">
        <v>-1.1499999999999999</v>
      </c>
      <c r="G13353" t="s">
        <v>12</v>
      </c>
      <c r="I13353" t="s">
        <v>230</v>
      </c>
    </row>
    <row r="13354" spans="1:9" hidden="1" x14ac:dyDescent="0.25">
      <c r="A13354" t="s">
        <v>11042</v>
      </c>
      <c r="B13354" t="s">
        <v>584</v>
      </c>
      <c r="C13354" s="2">
        <f>HYPERLINK("https://cao.dolgi.msk.ru/account/1080080681/", 1080080681)</f>
        <v>1080080681</v>
      </c>
      <c r="D13354" t="s">
        <v>11130</v>
      </c>
      <c r="E13354">
        <v>-18244.93</v>
      </c>
      <c r="F13354">
        <v>-1.44</v>
      </c>
      <c r="G13354" t="s">
        <v>12</v>
      </c>
      <c r="I13354" t="s">
        <v>230</v>
      </c>
    </row>
    <row r="13355" spans="1:9" hidden="1" x14ac:dyDescent="0.25">
      <c r="A13355" t="s">
        <v>11042</v>
      </c>
      <c r="B13355" t="s">
        <v>586</v>
      </c>
      <c r="C13355" s="2">
        <f>HYPERLINK("https://cao.dolgi.msk.ru/account/1080080702/", 1080080702)</f>
        <v>1080080702</v>
      </c>
      <c r="D13355" t="s">
        <v>11131</v>
      </c>
      <c r="E13355">
        <v>-12061.11</v>
      </c>
      <c r="F13355">
        <v>-1.1200000000000001</v>
      </c>
      <c r="G13355" t="s">
        <v>12</v>
      </c>
      <c r="I13355" t="s">
        <v>230</v>
      </c>
    </row>
    <row r="13356" spans="1:9" hidden="1" x14ac:dyDescent="0.25">
      <c r="A13356" t="s">
        <v>11042</v>
      </c>
      <c r="B13356" t="s">
        <v>588</v>
      </c>
      <c r="C13356" s="2">
        <f>HYPERLINK("https://cao.dolgi.msk.ru/account/1080080729/", 1080080729)</f>
        <v>1080080729</v>
      </c>
      <c r="D13356" t="s">
        <v>15</v>
      </c>
      <c r="E13356">
        <v>0</v>
      </c>
      <c r="F13356">
        <v>0</v>
      </c>
      <c r="G13356" t="s">
        <v>14</v>
      </c>
      <c r="I13356" t="s">
        <v>230</v>
      </c>
    </row>
    <row r="13357" spans="1:9" hidden="1" x14ac:dyDescent="0.25">
      <c r="A13357" t="s">
        <v>11042</v>
      </c>
      <c r="B13357" t="s">
        <v>588</v>
      </c>
      <c r="C13357" s="2">
        <f>HYPERLINK("https://cao.dolgi.msk.ru/account/1083278001/", 1083278001)</f>
        <v>1083278001</v>
      </c>
      <c r="D13357" t="s">
        <v>11132</v>
      </c>
      <c r="E13357">
        <v>-7444.03</v>
      </c>
      <c r="F13357">
        <v>-0.99</v>
      </c>
      <c r="G13357" t="s">
        <v>12</v>
      </c>
      <c r="I13357" t="s">
        <v>230</v>
      </c>
    </row>
    <row r="13358" spans="1:9" hidden="1" x14ac:dyDescent="0.25">
      <c r="A13358" t="s">
        <v>11042</v>
      </c>
      <c r="B13358" t="s">
        <v>590</v>
      </c>
      <c r="C13358" s="2">
        <f>HYPERLINK("https://cao.dolgi.msk.ru/account/1080080737/", 1080080737)</f>
        <v>1080080737</v>
      </c>
      <c r="D13358" t="s">
        <v>11133</v>
      </c>
      <c r="E13358">
        <v>-8629.18</v>
      </c>
      <c r="F13358">
        <v>-1.0900000000000001</v>
      </c>
      <c r="G13358" t="s">
        <v>12</v>
      </c>
      <c r="I13358" t="s">
        <v>230</v>
      </c>
    </row>
    <row r="13359" spans="1:9" hidden="1" x14ac:dyDescent="0.25">
      <c r="A13359" t="s">
        <v>11042</v>
      </c>
      <c r="B13359" t="s">
        <v>693</v>
      </c>
      <c r="C13359" s="2">
        <f>HYPERLINK("https://cao.dolgi.msk.ru/account/1080079437/", 1080079437)</f>
        <v>1080079437</v>
      </c>
      <c r="D13359" t="s">
        <v>15</v>
      </c>
      <c r="E13359">
        <v>0</v>
      </c>
      <c r="G13359" t="s">
        <v>14</v>
      </c>
      <c r="I13359" t="s">
        <v>230</v>
      </c>
    </row>
    <row r="13360" spans="1:9" hidden="1" x14ac:dyDescent="0.25">
      <c r="A13360" t="s">
        <v>11042</v>
      </c>
      <c r="B13360" t="s">
        <v>694</v>
      </c>
      <c r="C13360" s="2">
        <f>HYPERLINK("https://cao.dolgi.msk.ru/account/1080080745/", 1080080745)</f>
        <v>1080080745</v>
      </c>
      <c r="D13360" t="s">
        <v>11134</v>
      </c>
      <c r="E13360">
        <v>-8539.3799999999992</v>
      </c>
      <c r="F13360">
        <v>-1.1499999999999999</v>
      </c>
      <c r="G13360" t="s">
        <v>12</v>
      </c>
      <c r="I13360" t="s">
        <v>230</v>
      </c>
    </row>
    <row r="13361" spans="1:9" hidden="1" x14ac:dyDescent="0.25">
      <c r="A13361" t="s">
        <v>11042</v>
      </c>
      <c r="B13361" t="s">
        <v>696</v>
      </c>
      <c r="C13361" s="2">
        <f>HYPERLINK("https://cao.dolgi.msk.ru/account/1080080753/", 1080080753)</f>
        <v>1080080753</v>
      </c>
      <c r="D13361" t="s">
        <v>11135</v>
      </c>
      <c r="E13361">
        <v>3425.8</v>
      </c>
      <c r="F13361">
        <v>0.28999999999999998</v>
      </c>
      <c r="G13361" t="s">
        <v>12</v>
      </c>
      <c r="I13361" t="s">
        <v>230</v>
      </c>
    </row>
    <row r="13362" spans="1:9" hidden="1" x14ac:dyDescent="0.25">
      <c r="A13362" t="s">
        <v>11042</v>
      </c>
      <c r="B13362" t="s">
        <v>698</v>
      </c>
      <c r="C13362" s="2">
        <f>HYPERLINK("https://cao.dolgi.msk.ru/account/1080080761/", 1080080761)</f>
        <v>1080080761</v>
      </c>
      <c r="D13362" t="s">
        <v>11136</v>
      </c>
      <c r="E13362">
        <v>0</v>
      </c>
      <c r="F13362">
        <v>0</v>
      </c>
      <c r="G13362" t="s">
        <v>12</v>
      </c>
      <c r="I13362" t="s">
        <v>230</v>
      </c>
    </row>
    <row r="13363" spans="1:9" hidden="1" x14ac:dyDescent="0.25">
      <c r="A13363" t="s">
        <v>11042</v>
      </c>
      <c r="B13363" t="s">
        <v>700</v>
      </c>
      <c r="C13363" s="2">
        <f>HYPERLINK("https://cao.dolgi.msk.ru/account/1080080788/", 1080080788)</f>
        <v>1080080788</v>
      </c>
      <c r="D13363" t="s">
        <v>11137</v>
      </c>
      <c r="E13363">
        <v>-10332.07</v>
      </c>
      <c r="F13363">
        <v>-1.1399999999999999</v>
      </c>
      <c r="G13363" t="s">
        <v>12</v>
      </c>
      <c r="I13363" t="s">
        <v>230</v>
      </c>
    </row>
    <row r="13364" spans="1:9" hidden="1" x14ac:dyDescent="0.25">
      <c r="A13364" t="s">
        <v>11042</v>
      </c>
      <c r="B13364" t="s">
        <v>700</v>
      </c>
      <c r="C13364" s="2">
        <f>HYPERLINK("https://cao.dolgi.msk.ru/account/1083270798/", 1083270798)</f>
        <v>1083270798</v>
      </c>
      <c r="D13364" t="s">
        <v>15</v>
      </c>
      <c r="G13364" t="s">
        <v>14</v>
      </c>
      <c r="I13364" t="s">
        <v>230</v>
      </c>
    </row>
    <row r="13365" spans="1:9" hidden="1" x14ac:dyDescent="0.25">
      <c r="A13365" t="s">
        <v>11042</v>
      </c>
      <c r="B13365" t="s">
        <v>702</v>
      </c>
      <c r="C13365" s="2">
        <f>HYPERLINK("https://cao.dolgi.msk.ru/account/1080080796/", 1080080796)</f>
        <v>1080080796</v>
      </c>
      <c r="D13365" t="s">
        <v>11138</v>
      </c>
      <c r="E13365">
        <v>-13245.52</v>
      </c>
      <c r="F13365">
        <v>-1.25</v>
      </c>
      <c r="G13365" t="s">
        <v>12</v>
      </c>
      <c r="I13365" t="s">
        <v>230</v>
      </c>
    </row>
    <row r="13366" spans="1:9" hidden="1" x14ac:dyDescent="0.25">
      <c r="A13366" t="s">
        <v>11042</v>
      </c>
      <c r="B13366" t="s">
        <v>703</v>
      </c>
      <c r="C13366" s="2">
        <f>HYPERLINK("https://cao.dolgi.msk.ru/account/1080080809/", 1080080809)</f>
        <v>1080080809</v>
      </c>
      <c r="D13366" t="s">
        <v>11139</v>
      </c>
      <c r="E13366">
        <v>-19481.45</v>
      </c>
      <c r="F13366">
        <v>-1.24</v>
      </c>
      <c r="G13366" t="s">
        <v>12</v>
      </c>
      <c r="I13366" t="s">
        <v>230</v>
      </c>
    </row>
    <row r="13367" spans="1:9" hidden="1" x14ac:dyDescent="0.25">
      <c r="A13367" t="s">
        <v>11042</v>
      </c>
      <c r="B13367" t="s">
        <v>11140</v>
      </c>
      <c r="C13367" s="2">
        <f>HYPERLINK("https://cao.dolgi.msk.ru/account/1080080817/", 1080080817)</f>
        <v>1080080817</v>
      </c>
      <c r="D13367" t="s">
        <v>15</v>
      </c>
      <c r="E13367">
        <v>-27271.47</v>
      </c>
      <c r="F13367">
        <v>-1.47</v>
      </c>
      <c r="G13367" t="s">
        <v>12</v>
      </c>
      <c r="I13367" t="s">
        <v>230</v>
      </c>
    </row>
    <row r="13368" spans="1:9" hidden="1" x14ac:dyDescent="0.25">
      <c r="A13368" t="s">
        <v>11042</v>
      </c>
      <c r="B13368" t="s">
        <v>11141</v>
      </c>
      <c r="C13368" s="2">
        <f>HYPERLINK("https://cao.dolgi.msk.ru/account/1080080825/", 1080080825)</f>
        <v>1080080825</v>
      </c>
      <c r="D13368" t="s">
        <v>15</v>
      </c>
      <c r="E13368">
        <v>-282.07</v>
      </c>
      <c r="F13368">
        <v>-0.01</v>
      </c>
      <c r="G13368" t="s">
        <v>12</v>
      </c>
      <c r="I13368" t="s">
        <v>230</v>
      </c>
    </row>
    <row r="13369" spans="1:9" hidden="1" x14ac:dyDescent="0.25">
      <c r="A13369" t="s">
        <v>11042</v>
      </c>
      <c r="B13369" t="s">
        <v>713</v>
      </c>
      <c r="C13369" s="2">
        <f>HYPERLINK("https://cao.dolgi.msk.ru/account/1080080841/", 1080080841)</f>
        <v>1080080841</v>
      </c>
      <c r="D13369" t="s">
        <v>11142</v>
      </c>
      <c r="E13369">
        <v>-54.39</v>
      </c>
      <c r="F13369">
        <v>-0.01</v>
      </c>
      <c r="G13369" t="s">
        <v>12</v>
      </c>
      <c r="I13369" t="s">
        <v>230</v>
      </c>
    </row>
    <row r="13370" spans="1:9" hidden="1" x14ac:dyDescent="0.25">
      <c r="A13370" t="s">
        <v>11042</v>
      </c>
      <c r="B13370" t="s">
        <v>528</v>
      </c>
      <c r="C13370" s="2">
        <f>HYPERLINK("https://cao.dolgi.msk.ru/account/1080080868/", 1080080868)</f>
        <v>1080080868</v>
      </c>
      <c r="D13370" t="s">
        <v>11143</v>
      </c>
      <c r="E13370">
        <v>-13949.32</v>
      </c>
      <c r="F13370">
        <v>-2.27</v>
      </c>
      <c r="G13370" t="s">
        <v>12</v>
      </c>
      <c r="I13370" t="s">
        <v>230</v>
      </c>
    </row>
    <row r="13371" spans="1:9" hidden="1" x14ac:dyDescent="0.25">
      <c r="A13371" t="s">
        <v>11042</v>
      </c>
      <c r="B13371" t="s">
        <v>530</v>
      </c>
      <c r="C13371" s="2">
        <f>HYPERLINK("https://cao.dolgi.msk.ru/account/1080080876/", 1080080876)</f>
        <v>1080080876</v>
      </c>
      <c r="D13371" t="s">
        <v>11144</v>
      </c>
      <c r="E13371">
        <v>-12399.46</v>
      </c>
      <c r="F13371">
        <v>-1.1200000000000001</v>
      </c>
      <c r="G13371" t="s">
        <v>12</v>
      </c>
      <c r="I13371" t="s">
        <v>230</v>
      </c>
    </row>
    <row r="13372" spans="1:9" hidden="1" x14ac:dyDescent="0.25">
      <c r="A13372" t="s">
        <v>11042</v>
      </c>
      <c r="B13372" t="s">
        <v>532</v>
      </c>
      <c r="C13372" s="2">
        <f>HYPERLINK("https://cao.dolgi.msk.ru/account/1080080884/", 1080080884)</f>
        <v>1080080884</v>
      </c>
      <c r="D13372" t="s">
        <v>11145</v>
      </c>
      <c r="E13372">
        <v>-11759.1</v>
      </c>
      <c r="F13372">
        <v>-0.69</v>
      </c>
      <c r="G13372" t="s">
        <v>12</v>
      </c>
      <c r="I13372" t="s">
        <v>230</v>
      </c>
    </row>
    <row r="13373" spans="1:9" hidden="1" x14ac:dyDescent="0.25">
      <c r="A13373" t="s">
        <v>11042</v>
      </c>
      <c r="B13373" t="s">
        <v>534</v>
      </c>
      <c r="C13373" s="2">
        <f>HYPERLINK("https://cao.dolgi.msk.ru/account/1080080892/", 1080080892)</f>
        <v>1080080892</v>
      </c>
      <c r="D13373" t="s">
        <v>11146</v>
      </c>
      <c r="E13373">
        <v>-9936.68</v>
      </c>
      <c r="F13373">
        <v>-0.95</v>
      </c>
      <c r="G13373" t="s">
        <v>12</v>
      </c>
      <c r="I13373" t="s">
        <v>230</v>
      </c>
    </row>
    <row r="13374" spans="1:9" hidden="1" x14ac:dyDescent="0.25">
      <c r="A13374" t="s">
        <v>11042</v>
      </c>
      <c r="B13374" t="s">
        <v>536</v>
      </c>
      <c r="C13374" s="2">
        <f>HYPERLINK("https://cao.dolgi.msk.ru/account/1080080913/", 1080080913)</f>
        <v>1080080913</v>
      </c>
      <c r="D13374" t="s">
        <v>11147</v>
      </c>
      <c r="E13374">
        <v>-6958.74</v>
      </c>
      <c r="F13374">
        <v>-1.2</v>
      </c>
      <c r="G13374" t="s">
        <v>12</v>
      </c>
      <c r="I13374" t="s">
        <v>230</v>
      </c>
    </row>
    <row r="13375" spans="1:9" hidden="1" x14ac:dyDescent="0.25">
      <c r="A13375" t="s">
        <v>11042</v>
      </c>
      <c r="B13375" t="s">
        <v>538</v>
      </c>
      <c r="C13375" s="2">
        <f>HYPERLINK("https://cao.dolgi.msk.ru/account/1080080921/", 1080080921)</f>
        <v>1080080921</v>
      </c>
      <c r="D13375" t="s">
        <v>11148</v>
      </c>
      <c r="E13375">
        <v>-14531.39</v>
      </c>
      <c r="F13375">
        <v>-5.14</v>
      </c>
      <c r="G13375" t="s">
        <v>12</v>
      </c>
      <c r="H13375" t="s">
        <v>7</v>
      </c>
      <c r="I13375" t="s">
        <v>230</v>
      </c>
    </row>
    <row r="13376" spans="1:9" x14ac:dyDescent="0.25">
      <c r="A13376" t="s">
        <v>11042</v>
      </c>
      <c r="B13376" t="s">
        <v>538</v>
      </c>
      <c r="C13376" s="2">
        <f>HYPERLINK("https://cao.dolgi.msk.ru/account/1080080948/", 1080080948)</f>
        <v>1080080948</v>
      </c>
      <c r="D13376" t="s">
        <v>11148</v>
      </c>
      <c r="E13376">
        <v>4133.34</v>
      </c>
      <c r="F13376">
        <v>1.74</v>
      </c>
      <c r="G13376" t="s">
        <v>12</v>
      </c>
      <c r="H13376" t="s">
        <v>7</v>
      </c>
      <c r="I13376" t="s">
        <v>230</v>
      </c>
    </row>
    <row r="13377" spans="1:9" x14ac:dyDescent="0.25">
      <c r="A13377" t="s">
        <v>11042</v>
      </c>
      <c r="B13377" t="s">
        <v>538</v>
      </c>
      <c r="C13377" s="2">
        <f>HYPERLINK("https://cao.dolgi.msk.ru/account/1080080956/", 1080080956)</f>
        <v>1080080956</v>
      </c>
      <c r="D13377" t="s">
        <v>11149</v>
      </c>
      <c r="E13377">
        <v>20854.91</v>
      </c>
      <c r="F13377">
        <v>5.36</v>
      </c>
      <c r="G13377" t="s">
        <v>12</v>
      </c>
      <c r="H13377" t="s">
        <v>7</v>
      </c>
      <c r="I13377" t="s">
        <v>230</v>
      </c>
    </row>
    <row r="13378" spans="1:9" hidden="1" x14ac:dyDescent="0.25">
      <c r="A13378" t="s">
        <v>11042</v>
      </c>
      <c r="B13378" t="s">
        <v>539</v>
      </c>
      <c r="C13378" s="2">
        <f>HYPERLINK("https://cao.dolgi.msk.ru/account/1080080964/", 1080080964)</f>
        <v>1080080964</v>
      </c>
      <c r="D13378" t="s">
        <v>11150</v>
      </c>
      <c r="E13378">
        <v>-1567.99</v>
      </c>
      <c r="F13378">
        <v>-0.14000000000000001</v>
      </c>
      <c r="G13378" t="s">
        <v>12</v>
      </c>
      <c r="I13378" t="s">
        <v>230</v>
      </c>
    </row>
    <row r="13379" spans="1:9" hidden="1" x14ac:dyDescent="0.25">
      <c r="A13379" t="s">
        <v>11042</v>
      </c>
      <c r="B13379" t="s">
        <v>541</v>
      </c>
      <c r="C13379" s="2">
        <f>HYPERLINK("https://cao.dolgi.msk.ru/account/1080080972/", 1080080972)</f>
        <v>1080080972</v>
      </c>
      <c r="D13379" t="s">
        <v>11151</v>
      </c>
      <c r="E13379">
        <v>-14526.02</v>
      </c>
      <c r="F13379">
        <v>-2.06</v>
      </c>
      <c r="G13379" t="s">
        <v>12</v>
      </c>
      <c r="I13379" t="s">
        <v>230</v>
      </c>
    </row>
    <row r="13380" spans="1:9" hidden="1" x14ac:dyDescent="0.25">
      <c r="A13380" t="s">
        <v>11042</v>
      </c>
      <c r="B13380" t="s">
        <v>543</v>
      </c>
      <c r="C13380" s="2">
        <f>HYPERLINK("https://cao.dolgi.msk.ru/account/1080080999/", 1080080999)</f>
        <v>1080080999</v>
      </c>
      <c r="D13380" t="s">
        <v>62</v>
      </c>
      <c r="E13380">
        <v>537.02</v>
      </c>
      <c r="F13380">
        <v>0.25</v>
      </c>
      <c r="G13380" t="s">
        <v>12</v>
      </c>
      <c r="H13380" t="s">
        <v>7</v>
      </c>
      <c r="I13380" t="s">
        <v>230</v>
      </c>
    </row>
    <row r="13381" spans="1:9" hidden="1" x14ac:dyDescent="0.25">
      <c r="A13381" t="s">
        <v>11042</v>
      </c>
      <c r="B13381" t="s">
        <v>543</v>
      </c>
      <c r="C13381" s="2">
        <f>HYPERLINK("https://cao.dolgi.msk.ru/account/1080081019/", 1080081019)</f>
        <v>1080081019</v>
      </c>
      <c r="D13381" t="s">
        <v>11152</v>
      </c>
      <c r="E13381">
        <v>-83.34</v>
      </c>
      <c r="G13381" t="s">
        <v>14</v>
      </c>
      <c r="H13381" t="s">
        <v>7</v>
      </c>
      <c r="I13381" t="s">
        <v>230</v>
      </c>
    </row>
    <row r="13382" spans="1:9" hidden="1" x14ac:dyDescent="0.25">
      <c r="A13382" t="s">
        <v>11042</v>
      </c>
      <c r="B13382" t="s">
        <v>543</v>
      </c>
      <c r="C13382" s="2">
        <f>HYPERLINK("https://cao.dolgi.msk.ru/account/1083271467/", 1083271467)</f>
        <v>1083271467</v>
      </c>
      <c r="D13382" t="s">
        <v>15</v>
      </c>
      <c r="E13382">
        <v>179.72</v>
      </c>
      <c r="F13382">
        <v>0.04</v>
      </c>
      <c r="G13382" t="s">
        <v>12</v>
      </c>
      <c r="H13382" t="s">
        <v>7</v>
      </c>
      <c r="I13382" t="s">
        <v>230</v>
      </c>
    </row>
    <row r="13383" spans="1:9" hidden="1" x14ac:dyDescent="0.25">
      <c r="A13383" t="s">
        <v>11042</v>
      </c>
      <c r="B13383" t="s">
        <v>545</v>
      </c>
      <c r="C13383" s="2">
        <f>HYPERLINK("https://cao.dolgi.msk.ru/account/1080081027/", 1080081027)</f>
        <v>1080081027</v>
      </c>
      <c r="D13383" t="s">
        <v>11153</v>
      </c>
      <c r="E13383">
        <v>-5022.42</v>
      </c>
      <c r="F13383">
        <v>-1.08</v>
      </c>
      <c r="G13383" t="s">
        <v>12</v>
      </c>
      <c r="I13383" t="s">
        <v>230</v>
      </c>
    </row>
    <row r="13384" spans="1:9" hidden="1" x14ac:dyDescent="0.25">
      <c r="A13384" t="s">
        <v>11042</v>
      </c>
      <c r="B13384" t="s">
        <v>546</v>
      </c>
      <c r="C13384" s="2">
        <f>HYPERLINK("https://cao.dolgi.msk.ru/account/1080081035/", 1080081035)</f>
        <v>1080081035</v>
      </c>
      <c r="D13384" t="s">
        <v>11154</v>
      </c>
      <c r="E13384">
        <v>-10280.280000000001</v>
      </c>
      <c r="F13384">
        <v>-1.3</v>
      </c>
      <c r="G13384" t="s">
        <v>12</v>
      </c>
      <c r="I13384" t="s">
        <v>230</v>
      </c>
    </row>
    <row r="13385" spans="1:9" hidden="1" x14ac:dyDescent="0.25">
      <c r="A13385" t="s">
        <v>11042</v>
      </c>
      <c r="B13385" t="s">
        <v>548</v>
      </c>
      <c r="C13385" s="2">
        <f>HYPERLINK("https://cao.dolgi.msk.ru/account/1080081043/", 1080081043)</f>
        <v>1080081043</v>
      </c>
      <c r="D13385" t="s">
        <v>11155</v>
      </c>
      <c r="E13385">
        <v>-19208.09</v>
      </c>
      <c r="F13385">
        <v>-1.78</v>
      </c>
      <c r="G13385" t="s">
        <v>12</v>
      </c>
      <c r="I13385" t="s">
        <v>230</v>
      </c>
    </row>
    <row r="13386" spans="1:9" hidden="1" x14ac:dyDescent="0.25">
      <c r="A13386" t="s">
        <v>11042</v>
      </c>
      <c r="B13386" t="s">
        <v>727</v>
      </c>
      <c r="C13386" s="2">
        <f>HYPERLINK("https://cao.dolgi.msk.ru/account/1080081051/", 1080081051)</f>
        <v>1080081051</v>
      </c>
      <c r="D13386" t="s">
        <v>11156</v>
      </c>
      <c r="E13386">
        <v>1756.21</v>
      </c>
      <c r="F13386">
        <v>0.9</v>
      </c>
      <c r="G13386" t="s">
        <v>12</v>
      </c>
      <c r="I13386" t="s">
        <v>230</v>
      </c>
    </row>
    <row r="13387" spans="1:9" hidden="1" x14ac:dyDescent="0.25">
      <c r="A13387" t="s">
        <v>11042</v>
      </c>
      <c r="B13387" t="s">
        <v>727</v>
      </c>
      <c r="C13387" s="2">
        <f>HYPERLINK("https://cao.dolgi.msk.ru/account/1089131414/", 1089131414)</f>
        <v>1089131414</v>
      </c>
      <c r="D13387" t="s">
        <v>15</v>
      </c>
      <c r="E13387">
        <v>2643.55</v>
      </c>
      <c r="F13387">
        <v>0.56999999999999995</v>
      </c>
      <c r="G13387" t="s">
        <v>12</v>
      </c>
      <c r="I13387" t="s">
        <v>230</v>
      </c>
    </row>
    <row r="13388" spans="1:9" hidden="1" x14ac:dyDescent="0.25">
      <c r="A13388" t="s">
        <v>11042</v>
      </c>
      <c r="B13388" t="s">
        <v>551</v>
      </c>
      <c r="C13388" s="2">
        <f>HYPERLINK("https://cao.dolgi.msk.ru/account/1080081078/", 1080081078)</f>
        <v>1080081078</v>
      </c>
      <c r="D13388" t="s">
        <v>11157</v>
      </c>
      <c r="E13388">
        <v>-187.68</v>
      </c>
      <c r="F13388">
        <v>-0.05</v>
      </c>
      <c r="G13388" t="s">
        <v>12</v>
      </c>
      <c r="I13388" t="s">
        <v>230</v>
      </c>
    </row>
    <row r="13389" spans="1:9" hidden="1" x14ac:dyDescent="0.25">
      <c r="A13389" t="s">
        <v>11042</v>
      </c>
      <c r="B13389" t="s">
        <v>730</v>
      </c>
      <c r="C13389" s="2">
        <f>HYPERLINK("https://cao.dolgi.msk.ru/account/1080081086/", 1080081086)</f>
        <v>1080081086</v>
      </c>
      <c r="D13389" t="s">
        <v>11158</v>
      </c>
      <c r="E13389">
        <v>19563.79</v>
      </c>
      <c r="F13389">
        <v>0.99</v>
      </c>
      <c r="G13389" t="s">
        <v>12</v>
      </c>
      <c r="I13389" t="s">
        <v>230</v>
      </c>
    </row>
    <row r="13390" spans="1:9" hidden="1" x14ac:dyDescent="0.25">
      <c r="A13390" t="s">
        <v>11042</v>
      </c>
      <c r="B13390" t="s">
        <v>732</v>
      </c>
      <c r="C13390" s="2">
        <f>HYPERLINK("https://cao.dolgi.msk.ru/account/1080081094/", 1080081094)</f>
        <v>1080081094</v>
      </c>
      <c r="D13390" t="s">
        <v>11159</v>
      </c>
      <c r="E13390">
        <v>-15.9</v>
      </c>
      <c r="F13390">
        <v>0</v>
      </c>
      <c r="G13390" t="s">
        <v>12</v>
      </c>
      <c r="I13390" t="s">
        <v>230</v>
      </c>
    </row>
    <row r="13391" spans="1:9" hidden="1" x14ac:dyDescent="0.25">
      <c r="A13391" t="s">
        <v>11042</v>
      </c>
      <c r="B13391" t="s">
        <v>553</v>
      </c>
      <c r="C13391" s="2">
        <f>HYPERLINK("https://cao.dolgi.msk.ru/account/1080081115/", 1080081115)</f>
        <v>1080081115</v>
      </c>
      <c r="D13391" t="s">
        <v>11160</v>
      </c>
      <c r="E13391">
        <v>-1526.13</v>
      </c>
      <c r="F13391">
        <v>-0.21</v>
      </c>
      <c r="G13391" t="s">
        <v>12</v>
      </c>
      <c r="I13391" t="s">
        <v>230</v>
      </c>
    </row>
    <row r="13392" spans="1:9" hidden="1" x14ac:dyDescent="0.25">
      <c r="A13392" t="s">
        <v>11042</v>
      </c>
      <c r="B13392" t="s">
        <v>555</v>
      </c>
      <c r="C13392" s="2">
        <f>HYPERLINK("https://cao.dolgi.msk.ru/account/1080081123/", 1080081123)</f>
        <v>1080081123</v>
      </c>
      <c r="D13392" t="s">
        <v>11161</v>
      </c>
      <c r="E13392">
        <v>0</v>
      </c>
      <c r="F13392">
        <v>0</v>
      </c>
      <c r="G13392" t="s">
        <v>12</v>
      </c>
      <c r="I13392" t="s">
        <v>230</v>
      </c>
    </row>
    <row r="13393" spans="1:9" hidden="1" x14ac:dyDescent="0.25">
      <c r="A13393" t="s">
        <v>11042</v>
      </c>
      <c r="B13393" t="s">
        <v>736</v>
      </c>
      <c r="C13393" s="2">
        <f>HYPERLINK("https://cao.dolgi.msk.ru/account/1080081131/", 1080081131)</f>
        <v>1080081131</v>
      </c>
      <c r="D13393" t="s">
        <v>11162</v>
      </c>
      <c r="E13393">
        <v>-93.55</v>
      </c>
      <c r="F13393">
        <v>-0.01</v>
      </c>
      <c r="G13393" t="s">
        <v>12</v>
      </c>
      <c r="I13393" t="s">
        <v>230</v>
      </c>
    </row>
    <row r="13394" spans="1:9" hidden="1" x14ac:dyDescent="0.25">
      <c r="A13394" t="s">
        <v>11042</v>
      </c>
      <c r="B13394" t="s">
        <v>738</v>
      </c>
      <c r="C13394" s="2">
        <f>HYPERLINK("https://cao.dolgi.msk.ru/account/1080081158/", 1080081158)</f>
        <v>1080081158</v>
      </c>
      <c r="D13394" t="s">
        <v>11163</v>
      </c>
      <c r="E13394">
        <v>-9160.52</v>
      </c>
      <c r="F13394">
        <v>-1.1000000000000001</v>
      </c>
      <c r="G13394" t="s">
        <v>12</v>
      </c>
      <c r="I13394" t="s">
        <v>230</v>
      </c>
    </row>
    <row r="13395" spans="1:9" hidden="1" x14ac:dyDescent="0.25">
      <c r="A13395" t="s">
        <v>11042</v>
      </c>
      <c r="B13395" t="s">
        <v>740</v>
      </c>
      <c r="C13395" s="2">
        <f>HYPERLINK("https://cao.dolgi.msk.ru/account/1080081166/", 1080081166)</f>
        <v>1080081166</v>
      </c>
      <c r="D13395" t="s">
        <v>11164</v>
      </c>
      <c r="E13395">
        <v>-8614.4699999999993</v>
      </c>
      <c r="F13395">
        <v>-1.21</v>
      </c>
      <c r="G13395" t="s">
        <v>12</v>
      </c>
      <c r="I13395" t="s">
        <v>230</v>
      </c>
    </row>
    <row r="13396" spans="1:9" hidden="1" x14ac:dyDescent="0.25">
      <c r="A13396" t="s">
        <v>11042</v>
      </c>
      <c r="B13396" t="s">
        <v>742</v>
      </c>
      <c r="C13396" s="2">
        <f>HYPERLINK("https://cao.dolgi.msk.ru/account/1080081174/", 1080081174)</f>
        <v>1080081174</v>
      </c>
      <c r="D13396" t="s">
        <v>11165</v>
      </c>
      <c r="E13396">
        <v>-34.31</v>
      </c>
      <c r="F13396">
        <v>0</v>
      </c>
      <c r="G13396" t="s">
        <v>12</v>
      </c>
      <c r="I13396" t="s">
        <v>230</v>
      </c>
    </row>
    <row r="13397" spans="1:9" hidden="1" x14ac:dyDescent="0.25">
      <c r="A13397" t="s">
        <v>11042</v>
      </c>
      <c r="B13397" t="s">
        <v>557</v>
      </c>
      <c r="C13397" s="2">
        <f>HYPERLINK("https://cao.dolgi.msk.ru/account/1080081182/", 1080081182)</f>
        <v>1080081182</v>
      </c>
      <c r="D13397" t="s">
        <v>11166</v>
      </c>
      <c r="E13397">
        <v>-11267.8</v>
      </c>
      <c r="F13397">
        <v>-1.1100000000000001</v>
      </c>
      <c r="G13397" t="s">
        <v>12</v>
      </c>
      <c r="I13397" t="s">
        <v>230</v>
      </c>
    </row>
    <row r="13398" spans="1:9" hidden="1" x14ac:dyDescent="0.25">
      <c r="A13398" t="s">
        <v>11042</v>
      </c>
      <c r="B13398" t="s">
        <v>558</v>
      </c>
      <c r="C13398" s="2">
        <f>HYPERLINK("https://cao.dolgi.msk.ru/account/1080081203/", 1080081203)</f>
        <v>1080081203</v>
      </c>
      <c r="D13398" t="s">
        <v>11167</v>
      </c>
      <c r="E13398">
        <v>-6702.35</v>
      </c>
      <c r="F13398">
        <v>-1.1299999999999999</v>
      </c>
      <c r="G13398" t="s">
        <v>12</v>
      </c>
      <c r="I13398" t="s">
        <v>230</v>
      </c>
    </row>
    <row r="13399" spans="1:9" hidden="1" x14ac:dyDescent="0.25">
      <c r="A13399" t="s">
        <v>11042</v>
      </c>
      <c r="B13399" t="s">
        <v>746</v>
      </c>
      <c r="C13399" s="2">
        <f>HYPERLINK("https://cao.dolgi.msk.ru/account/1080081211/", 1080081211)</f>
        <v>1080081211</v>
      </c>
      <c r="D13399" t="s">
        <v>11168</v>
      </c>
      <c r="E13399">
        <v>5.41</v>
      </c>
      <c r="F13399">
        <v>0</v>
      </c>
      <c r="G13399" t="s">
        <v>12</v>
      </c>
      <c r="I13399" t="s">
        <v>230</v>
      </c>
    </row>
    <row r="13400" spans="1:9" hidden="1" x14ac:dyDescent="0.25">
      <c r="A13400" t="s">
        <v>11042</v>
      </c>
      <c r="B13400" t="s">
        <v>748</v>
      </c>
      <c r="C13400" s="2">
        <f>HYPERLINK("https://cao.dolgi.msk.ru/account/1080081238/", 1080081238)</f>
        <v>1080081238</v>
      </c>
      <c r="D13400" t="s">
        <v>11169</v>
      </c>
      <c r="E13400">
        <v>-7863.08</v>
      </c>
      <c r="F13400">
        <v>-0.99</v>
      </c>
      <c r="G13400" t="s">
        <v>12</v>
      </c>
      <c r="I13400" t="s">
        <v>230</v>
      </c>
    </row>
    <row r="13401" spans="1:9" hidden="1" x14ac:dyDescent="0.25">
      <c r="A13401" t="s">
        <v>11042</v>
      </c>
      <c r="B13401" t="s">
        <v>750</v>
      </c>
      <c r="C13401" s="2">
        <f>HYPERLINK("https://cao.dolgi.msk.ru/account/1080081246/", 1080081246)</f>
        <v>1080081246</v>
      </c>
      <c r="D13401" t="s">
        <v>11170</v>
      </c>
      <c r="E13401">
        <v>-10337.82</v>
      </c>
      <c r="F13401">
        <v>-1.22</v>
      </c>
      <c r="G13401" t="s">
        <v>12</v>
      </c>
      <c r="I13401" t="s">
        <v>230</v>
      </c>
    </row>
    <row r="13402" spans="1:9" hidden="1" x14ac:dyDescent="0.25">
      <c r="A13402" t="s">
        <v>11042</v>
      </c>
      <c r="B13402" t="s">
        <v>752</v>
      </c>
      <c r="C13402" s="2">
        <f>HYPERLINK("https://cao.dolgi.msk.ru/account/1080081254/", 1080081254)</f>
        <v>1080081254</v>
      </c>
      <c r="D13402" t="s">
        <v>11171</v>
      </c>
      <c r="E13402">
        <v>215.41</v>
      </c>
      <c r="F13402">
        <v>0.02</v>
      </c>
      <c r="G13402" t="s">
        <v>12</v>
      </c>
      <c r="I13402" t="s">
        <v>230</v>
      </c>
    </row>
    <row r="13403" spans="1:9" hidden="1" x14ac:dyDescent="0.25">
      <c r="A13403" t="s">
        <v>11042</v>
      </c>
      <c r="B13403" t="s">
        <v>754</v>
      </c>
      <c r="C13403" s="2">
        <f>HYPERLINK("https://cao.dolgi.msk.ru/account/1080081262/", 1080081262)</f>
        <v>1080081262</v>
      </c>
      <c r="D13403" t="s">
        <v>11172</v>
      </c>
      <c r="E13403">
        <v>-1616.81</v>
      </c>
      <c r="F13403">
        <v>-0.25</v>
      </c>
      <c r="G13403" t="s">
        <v>12</v>
      </c>
      <c r="I13403" t="s">
        <v>230</v>
      </c>
    </row>
    <row r="13404" spans="1:9" hidden="1" x14ac:dyDescent="0.25">
      <c r="A13404" t="s">
        <v>11042</v>
      </c>
      <c r="B13404" t="s">
        <v>756</v>
      </c>
      <c r="C13404" s="2">
        <f>HYPERLINK("https://cao.dolgi.msk.ru/account/1080081289/", 1080081289)</f>
        <v>1080081289</v>
      </c>
      <c r="D13404" t="s">
        <v>11173</v>
      </c>
      <c r="E13404">
        <v>-1155.69</v>
      </c>
      <c r="F13404">
        <v>-0.12</v>
      </c>
      <c r="G13404" t="s">
        <v>12</v>
      </c>
      <c r="I13404" t="s">
        <v>230</v>
      </c>
    </row>
    <row r="13405" spans="1:9" hidden="1" x14ac:dyDescent="0.25">
      <c r="A13405" t="s">
        <v>11042</v>
      </c>
      <c r="B13405" t="s">
        <v>758</v>
      </c>
      <c r="C13405" s="2">
        <f>HYPERLINK("https://cao.dolgi.msk.ru/account/1080081297/", 1080081297)</f>
        <v>1080081297</v>
      </c>
      <c r="D13405" t="s">
        <v>11174</v>
      </c>
      <c r="E13405">
        <v>315.58999999999997</v>
      </c>
      <c r="F13405">
        <v>0.05</v>
      </c>
      <c r="G13405" t="s">
        <v>12</v>
      </c>
      <c r="I13405" t="s">
        <v>230</v>
      </c>
    </row>
    <row r="13406" spans="1:9" hidden="1" x14ac:dyDescent="0.25">
      <c r="A13406" t="s">
        <v>11042</v>
      </c>
      <c r="B13406" t="s">
        <v>760</v>
      </c>
      <c r="C13406" s="2">
        <f>HYPERLINK("https://cao.dolgi.msk.ru/account/1080081318/", 1080081318)</f>
        <v>1080081318</v>
      </c>
      <c r="D13406" t="s">
        <v>11175</v>
      </c>
      <c r="E13406">
        <v>-8091.42</v>
      </c>
      <c r="F13406">
        <v>-1.05</v>
      </c>
      <c r="G13406" t="s">
        <v>12</v>
      </c>
      <c r="I13406" t="s">
        <v>230</v>
      </c>
    </row>
    <row r="13407" spans="1:9" hidden="1" x14ac:dyDescent="0.25">
      <c r="A13407" t="s">
        <v>11042</v>
      </c>
      <c r="B13407" t="s">
        <v>762</v>
      </c>
      <c r="C13407" s="2">
        <f>HYPERLINK("https://cao.dolgi.msk.ru/account/1080081342/", 1080081342)</f>
        <v>1080081342</v>
      </c>
      <c r="D13407" t="s">
        <v>11176</v>
      </c>
      <c r="E13407">
        <v>539.82000000000005</v>
      </c>
      <c r="F13407">
        <v>7.0000000000000007E-2</v>
      </c>
      <c r="G13407" t="s">
        <v>12</v>
      </c>
      <c r="I13407" t="s">
        <v>230</v>
      </c>
    </row>
    <row r="13408" spans="1:9" hidden="1" x14ac:dyDescent="0.25">
      <c r="A13408" t="s">
        <v>11042</v>
      </c>
      <c r="B13408" t="s">
        <v>764</v>
      </c>
      <c r="C13408" s="2">
        <f>HYPERLINK("https://cao.dolgi.msk.ru/account/1080081377/", 1080081377)</f>
        <v>1080081377</v>
      </c>
      <c r="D13408" t="s">
        <v>11177</v>
      </c>
      <c r="E13408">
        <v>-555.20000000000005</v>
      </c>
      <c r="F13408">
        <v>-0.11</v>
      </c>
      <c r="G13408" t="s">
        <v>12</v>
      </c>
      <c r="I13408" t="s">
        <v>230</v>
      </c>
    </row>
    <row r="13409" spans="1:9" hidden="1" x14ac:dyDescent="0.25">
      <c r="A13409" t="s">
        <v>11178</v>
      </c>
      <c r="B13409" t="s">
        <v>10</v>
      </c>
      <c r="C13409" s="2">
        <f>HYPERLINK("https://cao.dolgi.msk.ru/account/1080078442/", 1080078442)</f>
        <v>1080078442</v>
      </c>
      <c r="D13409" t="s">
        <v>62</v>
      </c>
      <c r="E13409">
        <v>-19214.12</v>
      </c>
      <c r="G13409" t="s">
        <v>14</v>
      </c>
      <c r="I13409" t="s">
        <v>230</v>
      </c>
    </row>
    <row r="13410" spans="1:9" hidden="1" x14ac:dyDescent="0.25">
      <c r="A13410" t="s">
        <v>11178</v>
      </c>
      <c r="B13410" t="s">
        <v>16</v>
      </c>
      <c r="C13410" s="2">
        <f>HYPERLINK("https://cao.dolgi.msk.ru/account/1080078469/", 1080078469)</f>
        <v>1080078469</v>
      </c>
      <c r="D13410" t="s">
        <v>11179</v>
      </c>
      <c r="E13410">
        <v>1083.3699999999999</v>
      </c>
      <c r="F13410">
        <v>0.15</v>
      </c>
      <c r="G13410" t="s">
        <v>12</v>
      </c>
      <c r="I13410" t="s">
        <v>230</v>
      </c>
    </row>
    <row r="13411" spans="1:9" hidden="1" x14ac:dyDescent="0.25">
      <c r="A13411" t="s">
        <v>11178</v>
      </c>
      <c r="B13411" t="s">
        <v>234</v>
      </c>
      <c r="C13411" s="2">
        <f>HYPERLINK("https://cao.dolgi.msk.ru/account/1080078477/", 1080078477)</f>
        <v>1080078477</v>
      </c>
      <c r="D13411" t="s">
        <v>11180</v>
      </c>
      <c r="E13411">
        <v>-6017.52</v>
      </c>
      <c r="F13411">
        <v>-1.45</v>
      </c>
      <c r="G13411" t="s">
        <v>12</v>
      </c>
      <c r="H13411" t="s">
        <v>7</v>
      </c>
      <c r="I13411" t="s">
        <v>230</v>
      </c>
    </row>
    <row r="13412" spans="1:9" x14ac:dyDescent="0.25">
      <c r="A13412" t="s">
        <v>11178</v>
      </c>
      <c r="B13412" t="s">
        <v>234</v>
      </c>
      <c r="C13412" s="2">
        <f>HYPERLINK("https://cao.dolgi.msk.ru/account/1080078493/", 1080078493)</f>
        <v>1080078493</v>
      </c>
      <c r="D13412" t="s">
        <v>11180</v>
      </c>
      <c r="E13412">
        <v>18101.18</v>
      </c>
      <c r="F13412">
        <v>2.0699999999999998</v>
      </c>
      <c r="G13412" t="s">
        <v>12</v>
      </c>
      <c r="H13412" t="s">
        <v>7</v>
      </c>
      <c r="I13412" t="s">
        <v>230</v>
      </c>
    </row>
    <row r="13413" spans="1:9" hidden="1" x14ac:dyDescent="0.25">
      <c r="A13413" t="s">
        <v>11178</v>
      </c>
      <c r="B13413" t="s">
        <v>7831</v>
      </c>
      <c r="C13413" s="2">
        <f>HYPERLINK("https://cao.dolgi.msk.ru/account/1080078485/", 1080078485)</f>
        <v>1080078485</v>
      </c>
      <c r="D13413" t="s">
        <v>11181</v>
      </c>
      <c r="E13413">
        <v>-6649.57</v>
      </c>
      <c r="F13413">
        <v>-1.1200000000000001</v>
      </c>
      <c r="G13413" t="s">
        <v>12</v>
      </c>
      <c r="I13413" t="s">
        <v>230</v>
      </c>
    </row>
    <row r="13414" spans="1:9" hidden="1" x14ac:dyDescent="0.25">
      <c r="A13414" t="s">
        <v>11178</v>
      </c>
      <c r="B13414" t="s">
        <v>18</v>
      </c>
      <c r="C13414" s="2">
        <f>HYPERLINK("https://cao.dolgi.msk.ru/account/1080078506/", 1080078506)</f>
        <v>1080078506</v>
      </c>
      <c r="D13414" t="s">
        <v>1151</v>
      </c>
      <c r="E13414">
        <v>0</v>
      </c>
      <c r="F13414">
        <v>0</v>
      </c>
      <c r="G13414" t="s">
        <v>12</v>
      </c>
      <c r="I13414" t="s">
        <v>230</v>
      </c>
    </row>
    <row r="13415" spans="1:9" hidden="1" x14ac:dyDescent="0.25">
      <c r="A13415" t="s">
        <v>11178</v>
      </c>
      <c r="B13415" t="s">
        <v>20</v>
      </c>
      <c r="C13415" s="2">
        <f>HYPERLINK("https://cao.dolgi.msk.ru/account/1080078514/", 1080078514)</f>
        <v>1080078514</v>
      </c>
      <c r="D13415" t="s">
        <v>11182</v>
      </c>
      <c r="E13415">
        <v>-8982</v>
      </c>
      <c r="F13415">
        <v>-1.32</v>
      </c>
      <c r="G13415" t="s">
        <v>12</v>
      </c>
      <c r="I13415" t="s">
        <v>230</v>
      </c>
    </row>
    <row r="13416" spans="1:9" hidden="1" x14ac:dyDescent="0.25">
      <c r="A13416" t="s">
        <v>11178</v>
      </c>
      <c r="B13416" t="s">
        <v>21</v>
      </c>
      <c r="C13416" s="2">
        <f>HYPERLINK("https://cao.dolgi.msk.ru/account/1080078522/", 1080078522)</f>
        <v>1080078522</v>
      </c>
      <c r="D13416" t="s">
        <v>11183</v>
      </c>
      <c r="E13416">
        <v>9.6999999999999993</v>
      </c>
      <c r="F13416">
        <v>0</v>
      </c>
      <c r="G13416" t="s">
        <v>12</v>
      </c>
      <c r="I13416" t="s">
        <v>230</v>
      </c>
    </row>
    <row r="13417" spans="1:9" hidden="1" x14ac:dyDescent="0.25">
      <c r="A13417" t="s">
        <v>11178</v>
      </c>
      <c r="B13417" t="s">
        <v>22</v>
      </c>
      <c r="C13417" s="2">
        <f>HYPERLINK("https://cao.dolgi.msk.ru/account/1080078549/", 1080078549)</f>
        <v>1080078549</v>
      </c>
      <c r="D13417" t="s">
        <v>11184</v>
      </c>
      <c r="E13417">
        <v>-6322.92</v>
      </c>
      <c r="F13417">
        <v>-1.08</v>
      </c>
      <c r="G13417" t="s">
        <v>12</v>
      </c>
      <c r="I13417" t="s">
        <v>230</v>
      </c>
    </row>
    <row r="13418" spans="1:9" hidden="1" x14ac:dyDescent="0.25">
      <c r="A13418" t="s">
        <v>11178</v>
      </c>
      <c r="B13418" t="s">
        <v>23</v>
      </c>
      <c r="C13418" s="2">
        <f>HYPERLINK("https://cao.dolgi.msk.ru/account/1080078557/", 1080078557)</f>
        <v>1080078557</v>
      </c>
      <c r="D13418" t="s">
        <v>11185</v>
      </c>
      <c r="E13418">
        <v>-205.48</v>
      </c>
      <c r="F13418">
        <v>-0.04</v>
      </c>
      <c r="G13418" t="s">
        <v>12</v>
      </c>
      <c r="I13418" t="s">
        <v>230</v>
      </c>
    </row>
    <row r="13419" spans="1:9" hidden="1" x14ac:dyDescent="0.25">
      <c r="A13419" t="s">
        <v>11178</v>
      </c>
      <c r="B13419" t="s">
        <v>24</v>
      </c>
      <c r="C13419" s="2">
        <f>HYPERLINK("https://cao.dolgi.msk.ru/account/1080078565/", 1080078565)</f>
        <v>1080078565</v>
      </c>
      <c r="D13419" t="s">
        <v>11186</v>
      </c>
      <c r="E13419">
        <v>-5436.55</v>
      </c>
      <c r="F13419">
        <v>-1.22</v>
      </c>
      <c r="G13419" t="s">
        <v>12</v>
      </c>
      <c r="I13419" t="s">
        <v>230</v>
      </c>
    </row>
    <row r="13420" spans="1:9" hidden="1" x14ac:dyDescent="0.25">
      <c r="A13420" t="s">
        <v>11178</v>
      </c>
      <c r="B13420" t="s">
        <v>27</v>
      </c>
      <c r="C13420" s="2">
        <f>HYPERLINK("https://cao.dolgi.msk.ru/account/1080078573/", 1080078573)</f>
        <v>1080078573</v>
      </c>
      <c r="D13420" t="s">
        <v>11187</v>
      </c>
      <c r="E13420">
        <v>232.71</v>
      </c>
      <c r="F13420">
        <v>7.0000000000000007E-2</v>
      </c>
      <c r="G13420" t="s">
        <v>12</v>
      </c>
      <c r="I13420" t="s">
        <v>230</v>
      </c>
    </row>
    <row r="13421" spans="1:9" x14ac:dyDescent="0.25">
      <c r="A13421" t="s">
        <v>11178</v>
      </c>
      <c r="B13421" t="s">
        <v>29</v>
      </c>
      <c r="C13421" s="2">
        <f>HYPERLINK("https://cao.dolgi.msk.ru/account/1080078602/", 1080078602)</f>
        <v>1080078602</v>
      </c>
      <c r="D13421" t="s">
        <v>15</v>
      </c>
      <c r="E13421">
        <v>211679.06</v>
      </c>
      <c r="F13421">
        <v>28.79</v>
      </c>
      <c r="G13421" t="s">
        <v>12</v>
      </c>
      <c r="I13421" t="s">
        <v>230</v>
      </c>
    </row>
    <row r="13422" spans="1:9" hidden="1" x14ac:dyDescent="0.25">
      <c r="A13422" t="s">
        <v>11178</v>
      </c>
      <c r="B13422" t="s">
        <v>31</v>
      </c>
      <c r="C13422" s="2">
        <f>HYPERLINK("https://cao.dolgi.msk.ru/account/1080078581/", 1080078581)</f>
        <v>1080078581</v>
      </c>
      <c r="D13422" t="s">
        <v>11188</v>
      </c>
      <c r="E13422">
        <v>-4915.25</v>
      </c>
      <c r="F13422">
        <v>-1.1599999999999999</v>
      </c>
      <c r="G13422" t="s">
        <v>12</v>
      </c>
      <c r="I13422" t="s">
        <v>230</v>
      </c>
    </row>
    <row r="13423" spans="1:9" hidden="1" x14ac:dyDescent="0.25">
      <c r="A13423" t="s">
        <v>11178</v>
      </c>
      <c r="B13423" t="s">
        <v>34</v>
      </c>
      <c r="C13423" s="2">
        <f>HYPERLINK("https://cao.dolgi.msk.ru/account/1080078629/", 1080078629)</f>
        <v>1080078629</v>
      </c>
      <c r="D13423" t="s">
        <v>62</v>
      </c>
      <c r="E13423">
        <v>-9490.6200000000008</v>
      </c>
      <c r="F13423">
        <v>-1.47</v>
      </c>
      <c r="G13423" t="s">
        <v>12</v>
      </c>
      <c r="I13423" t="s">
        <v>230</v>
      </c>
    </row>
    <row r="13424" spans="1:9" hidden="1" x14ac:dyDescent="0.25">
      <c r="A13424" t="s">
        <v>11178</v>
      </c>
      <c r="B13424" t="s">
        <v>36</v>
      </c>
      <c r="C13424" s="2">
        <f>HYPERLINK("https://cao.dolgi.msk.ru/account/1080078637/", 1080078637)</f>
        <v>1080078637</v>
      </c>
      <c r="D13424" t="s">
        <v>11189</v>
      </c>
      <c r="E13424">
        <v>-5718.99</v>
      </c>
      <c r="F13424">
        <v>-1.17</v>
      </c>
      <c r="G13424" t="s">
        <v>12</v>
      </c>
      <c r="I13424" t="s">
        <v>230</v>
      </c>
    </row>
    <row r="13425" spans="1:9" hidden="1" x14ac:dyDescent="0.25">
      <c r="A13425" t="s">
        <v>11178</v>
      </c>
      <c r="B13425" t="s">
        <v>38</v>
      </c>
      <c r="C13425" s="2">
        <f>HYPERLINK("https://cao.dolgi.msk.ru/account/1080078645/", 1080078645)</f>
        <v>1080078645</v>
      </c>
      <c r="D13425" t="s">
        <v>11190</v>
      </c>
      <c r="E13425">
        <v>-5548.14</v>
      </c>
      <c r="F13425">
        <v>-1.05</v>
      </c>
      <c r="G13425" t="s">
        <v>12</v>
      </c>
      <c r="I13425" t="s">
        <v>230</v>
      </c>
    </row>
    <row r="13426" spans="1:9" hidden="1" x14ac:dyDescent="0.25">
      <c r="A13426" t="s">
        <v>11178</v>
      </c>
      <c r="B13426" t="s">
        <v>39</v>
      </c>
      <c r="C13426" s="2">
        <f>HYPERLINK("https://cao.dolgi.msk.ru/account/1080078653/", 1080078653)</f>
        <v>1080078653</v>
      </c>
      <c r="D13426" t="s">
        <v>11191</v>
      </c>
      <c r="E13426">
        <v>-8880.59</v>
      </c>
      <c r="F13426">
        <v>-1.22</v>
      </c>
      <c r="G13426" t="s">
        <v>12</v>
      </c>
      <c r="I13426" t="s">
        <v>230</v>
      </c>
    </row>
    <row r="13427" spans="1:9" hidden="1" x14ac:dyDescent="0.25">
      <c r="A13427" t="s">
        <v>11178</v>
      </c>
      <c r="B13427" t="s">
        <v>40</v>
      </c>
      <c r="C13427" s="2">
        <f>HYPERLINK("https://cao.dolgi.msk.ru/account/1080078661/", 1080078661)</f>
        <v>1080078661</v>
      </c>
      <c r="D13427" t="s">
        <v>11192</v>
      </c>
      <c r="E13427">
        <v>-8016.81</v>
      </c>
      <c r="F13427">
        <v>-1.34</v>
      </c>
      <c r="G13427" t="s">
        <v>12</v>
      </c>
      <c r="I13427" t="s">
        <v>230</v>
      </c>
    </row>
    <row r="13428" spans="1:9" hidden="1" x14ac:dyDescent="0.25">
      <c r="A13428" t="s">
        <v>11178</v>
      </c>
      <c r="B13428" t="s">
        <v>41</v>
      </c>
      <c r="C13428" s="2">
        <f>HYPERLINK("https://cao.dolgi.msk.ru/account/1080078688/", 1080078688)</f>
        <v>1080078688</v>
      </c>
      <c r="D13428" t="s">
        <v>11193</v>
      </c>
      <c r="E13428">
        <v>-13284.51</v>
      </c>
      <c r="F13428">
        <v>-3.99</v>
      </c>
      <c r="G13428" t="s">
        <v>12</v>
      </c>
      <c r="I13428" t="s">
        <v>230</v>
      </c>
    </row>
    <row r="13429" spans="1:9" hidden="1" x14ac:dyDescent="0.25">
      <c r="A13429" t="s">
        <v>11178</v>
      </c>
      <c r="B13429" t="s">
        <v>42</v>
      </c>
      <c r="C13429" s="2">
        <f>HYPERLINK("https://cao.dolgi.msk.ru/account/1080078696/", 1080078696)</f>
        <v>1080078696</v>
      </c>
      <c r="D13429" t="s">
        <v>11194</v>
      </c>
      <c r="E13429">
        <v>-1630.41</v>
      </c>
      <c r="F13429">
        <v>-1.1499999999999999</v>
      </c>
      <c r="G13429" t="s">
        <v>12</v>
      </c>
      <c r="H13429" t="s">
        <v>7</v>
      </c>
      <c r="I13429" t="s">
        <v>230</v>
      </c>
    </row>
    <row r="13430" spans="1:9" hidden="1" x14ac:dyDescent="0.25">
      <c r="A13430" t="s">
        <v>11178</v>
      </c>
      <c r="B13430" t="s">
        <v>42</v>
      </c>
      <c r="C13430" s="2">
        <f>HYPERLINK("https://cao.dolgi.msk.ru/account/1080078709/", 1080078709)</f>
        <v>1080078709</v>
      </c>
      <c r="D13430" t="s">
        <v>11194</v>
      </c>
      <c r="E13430">
        <v>-5400.59</v>
      </c>
      <c r="F13430">
        <v>-0.51</v>
      </c>
      <c r="G13430" t="s">
        <v>12</v>
      </c>
      <c r="H13430" t="s">
        <v>7</v>
      </c>
      <c r="I13430" t="s">
        <v>230</v>
      </c>
    </row>
    <row r="13431" spans="1:9" hidden="1" x14ac:dyDescent="0.25">
      <c r="A13431" t="s">
        <v>11178</v>
      </c>
      <c r="B13431" t="s">
        <v>42</v>
      </c>
      <c r="C13431" s="2">
        <f>HYPERLINK("https://cao.dolgi.msk.ru/account/1080078717/", 1080078717)</f>
        <v>1080078717</v>
      </c>
      <c r="D13431" t="s">
        <v>11194</v>
      </c>
      <c r="E13431">
        <v>-2958.43</v>
      </c>
      <c r="F13431">
        <v>-2.4700000000000002</v>
      </c>
      <c r="G13431" t="s">
        <v>12</v>
      </c>
      <c r="H13431" t="s">
        <v>7</v>
      </c>
      <c r="I13431" t="s">
        <v>230</v>
      </c>
    </row>
    <row r="13432" spans="1:9" hidden="1" x14ac:dyDescent="0.25">
      <c r="A13432" t="s">
        <v>11178</v>
      </c>
      <c r="B13432" t="s">
        <v>44</v>
      </c>
      <c r="C13432" s="2">
        <f>HYPERLINK("https://cao.dolgi.msk.ru/account/1080079234/", 1080079234)</f>
        <v>1080079234</v>
      </c>
      <c r="D13432" t="s">
        <v>11195</v>
      </c>
      <c r="E13432">
        <v>-4546.3100000000004</v>
      </c>
      <c r="F13432">
        <v>-1.33</v>
      </c>
      <c r="G13432" t="s">
        <v>12</v>
      </c>
      <c r="I13432" t="s">
        <v>230</v>
      </c>
    </row>
    <row r="13433" spans="1:9" hidden="1" x14ac:dyDescent="0.25">
      <c r="A13433" t="s">
        <v>11178</v>
      </c>
      <c r="B13433" t="s">
        <v>68</v>
      </c>
      <c r="C13433" s="2">
        <f>HYPERLINK("https://cao.dolgi.msk.ru/account/1080078725/", 1080078725)</f>
        <v>1080078725</v>
      </c>
      <c r="D13433" t="s">
        <v>11196</v>
      </c>
      <c r="E13433">
        <v>-3021.56</v>
      </c>
      <c r="F13433">
        <v>-1.1200000000000001</v>
      </c>
      <c r="G13433" t="s">
        <v>12</v>
      </c>
      <c r="I13433" t="s">
        <v>230</v>
      </c>
    </row>
    <row r="13434" spans="1:9" x14ac:dyDescent="0.25">
      <c r="A13434" t="s">
        <v>11178</v>
      </c>
      <c r="B13434" t="s">
        <v>70</v>
      </c>
      <c r="C13434" s="2">
        <f>HYPERLINK("https://cao.dolgi.msk.ru/account/1080078733/", 1080078733)</f>
        <v>1080078733</v>
      </c>
      <c r="D13434" t="s">
        <v>15</v>
      </c>
      <c r="E13434">
        <v>26653.599999999999</v>
      </c>
      <c r="F13434">
        <v>2.1</v>
      </c>
      <c r="G13434" t="s">
        <v>12</v>
      </c>
      <c r="I13434" t="s">
        <v>230</v>
      </c>
    </row>
    <row r="13435" spans="1:9" hidden="1" x14ac:dyDescent="0.25">
      <c r="A13435" t="s">
        <v>11178</v>
      </c>
      <c r="B13435" t="s">
        <v>72</v>
      </c>
      <c r="C13435" s="2">
        <f>HYPERLINK("https://cao.dolgi.msk.ru/account/1080078741/", 1080078741)</f>
        <v>1080078741</v>
      </c>
      <c r="D13435" t="s">
        <v>11197</v>
      </c>
      <c r="E13435">
        <v>-5729.79</v>
      </c>
      <c r="F13435">
        <v>-1.17</v>
      </c>
      <c r="G13435" t="s">
        <v>12</v>
      </c>
      <c r="I13435" t="s">
        <v>230</v>
      </c>
    </row>
    <row r="13436" spans="1:9" hidden="1" x14ac:dyDescent="0.25">
      <c r="A13436" t="s">
        <v>11178</v>
      </c>
      <c r="B13436" t="s">
        <v>74</v>
      </c>
      <c r="C13436" s="2">
        <f>HYPERLINK("https://cao.dolgi.msk.ru/account/1080078768/", 1080078768)</f>
        <v>1080078768</v>
      </c>
      <c r="D13436" t="s">
        <v>11198</v>
      </c>
      <c r="E13436">
        <v>-4524.1499999999996</v>
      </c>
      <c r="F13436">
        <v>-1.2</v>
      </c>
      <c r="G13436" t="s">
        <v>12</v>
      </c>
      <c r="I13436" t="s">
        <v>230</v>
      </c>
    </row>
    <row r="13437" spans="1:9" hidden="1" x14ac:dyDescent="0.25">
      <c r="A13437" t="s">
        <v>11178</v>
      </c>
      <c r="B13437" t="s">
        <v>76</v>
      </c>
      <c r="C13437" s="2">
        <f>HYPERLINK("https://cao.dolgi.msk.ru/account/1080078776/", 1080078776)</f>
        <v>1080078776</v>
      </c>
      <c r="D13437" t="s">
        <v>11199</v>
      </c>
      <c r="E13437">
        <v>-2656</v>
      </c>
      <c r="F13437">
        <v>-1.21</v>
      </c>
      <c r="G13437" t="s">
        <v>12</v>
      </c>
      <c r="I13437" t="s">
        <v>230</v>
      </c>
    </row>
    <row r="13438" spans="1:9" x14ac:dyDescent="0.25">
      <c r="A13438" t="s">
        <v>11178</v>
      </c>
      <c r="B13438" t="s">
        <v>78</v>
      </c>
      <c r="C13438" s="2">
        <f>HYPERLINK("https://cao.dolgi.msk.ru/account/1080078784/", 1080078784)</f>
        <v>1080078784</v>
      </c>
      <c r="D13438" t="s">
        <v>11200</v>
      </c>
      <c r="E13438">
        <v>247622.72</v>
      </c>
      <c r="F13438">
        <v>36.15</v>
      </c>
      <c r="G13438" t="s">
        <v>12</v>
      </c>
      <c r="I13438" t="s">
        <v>230</v>
      </c>
    </row>
    <row r="13439" spans="1:9" hidden="1" x14ac:dyDescent="0.25">
      <c r="A13439" t="s">
        <v>11178</v>
      </c>
      <c r="B13439" t="s">
        <v>80</v>
      </c>
      <c r="C13439" s="2">
        <f>HYPERLINK("https://cao.dolgi.msk.ru/account/1080079189/", 1080079189)</f>
        <v>1080079189</v>
      </c>
      <c r="D13439" t="s">
        <v>11201</v>
      </c>
      <c r="E13439">
        <v>-3185.96</v>
      </c>
      <c r="F13439">
        <v>-0.78</v>
      </c>
      <c r="G13439" t="s">
        <v>12</v>
      </c>
      <c r="I13439" t="s">
        <v>230</v>
      </c>
    </row>
    <row r="13440" spans="1:9" hidden="1" x14ac:dyDescent="0.25">
      <c r="A13440" t="s">
        <v>11178</v>
      </c>
      <c r="B13440" t="s">
        <v>82</v>
      </c>
      <c r="C13440" s="2">
        <f>HYPERLINK("https://cao.dolgi.msk.ru/account/1080078792/", 1080078792)</f>
        <v>1080078792</v>
      </c>
      <c r="D13440" t="s">
        <v>11202</v>
      </c>
      <c r="E13440">
        <v>-6149.89</v>
      </c>
      <c r="F13440">
        <v>-1.19</v>
      </c>
      <c r="G13440" t="s">
        <v>12</v>
      </c>
      <c r="I13440" t="s">
        <v>230</v>
      </c>
    </row>
    <row r="13441" spans="1:9" hidden="1" x14ac:dyDescent="0.25">
      <c r="A13441" t="s">
        <v>11178</v>
      </c>
      <c r="B13441" t="s">
        <v>11203</v>
      </c>
      <c r="C13441" s="2">
        <f>HYPERLINK("https://cao.dolgi.msk.ru/account/1080078805/", 1080078805)</f>
        <v>1080078805</v>
      </c>
      <c r="D13441" t="s">
        <v>15</v>
      </c>
      <c r="G13441" t="s">
        <v>14</v>
      </c>
      <c r="I13441" t="s">
        <v>230</v>
      </c>
    </row>
    <row r="13442" spans="1:9" hidden="1" x14ac:dyDescent="0.25">
      <c r="A13442" t="s">
        <v>11178</v>
      </c>
      <c r="B13442" t="s">
        <v>86</v>
      </c>
      <c r="C13442" s="2">
        <f>HYPERLINK("https://cao.dolgi.msk.ru/account/1080078821/", 1080078821)</f>
        <v>1080078821</v>
      </c>
      <c r="D13442" t="s">
        <v>11204</v>
      </c>
      <c r="E13442">
        <v>-8126.79</v>
      </c>
      <c r="F13442">
        <v>-1.1499999999999999</v>
      </c>
      <c r="G13442" t="s">
        <v>12</v>
      </c>
      <c r="I13442" t="s">
        <v>230</v>
      </c>
    </row>
    <row r="13443" spans="1:9" hidden="1" x14ac:dyDescent="0.25">
      <c r="A13443" t="s">
        <v>11178</v>
      </c>
      <c r="B13443" t="s">
        <v>86</v>
      </c>
      <c r="C13443" s="2">
        <f>HYPERLINK("https://cao.dolgi.msk.ru/account/1080078848/", 1080078848)</f>
        <v>1080078848</v>
      </c>
      <c r="D13443" t="s">
        <v>11205</v>
      </c>
      <c r="E13443">
        <v>-2128.33</v>
      </c>
      <c r="G13443" t="s">
        <v>14</v>
      </c>
      <c r="I13443" t="s">
        <v>230</v>
      </c>
    </row>
    <row r="13444" spans="1:9" hidden="1" x14ac:dyDescent="0.25">
      <c r="A13444" t="s">
        <v>11178</v>
      </c>
      <c r="B13444" t="s">
        <v>86</v>
      </c>
      <c r="C13444" s="2">
        <f>HYPERLINK("https://cao.dolgi.msk.ru/account/1083270245/", 1083270245)</f>
        <v>1083270245</v>
      </c>
      <c r="D13444" t="s">
        <v>11206</v>
      </c>
      <c r="E13444">
        <v>-1122.17</v>
      </c>
      <c r="G13444" t="s">
        <v>14</v>
      </c>
      <c r="I13444" t="s">
        <v>230</v>
      </c>
    </row>
    <row r="13445" spans="1:9" hidden="1" x14ac:dyDescent="0.25">
      <c r="A13445" t="s">
        <v>11178</v>
      </c>
      <c r="B13445" t="s">
        <v>86</v>
      </c>
      <c r="C13445" s="2">
        <f>HYPERLINK("https://cao.dolgi.msk.ru/account/1083270456/", 1083270456)</f>
        <v>1083270456</v>
      </c>
      <c r="D13445" t="s">
        <v>11207</v>
      </c>
      <c r="E13445">
        <v>0</v>
      </c>
      <c r="G13445" t="s">
        <v>14</v>
      </c>
      <c r="I13445" t="s">
        <v>230</v>
      </c>
    </row>
    <row r="13446" spans="1:9" hidden="1" x14ac:dyDescent="0.25">
      <c r="A13446" t="s">
        <v>11178</v>
      </c>
      <c r="B13446" t="s">
        <v>86</v>
      </c>
      <c r="C13446" s="2">
        <f>HYPERLINK("https://cao.dolgi.msk.ru/account/1083271408/", 1083271408)</f>
        <v>1083271408</v>
      </c>
      <c r="D13446" t="s">
        <v>15</v>
      </c>
      <c r="E13446">
        <v>-705.4</v>
      </c>
      <c r="G13446" t="s">
        <v>14</v>
      </c>
      <c r="I13446" t="s">
        <v>230</v>
      </c>
    </row>
    <row r="13447" spans="1:9" hidden="1" x14ac:dyDescent="0.25">
      <c r="A13447" t="s">
        <v>11178</v>
      </c>
      <c r="B13447" t="s">
        <v>11208</v>
      </c>
      <c r="C13447" s="2">
        <f>HYPERLINK("https://cao.dolgi.msk.ru/account/1080078856/", 1080078856)</f>
        <v>1080078856</v>
      </c>
      <c r="D13447" t="s">
        <v>11209</v>
      </c>
      <c r="E13447">
        <v>-1933.28</v>
      </c>
      <c r="F13447">
        <v>-1.25</v>
      </c>
      <c r="G13447" t="s">
        <v>12</v>
      </c>
      <c r="I13447" t="s">
        <v>230</v>
      </c>
    </row>
    <row r="13448" spans="1:9" x14ac:dyDescent="0.25">
      <c r="A13448" t="s">
        <v>11178</v>
      </c>
      <c r="B13448" t="s">
        <v>11210</v>
      </c>
      <c r="C13448" s="2">
        <f>HYPERLINK("https://cao.dolgi.msk.ru/account/1080078864/", 1080078864)</f>
        <v>1080078864</v>
      </c>
      <c r="D13448" t="s">
        <v>11211</v>
      </c>
      <c r="E13448">
        <v>6662.15</v>
      </c>
      <c r="F13448">
        <v>1.01</v>
      </c>
      <c r="G13448" t="s">
        <v>12</v>
      </c>
      <c r="I13448" t="s">
        <v>230</v>
      </c>
    </row>
    <row r="13449" spans="1:9" hidden="1" x14ac:dyDescent="0.25">
      <c r="A13449" t="s">
        <v>11178</v>
      </c>
      <c r="B13449" t="s">
        <v>88</v>
      </c>
      <c r="C13449" s="2">
        <f>HYPERLINK("https://cao.dolgi.msk.ru/account/1080078872/", 1080078872)</f>
        <v>1080078872</v>
      </c>
      <c r="D13449" t="s">
        <v>15</v>
      </c>
      <c r="E13449">
        <v>-6419.33</v>
      </c>
      <c r="F13449">
        <v>-1.1100000000000001</v>
      </c>
      <c r="G13449" t="s">
        <v>12</v>
      </c>
      <c r="I13449" t="s">
        <v>230</v>
      </c>
    </row>
    <row r="13450" spans="1:9" hidden="1" x14ac:dyDescent="0.25">
      <c r="A13450" t="s">
        <v>11178</v>
      </c>
      <c r="B13450" t="s">
        <v>90</v>
      </c>
      <c r="C13450" s="2">
        <f>HYPERLINK("https://cao.dolgi.msk.ru/account/1080078899/", 1080078899)</f>
        <v>1080078899</v>
      </c>
      <c r="D13450" t="s">
        <v>11212</v>
      </c>
      <c r="E13450">
        <v>9.75</v>
      </c>
      <c r="F13450">
        <v>0</v>
      </c>
      <c r="G13450" t="s">
        <v>12</v>
      </c>
      <c r="I13450" t="s">
        <v>230</v>
      </c>
    </row>
    <row r="13451" spans="1:9" hidden="1" x14ac:dyDescent="0.25">
      <c r="A13451" t="s">
        <v>11178</v>
      </c>
      <c r="B13451" t="s">
        <v>11213</v>
      </c>
      <c r="C13451" s="2">
        <f>HYPERLINK("https://cao.dolgi.msk.ru/account/1080078901/", 1080078901)</f>
        <v>1080078901</v>
      </c>
      <c r="D13451" t="s">
        <v>11214</v>
      </c>
      <c r="E13451">
        <v>88.23</v>
      </c>
      <c r="F13451">
        <v>0.01</v>
      </c>
      <c r="G13451" t="s">
        <v>12</v>
      </c>
      <c r="I13451" t="s">
        <v>230</v>
      </c>
    </row>
    <row r="13452" spans="1:9" hidden="1" x14ac:dyDescent="0.25">
      <c r="A13452" t="s">
        <v>11178</v>
      </c>
      <c r="B13452" t="s">
        <v>92</v>
      </c>
      <c r="C13452" s="2">
        <f>HYPERLINK("https://cao.dolgi.msk.ru/account/1080078928/", 1080078928)</f>
        <v>1080078928</v>
      </c>
      <c r="D13452" t="s">
        <v>11215</v>
      </c>
      <c r="E13452">
        <v>-5862.14</v>
      </c>
      <c r="F13452">
        <v>-1.18</v>
      </c>
      <c r="G13452" t="s">
        <v>12</v>
      </c>
      <c r="I13452" t="s">
        <v>230</v>
      </c>
    </row>
    <row r="13453" spans="1:9" hidden="1" x14ac:dyDescent="0.25">
      <c r="A13453" t="s">
        <v>11178</v>
      </c>
      <c r="B13453" t="s">
        <v>94</v>
      </c>
      <c r="C13453" s="2">
        <f>HYPERLINK("https://cao.dolgi.msk.ru/account/1080078936/", 1080078936)</f>
        <v>1080078936</v>
      </c>
      <c r="D13453" t="s">
        <v>11216</v>
      </c>
      <c r="E13453">
        <v>-706.94</v>
      </c>
      <c r="F13453">
        <v>-0.16</v>
      </c>
      <c r="G13453" t="s">
        <v>12</v>
      </c>
      <c r="I13453" t="s">
        <v>230</v>
      </c>
    </row>
    <row r="13454" spans="1:9" hidden="1" x14ac:dyDescent="0.25">
      <c r="A13454" t="s">
        <v>11178</v>
      </c>
      <c r="B13454" t="s">
        <v>96</v>
      </c>
      <c r="C13454" s="2">
        <f>HYPERLINK("https://cao.dolgi.msk.ru/account/1080078944/", 1080078944)</f>
        <v>1080078944</v>
      </c>
      <c r="D13454" t="s">
        <v>11217</v>
      </c>
      <c r="E13454">
        <v>-3352.63</v>
      </c>
      <c r="F13454">
        <v>-1</v>
      </c>
      <c r="G13454" t="s">
        <v>12</v>
      </c>
      <c r="I13454" t="s">
        <v>230</v>
      </c>
    </row>
    <row r="13455" spans="1:9" hidden="1" x14ac:dyDescent="0.25">
      <c r="A13455" t="s">
        <v>11178</v>
      </c>
      <c r="B13455" t="s">
        <v>98</v>
      </c>
      <c r="C13455" s="2">
        <f>HYPERLINK("https://cao.dolgi.msk.ru/account/1080079365/", 1080079365)</f>
        <v>1080079365</v>
      </c>
      <c r="D13455" t="s">
        <v>11218</v>
      </c>
      <c r="E13455">
        <v>-6645.29</v>
      </c>
      <c r="F13455">
        <v>-1.1100000000000001</v>
      </c>
      <c r="G13455" t="s">
        <v>12</v>
      </c>
      <c r="I13455" t="s">
        <v>230</v>
      </c>
    </row>
    <row r="13456" spans="1:9" hidden="1" x14ac:dyDescent="0.25">
      <c r="A13456" t="s">
        <v>11178</v>
      </c>
      <c r="B13456" t="s">
        <v>100</v>
      </c>
      <c r="C13456" s="2">
        <f>HYPERLINK("https://cao.dolgi.msk.ru/account/1080078952/", 1080078952)</f>
        <v>1080078952</v>
      </c>
      <c r="D13456" t="s">
        <v>11219</v>
      </c>
      <c r="E13456">
        <v>0</v>
      </c>
      <c r="F13456">
        <v>0</v>
      </c>
      <c r="G13456" t="s">
        <v>12</v>
      </c>
      <c r="I13456" t="s">
        <v>230</v>
      </c>
    </row>
    <row r="13457" spans="1:9" hidden="1" x14ac:dyDescent="0.25">
      <c r="A13457" t="s">
        <v>11178</v>
      </c>
      <c r="B13457" t="s">
        <v>102</v>
      </c>
      <c r="C13457" s="2">
        <f>HYPERLINK("https://cao.dolgi.msk.ru/account/1080078979/", 1080078979)</f>
        <v>1080078979</v>
      </c>
      <c r="D13457" t="s">
        <v>11220</v>
      </c>
      <c r="E13457">
        <v>-29.1</v>
      </c>
      <c r="F13457">
        <v>-0.02</v>
      </c>
      <c r="G13457" t="s">
        <v>12</v>
      </c>
      <c r="I13457" t="s">
        <v>230</v>
      </c>
    </row>
    <row r="13458" spans="1:9" hidden="1" x14ac:dyDescent="0.25">
      <c r="A13458" t="s">
        <v>11221</v>
      </c>
      <c r="B13458" t="s">
        <v>104</v>
      </c>
      <c r="C13458" s="2">
        <f>HYPERLINK("https://cao.dolgi.msk.ru/account/1080078987/", 1080078987)</f>
        <v>1080078987</v>
      </c>
      <c r="D13458" t="s">
        <v>11222</v>
      </c>
      <c r="E13458">
        <v>-6308.54</v>
      </c>
      <c r="F13458">
        <v>-1.04</v>
      </c>
      <c r="G13458" t="s">
        <v>12</v>
      </c>
      <c r="I13458" t="s">
        <v>230</v>
      </c>
    </row>
    <row r="13459" spans="1:9" hidden="1" x14ac:dyDescent="0.25">
      <c r="A13459" t="s">
        <v>11221</v>
      </c>
      <c r="B13459" t="s">
        <v>106</v>
      </c>
      <c r="C13459" s="2">
        <f>HYPERLINK("https://cao.dolgi.msk.ru/account/1080078995/", 1080078995)</f>
        <v>1080078995</v>
      </c>
      <c r="D13459" t="s">
        <v>11223</v>
      </c>
      <c r="E13459">
        <v>-17316.25</v>
      </c>
      <c r="F13459">
        <v>-1.52</v>
      </c>
      <c r="G13459" t="s">
        <v>12</v>
      </c>
      <c r="I13459" t="s">
        <v>230</v>
      </c>
    </row>
    <row r="13460" spans="1:9" hidden="1" x14ac:dyDescent="0.25">
      <c r="A13460" t="s">
        <v>11221</v>
      </c>
      <c r="B13460" t="s">
        <v>8859</v>
      </c>
      <c r="C13460" s="2">
        <f>HYPERLINK("https://cao.dolgi.msk.ru/account/1080079007/", 1080079007)</f>
        <v>1080079007</v>
      </c>
      <c r="D13460" t="s">
        <v>11224</v>
      </c>
      <c r="E13460">
        <v>-5934.01</v>
      </c>
      <c r="F13460">
        <v>-1.24</v>
      </c>
      <c r="G13460" t="s">
        <v>12</v>
      </c>
      <c r="I13460" t="s">
        <v>230</v>
      </c>
    </row>
    <row r="13461" spans="1:9" hidden="1" x14ac:dyDescent="0.25">
      <c r="A13461" t="s">
        <v>11221</v>
      </c>
      <c r="B13461" t="s">
        <v>108</v>
      </c>
      <c r="C13461" s="2">
        <f>HYPERLINK("https://cao.dolgi.msk.ru/account/1080079015/", 1080079015)</f>
        <v>1080079015</v>
      </c>
      <c r="D13461" t="s">
        <v>11225</v>
      </c>
      <c r="E13461">
        <v>-14606.44</v>
      </c>
      <c r="F13461">
        <v>-1.1000000000000001</v>
      </c>
      <c r="G13461" t="s">
        <v>12</v>
      </c>
      <c r="I13461" t="s">
        <v>230</v>
      </c>
    </row>
    <row r="13462" spans="1:9" hidden="1" x14ac:dyDescent="0.25">
      <c r="A13462" t="s">
        <v>11221</v>
      </c>
      <c r="B13462" t="s">
        <v>11226</v>
      </c>
      <c r="C13462" s="2">
        <f>HYPERLINK("https://cao.dolgi.msk.ru/account/1080079023/", 1080079023)</f>
        <v>1080079023</v>
      </c>
      <c r="D13462" t="s">
        <v>11227</v>
      </c>
      <c r="E13462">
        <v>1398.89</v>
      </c>
      <c r="F13462">
        <v>0.28999999999999998</v>
      </c>
      <c r="G13462" t="s">
        <v>12</v>
      </c>
      <c r="I13462" t="s">
        <v>230</v>
      </c>
    </row>
    <row r="13463" spans="1:9" hidden="1" x14ac:dyDescent="0.25">
      <c r="A13463" t="s">
        <v>11221</v>
      </c>
      <c r="B13463" t="s">
        <v>110</v>
      </c>
      <c r="C13463" s="2">
        <f>HYPERLINK("https://cao.dolgi.msk.ru/account/1080079031/", 1080079031)</f>
        <v>1080079031</v>
      </c>
      <c r="D13463" t="s">
        <v>11228</v>
      </c>
      <c r="E13463">
        <v>-6220.99</v>
      </c>
      <c r="F13463">
        <v>-1.32</v>
      </c>
      <c r="G13463" t="s">
        <v>12</v>
      </c>
      <c r="I13463" t="s">
        <v>230</v>
      </c>
    </row>
    <row r="13464" spans="1:9" hidden="1" x14ac:dyDescent="0.25">
      <c r="A13464" t="s">
        <v>11221</v>
      </c>
      <c r="B13464" t="s">
        <v>112</v>
      </c>
      <c r="C13464" s="2">
        <f>HYPERLINK("https://cao.dolgi.msk.ru/account/1080079058/", 1080079058)</f>
        <v>1080079058</v>
      </c>
      <c r="D13464" t="s">
        <v>11229</v>
      </c>
      <c r="E13464">
        <v>-8378.99</v>
      </c>
      <c r="F13464">
        <v>-1.1100000000000001</v>
      </c>
      <c r="G13464" t="s">
        <v>12</v>
      </c>
      <c r="I13464" t="s">
        <v>230</v>
      </c>
    </row>
    <row r="13465" spans="1:9" hidden="1" x14ac:dyDescent="0.25">
      <c r="A13465" t="s">
        <v>11221</v>
      </c>
      <c r="B13465" t="s">
        <v>114</v>
      </c>
      <c r="C13465" s="2">
        <f>HYPERLINK("https://cao.dolgi.msk.ru/account/1080079066/", 1080079066)</f>
        <v>1080079066</v>
      </c>
      <c r="D13465" t="s">
        <v>11230</v>
      </c>
      <c r="E13465">
        <v>-6479.06</v>
      </c>
      <c r="F13465">
        <v>-1.08</v>
      </c>
      <c r="G13465" t="s">
        <v>12</v>
      </c>
      <c r="I13465" t="s">
        <v>230</v>
      </c>
    </row>
    <row r="13466" spans="1:9" hidden="1" x14ac:dyDescent="0.25">
      <c r="A13466" t="s">
        <v>11221</v>
      </c>
      <c r="B13466" t="s">
        <v>116</v>
      </c>
      <c r="C13466" s="2">
        <f>HYPERLINK("https://cao.dolgi.msk.ru/account/1080079074/", 1080079074)</f>
        <v>1080079074</v>
      </c>
      <c r="D13466" t="s">
        <v>11231</v>
      </c>
      <c r="E13466">
        <v>-8506.89</v>
      </c>
      <c r="F13466">
        <v>-1.0900000000000001</v>
      </c>
      <c r="G13466" t="s">
        <v>12</v>
      </c>
      <c r="I13466" t="s">
        <v>230</v>
      </c>
    </row>
    <row r="13467" spans="1:9" hidden="1" x14ac:dyDescent="0.25">
      <c r="A13467" t="s">
        <v>11221</v>
      </c>
      <c r="B13467" t="s">
        <v>118</v>
      </c>
      <c r="C13467" s="2">
        <f>HYPERLINK("https://cao.dolgi.msk.ru/account/1080079111/", 1080079111)</f>
        <v>1080079111</v>
      </c>
      <c r="D13467" t="s">
        <v>62</v>
      </c>
      <c r="E13467">
        <v>-8626.49</v>
      </c>
      <c r="F13467">
        <v>-1.1000000000000001</v>
      </c>
      <c r="G13467" t="s">
        <v>12</v>
      </c>
      <c r="I13467" t="s">
        <v>230</v>
      </c>
    </row>
    <row r="13468" spans="1:9" hidden="1" x14ac:dyDescent="0.25">
      <c r="A13468" t="s">
        <v>11221</v>
      </c>
      <c r="B13468" t="s">
        <v>120</v>
      </c>
      <c r="C13468" s="2">
        <f>HYPERLINK("https://cao.dolgi.msk.ru/account/1080079138/", 1080079138)</f>
        <v>1080079138</v>
      </c>
      <c r="D13468" t="s">
        <v>11232</v>
      </c>
      <c r="E13468">
        <v>-8339.2900000000009</v>
      </c>
      <c r="F13468">
        <v>-1.1499999999999999</v>
      </c>
      <c r="G13468" t="s">
        <v>12</v>
      </c>
      <c r="I13468" t="s">
        <v>230</v>
      </c>
    </row>
    <row r="13469" spans="1:9" hidden="1" x14ac:dyDescent="0.25">
      <c r="A13469" t="s">
        <v>11221</v>
      </c>
      <c r="B13469" t="s">
        <v>122</v>
      </c>
      <c r="C13469" s="2">
        <f>HYPERLINK("https://cao.dolgi.msk.ru/account/1080079146/", 1080079146)</f>
        <v>1080079146</v>
      </c>
      <c r="D13469" t="s">
        <v>11233</v>
      </c>
      <c r="E13469">
        <v>-5575.02</v>
      </c>
      <c r="F13469">
        <v>-1.1200000000000001</v>
      </c>
      <c r="G13469" t="s">
        <v>12</v>
      </c>
      <c r="I13469" t="s">
        <v>230</v>
      </c>
    </row>
    <row r="13470" spans="1:9" x14ac:dyDescent="0.25">
      <c r="A13470" t="s">
        <v>11221</v>
      </c>
      <c r="B13470" t="s">
        <v>124</v>
      </c>
      <c r="C13470" s="2">
        <f>HYPERLINK("https://cao.dolgi.msk.ru/account/1080079154/", 1080079154)</f>
        <v>1080079154</v>
      </c>
      <c r="D13470" t="s">
        <v>15</v>
      </c>
      <c r="E13470">
        <v>304686.8</v>
      </c>
      <c r="F13470">
        <v>23.76</v>
      </c>
      <c r="G13470" t="s">
        <v>12</v>
      </c>
      <c r="I13470" t="s">
        <v>230</v>
      </c>
    </row>
    <row r="13471" spans="1:9" hidden="1" x14ac:dyDescent="0.25">
      <c r="A13471" t="s">
        <v>11221</v>
      </c>
      <c r="B13471" t="s">
        <v>126</v>
      </c>
      <c r="C13471" s="2">
        <f>HYPERLINK("https://cao.dolgi.msk.ru/account/1080079197/", 1080079197)</f>
        <v>1080079197</v>
      </c>
      <c r="D13471" t="s">
        <v>11234</v>
      </c>
      <c r="E13471">
        <v>-7320.57</v>
      </c>
      <c r="F13471">
        <v>-1.06</v>
      </c>
      <c r="G13471" t="s">
        <v>12</v>
      </c>
      <c r="I13471" t="s">
        <v>230</v>
      </c>
    </row>
    <row r="13472" spans="1:9" hidden="1" x14ac:dyDescent="0.25">
      <c r="A13472" t="s">
        <v>11221</v>
      </c>
      <c r="B13472" t="s">
        <v>128</v>
      </c>
      <c r="C13472" s="2">
        <f>HYPERLINK("https://cao.dolgi.msk.ru/account/1080079218/", 1080079218)</f>
        <v>1080079218</v>
      </c>
      <c r="D13472" t="s">
        <v>11235</v>
      </c>
      <c r="E13472">
        <v>-7970.98</v>
      </c>
      <c r="F13472">
        <v>-1.0900000000000001</v>
      </c>
      <c r="G13472" t="s">
        <v>12</v>
      </c>
      <c r="I13472" t="s">
        <v>230</v>
      </c>
    </row>
    <row r="13473" spans="1:9" hidden="1" x14ac:dyDescent="0.25">
      <c r="A13473" t="s">
        <v>11221</v>
      </c>
      <c r="B13473" t="s">
        <v>130</v>
      </c>
      <c r="C13473" s="2">
        <f>HYPERLINK("https://cao.dolgi.msk.ru/account/1080079226/", 1080079226)</f>
        <v>1080079226</v>
      </c>
      <c r="D13473" t="s">
        <v>11236</v>
      </c>
      <c r="E13473">
        <v>-7263.65</v>
      </c>
      <c r="F13473">
        <v>-1.0900000000000001</v>
      </c>
      <c r="G13473" t="s">
        <v>12</v>
      </c>
      <c r="I13473" t="s">
        <v>230</v>
      </c>
    </row>
    <row r="13474" spans="1:9" hidden="1" x14ac:dyDescent="0.25">
      <c r="A13474" t="s">
        <v>11221</v>
      </c>
      <c r="B13474" t="s">
        <v>132</v>
      </c>
      <c r="C13474" s="2">
        <f>HYPERLINK("https://cao.dolgi.msk.ru/account/1080079242/", 1080079242)</f>
        <v>1080079242</v>
      </c>
      <c r="D13474" t="s">
        <v>11237</v>
      </c>
      <c r="E13474">
        <v>-8035.6</v>
      </c>
      <c r="F13474">
        <v>-0.98</v>
      </c>
      <c r="G13474" t="s">
        <v>12</v>
      </c>
      <c r="I13474" t="s">
        <v>230</v>
      </c>
    </row>
    <row r="13475" spans="1:9" hidden="1" x14ac:dyDescent="0.25">
      <c r="A13475" t="s">
        <v>11221</v>
      </c>
      <c r="B13475" t="s">
        <v>133</v>
      </c>
      <c r="C13475" s="2">
        <f>HYPERLINK("https://cao.dolgi.msk.ru/account/1080079269/", 1080079269)</f>
        <v>1080079269</v>
      </c>
      <c r="D13475" t="s">
        <v>11238</v>
      </c>
      <c r="E13475">
        <v>-1452.21</v>
      </c>
      <c r="F13475">
        <v>-0.28999999999999998</v>
      </c>
      <c r="G13475" t="s">
        <v>12</v>
      </c>
      <c r="I13475" t="s">
        <v>230</v>
      </c>
    </row>
    <row r="13476" spans="1:9" hidden="1" x14ac:dyDescent="0.25">
      <c r="A13476" t="s">
        <v>11221</v>
      </c>
      <c r="B13476" t="s">
        <v>11239</v>
      </c>
      <c r="C13476" s="2">
        <f>HYPERLINK("https://cao.dolgi.msk.ru/account/1080079277/", 1080079277)</f>
        <v>1080079277</v>
      </c>
      <c r="D13476" t="s">
        <v>11240</v>
      </c>
      <c r="G13476" t="s">
        <v>14</v>
      </c>
      <c r="I13476" t="s">
        <v>230</v>
      </c>
    </row>
    <row r="13477" spans="1:9" hidden="1" x14ac:dyDescent="0.25">
      <c r="A13477" t="s">
        <v>11221</v>
      </c>
      <c r="B13477" t="s">
        <v>141</v>
      </c>
      <c r="C13477" s="2">
        <f>HYPERLINK("https://cao.dolgi.msk.ru/account/1080079285/", 1080079285)</f>
        <v>1080079285</v>
      </c>
      <c r="D13477" t="s">
        <v>62</v>
      </c>
      <c r="E13477">
        <v>0</v>
      </c>
      <c r="F13477">
        <v>0</v>
      </c>
      <c r="G13477" t="s">
        <v>12</v>
      </c>
      <c r="I13477" t="s">
        <v>230</v>
      </c>
    </row>
    <row r="13478" spans="1:9" hidden="1" x14ac:dyDescent="0.25">
      <c r="A13478" t="s">
        <v>11221</v>
      </c>
      <c r="B13478" t="s">
        <v>143</v>
      </c>
      <c r="C13478" s="2">
        <f>HYPERLINK("https://cao.dolgi.msk.ru/account/1080079293/", 1080079293)</f>
        <v>1080079293</v>
      </c>
      <c r="D13478" t="s">
        <v>11241</v>
      </c>
      <c r="E13478">
        <v>-6220.61</v>
      </c>
      <c r="F13478">
        <v>-2.84</v>
      </c>
      <c r="G13478" t="s">
        <v>12</v>
      </c>
      <c r="I13478" t="s">
        <v>230</v>
      </c>
    </row>
    <row r="13479" spans="1:9" hidden="1" x14ac:dyDescent="0.25">
      <c r="A13479" t="s">
        <v>11221</v>
      </c>
      <c r="B13479" t="s">
        <v>145</v>
      </c>
      <c r="C13479" s="2">
        <f>HYPERLINK("https://cao.dolgi.msk.ru/account/1080079306/", 1080079306)</f>
        <v>1080079306</v>
      </c>
      <c r="D13479" t="s">
        <v>11242</v>
      </c>
      <c r="E13479">
        <v>-7015.92</v>
      </c>
      <c r="F13479">
        <v>-1.06</v>
      </c>
      <c r="G13479" t="s">
        <v>12</v>
      </c>
      <c r="I13479" t="s">
        <v>230</v>
      </c>
    </row>
    <row r="13480" spans="1:9" hidden="1" x14ac:dyDescent="0.25">
      <c r="A13480" t="s">
        <v>11221</v>
      </c>
      <c r="B13480" t="s">
        <v>147</v>
      </c>
      <c r="C13480" s="2">
        <f>HYPERLINK("https://cao.dolgi.msk.ru/account/1080079314/", 1080079314)</f>
        <v>1080079314</v>
      </c>
      <c r="D13480" t="s">
        <v>11243</v>
      </c>
      <c r="E13480">
        <v>-5923.3</v>
      </c>
      <c r="F13480">
        <v>-1.1100000000000001</v>
      </c>
      <c r="G13480" t="s">
        <v>12</v>
      </c>
      <c r="I13480" t="s">
        <v>230</v>
      </c>
    </row>
    <row r="13481" spans="1:9" hidden="1" x14ac:dyDescent="0.25">
      <c r="A13481" t="s">
        <v>11221</v>
      </c>
      <c r="B13481" t="s">
        <v>149</v>
      </c>
      <c r="C13481" s="2">
        <f>HYPERLINK("https://cao.dolgi.msk.ru/account/1080079322/", 1080079322)</f>
        <v>1080079322</v>
      </c>
      <c r="D13481" t="s">
        <v>11244</v>
      </c>
      <c r="E13481">
        <v>-8988.73</v>
      </c>
      <c r="F13481">
        <v>-1.05</v>
      </c>
      <c r="G13481" t="s">
        <v>12</v>
      </c>
      <c r="I13481" t="s">
        <v>230</v>
      </c>
    </row>
    <row r="13482" spans="1:9" hidden="1" x14ac:dyDescent="0.25">
      <c r="A13482" t="s">
        <v>11221</v>
      </c>
      <c r="B13482" t="s">
        <v>151</v>
      </c>
      <c r="C13482" s="2">
        <f>HYPERLINK("https://cao.dolgi.msk.ru/account/1080079349/", 1080079349)</f>
        <v>1080079349</v>
      </c>
      <c r="D13482" t="s">
        <v>11245</v>
      </c>
      <c r="E13482">
        <v>-97.56</v>
      </c>
      <c r="F13482">
        <v>-0.02</v>
      </c>
      <c r="G13482" t="s">
        <v>12</v>
      </c>
      <c r="I13482" t="s">
        <v>230</v>
      </c>
    </row>
    <row r="13483" spans="1:9" hidden="1" x14ac:dyDescent="0.25">
      <c r="A13483" t="s">
        <v>11221</v>
      </c>
      <c r="B13483" t="s">
        <v>153</v>
      </c>
      <c r="C13483" s="2">
        <f>HYPERLINK("https://cao.dolgi.msk.ru/account/1080079357/", 1080079357)</f>
        <v>1080079357</v>
      </c>
      <c r="D13483" t="s">
        <v>11246</v>
      </c>
      <c r="E13483">
        <v>-1010.62</v>
      </c>
      <c r="F13483">
        <v>-0.16</v>
      </c>
      <c r="G13483" t="s">
        <v>12</v>
      </c>
      <c r="I13483" t="s">
        <v>230</v>
      </c>
    </row>
    <row r="13484" spans="1:9" hidden="1" x14ac:dyDescent="0.25">
      <c r="A13484" t="s">
        <v>11247</v>
      </c>
      <c r="B13484" t="s">
        <v>10</v>
      </c>
      <c r="C13484" s="2">
        <f>HYPERLINK("https://cao.dolgi.msk.ru/account/1080109616/", 1080109616)</f>
        <v>1080109616</v>
      </c>
      <c r="D13484" t="s">
        <v>11248</v>
      </c>
      <c r="E13484">
        <v>-7986.4</v>
      </c>
      <c r="F13484">
        <v>-1.37</v>
      </c>
      <c r="G13484" t="s">
        <v>12</v>
      </c>
      <c r="I13484" t="s">
        <v>230</v>
      </c>
    </row>
    <row r="13485" spans="1:9" hidden="1" x14ac:dyDescent="0.25">
      <c r="A13485" t="s">
        <v>11247</v>
      </c>
      <c r="B13485" t="s">
        <v>16</v>
      </c>
      <c r="C13485" s="2">
        <f>HYPERLINK("https://cao.dolgi.msk.ru/account/1080109624/", 1080109624)</f>
        <v>1080109624</v>
      </c>
      <c r="D13485" t="s">
        <v>11249</v>
      </c>
      <c r="E13485">
        <v>-7535.94</v>
      </c>
      <c r="F13485">
        <v>-1.24</v>
      </c>
      <c r="G13485" t="s">
        <v>12</v>
      </c>
      <c r="I13485" t="s">
        <v>230</v>
      </c>
    </row>
    <row r="13486" spans="1:9" hidden="1" x14ac:dyDescent="0.25">
      <c r="A13486" t="s">
        <v>11247</v>
      </c>
      <c r="B13486" t="s">
        <v>18</v>
      </c>
      <c r="C13486" s="2">
        <f>HYPERLINK("https://cao.dolgi.msk.ru/account/1080109632/", 1080109632)</f>
        <v>1080109632</v>
      </c>
      <c r="D13486" t="s">
        <v>11250</v>
      </c>
      <c r="E13486">
        <v>-8626.23</v>
      </c>
      <c r="F13486">
        <v>-1.08</v>
      </c>
      <c r="G13486" t="s">
        <v>12</v>
      </c>
      <c r="I13486" t="s">
        <v>230</v>
      </c>
    </row>
    <row r="13487" spans="1:9" hidden="1" x14ac:dyDescent="0.25">
      <c r="A13487" t="s">
        <v>11247</v>
      </c>
      <c r="B13487" t="s">
        <v>20</v>
      </c>
      <c r="C13487" s="2">
        <f>HYPERLINK("https://cao.dolgi.msk.ru/account/1080109659/", 1080109659)</f>
        <v>1080109659</v>
      </c>
      <c r="D13487" t="s">
        <v>15</v>
      </c>
      <c r="E13487">
        <v>-11998.87</v>
      </c>
      <c r="F13487">
        <v>-1.48</v>
      </c>
      <c r="G13487" t="s">
        <v>12</v>
      </c>
      <c r="I13487" t="s">
        <v>230</v>
      </c>
    </row>
    <row r="13488" spans="1:9" hidden="1" x14ac:dyDescent="0.25">
      <c r="A13488" t="s">
        <v>11247</v>
      </c>
      <c r="B13488" t="s">
        <v>21</v>
      </c>
      <c r="C13488" s="2">
        <f>HYPERLINK("https://cao.dolgi.msk.ru/account/1080109667/", 1080109667)</f>
        <v>1080109667</v>
      </c>
      <c r="D13488" t="s">
        <v>11251</v>
      </c>
      <c r="E13488">
        <v>-12451.07</v>
      </c>
      <c r="F13488">
        <v>-1.2</v>
      </c>
      <c r="G13488" t="s">
        <v>12</v>
      </c>
      <c r="I13488" t="s">
        <v>230</v>
      </c>
    </row>
    <row r="13489" spans="1:9" hidden="1" x14ac:dyDescent="0.25">
      <c r="A13489" t="s">
        <v>11247</v>
      </c>
      <c r="B13489" t="s">
        <v>22</v>
      </c>
      <c r="C13489" s="2">
        <f>HYPERLINK("https://cao.dolgi.msk.ru/account/1080109675/", 1080109675)</f>
        <v>1080109675</v>
      </c>
      <c r="D13489" t="s">
        <v>11252</v>
      </c>
      <c r="E13489">
        <v>0</v>
      </c>
      <c r="F13489">
        <v>0</v>
      </c>
      <c r="G13489" t="s">
        <v>12</v>
      </c>
      <c r="I13489" t="s">
        <v>230</v>
      </c>
    </row>
    <row r="13490" spans="1:9" hidden="1" x14ac:dyDescent="0.25">
      <c r="A13490" t="s">
        <v>11247</v>
      </c>
      <c r="B13490" t="s">
        <v>23</v>
      </c>
      <c r="C13490" s="2">
        <f>HYPERLINK("https://cao.dolgi.msk.ru/account/1080109683/", 1080109683)</f>
        <v>1080109683</v>
      </c>
      <c r="D13490" t="s">
        <v>11253</v>
      </c>
      <c r="E13490">
        <v>-12223.42</v>
      </c>
      <c r="F13490">
        <v>-1.1499999999999999</v>
      </c>
      <c r="G13490" t="s">
        <v>12</v>
      </c>
      <c r="I13490" t="s">
        <v>230</v>
      </c>
    </row>
    <row r="13491" spans="1:9" x14ac:dyDescent="0.25">
      <c r="A13491" t="s">
        <v>11247</v>
      </c>
      <c r="B13491" t="s">
        <v>24</v>
      </c>
      <c r="C13491" s="2">
        <f>HYPERLINK("https://cao.dolgi.msk.ru/account/1080109691/", 1080109691)</f>
        <v>1080109691</v>
      </c>
      <c r="D13491" t="s">
        <v>11254</v>
      </c>
      <c r="E13491">
        <v>9277.42</v>
      </c>
      <c r="F13491">
        <v>1.1299999999999999</v>
      </c>
      <c r="G13491" t="s">
        <v>12</v>
      </c>
      <c r="I13491" t="s">
        <v>230</v>
      </c>
    </row>
    <row r="13492" spans="1:9" hidden="1" x14ac:dyDescent="0.25">
      <c r="A13492" t="s">
        <v>11247</v>
      </c>
      <c r="B13492" t="s">
        <v>27</v>
      </c>
      <c r="C13492" s="2">
        <f>HYPERLINK("https://cao.dolgi.msk.ru/account/1080109704/", 1080109704)</f>
        <v>1080109704</v>
      </c>
      <c r="D13492" t="s">
        <v>11255</v>
      </c>
      <c r="E13492">
        <v>-6054.22</v>
      </c>
      <c r="F13492">
        <v>-1.01</v>
      </c>
      <c r="G13492" t="s">
        <v>12</v>
      </c>
      <c r="I13492" t="s">
        <v>230</v>
      </c>
    </row>
    <row r="13493" spans="1:9" hidden="1" x14ac:dyDescent="0.25">
      <c r="A13493" t="s">
        <v>11247</v>
      </c>
      <c r="B13493" t="s">
        <v>29</v>
      </c>
      <c r="C13493" s="2">
        <f>HYPERLINK("https://cao.dolgi.msk.ru/account/1080109712/", 1080109712)</f>
        <v>1080109712</v>
      </c>
      <c r="D13493" t="s">
        <v>11256</v>
      </c>
      <c r="E13493">
        <v>0</v>
      </c>
      <c r="F13493">
        <v>0</v>
      </c>
      <c r="G13493" t="s">
        <v>12</v>
      </c>
      <c r="I13493" t="s">
        <v>230</v>
      </c>
    </row>
    <row r="13494" spans="1:9" hidden="1" x14ac:dyDescent="0.25">
      <c r="A13494" t="s">
        <v>11247</v>
      </c>
      <c r="B13494" t="s">
        <v>31</v>
      </c>
      <c r="C13494" s="2">
        <f>HYPERLINK("https://cao.dolgi.msk.ru/account/1080109739/", 1080109739)</f>
        <v>1080109739</v>
      </c>
      <c r="D13494" t="s">
        <v>11257</v>
      </c>
      <c r="E13494">
        <v>-629.17999999999995</v>
      </c>
      <c r="F13494">
        <v>-0.04</v>
      </c>
      <c r="G13494" t="s">
        <v>12</v>
      </c>
      <c r="I13494" t="s">
        <v>230</v>
      </c>
    </row>
    <row r="13495" spans="1:9" hidden="1" x14ac:dyDescent="0.25">
      <c r="A13495" t="s">
        <v>11247</v>
      </c>
      <c r="B13495" t="s">
        <v>33</v>
      </c>
      <c r="C13495" s="2">
        <f>HYPERLINK("https://cao.dolgi.msk.ru/account/1080109747/", 1080109747)</f>
        <v>1080109747</v>
      </c>
      <c r="D13495" t="s">
        <v>11252</v>
      </c>
      <c r="E13495">
        <v>-3649.51</v>
      </c>
      <c r="F13495">
        <v>-0.55000000000000004</v>
      </c>
      <c r="G13495" t="s">
        <v>12</v>
      </c>
      <c r="I13495" t="s">
        <v>230</v>
      </c>
    </row>
    <row r="13496" spans="1:9" hidden="1" x14ac:dyDescent="0.25">
      <c r="A13496" t="s">
        <v>11247</v>
      </c>
      <c r="B13496" t="s">
        <v>34</v>
      </c>
      <c r="C13496" s="2">
        <f>HYPERLINK("https://cao.dolgi.msk.ru/account/1080109755/", 1080109755)</f>
        <v>1080109755</v>
      </c>
      <c r="D13496" t="s">
        <v>11258</v>
      </c>
      <c r="E13496">
        <v>-10442.719999999999</v>
      </c>
      <c r="F13496">
        <v>-1.1599999999999999</v>
      </c>
      <c r="G13496" t="s">
        <v>12</v>
      </c>
      <c r="I13496" t="s">
        <v>230</v>
      </c>
    </row>
    <row r="13497" spans="1:9" hidden="1" x14ac:dyDescent="0.25">
      <c r="A13497" t="s">
        <v>11247</v>
      </c>
      <c r="B13497" t="s">
        <v>36</v>
      </c>
      <c r="C13497" s="2">
        <f>HYPERLINK("https://cao.dolgi.msk.ru/account/1080109763/", 1080109763)</f>
        <v>1080109763</v>
      </c>
      <c r="D13497" t="s">
        <v>11259</v>
      </c>
      <c r="E13497">
        <v>-11588.99</v>
      </c>
      <c r="F13497">
        <v>-1.49</v>
      </c>
      <c r="G13497" t="s">
        <v>12</v>
      </c>
      <c r="I13497" t="s">
        <v>230</v>
      </c>
    </row>
    <row r="13498" spans="1:9" hidden="1" x14ac:dyDescent="0.25">
      <c r="A13498" t="s">
        <v>11247</v>
      </c>
      <c r="B13498" t="s">
        <v>38</v>
      </c>
      <c r="C13498" s="2">
        <f>HYPERLINK("https://cao.dolgi.msk.ru/account/1080109771/", 1080109771)</f>
        <v>1080109771</v>
      </c>
      <c r="D13498" t="s">
        <v>736</v>
      </c>
      <c r="E13498">
        <v>-6273.77</v>
      </c>
      <c r="F13498">
        <v>-1.18</v>
      </c>
      <c r="G13498" t="s">
        <v>12</v>
      </c>
      <c r="I13498" t="s">
        <v>230</v>
      </c>
    </row>
    <row r="13499" spans="1:9" hidden="1" x14ac:dyDescent="0.25">
      <c r="A13499" t="s">
        <v>11247</v>
      </c>
      <c r="B13499" t="s">
        <v>39</v>
      </c>
      <c r="C13499" s="2">
        <f>HYPERLINK("https://cao.dolgi.msk.ru/account/1080109798/", 1080109798)</f>
        <v>1080109798</v>
      </c>
      <c r="D13499" t="s">
        <v>11260</v>
      </c>
      <c r="E13499">
        <v>-10798.99</v>
      </c>
      <c r="F13499">
        <v>-2</v>
      </c>
      <c r="G13499" t="s">
        <v>12</v>
      </c>
      <c r="I13499" t="s">
        <v>230</v>
      </c>
    </row>
    <row r="13500" spans="1:9" hidden="1" x14ac:dyDescent="0.25">
      <c r="A13500" t="s">
        <v>11247</v>
      </c>
      <c r="B13500" t="s">
        <v>40</v>
      </c>
      <c r="C13500" s="2">
        <f>HYPERLINK("https://cao.dolgi.msk.ru/account/1080109819/", 1080109819)</f>
        <v>1080109819</v>
      </c>
      <c r="D13500" t="s">
        <v>11261</v>
      </c>
      <c r="E13500">
        <v>0</v>
      </c>
      <c r="F13500">
        <v>0</v>
      </c>
      <c r="G13500" t="s">
        <v>12</v>
      </c>
      <c r="I13500" t="s">
        <v>230</v>
      </c>
    </row>
    <row r="13501" spans="1:9" hidden="1" x14ac:dyDescent="0.25">
      <c r="A13501" t="s">
        <v>11247</v>
      </c>
      <c r="B13501" t="s">
        <v>41</v>
      </c>
      <c r="C13501" s="2">
        <f>HYPERLINK("https://cao.dolgi.msk.ru/account/1080109827/", 1080109827)</f>
        <v>1080109827</v>
      </c>
      <c r="D13501" t="s">
        <v>11262</v>
      </c>
      <c r="E13501">
        <v>-51.13</v>
      </c>
      <c r="F13501">
        <v>-0.01</v>
      </c>
      <c r="G13501" t="s">
        <v>12</v>
      </c>
      <c r="I13501" t="s">
        <v>230</v>
      </c>
    </row>
    <row r="13502" spans="1:9" hidden="1" x14ac:dyDescent="0.25">
      <c r="A13502" t="s">
        <v>11247</v>
      </c>
      <c r="B13502" t="s">
        <v>42</v>
      </c>
      <c r="C13502" s="2">
        <f>HYPERLINK("https://cao.dolgi.msk.ru/account/1080109835/", 1080109835)</f>
        <v>1080109835</v>
      </c>
      <c r="D13502" t="s">
        <v>11263</v>
      </c>
      <c r="E13502">
        <v>0</v>
      </c>
      <c r="F13502">
        <v>0</v>
      </c>
      <c r="G13502" t="s">
        <v>12</v>
      </c>
      <c r="I13502" t="s">
        <v>230</v>
      </c>
    </row>
    <row r="13503" spans="1:9" hidden="1" x14ac:dyDescent="0.25">
      <c r="A13503" t="s">
        <v>11247</v>
      </c>
      <c r="B13503" t="s">
        <v>44</v>
      </c>
      <c r="C13503" s="2">
        <f>HYPERLINK("https://cao.dolgi.msk.ru/account/1080109843/", 1080109843)</f>
        <v>1080109843</v>
      </c>
      <c r="D13503" t="s">
        <v>11263</v>
      </c>
      <c r="E13503">
        <v>-13395.07</v>
      </c>
      <c r="F13503">
        <v>-1.1499999999999999</v>
      </c>
      <c r="G13503" t="s">
        <v>12</v>
      </c>
      <c r="I13503" t="s">
        <v>230</v>
      </c>
    </row>
    <row r="13504" spans="1:9" hidden="1" x14ac:dyDescent="0.25">
      <c r="A13504" t="s">
        <v>11247</v>
      </c>
      <c r="B13504" t="s">
        <v>66</v>
      </c>
      <c r="C13504" s="2">
        <f>HYPERLINK("https://cao.dolgi.msk.ru/account/1080109851/", 1080109851)</f>
        <v>1080109851</v>
      </c>
      <c r="D13504" t="s">
        <v>11264</v>
      </c>
      <c r="E13504">
        <v>-4091.07</v>
      </c>
      <c r="F13504">
        <v>-0.72</v>
      </c>
      <c r="G13504" t="s">
        <v>12</v>
      </c>
      <c r="I13504" t="s">
        <v>230</v>
      </c>
    </row>
    <row r="13505" spans="1:9" hidden="1" x14ac:dyDescent="0.25">
      <c r="A13505" t="s">
        <v>11247</v>
      </c>
      <c r="B13505" t="s">
        <v>68</v>
      </c>
      <c r="C13505" s="2">
        <f>HYPERLINK("https://cao.dolgi.msk.ru/account/1080109878/", 1080109878)</f>
        <v>1080109878</v>
      </c>
      <c r="D13505" t="s">
        <v>11265</v>
      </c>
      <c r="E13505">
        <v>-11697.5</v>
      </c>
      <c r="F13505">
        <v>-1.17</v>
      </c>
      <c r="G13505" t="s">
        <v>12</v>
      </c>
      <c r="I13505" t="s">
        <v>230</v>
      </c>
    </row>
    <row r="13506" spans="1:9" hidden="1" x14ac:dyDescent="0.25">
      <c r="A13506" t="s">
        <v>11247</v>
      </c>
      <c r="B13506" t="s">
        <v>70</v>
      </c>
      <c r="C13506" s="2">
        <f>HYPERLINK("https://cao.dolgi.msk.ru/account/1080109886/", 1080109886)</f>
        <v>1080109886</v>
      </c>
      <c r="D13506" t="s">
        <v>62</v>
      </c>
      <c r="E13506">
        <v>-28296.44</v>
      </c>
      <c r="F13506">
        <v>-2.42</v>
      </c>
      <c r="G13506" t="s">
        <v>12</v>
      </c>
      <c r="I13506" t="s">
        <v>230</v>
      </c>
    </row>
    <row r="13507" spans="1:9" hidden="1" x14ac:dyDescent="0.25">
      <c r="A13507" t="s">
        <v>11247</v>
      </c>
      <c r="B13507" t="s">
        <v>72</v>
      </c>
      <c r="C13507" s="2">
        <f>HYPERLINK("https://cao.dolgi.msk.ru/account/1080109894/", 1080109894)</f>
        <v>1080109894</v>
      </c>
      <c r="D13507" t="s">
        <v>11266</v>
      </c>
      <c r="E13507">
        <v>-8407.85</v>
      </c>
      <c r="F13507">
        <v>-1.1000000000000001</v>
      </c>
      <c r="G13507" t="s">
        <v>12</v>
      </c>
      <c r="I13507" t="s">
        <v>230</v>
      </c>
    </row>
    <row r="13508" spans="1:9" hidden="1" x14ac:dyDescent="0.25">
      <c r="A13508" t="s">
        <v>11247</v>
      </c>
      <c r="B13508" t="s">
        <v>74</v>
      </c>
      <c r="C13508" s="2">
        <f>HYPERLINK("https://cao.dolgi.msk.ru/account/1080109907/", 1080109907)</f>
        <v>1080109907</v>
      </c>
      <c r="D13508" t="s">
        <v>11267</v>
      </c>
      <c r="E13508">
        <v>-27589.759999999998</v>
      </c>
      <c r="F13508">
        <v>-3.32</v>
      </c>
      <c r="G13508" t="s">
        <v>12</v>
      </c>
      <c r="I13508" t="s">
        <v>230</v>
      </c>
    </row>
    <row r="13509" spans="1:9" hidden="1" x14ac:dyDescent="0.25">
      <c r="A13509" t="s">
        <v>11247</v>
      </c>
      <c r="B13509" t="s">
        <v>76</v>
      </c>
      <c r="C13509" s="2">
        <f>HYPERLINK("https://cao.dolgi.msk.ru/account/1080109915/", 1080109915)</f>
        <v>1080109915</v>
      </c>
      <c r="D13509" t="s">
        <v>11268</v>
      </c>
      <c r="E13509">
        <v>-12470.24</v>
      </c>
      <c r="F13509">
        <v>-1.18</v>
      </c>
      <c r="G13509" t="s">
        <v>12</v>
      </c>
      <c r="I13509" t="s">
        <v>230</v>
      </c>
    </row>
    <row r="13510" spans="1:9" hidden="1" x14ac:dyDescent="0.25">
      <c r="A13510" t="s">
        <v>11247</v>
      </c>
      <c r="B13510" t="s">
        <v>78</v>
      </c>
      <c r="C13510" s="2">
        <f>HYPERLINK("https://cao.dolgi.msk.ru/account/1080109923/", 1080109923)</f>
        <v>1080109923</v>
      </c>
      <c r="D13510" t="s">
        <v>11269</v>
      </c>
      <c r="E13510">
        <v>-5921.19</v>
      </c>
      <c r="F13510">
        <v>-1.2</v>
      </c>
      <c r="G13510" t="s">
        <v>12</v>
      </c>
      <c r="I13510" t="s">
        <v>230</v>
      </c>
    </row>
    <row r="13511" spans="1:9" hidden="1" x14ac:dyDescent="0.25">
      <c r="A13511" t="s">
        <v>11247</v>
      </c>
      <c r="B13511" t="s">
        <v>80</v>
      </c>
      <c r="C13511" s="2">
        <f>HYPERLINK("https://cao.dolgi.msk.ru/account/1080109931/", 1080109931)</f>
        <v>1080109931</v>
      </c>
      <c r="D13511" t="s">
        <v>11270</v>
      </c>
      <c r="E13511">
        <v>-192.57</v>
      </c>
      <c r="F13511">
        <v>-0.02</v>
      </c>
      <c r="G13511" t="s">
        <v>12</v>
      </c>
      <c r="I13511" t="s">
        <v>230</v>
      </c>
    </row>
    <row r="13512" spans="1:9" hidden="1" x14ac:dyDescent="0.25">
      <c r="A13512" t="s">
        <v>11247</v>
      </c>
      <c r="B13512" t="s">
        <v>82</v>
      </c>
      <c r="C13512" s="2">
        <f>HYPERLINK("https://cao.dolgi.msk.ru/account/1080109958/", 1080109958)</f>
        <v>1080109958</v>
      </c>
      <c r="D13512" t="s">
        <v>11271</v>
      </c>
      <c r="E13512">
        <v>-14434.6</v>
      </c>
      <c r="F13512">
        <v>-1.18</v>
      </c>
      <c r="G13512" t="s">
        <v>12</v>
      </c>
      <c r="I13512" t="s">
        <v>230</v>
      </c>
    </row>
    <row r="13513" spans="1:9" hidden="1" x14ac:dyDescent="0.25">
      <c r="A13513" t="s">
        <v>11247</v>
      </c>
      <c r="B13513" t="s">
        <v>84</v>
      </c>
      <c r="C13513" s="2">
        <f>HYPERLINK("https://cao.dolgi.msk.ru/account/1080109966/", 1080109966)</f>
        <v>1080109966</v>
      </c>
      <c r="D13513" t="s">
        <v>11272</v>
      </c>
      <c r="E13513">
        <v>-6578.1</v>
      </c>
      <c r="F13513">
        <v>-1.33</v>
      </c>
      <c r="G13513" t="s">
        <v>12</v>
      </c>
      <c r="I13513" t="s">
        <v>230</v>
      </c>
    </row>
    <row r="13514" spans="1:9" hidden="1" x14ac:dyDescent="0.25">
      <c r="A13514" t="s">
        <v>11247</v>
      </c>
      <c r="B13514" t="s">
        <v>86</v>
      </c>
      <c r="C13514" s="2">
        <f>HYPERLINK("https://cao.dolgi.msk.ru/account/1080109974/", 1080109974)</f>
        <v>1080109974</v>
      </c>
      <c r="D13514" t="s">
        <v>11273</v>
      </c>
      <c r="E13514">
        <v>-17139.53</v>
      </c>
      <c r="F13514">
        <v>-2.56</v>
      </c>
      <c r="G13514" t="s">
        <v>12</v>
      </c>
      <c r="I13514" t="s">
        <v>230</v>
      </c>
    </row>
    <row r="13515" spans="1:9" hidden="1" x14ac:dyDescent="0.25">
      <c r="A13515" t="s">
        <v>11247</v>
      </c>
      <c r="B13515" t="s">
        <v>88</v>
      </c>
      <c r="C13515" s="2">
        <f>HYPERLINK("https://cao.dolgi.msk.ru/account/1080109982/", 1080109982)</f>
        <v>1080109982</v>
      </c>
      <c r="D13515" t="s">
        <v>11274</v>
      </c>
      <c r="E13515">
        <v>-9479.3700000000008</v>
      </c>
      <c r="F13515">
        <v>-1.1200000000000001</v>
      </c>
      <c r="G13515" t="s">
        <v>12</v>
      </c>
      <c r="I13515" t="s">
        <v>230</v>
      </c>
    </row>
    <row r="13516" spans="1:9" hidden="1" x14ac:dyDescent="0.25">
      <c r="A13516" t="s">
        <v>11247</v>
      </c>
      <c r="B13516" t="s">
        <v>90</v>
      </c>
      <c r="C13516" s="2">
        <f>HYPERLINK("https://cao.dolgi.msk.ru/account/1080110019/", 1080110019)</f>
        <v>1080110019</v>
      </c>
      <c r="D13516" t="s">
        <v>11275</v>
      </c>
      <c r="E13516">
        <v>-7945.12</v>
      </c>
      <c r="F13516">
        <v>-1.2</v>
      </c>
      <c r="G13516" t="s">
        <v>12</v>
      </c>
      <c r="I13516" t="s">
        <v>230</v>
      </c>
    </row>
    <row r="13517" spans="1:9" hidden="1" x14ac:dyDescent="0.25">
      <c r="A13517" t="s">
        <v>11247</v>
      </c>
      <c r="B13517" t="s">
        <v>92</v>
      </c>
      <c r="C13517" s="2">
        <f>HYPERLINK("https://cao.dolgi.msk.ru/account/1080110027/", 1080110027)</f>
        <v>1080110027</v>
      </c>
      <c r="D13517" t="s">
        <v>11276</v>
      </c>
      <c r="E13517">
        <v>0</v>
      </c>
      <c r="F13517">
        <v>0</v>
      </c>
      <c r="G13517" t="s">
        <v>12</v>
      </c>
      <c r="I13517" t="s">
        <v>230</v>
      </c>
    </row>
    <row r="13518" spans="1:9" hidden="1" x14ac:dyDescent="0.25">
      <c r="A13518" t="s">
        <v>11247</v>
      </c>
      <c r="B13518" t="s">
        <v>94</v>
      </c>
      <c r="C13518" s="2">
        <f>HYPERLINK("https://cao.dolgi.msk.ru/account/1080110035/", 1080110035)</f>
        <v>1080110035</v>
      </c>
      <c r="D13518" t="s">
        <v>11277</v>
      </c>
      <c r="E13518">
        <v>-382.65</v>
      </c>
      <c r="F13518">
        <v>-0.03</v>
      </c>
      <c r="G13518" t="s">
        <v>12</v>
      </c>
      <c r="I13518" t="s">
        <v>230</v>
      </c>
    </row>
    <row r="13519" spans="1:9" hidden="1" x14ac:dyDescent="0.25">
      <c r="A13519" t="s">
        <v>11247</v>
      </c>
      <c r="B13519" t="s">
        <v>96</v>
      </c>
      <c r="C13519" s="2">
        <f>HYPERLINK("https://cao.dolgi.msk.ru/account/1080110043/", 1080110043)</f>
        <v>1080110043</v>
      </c>
      <c r="D13519" t="s">
        <v>11278</v>
      </c>
      <c r="E13519">
        <v>-17490.12</v>
      </c>
      <c r="F13519">
        <v>-2.16</v>
      </c>
      <c r="G13519" t="s">
        <v>12</v>
      </c>
      <c r="I13519" t="s">
        <v>230</v>
      </c>
    </row>
    <row r="13520" spans="1:9" hidden="1" x14ac:dyDescent="0.25">
      <c r="A13520" t="s">
        <v>11247</v>
      </c>
      <c r="B13520" t="s">
        <v>98</v>
      </c>
      <c r="C13520" s="2">
        <f>HYPERLINK("https://cao.dolgi.msk.ru/account/1080110051/", 1080110051)</f>
        <v>1080110051</v>
      </c>
      <c r="D13520" t="s">
        <v>11279</v>
      </c>
      <c r="E13520">
        <v>-10254.48</v>
      </c>
      <c r="F13520">
        <v>-1.1599999999999999</v>
      </c>
      <c r="G13520" t="s">
        <v>12</v>
      </c>
      <c r="I13520" t="s">
        <v>230</v>
      </c>
    </row>
    <row r="13521" spans="1:9" hidden="1" x14ac:dyDescent="0.25">
      <c r="A13521" t="s">
        <v>11247</v>
      </c>
      <c r="B13521" t="s">
        <v>100</v>
      </c>
      <c r="C13521" s="2">
        <f>HYPERLINK("https://cao.dolgi.msk.ru/account/1080110078/", 1080110078)</f>
        <v>1080110078</v>
      </c>
      <c r="D13521" t="s">
        <v>11280</v>
      </c>
      <c r="E13521">
        <v>-9916.7800000000007</v>
      </c>
      <c r="F13521">
        <v>-1.19</v>
      </c>
      <c r="G13521" t="s">
        <v>12</v>
      </c>
      <c r="I13521" t="s">
        <v>230</v>
      </c>
    </row>
    <row r="13522" spans="1:9" hidden="1" x14ac:dyDescent="0.25">
      <c r="A13522" t="s">
        <v>11247</v>
      </c>
      <c r="B13522" t="s">
        <v>102</v>
      </c>
      <c r="C13522" s="2">
        <f>HYPERLINK("https://cao.dolgi.msk.ru/account/1080110086/", 1080110086)</f>
        <v>1080110086</v>
      </c>
      <c r="D13522" t="s">
        <v>62</v>
      </c>
      <c r="E13522">
        <v>-16265.47</v>
      </c>
      <c r="F13522">
        <v>-1.2</v>
      </c>
      <c r="G13522" t="s">
        <v>12</v>
      </c>
      <c r="I13522" t="s">
        <v>230</v>
      </c>
    </row>
    <row r="13523" spans="1:9" hidden="1" x14ac:dyDescent="0.25">
      <c r="A13523" t="s">
        <v>11247</v>
      </c>
      <c r="B13523" t="s">
        <v>104</v>
      </c>
      <c r="C13523" s="2">
        <f>HYPERLINK("https://cao.dolgi.msk.ru/account/1080110094/", 1080110094)</f>
        <v>1080110094</v>
      </c>
      <c r="D13523" t="s">
        <v>11281</v>
      </c>
      <c r="E13523">
        <v>-7324.36</v>
      </c>
      <c r="F13523">
        <v>-1.17</v>
      </c>
      <c r="G13523" t="s">
        <v>12</v>
      </c>
      <c r="I13523" t="s">
        <v>230</v>
      </c>
    </row>
    <row r="13524" spans="1:9" hidden="1" x14ac:dyDescent="0.25">
      <c r="A13524" t="s">
        <v>11247</v>
      </c>
      <c r="B13524" t="s">
        <v>106</v>
      </c>
      <c r="C13524" s="2">
        <f>HYPERLINK("https://cao.dolgi.msk.ru/account/1080110107/", 1080110107)</f>
        <v>1080110107</v>
      </c>
      <c r="D13524" t="s">
        <v>11282</v>
      </c>
      <c r="E13524">
        <v>-14379.58</v>
      </c>
      <c r="F13524">
        <v>-1.22</v>
      </c>
      <c r="G13524" t="s">
        <v>12</v>
      </c>
      <c r="I13524" t="s">
        <v>230</v>
      </c>
    </row>
    <row r="13525" spans="1:9" hidden="1" x14ac:dyDescent="0.25">
      <c r="A13525" t="s">
        <v>11247</v>
      </c>
      <c r="B13525" t="s">
        <v>108</v>
      </c>
      <c r="C13525" s="2">
        <f>HYPERLINK("https://cao.dolgi.msk.ru/account/1080110115/", 1080110115)</f>
        <v>1080110115</v>
      </c>
      <c r="D13525" t="s">
        <v>62</v>
      </c>
      <c r="E13525">
        <v>-8671.2000000000007</v>
      </c>
      <c r="F13525">
        <v>-1.18</v>
      </c>
      <c r="G13525" t="s">
        <v>12</v>
      </c>
      <c r="I13525" t="s">
        <v>230</v>
      </c>
    </row>
    <row r="13526" spans="1:9" hidden="1" x14ac:dyDescent="0.25">
      <c r="A13526" t="s">
        <v>11247</v>
      </c>
      <c r="B13526" t="s">
        <v>110</v>
      </c>
      <c r="C13526" s="2">
        <f>HYPERLINK("https://cao.dolgi.msk.ru/account/1080110123/", 1080110123)</f>
        <v>1080110123</v>
      </c>
      <c r="D13526" t="s">
        <v>11283</v>
      </c>
      <c r="E13526">
        <v>25.9</v>
      </c>
      <c r="F13526">
        <v>0</v>
      </c>
      <c r="G13526" t="s">
        <v>12</v>
      </c>
      <c r="I13526" t="s">
        <v>230</v>
      </c>
    </row>
    <row r="13527" spans="1:9" hidden="1" x14ac:dyDescent="0.25">
      <c r="A13527" t="s">
        <v>11247</v>
      </c>
      <c r="B13527" t="s">
        <v>112</v>
      </c>
      <c r="C13527" s="2">
        <f>HYPERLINK("https://cao.dolgi.msk.ru/account/1080110131/", 1080110131)</f>
        <v>1080110131</v>
      </c>
      <c r="D13527" t="s">
        <v>11284</v>
      </c>
      <c r="E13527">
        <v>-15496.55</v>
      </c>
      <c r="F13527">
        <v>-1.65</v>
      </c>
      <c r="G13527" t="s">
        <v>12</v>
      </c>
      <c r="I13527" t="s">
        <v>230</v>
      </c>
    </row>
    <row r="13528" spans="1:9" hidden="1" x14ac:dyDescent="0.25">
      <c r="A13528" t="s">
        <v>11247</v>
      </c>
      <c r="B13528" t="s">
        <v>116</v>
      </c>
      <c r="C13528" s="2">
        <f>HYPERLINK("https://cao.dolgi.msk.ru/account/1080110158/", 1080110158)</f>
        <v>1080110158</v>
      </c>
      <c r="D13528" t="s">
        <v>11285</v>
      </c>
      <c r="E13528">
        <v>-10102.620000000001</v>
      </c>
      <c r="F13528">
        <v>-1.2</v>
      </c>
      <c r="G13528" t="s">
        <v>12</v>
      </c>
      <c r="I13528" t="s">
        <v>230</v>
      </c>
    </row>
    <row r="13529" spans="1:9" hidden="1" x14ac:dyDescent="0.25">
      <c r="A13529" t="s">
        <v>11247</v>
      </c>
      <c r="B13529" t="s">
        <v>118</v>
      </c>
      <c r="C13529" s="2">
        <f>HYPERLINK("https://cao.dolgi.msk.ru/account/1080110166/", 1080110166)</f>
        <v>1080110166</v>
      </c>
      <c r="D13529" t="s">
        <v>11286</v>
      </c>
      <c r="E13529">
        <v>-713.11</v>
      </c>
      <c r="F13529">
        <v>-0.06</v>
      </c>
      <c r="G13529" t="s">
        <v>12</v>
      </c>
      <c r="I13529" t="s">
        <v>230</v>
      </c>
    </row>
    <row r="13530" spans="1:9" hidden="1" x14ac:dyDescent="0.25">
      <c r="A13530" t="s">
        <v>11247</v>
      </c>
      <c r="B13530" t="s">
        <v>120</v>
      </c>
      <c r="C13530" s="2">
        <f>HYPERLINK("https://cao.dolgi.msk.ru/account/1080110174/", 1080110174)</f>
        <v>1080110174</v>
      </c>
      <c r="D13530" t="s">
        <v>11287</v>
      </c>
      <c r="E13530">
        <v>-7268.31</v>
      </c>
      <c r="F13530">
        <v>-1.26</v>
      </c>
      <c r="G13530" t="s">
        <v>12</v>
      </c>
      <c r="I13530" t="s">
        <v>230</v>
      </c>
    </row>
    <row r="13531" spans="1:9" hidden="1" x14ac:dyDescent="0.25">
      <c r="A13531" t="s">
        <v>11247</v>
      </c>
      <c r="B13531" t="s">
        <v>122</v>
      </c>
      <c r="C13531" s="2">
        <f>HYPERLINK("https://cao.dolgi.msk.ru/account/1080110182/", 1080110182)</f>
        <v>1080110182</v>
      </c>
      <c r="D13531" t="s">
        <v>11288</v>
      </c>
      <c r="E13531">
        <v>-4536.96</v>
      </c>
      <c r="F13531">
        <v>-1.1299999999999999</v>
      </c>
      <c r="G13531" t="s">
        <v>12</v>
      </c>
      <c r="I13531" t="s">
        <v>230</v>
      </c>
    </row>
    <row r="13532" spans="1:9" hidden="1" x14ac:dyDescent="0.25">
      <c r="A13532" t="s">
        <v>11247</v>
      </c>
      <c r="B13532" t="s">
        <v>122</v>
      </c>
      <c r="C13532" s="2">
        <f>HYPERLINK("https://cao.dolgi.msk.ru/account/1089123107/", 1089123107)</f>
        <v>1089123107</v>
      </c>
      <c r="D13532" t="s">
        <v>11289</v>
      </c>
      <c r="E13532">
        <v>-5175.6899999999996</v>
      </c>
      <c r="F13532">
        <v>-1.54</v>
      </c>
      <c r="G13532" t="s">
        <v>12</v>
      </c>
      <c r="I13532" t="s">
        <v>230</v>
      </c>
    </row>
    <row r="13533" spans="1:9" hidden="1" x14ac:dyDescent="0.25">
      <c r="A13533" t="s">
        <v>11247</v>
      </c>
      <c r="B13533" t="s">
        <v>124</v>
      </c>
      <c r="C13533" s="2">
        <f>HYPERLINK("https://cao.dolgi.msk.ru/account/1080110203/", 1080110203)</f>
        <v>1080110203</v>
      </c>
      <c r="D13533" t="s">
        <v>11290</v>
      </c>
      <c r="E13533">
        <v>0</v>
      </c>
      <c r="F13533">
        <v>0</v>
      </c>
      <c r="G13533" t="s">
        <v>12</v>
      </c>
      <c r="I13533" t="s">
        <v>230</v>
      </c>
    </row>
    <row r="13534" spans="1:9" hidden="1" x14ac:dyDescent="0.25">
      <c r="A13534" t="s">
        <v>11247</v>
      </c>
      <c r="B13534" t="s">
        <v>126</v>
      </c>
      <c r="C13534" s="2">
        <f>HYPERLINK("https://cao.dolgi.msk.ru/account/1080321422/", 1080321422)</f>
        <v>1080321422</v>
      </c>
      <c r="D13534" t="s">
        <v>15</v>
      </c>
      <c r="E13534">
        <v>-9652.52</v>
      </c>
      <c r="F13534">
        <v>-1.1599999999999999</v>
      </c>
      <c r="G13534" t="s">
        <v>12</v>
      </c>
      <c r="I13534" t="s">
        <v>230</v>
      </c>
    </row>
    <row r="13535" spans="1:9" hidden="1" x14ac:dyDescent="0.25">
      <c r="A13535" t="s">
        <v>11247</v>
      </c>
      <c r="B13535" t="s">
        <v>128</v>
      </c>
      <c r="C13535" s="2">
        <f>HYPERLINK("https://cao.dolgi.msk.ru/account/1080110211/", 1080110211)</f>
        <v>1080110211</v>
      </c>
      <c r="D13535" t="s">
        <v>11291</v>
      </c>
      <c r="E13535">
        <v>-7566.05</v>
      </c>
      <c r="F13535">
        <v>-1.18</v>
      </c>
      <c r="G13535" t="s">
        <v>12</v>
      </c>
      <c r="I13535" t="s">
        <v>230</v>
      </c>
    </row>
    <row r="13536" spans="1:9" hidden="1" x14ac:dyDescent="0.25">
      <c r="A13536" t="s">
        <v>11247</v>
      </c>
      <c r="B13536" t="s">
        <v>130</v>
      </c>
      <c r="C13536" s="2">
        <f>HYPERLINK("https://cao.dolgi.msk.ru/account/1080110238/", 1080110238)</f>
        <v>1080110238</v>
      </c>
      <c r="D13536" t="s">
        <v>11292</v>
      </c>
      <c r="E13536">
        <v>-15406.07</v>
      </c>
      <c r="F13536">
        <v>-1.1399999999999999</v>
      </c>
      <c r="G13536" t="s">
        <v>12</v>
      </c>
      <c r="I13536" t="s">
        <v>230</v>
      </c>
    </row>
    <row r="13537" spans="1:9" hidden="1" x14ac:dyDescent="0.25">
      <c r="A13537" t="s">
        <v>11247</v>
      </c>
      <c r="B13537" t="s">
        <v>132</v>
      </c>
      <c r="C13537" s="2">
        <f>HYPERLINK("https://cao.dolgi.msk.ru/account/1080110246/", 1080110246)</f>
        <v>1080110246</v>
      </c>
      <c r="D13537" t="s">
        <v>11293</v>
      </c>
      <c r="E13537">
        <v>-8725.73</v>
      </c>
      <c r="F13537">
        <v>-1.18</v>
      </c>
      <c r="G13537" t="s">
        <v>12</v>
      </c>
      <c r="I13537" t="s">
        <v>230</v>
      </c>
    </row>
    <row r="13538" spans="1:9" hidden="1" x14ac:dyDescent="0.25">
      <c r="A13538" t="s">
        <v>11247</v>
      </c>
      <c r="B13538" t="s">
        <v>133</v>
      </c>
      <c r="C13538" s="2">
        <f>HYPERLINK("https://cao.dolgi.msk.ru/account/1080110254/", 1080110254)</f>
        <v>1080110254</v>
      </c>
      <c r="D13538" t="s">
        <v>11294</v>
      </c>
      <c r="E13538">
        <v>-10685.72</v>
      </c>
      <c r="F13538">
        <v>-1.17</v>
      </c>
      <c r="G13538" t="s">
        <v>12</v>
      </c>
      <c r="I13538" t="s">
        <v>230</v>
      </c>
    </row>
    <row r="13539" spans="1:9" hidden="1" x14ac:dyDescent="0.25">
      <c r="A13539" t="s">
        <v>11247</v>
      </c>
      <c r="B13539" t="s">
        <v>135</v>
      </c>
      <c r="C13539" s="2">
        <f>HYPERLINK("https://cao.dolgi.msk.ru/account/1080110262/", 1080110262)</f>
        <v>1080110262</v>
      </c>
      <c r="D13539" t="s">
        <v>11295</v>
      </c>
      <c r="E13539">
        <v>-7754.64</v>
      </c>
      <c r="F13539">
        <v>-0.71</v>
      </c>
      <c r="G13539" t="s">
        <v>12</v>
      </c>
      <c r="I13539" t="s">
        <v>230</v>
      </c>
    </row>
    <row r="13540" spans="1:9" hidden="1" x14ac:dyDescent="0.25">
      <c r="A13540" t="s">
        <v>11247</v>
      </c>
      <c r="B13540" t="s">
        <v>137</v>
      </c>
      <c r="C13540" s="2">
        <f>HYPERLINK("https://cao.dolgi.msk.ru/account/1080110289/", 1080110289)</f>
        <v>1080110289</v>
      </c>
      <c r="D13540" t="s">
        <v>11296</v>
      </c>
      <c r="E13540">
        <v>-7814.15</v>
      </c>
      <c r="F13540">
        <v>-1.19</v>
      </c>
      <c r="G13540" t="s">
        <v>12</v>
      </c>
      <c r="I13540" t="s">
        <v>230</v>
      </c>
    </row>
    <row r="13541" spans="1:9" hidden="1" x14ac:dyDescent="0.25">
      <c r="A13541" t="s">
        <v>11247</v>
      </c>
      <c r="B13541" t="s">
        <v>139</v>
      </c>
      <c r="C13541" s="2">
        <f>HYPERLINK("https://cao.dolgi.msk.ru/account/1080110297/", 1080110297)</f>
        <v>1080110297</v>
      </c>
      <c r="D13541" t="s">
        <v>11297</v>
      </c>
      <c r="E13541">
        <v>-10825.24</v>
      </c>
      <c r="F13541">
        <v>-1.19</v>
      </c>
      <c r="G13541" t="s">
        <v>12</v>
      </c>
      <c r="I13541" t="s">
        <v>230</v>
      </c>
    </row>
    <row r="13542" spans="1:9" hidden="1" x14ac:dyDescent="0.25">
      <c r="A13542" t="s">
        <v>11247</v>
      </c>
      <c r="B13542" t="s">
        <v>141</v>
      </c>
      <c r="C13542" s="2">
        <f>HYPERLINK("https://cao.dolgi.msk.ru/account/1080110318/", 1080110318)</f>
        <v>1080110318</v>
      </c>
      <c r="D13542" t="s">
        <v>11298</v>
      </c>
      <c r="E13542">
        <v>18513.09</v>
      </c>
      <c r="F13542">
        <v>0.98</v>
      </c>
      <c r="G13542" t="s">
        <v>12</v>
      </c>
      <c r="I13542" t="s">
        <v>230</v>
      </c>
    </row>
    <row r="13543" spans="1:9" hidden="1" x14ac:dyDescent="0.25">
      <c r="A13543" t="s">
        <v>11247</v>
      </c>
      <c r="B13543" t="s">
        <v>143</v>
      </c>
      <c r="C13543" s="2">
        <f>HYPERLINK("https://cao.dolgi.msk.ru/account/1080110326/", 1080110326)</f>
        <v>1080110326</v>
      </c>
      <c r="D13543" t="s">
        <v>11299</v>
      </c>
      <c r="E13543">
        <v>-10829.32</v>
      </c>
      <c r="F13543">
        <v>-1.23</v>
      </c>
      <c r="G13543" t="s">
        <v>12</v>
      </c>
      <c r="I13543" t="s">
        <v>230</v>
      </c>
    </row>
    <row r="13544" spans="1:9" hidden="1" x14ac:dyDescent="0.25">
      <c r="A13544" t="s">
        <v>11247</v>
      </c>
      <c r="B13544" t="s">
        <v>145</v>
      </c>
      <c r="C13544" s="2">
        <f>HYPERLINK("https://cao.dolgi.msk.ru/account/1080110334/", 1080110334)</f>
        <v>1080110334</v>
      </c>
      <c r="D13544" t="s">
        <v>11300</v>
      </c>
      <c r="E13544">
        <v>-17440.580000000002</v>
      </c>
      <c r="F13544">
        <v>-1.25</v>
      </c>
      <c r="G13544" t="s">
        <v>12</v>
      </c>
      <c r="I13544" t="s">
        <v>230</v>
      </c>
    </row>
    <row r="13545" spans="1:9" hidden="1" x14ac:dyDescent="0.25">
      <c r="A13545" t="s">
        <v>11247</v>
      </c>
      <c r="B13545" t="s">
        <v>147</v>
      </c>
      <c r="C13545" s="2">
        <f>HYPERLINK("https://cao.dolgi.msk.ru/account/1080110342/", 1080110342)</f>
        <v>1080110342</v>
      </c>
      <c r="D13545" t="s">
        <v>11301</v>
      </c>
      <c r="E13545">
        <v>-419.18</v>
      </c>
      <c r="F13545">
        <v>-0.04</v>
      </c>
      <c r="G13545" t="s">
        <v>12</v>
      </c>
      <c r="I13545" t="s">
        <v>230</v>
      </c>
    </row>
    <row r="13546" spans="1:9" hidden="1" x14ac:dyDescent="0.25">
      <c r="A13546" t="s">
        <v>11247</v>
      </c>
      <c r="B13546" t="s">
        <v>149</v>
      </c>
      <c r="C13546" s="2">
        <f>HYPERLINK("https://cao.dolgi.msk.ru/account/1080110369/", 1080110369)</f>
        <v>1080110369</v>
      </c>
      <c r="D13546" t="s">
        <v>11302</v>
      </c>
      <c r="E13546">
        <v>0</v>
      </c>
      <c r="F13546">
        <v>0</v>
      </c>
      <c r="G13546" t="s">
        <v>12</v>
      </c>
      <c r="I13546" t="s">
        <v>230</v>
      </c>
    </row>
    <row r="13547" spans="1:9" hidden="1" x14ac:dyDescent="0.25">
      <c r="A13547" t="s">
        <v>11247</v>
      </c>
      <c r="B13547" t="s">
        <v>151</v>
      </c>
      <c r="C13547" s="2">
        <f>HYPERLINK("https://cao.dolgi.msk.ru/account/1080110377/", 1080110377)</f>
        <v>1080110377</v>
      </c>
      <c r="D13547" t="s">
        <v>11303</v>
      </c>
      <c r="E13547">
        <v>-990.95</v>
      </c>
      <c r="F13547">
        <v>-0.11</v>
      </c>
      <c r="G13547" t="s">
        <v>12</v>
      </c>
      <c r="I13547" t="s">
        <v>230</v>
      </c>
    </row>
    <row r="13548" spans="1:9" hidden="1" x14ac:dyDescent="0.25">
      <c r="A13548" t="s">
        <v>11247</v>
      </c>
      <c r="B13548" t="s">
        <v>153</v>
      </c>
      <c r="C13548" s="2">
        <f>HYPERLINK("https://cao.dolgi.msk.ru/account/1080110385/", 1080110385)</f>
        <v>1080110385</v>
      </c>
      <c r="D13548" t="s">
        <v>11304</v>
      </c>
      <c r="E13548">
        <v>-1040.58</v>
      </c>
      <c r="F13548">
        <v>-0.11</v>
      </c>
      <c r="G13548" t="s">
        <v>12</v>
      </c>
      <c r="I13548" t="s">
        <v>230</v>
      </c>
    </row>
    <row r="13549" spans="1:9" hidden="1" x14ac:dyDescent="0.25">
      <c r="A13549" t="s">
        <v>11247</v>
      </c>
      <c r="B13549" t="s">
        <v>155</v>
      </c>
      <c r="C13549" s="2">
        <f>HYPERLINK("https://cao.dolgi.msk.ru/account/1080110393/", 1080110393)</f>
        <v>1080110393</v>
      </c>
      <c r="D13549" t="s">
        <v>11305</v>
      </c>
      <c r="E13549">
        <v>-7937.09</v>
      </c>
      <c r="F13549">
        <v>-1.18</v>
      </c>
      <c r="G13549" t="s">
        <v>12</v>
      </c>
      <c r="I13549" t="s">
        <v>230</v>
      </c>
    </row>
    <row r="13550" spans="1:9" hidden="1" x14ac:dyDescent="0.25">
      <c r="A13550" t="s">
        <v>11247</v>
      </c>
      <c r="B13550" t="s">
        <v>157</v>
      </c>
      <c r="C13550" s="2">
        <f>HYPERLINK("https://cao.dolgi.msk.ru/account/1080110406/", 1080110406)</f>
        <v>1080110406</v>
      </c>
      <c r="D13550" t="s">
        <v>11306</v>
      </c>
      <c r="E13550">
        <v>0</v>
      </c>
      <c r="F13550">
        <v>0</v>
      </c>
      <c r="G13550" t="s">
        <v>12</v>
      </c>
      <c r="I13550" t="s">
        <v>230</v>
      </c>
    </row>
    <row r="13551" spans="1:9" hidden="1" x14ac:dyDescent="0.25">
      <c r="A13551" t="s">
        <v>11247</v>
      </c>
      <c r="B13551" t="s">
        <v>159</v>
      </c>
      <c r="C13551" s="2">
        <f>HYPERLINK("https://cao.dolgi.msk.ru/account/1080110414/", 1080110414)</f>
        <v>1080110414</v>
      </c>
      <c r="D13551" t="s">
        <v>11307</v>
      </c>
      <c r="E13551">
        <v>-12278.31</v>
      </c>
      <c r="F13551">
        <v>-1.21</v>
      </c>
      <c r="G13551" t="s">
        <v>12</v>
      </c>
      <c r="I13551" t="s">
        <v>230</v>
      </c>
    </row>
    <row r="13552" spans="1:9" x14ac:dyDescent="0.25">
      <c r="A13552" t="s">
        <v>11247</v>
      </c>
      <c r="B13552" t="s">
        <v>161</v>
      </c>
      <c r="C13552" s="2">
        <f>HYPERLINK("https://cao.dolgi.msk.ru/account/1080110422/", 1080110422)</f>
        <v>1080110422</v>
      </c>
      <c r="D13552" t="s">
        <v>11308</v>
      </c>
      <c r="E13552">
        <v>16796.73</v>
      </c>
      <c r="F13552">
        <v>1.0900000000000001</v>
      </c>
      <c r="G13552" t="s">
        <v>12</v>
      </c>
      <c r="I13552" t="s">
        <v>230</v>
      </c>
    </row>
    <row r="13553" spans="1:9" hidden="1" x14ac:dyDescent="0.25">
      <c r="A13553" t="s">
        <v>11247</v>
      </c>
      <c r="B13553" t="s">
        <v>571</v>
      </c>
      <c r="C13553" s="2">
        <f>HYPERLINK("https://cao.dolgi.msk.ru/account/1080110449/", 1080110449)</f>
        <v>1080110449</v>
      </c>
      <c r="D13553" t="s">
        <v>62</v>
      </c>
      <c r="E13553">
        <v>-2219.59</v>
      </c>
      <c r="F13553">
        <v>-0.21</v>
      </c>
      <c r="G13553" t="s">
        <v>12</v>
      </c>
      <c r="I13553" t="s">
        <v>230</v>
      </c>
    </row>
    <row r="13554" spans="1:9" hidden="1" x14ac:dyDescent="0.25">
      <c r="A13554" t="s">
        <v>11247</v>
      </c>
      <c r="B13554" t="s">
        <v>682</v>
      </c>
      <c r="C13554" s="2">
        <f>HYPERLINK("https://cao.dolgi.msk.ru/account/1080110457/", 1080110457)</f>
        <v>1080110457</v>
      </c>
      <c r="D13554" t="s">
        <v>11309</v>
      </c>
      <c r="E13554">
        <v>-9917.51</v>
      </c>
      <c r="F13554">
        <v>-1.54</v>
      </c>
      <c r="G13554" t="s">
        <v>12</v>
      </c>
      <c r="I13554" t="s">
        <v>230</v>
      </c>
    </row>
    <row r="13555" spans="1:9" hidden="1" x14ac:dyDescent="0.25">
      <c r="A13555" t="s">
        <v>11247</v>
      </c>
      <c r="B13555" t="s">
        <v>578</v>
      </c>
      <c r="C13555" s="2">
        <f>HYPERLINK("https://cao.dolgi.msk.ru/account/1080110465/", 1080110465)</f>
        <v>1080110465</v>
      </c>
      <c r="D13555" t="s">
        <v>11310</v>
      </c>
      <c r="E13555">
        <v>-8876.9</v>
      </c>
      <c r="F13555">
        <v>-1.1499999999999999</v>
      </c>
      <c r="G13555" t="s">
        <v>12</v>
      </c>
      <c r="I13555" t="s">
        <v>230</v>
      </c>
    </row>
    <row r="13556" spans="1:9" hidden="1" x14ac:dyDescent="0.25">
      <c r="A13556" t="s">
        <v>11247</v>
      </c>
      <c r="B13556" t="s">
        <v>580</v>
      </c>
      <c r="C13556" s="2">
        <f>HYPERLINK("https://cao.dolgi.msk.ru/account/1080110473/", 1080110473)</f>
        <v>1080110473</v>
      </c>
      <c r="D13556" t="s">
        <v>11311</v>
      </c>
      <c r="E13556">
        <v>-10625.3</v>
      </c>
      <c r="F13556">
        <v>-1.24</v>
      </c>
      <c r="G13556" t="s">
        <v>12</v>
      </c>
      <c r="I13556" t="s">
        <v>230</v>
      </c>
    </row>
    <row r="13557" spans="1:9" hidden="1" x14ac:dyDescent="0.25">
      <c r="A13557" t="s">
        <v>11247</v>
      </c>
      <c r="B13557" t="s">
        <v>686</v>
      </c>
      <c r="C13557" s="2">
        <f>HYPERLINK("https://cao.dolgi.msk.ru/account/1080110481/", 1080110481)</f>
        <v>1080110481</v>
      </c>
      <c r="D13557" t="s">
        <v>62</v>
      </c>
      <c r="E13557">
        <v>-6729.7</v>
      </c>
      <c r="F13557">
        <v>-1.19</v>
      </c>
      <c r="G13557" t="s">
        <v>12</v>
      </c>
      <c r="I13557" t="s">
        <v>230</v>
      </c>
    </row>
    <row r="13558" spans="1:9" hidden="1" x14ac:dyDescent="0.25">
      <c r="A13558" t="s">
        <v>11247</v>
      </c>
      <c r="B13558" t="s">
        <v>582</v>
      </c>
      <c r="C13558" s="2">
        <f>HYPERLINK("https://cao.dolgi.msk.ru/account/1080110502/", 1080110502)</f>
        <v>1080110502</v>
      </c>
      <c r="D13558" t="s">
        <v>11312</v>
      </c>
      <c r="E13558">
        <v>-8033.97</v>
      </c>
      <c r="F13558">
        <v>-1.1299999999999999</v>
      </c>
      <c r="G13558" t="s">
        <v>12</v>
      </c>
      <c r="I13558" t="s">
        <v>230</v>
      </c>
    </row>
    <row r="13559" spans="1:9" hidden="1" x14ac:dyDescent="0.25">
      <c r="A13559" t="s">
        <v>11247</v>
      </c>
      <c r="B13559" t="s">
        <v>586</v>
      </c>
      <c r="C13559" s="2">
        <f>HYPERLINK("https://cao.dolgi.msk.ru/account/1080110537/", 1080110537)</f>
        <v>1080110537</v>
      </c>
      <c r="D13559" t="s">
        <v>11313</v>
      </c>
      <c r="E13559">
        <v>7509.09</v>
      </c>
      <c r="F13559">
        <v>0.76</v>
      </c>
      <c r="G13559" t="s">
        <v>12</v>
      </c>
      <c r="I13559" t="s">
        <v>230</v>
      </c>
    </row>
    <row r="13560" spans="1:9" hidden="1" x14ac:dyDescent="0.25">
      <c r="A13560" t="s">
        <v>11247</v>
      </c>
      <c r="B13560" t="s">
        <v>588</v>
      </c>
      <c r="C13560" s="2">
        <f>HYPERLINK("https://cao.dolgi.msk.ru/account/1080110545/", 1080110545)</f>
        <v>1080110545</v>
      </c>
      <c r="D13560" t="s">
        <v>11314</v>
      </c>
      <c r="E13560">
        <v>-18438.53</v>
      </c>
      <c r="F13560">
        <v>-1.1100000000000001</v>
      </c>
      <c r="G13560" t="s">
        <v>12</v>
      </c>
      <c r="I13560" t="s">
        <v>230</v>
      </c>
    </row>
    <row r="13561" spans="1:9" hidden="1" x14ac:dyDescent="0.25">
      <c r="A13561" t="s">
        <v>11247</v>
      </c>
      <c r="B13561" t="s">
        <v>590</v>
      </c>
      <c r="C13561" s="2">
        <f>HYPERLINK("https://cao.dolgi.msk.ru/account/1080110553/", 1080110553)</f>
        <v>1080110553</v>
      </c>
      <c r="D13561" t="s">
        <v>11315</v>
      </c>
      <c r="E13561">
        <v>-11998.88</v>
      </c>
      <c r="F13561">
        <v>-1.19</v>
      </c>
      <c r="G13561" t="s">
        <v>12</v>
      </c>
      <c r="I13561" t="s">
        <v>230</v>
      </c>
    </row>
    <row r="13562" spans="1:9" hidden="1" x14ac:dyDescent="0.25">
      <c r="A13562" t="s">
        <v>11316</v>
      </c>
      <c r="B13562" t="s">
        <v>10</v>
      </c>
      <c r="C13562" s="2">
        <f>HYPERLINK("https://cao.dolgi.msk.ru/account/1080100929/", 1080100929)</f>
        <v>1080100929</v>
      </c>
      <c r="D13562" t="s">
        <v>11317</v>
      </c>
      <c r="E13562">
        <v>-2283.4899999999998</v>
      </c>
      <c r="G13562" t="s">
        <v>14</v>
      </c>
      <c r="I13562" t="s">
        <v>230</v>
      </c>
    </row>
    <row r="13563" spans="1:9" hidden="1" x14ac:dyDescent="0.25">
      <c r="A13563" t="s">
        <v>11316</v>
      </c>
      <c r="B13563" t="s">
        <v>10</v>
      </c>
      <c r="C13563" s="2">
        <f>HYPERLINK("https://cao.dolgi.msk.ru/account/1089133479/", 1089133479)</f>
        <v>1089133479</v>
      </c>
      <c r="D13563" t="s">
        <v>11317</v>
      </c>
      <c r="E13563">
        <v>-6521.07</v>
      </c>
      <c r="F13563">
        <v>-1.08</v>
      </c>
      <c r="G13563" t="s">
        <v>12</v>
      </c>
      <c r="I13563" t="s">
        <v>230</v>
      </c>
    </row>
    <row r="13564" spans="1:9" hidden="1" x14ac:dyDescent="0.25">
      <c r="A13564" t="s">
        <v>11316</v>
      </c>
      <c r="B13564" t="s">
        <v>16</v>
      </c>
      <c r="C13564" s="2">
        <f>HYPERLINK("https://cao.dolgi.msk.ru/account/1080100937/", 1080100937)</f>
        <v>1080100937</v>
      </c>
      <c r="D13564" t="s">
        <v>11318</v>
      </c>
      <c r="E13564">
        <v>-7078.07</v>
      </c>
      <c r="F13564">
        <v>-1.24</v>
      </c>
      <c r="G13564" t="s">
        <v>12</v>
      </c>
      <c r="I13564" t="s">
        <v>230</v>
      </c>
    </row>
    <row r="13565" spans="1:9" hidden="1" x14ac:dyDescent="0.25">
      <c r="A13565" t="s">
        <v>11316</v>
      </c>
      <c r="B13565" t="s">
        <v>18</v>
      </c>
      <c r="C13565" s="2">
        <f>HYPERLINK("https://cao.dolgi.msk.ru/account/1080100945/", 1080100945)</f>
        <v>1080100945</v>
      </c>
      <c r="D13565" t="s">
        <v>11319</v>
      </c>
      <c r="E13565">
        <v>32.86</v>
      </c>
      <c r="F13565">
        <v>0.01</v>
      </c>
      <c r="G13565" t="s">
        <v>12</v>
      </c>
      <c r="I13565" t="s">
        <v>230</v>
      </c>
    </row>
    <row r="13566" spans="1:9" hidden="1" x14ac:dyDescent="0.25">
      <c r="A13566" t="s">
        <v>11316</v>
      </c>
      <c r="B13566" t="s">
        <v>20</v>
      </c>
      <c r="C13566" s="2">
        <f>HYPERLINK("https://cao.dolgi.msk.ru/account/1080100953/", 1080100953)</f>
        <v>1080100953</v>
      </c>
      <c r="D13566" t="s">
        <v>11320</v>
      </c>
      <c r="E13566">
        <v>-7959.14</v>
      </c>
      <c r="F13566">
        <v>-1.08</v>
      </c>
      <c r="G13566" t="s">
        <v>12</v>
      </c>
      <c r="I13566" t="s">
        <v>230</v>
      </c>
    </row>
    <row r="13567" spans="1:9" hidden="1" x14ac:dyDescent="0.25">
      <c r="A13567" t="s">
        <v>11316</v>
      </c>
      <c r="B13567" t="s">
        <v>21</v>
      </c>
      <c r="C13567" s="2">
        <f>HYPERLINK("https://cao.dolgi.msk.ru/account/1080100961/", 1080100961)</f>
        <v>1080100961</v>
      </c>
      <c r="D13567" t="s">
        <v>11321</v>
      </c>
      <c r="E13567">
        <v>-6495.98</v>
      </c>
      <c r="F13567">
        <v>-1.1100000000000001</v>
      </c>
      <c r="G13567" t="s">
        <v>12</v>
      </c>
      <c r="I13567" t="s">
        <v>230</v>
      </c>
    </row>
    <row r="13568" spans="1:9" hidden="1" x14ac:dyDescent="0.25">
      <c r="A13568" t="s">
        <v>11316</v>
      </c>
      <c r="B13568" t="s">
        <v>22</v>
      </c>
      <c r="C13568" s="2">
        <f>HYPERLINK("https://cao.dolgi.msk.ru/account/1080100988/", 1080100988)</f>
        <v>1080100988</v>
      </c>
      <c r="D13568" t="s">
        <v>11322</v>
      </c>
      <c r="E13568">
        <v>-3856.98</v>
      </c>
      <c r="F13568">
        <v>-2.31</v>
      </c>
      <c r="G13568" t="s">
        <v>12</v>
      </c>
      <c r="I13568" t="s">
        <v>230</v>
      </c>
    </row>
    <row r="13569" spans="1:9" x14ac:dyDescent="0.25">
      <c r="A13569" t="s">
        <v>11316</v>
      </c>
      <c r="B13569" t="s">
        <v>23</v>
      </c>
      <c r="C13569" s="2">
        <f>HYPERLINK("https://cao.dolgi.msk.ru/account/1080100996/", 1080100996)</f>
        <v>1080100996</v>
      </c>
      <c r="D13569" t="s">
        <v>11323</v>
      </c>
      <c r="E13569">
        <v>1738666.51</v>
      </c>
      <c r="F13569">
        <v>120.87</v>
      </c>
      <c r="G13569" t="s">
        <v>12</v>
      </c>
      <c r="I13569" t="s">
        <v>230</v>
      </c>
    </row>
    <row r="13570" spans="1:9" hidden="1" x14ac:dyDescent="0.25">
      <c r="A13570" t="s">
        <v>11316</v>
      </c>
      <c r="B13570" t="s">
        <v>24</v>
      </c>
      <c r="C13570" s="2">
        <f>HYPERLINK("https://cao.dolgi.msk.ru/account/1080101008/", 1080101008)</f>
        <v>1080101008</v>
      </c>
      <c r="D13570" t="s">
        <v>11324</v>
      </c>
      <c r="E13570">
        <v>0</v>
      </c>
      <c r="G13570" t="s">
        <v>14</v>
      </c>
      <c r="I13570" t="s">
        <v>230</v>
      </c>
    </row>
    <row r="13571" spans="1:9" hidden="1" x14ac:dyDescent="0.25">
      <c r="A13571" t="s">
        <v>11316</v>
      </c>
      <c r="B13571" t="s">
        <v>24</v>
      </c>
      <c r="C13571" s="2">
        <f>HYPERLINK("https://cao.dolgi.msk.ru/account/1083271686/", 1083271686)</f>
        <v>1083271686</v>
      </c>
      <c r="D13571" t="s">
        <v>11324</v>
      </c>
      <c r="E13571">
        <v>0</v>
      </c>
      <c r="G13571" t="s">
        <v>14</v>
      </c>
      <c r="I13571" t="s">
        <v>230</v>
      </c>
    </row>
    <row r="13572" spans="1:9" hidden="1" x14ac:dyDescent="0.25">
      <c r="A13572" t="s">
        <v>11316</v>
      </c>
      <c r="B13572" t="s">
        <v>24</v>
      </c>
      <c r="C13572" s="2">
        <f>HYPERLINK("https://cao.dolgi.msk.ru/account/1083274537/", 1083274537)</f>
        <v>1083274537</v>
      </c>
      <c r="D13572" t="s">
        <v>15</v>
      </c>
      <c r="E13572">
        <v>-997.56</v>
      </c>
      <c r="F13572">
        <v>-0.13</v>
      </c>
      <c r="G13572" t="s">
        <v>12</v>
      </c>
      <c r="I13572" t="s">
        <v>230</v>
      </c>
    </row>
    <row r="13573" spans="1:9" hidden="1" x14ac:dyDescent="0.25">
      <c r="A13573" t="s">
        <v>11316</v>
      </c>
      <c r="B13573" t="s">
        <v>27</v>
      </c>
      <c r="C13573" s="2">
        <f>HYPERLINK("https://cao.dolgi.msk.ru/account/1080101016/", 1080101016)</f>
        <v>1080101016</v>
      </c>
      <c r="D13573" t="s">
        <v>11325</v>
      </c>
      <c r="E13573">
        <v>-10106.620000000001</v>
      </c>
      <c r="F13573">
        <v>-1.06</v>
      </c>
      <c r="G13573" t="s">
        <v>12</v>
      </c>
      <c r="I13573" t="s">
        <v>230</v>
      </c>
    </row>
    <row r="13574" spans="1:9" hidden="1" x14ac:dyDescent="0.25">
      <c r="A13574" t="s">
        <v>11316</v>
      </c>
      <c r="B13574" t="s">
        <v>29</v>
      </c>
      <c r="C13574" s="2">
        <f>HYPERLINK("https://cao.dolgi.msk.ru/account/1080101024/", 1080101024)</f>
        <v>1080101024</v>
      </c>
      <c r="D13574" t="s">
        <v>11326</v>
      </c>
      <c r="E13574">
        <v>-4349.12</v>
      </c>
      <c r="F13574">
        <v>-0.51</v>
      </c>
      <c r="G13574" t="s">
        <v>12</v>
      </c>
      <c r="I13574" t="s">
        <v>230</v>
      </c>
    </row>
    <row r="13575" spans="1:9" hidden="1" x14ac:dyDescent="0.25">
      <c r="A13575" t="s">
        <v>11316</v>
      </c>
      <c r="B13575" t="s">
        <v>31</v>
      </c>
      <c r="C13575" s="2">
        <f>HYPERLINK("https://cao.dolgi.msk.ru/account/1080101032/", 1080101032)</f>
        <v>1080101032</v>
      </c>
      <c r="D13575" t="s">
        <v>11327</v>
      </c>
      <c r="E13575">
        <v>-9310.82</v>
      </c>
      <c r="F13575">
        <v>-1.03</v>
      </c>
      <c r="G13575" t="s">
        <v>12</v>
      </c>
      <c r="I13575" t="s">
        <v>230</v>
      </c>
    </row>
    <row r="13576" spans="1:9" hidden="1" x14ac:dyDescent="0.25">
      <c r="A13576" t="s">
        <v>11316</v>
      </c>
      <c r="B13576" t="s">
        <v>33</v>
      </c>
      <c r="C13576" s="2">
        <f>HYPERLINK("https://cao.dolgi.msk.ru/account/1080101059/", 1080101059)</f>
        <v>1080101059</v>
      </c>
      <c r="D13576" t="s">
        <v>11328</v>
      </c>
      <c r="E13576">
        <v>-6942.32</v>
      </c>
      <c r="F13576">
        <v>-1.1599999999999999</v>
      </c>
      <c r="G13576" t="s">
        <v>12</v>
      </c>
      <c r="I13576" t="s">
        <v>230</v>
      </c>
    </row>
    <row r="13577" spans="1:9" hidden="1" x14ac:dyDescent="0.25">
      <c r="A13577" t="s">
        <v>11316</v>
      </c>
      <c r="B13577" t="s">
        <v>34</v>
      </c>
      <c r="C13577" s="2">
        <f>HYPERLINK("https://cao.dolgi.msk.ru/account/1080101067/", 1080101067)</f>
        <v>1080101067</v>
      </c>
      <c r="D13577" t="s">
        <v>11329</v>
      </c>
      <c r="E13577">
        <v>-10513.93</v>
      </c>
      <c r="F13577">
        <v>-1.28</v>
      </c>
      <c r="G13577" t="s">
        <v>12</v>
      </c>
      <c r="I13577" t="s">
        <v>230</v>
      </c>
    </row>
    <row r="13578" spans="1:9" hidden="1" x14ac:dyDescent="0.25">
      <c r="A13578" t="s">
        <v>11316</v>
      </c>
      <c r="B13578" t="s">
        <v>36</v>
      </c>
      <c r="C13578" s="2">
        <f>HYPERLINK("https://cao.dolgi.msk.ru/account/1080101075/", 1080101075)</f>
        <v>1080101075</v>
      </c>
      <c r="D13578" t="s">
        <v>11330</v>
      </c>
      <c r="E13578">
        <v>-15.9</v>
      </c>
      <c r="F13578">
        <v>0</v>
      </c>
      <c r="G13578" t="s">
        <v>12</v>
      </c>
      <c r="I13578" t="s">
        <v>230</v>
      </c>
    </row>
    <row r="13579" spans="1:9" hidden="1" x14ac:dyDescent="0.25">
      <c r="A13579" t="s">
        <v>11316</v>
      </c>
      <c r="B13579" t="s">
        <v>38</v>
      </c>
      <c r="C13579" s="2">
        <f>HYPERLINK("https://cao.dolgi.msk.ru/account/1080101083/", 1080101083)</f>
        <v>1080101083</v>
      </c>
      <c r="D13579" t="s">
        <v>11331</v>
      </c>
      <c r="E13579">
        <v>-1332.36</v>
      </c>
      <c r="F13579">
        <v>-0.14000000000000001</v>
      </c>
      <c r="G13579" t="s">
        <v>12</v>
      </c>
      <c r="I13579" t="s">
        <v>230</v>
      </c>
    </row>
    <row r="13580" spans="1:9" hidden="1" x14ac:dyDescent="0.25">
      <c r="A13580" t="s">
        <v>11316</v>
      </c>
      <c r="B13580" t="s">
        <v>39</v>
      </c>
      <c r="C13580" s="2">
        <f>HYPERLINK("https://cao.dolgi.msk.ru/account/1080101091/", 1080101091)</f>
        <v>1080101091</v>
      </c>
      <c r="D13580" t="s">
        <v>11332</v>
      </c>
      <c r="E13580">
        <v>-2694.84</v>
      </c>
      <c r="F13580">
        <v>-1.07</v>
      </c>
      <c r="G13580" t="s">
        <v>12</v>
      </c>
      <c r="I13580" t="s">
        <v>230</v>
      </c>
    </row>
    <row r="13581" spans="1:9" hidden="1" x14ac:dyDescent="0.25">
      <c r="A13581" t="s">
        <v>11316</v>
      </c>
      <c r="B13581" t="s">
        <v>39</v>
      </c>
      <c r="C13581" s="2">
        <f>HYPERLINK("https://cao.dolgi.msk.ru/account/1083272224/", 1083272224)</f>
        <v>1083272224</v>
      </c>
      <c r="D13581" t="s">
        <v>15</v>
      </c>
      <c r="E13581">
        <v>-2685.42</v>
      </c>
      <c r="F13581">
        <v>-1.42</v>
      </c>
      <c r="G13581" t="s">
        <v>12</v>
      </c>
      <c r="I13581" t="s">
        <v>230</v>
      </c>
    </row>
    <row r="13582" spans="1:9" hidden="1" x14ac:dyDescent="0.25">
      <c r="A13582" t="s">
        <v>11316</v>
      </c>
      <c r="B13582" t="s">
        <v>40</v>
      </c>
      <c r="C13582" s="2">
        <f>HYPERLINK("https://cao.dolgi.msk.ru/account/1080101104/", 1080101104)</f>
        <v>1080101104</v>
      </c>
      <c r="D13582" t="s">
        <v>11333</v>
      </c>
      <c r="E13582">
        <v>-7064.08</v>
      </c>
      <c r="F13582">
        <v>-1.1100000000000001</v>
      </c>
      <c r="G13582" t="s">
        <v>12</v>
      </c>
      <c r="I13582" t="s">
        <v>230</v>
      </c>
    </row>
    <row r="13583" spans="1:9" hidden="1" x14ac:dyDescent="0.25">
      <c r="A13583" t="s">
        <v>11316</v>
      </c>
      <c r="B13583" t="s">
        <v>41</v>
      </c>
      <c r="C13583" s="2">
        <f>HYPERLINK("https://cao.dolgi.msk.ru/account/1080101112/", 1080101112)</f>
        <v>1080101112</v>
      </c>
      <c r="D13583" t="s">
        <v>11334</v>
      </c>
      <c r="E13583">
        <v>4909.71</v>
      </c>
      <c r="F13583">
        <v>0.96</v>
      </c>
      <c r="G13583" t="s">
        <v>12</v>
      </c>
      <c r="I13583" t="s">
        <v>230</v>
      </c>
    </row>
    <row r="13584" spans="1:9" hidden="1" x14ac:dyDescent="0.25">
      <c r="A13584" t="s">
        <v>11316</v>
      </c>
      <c r="B13584" t="s">
        <v>42</v>
      </c>
      <c r="C13584" s="2">
        <f>HYPERLINK("https://cao.dolgi.msk.ru/account/1080101139/", 1080101139)</f>
        <v>1080101139</v>
      </c>
      <c r="D13584" t="s">
        <v>11335</v>
      </c>
      <c r="E13584">
        <v>-9991.06</v>
      </c>
      <c r="F13584">
        <v>-1.08</v>
      </c>
      <c r="G13584" t="s">
        <v>12</v>
      </c>
      <c r="I13584" t="s">
        <v>230</v>
      </c>
    </row>
    <row r="13585" spans="1:9" hidden="1" x14ac:dyDescent="0.25">
      <c r="A13585" t="s">
        <v>11316</v>
      </c>
      <c r="B13585" t="s">
        <v>44</v>
      </c>
      <c r="C13585" s="2">
        <f>HYPERLINK("https://cao.dolgi.msk.ru/account/1080101147/", 1080101147)</f>
        <v>1080101147</v>
      </c>
      <c r="D13585" t="s">
        <v>11336</v>
      </c>
      <c r="E13585">
        <v>-5326.37</v>
      </c>
      <c r="F13585">
        <v>-1.03</v>
      </c>
      <c r="G13585" t="s">
        <v>12</v>
      </c>
      <c r="I13585" t="s">
        <v>230</v>
      </c>
    </row>
    <row r="13586" spans="1:9" hidden="1" x14ac:dyDescent="0.25">
      <c r="A13586" t="s">
        <v>11316</v>
      </c>
      <c r="B13586" t="s">
        <v>66</v>
      </c>
      <c r="C13586" s="2">
        <f>HYPERLINK("https://cao.dolgi.msk.ru/account/1080101155/", 1080101155)</f>
        <v>1080101155</v>
      </c>
      <c r="D13586" t="s">
        <v>1151</v>
      </c>
      <c r="E13586">
        <v>-18729.32</v>
      </c>
      <c r="F13586">
        <v>-2.89</v>
      </c>
      <c r="G13586" t="s">
        <v>12</v>
      </c>
      <c r="I13586" t="s">
        <v>230</v>
      </c>
    </row>
    <row r="13587" spans="1:9" hidden="1" x14ac:dyDescent="0.25">
      <c r="A13587" t="s">
        <v>11316</v>
      </c>
      <c r="B13587" t="s">
        <v>68</v>
      </c>
      <c r="C13587" s="2">
        <f>HYPERLINK("https://cao.dolgi.msk.ru/account/1080101163/", 1080101163)</f>
        <v>1080101163</v>
      </c>
      <c r="D13587" t="s">
        <v>11337</v>
      </c>
      <c r="E13587">
        <v>0</v>
      </c>
      <c r="F13587">
        <v>0</v>
      </c>
      <c r="G13587" t="s">
        <v>12</v>
      </c>
      <c r="I13587" t="s">
        <v>230</v>
      </c>
    </row>
    <row r="13588" spans="1:9" hidden="1" x14ac:dyDescent="0.25">
      <c r="A13588" t="s">
        <v>11316</v>
      </c>
      <c r="B13588" t="s">
        <v>70</v>
      </c>
      <c r="C13588" s="2">
        <f>HYPERLINK("https://cao.dolgi.msk.ru/account/1080101171/", 1080101171)</f>
        <v>1080101171</v>
      </c>
      <c r="D13588" t="s">
        <v>11338</v>
      </c>
      <c r="E13588">
        <v>0</v>
      </c>
      <c r="F13588">
        <v>0</v>
      </c>
      <c r="G13588" t="s">
        <v>12</v>
      </c>
      <c r="I13588" t="s">
        <v>230</v>
      </c>
    </row>
    <row r="13589" spans="1:9" hidden="1" x14ac:dyDescent="0.25">
      <c r="A13589" t="s">
        <v>11316</v>
      </c>
      <c r="B13589" t="s">
        <v>72</v>
      </c>
      <c r="C13589" s="2">
        <f>HYPERLINK("https://cao.dolgi.msk.ru/account/1080101198/", 1080101198)</f>
        <v>1080101198</v>
      </c>
      <c r="D13589" t="s">
        <v>15</v>
      </c>
      <c r="E13589">
        <v>5881.37</v>
      </c>
      <c r="F13589">
        <v>1</v>
      </c>
      <c r="G13589" t="s">
        <v>12</v>
      </c>
      <c r="I13589" t="s">
        <v>230</v>
      </c>
    </row>
    <row r="13590" spans="1:9" hidden="1" x14ac:dyDescent="0.25">
      <c r="A13590" t="s">
        <v>11316</v>
      </c>
      <c r="B13590" t="s">
        <v>74</v>
      </c>
      <c r="C13590" s="2">
        <f>HYPERLINK("https://cao.dolgi.msk.ru/account/1080101219/", 1080101219)</f>
        <v>1080101219</v>
      </c>
      <c r="D13590" t="s">
        <v>11339</v>
      </c>
      <c r="E13590">
        <v>8532.33</v>
      </c>
      <c r="F13590">
        <v>0.96</v>
      </c>
      <c r="G13590" t="s">
        <v>12</v>
      </c>
      <c r="I13590" t="s">
        <v>230</v>
      </c>
    </row>
    <row r="13591" spans="1:9" hidden="1" x14ac:dyDescent="0.25">
      <c r="A13591" t="s">
        <v>11316</v>
      </c>
      <c r="B13591" t="s">
        <v>74</v>
      </c>
      <c r="C13591" s="2">
        <f>HYPERLINK("https://cao.dolgi.msk.ru/account/1083274131/", 1083274131)</f>
        <v>1083274131</v>
      </c>
      <c r="D13591" t="s">
        <v>15</v>
      </c>
      <c r="E13591">
        <v>958.1</v>
      </c>
      <c r="G13591" t="s">
        <v>14</v>
      </c>
      <c r="I13591" t="s">
        <v>230</v>
      </c>
    </row>
    <row r="13592" spans="1:9" hidden="1" x14ac:dyDescent="0.25">
      <c r="A13592" t="s">
        <v>11316</v>
      </c>
      <c r="B13592" t="s">
        <v>76</v>
      </c>
      <c r="C13592" s="2">
        <f>HYPERLINK("https://cao.dolgi.msk.ru/account/1080101227/", 1080101227)</f>
        <v>1080101227</v>
      </c>
      <c r="D13592" t="s">
        <v>11340</v>
      </c>
      <c r="E13592">
        <v>-6884.78</v>
      </c>
      <c r="F13592">
        <v>-1.1599999999999999</v>
      </c>
      <c r="G13592" t="s">
        <v>12</v>
      </c>
      <c r="I13592" t="s">
        <v>230</v>
      </c>
    </row>
    <row r="13593" spans="1:9" x14ac:dyDescent="0.25">
      <c r="A13593" t="s">
        <v>11316</v>
      </c>
      <c r="B13593" t="s">
        <v>78</v>
      </c>
      <c r="C13593" s="2">
        <f>HYPERLINK("https://cao.dolgi.msk.ru/account/1080101235/", 1080101235)</f>
        <v>1080101235</v>
      </c>
      <c r="D13593" t="s">
        <v>11341</v>
      </c>
      <c r="E13593">
        <v>15790.49</v>
      </c>
      <c r="F13593">
        <v>3.07</v>
      </c>
      <c r="G13593" t="s">
        <v>12</v>
      </c>
      <c r="I13593" t="s">
        <v>230</v>
      </c>
    </row>
    <row r="13594" spans="1:9" hidden="1" x14ac:dyDescent="0.25">
      <c r="A13594" t="s">
        <v>11316</v>
      </c>
      <c r="B13594" t="s">
        <v>80</v>
      </c>
      <c r="C13594" s="2">
        <f>HYPERLINK("https://cao.dolgi.msk.ru/account/1080101243/", 1080101243)</f>
        <v>1080101243</v>
      </c>
      <c r="D13594" t="s">
        <v>11342</v>
      </c>
      <c r="E13594">
        <v>-3862.79</v>
      </c>
      <c r="F13594">
        <v>-1.22</v>
      </c>
      <c r="G13594" t="s">
        <v>12</v>
      </c>
      <c r="I13594" t="s">
        <v>230</v>
      </c>
    </row>
    <row r="13595" spans="1:9" hidden="1" x14ac:dyDescent="0.25">
      <c r="A13595" t="s">
        <v>11316</v>
      </c>
      <c r="B13595" t="s">
        <v>82</v>
      </c>
      <c r="C13595" s="2">
        <f>HYPERLINK("https://cao.dolgi.msk.ru/account/1080101251/", 1080101251)</f>
        <v>1080101251</v>
      </c>
      <c r="D13595" t="s">
        <v>11343</v>
      </c>
      <c r="E13595">
        <v>-4726.8500000000004</v>
      </c>
      <c r="F13595">
        <v>-1.1200000000000001</v>
      </c>
      <c r="G13595" t="s">
        <v>12</v>
      </c>
      <c r="I13595" t="s">
        <v>230</v>
      </c>
    </row>
    <row r="13596" spans="1:9" hidden="1" x14ac:dyDescent="0.25">
      <c r="A13596" t="s">
        <v>11316</v>
      </c>
      <c r="B13596" t="s">
        <v>84</v>
      </c>
      <c r="C13596" s="2">
        <f>HYPERLINK("https://cao.dolgi.msk.ru/account/1080101278/", 1080101278)</f>
        <v>1080101278</v>
      </c>
      <c r="D13596" t="s">
        <v>11344</v>
      </c>
      <c r="E13596">
        <v>-78.44</v>
      </c>
      <c r="F13596">
        <v>-0.02</v>
      </c>
      <c r="G13596" t="s">
        <v>12</v>
      </c>
      <c r="I13596" t="s">
        <v>230</v>
      </c>
    </row>
    <row r="13597" spans="1:9" hidden="1" x14ac:dyDescent="0.25">
      <c r="A13597" t="s">
        <v>11316</v>
      </c>
      <c r="B13597" t="s">
        <v>86</v>
      </c>
      <c r="C13597" s="2">
        <f>HYPERLINK("https://cao.dolgi.msk.ru/account/1080101286/", 1080101286)</f>
        <v>1080101286</v>
      </c>
      <c r="D13597" t="s">
        <v>11345</v>
      </c>
      <c r="E13597">
        <v>-3091.28</v>
      </c>
      <c r="F13597">
        <v>-1.1499999999999999</v>
      </c>
      <c r="G13597" t="s">
        <v>12</v>
      </c>
      <c r="I13597" t="s">
        <v>230</v>
      </c>
    </row>
    <row r="13598" spans="1:9" hidden="1" x14ac:dyDescent="0.25">
      <c r="A13598" t="s">
        <v>11316</v>
      </c>
      <c r="B13598" t="s">
        <v>88</v>
      </c>
      <c r="C13598" s="2">
        <f>HYPERLINK("https://cao.dolgi.msk.ru/account/1080101294/", 1080101294)</f>
        <v>1080101294</v>
      </c>
      <c r="D13598" t="s">
        <v>11346</v>
      </c>
      <c r="E13598">
        <v>-2817.54</v>
      </c>
      <c r="F13598">
        <v>-1.04</v>
      </c>
      <c r="G13598" t="s">
        <v>12</v>
      </c>
      <c r="I13598" t="s">
        <v>230</v>
      </c>
    </row>
    <row r="13599" spans="1:9" x14ac:dyDescent="0.25">
      <c r="A13599" t="s">
        <v>11316</v>
      </c>
      <c r="B13599" t="s">
        <v>90</v>
      </c>
      <c r="C13599" s="2">
        <f>HYPERLINK("https://cao.dolgi.msk.ru/account/1080101307/", 1080101307)</f>
        <v>1080101307</v>
      </c>
      <c r="D13599" t="s">
        <v>11347</v>
      </c>
      <c r="E13599">
        <v>6784.96</v>
      </c>
      <c r="F13599">
        <v>1.01</v>
      </c>
      <c r="G13599" t="s">
        <v>12</v>
      </c>
      <c r="I13599" t="s">
        <v>230</v>
      </c>
    </row>
    <row r="13600" spans="1:9" hidden="1" x14ac:dyDescent="0.25">
      <c r="A13600" t="s">
        <v>11316</v>
      </c>
      <c r="B13600" t="s">
        <v>92</v>
      </c>
      <c r="C13600" s="2">
        <f>HYPERLINK("https://cao.dolgi.msk.ru/account/1080101315/", 1080101315)</f>
        <v>1080101315</v>
      </c>
      <c r="D13600" t="s">
        <v>11348</v>
      </c>
      <c r="E13600">
        <v>6751.87</v>
      </c>
      <c r="F13600">
        <v>0.97</v>
      </c>
      <c r="G13600" t="s">
        <v>12</v>
      </c>
      <c r="I13600" t="s">
        <v>230</v>
      </c>
    </row>
    <row r="13601" spans="1:9" hidden="1" x14ac:dyDescent="0.25">
      <c r="A13601" t="s">
        <v>11316</v>
      </c>
      <c r="B13601" t="s">
        <v>94</v>
      </c>
      <c r="C13601" s="2">
        <f>HYPERLINK("https://cao.dolgi.msk.ru/account/1080101323/", 1080101323)</f>
        <v>1080101323</v>
      </c>
      <c r="D13601" t="s">
        <v>11349</v>
      </c>
      <c r="E13601">
        <v>-5854.63</v>
      </c>
      <c r="F13601">
        <v>-1.1200000000000001</v>
      </c>
      <c r="G13601" t="s">
        <v>12</v>
      </c>
      <c r="I13601" t="s">
        <v>230</v>
      </c>
    </row>
    <row r="13602" spans="1:9" hidden="1" x14ac:dyDescent="0.25">
      <c r="A13602" t="s">
        <v>11316</v>
      </c>
      <c r="B13602" t="s">
        <v>96</v>
      </c>
      <c r="C13602" s="2">
        <f>HYPERLINK("https://cao.dolgi.msk.ru/account/1080101331/", 1080101331)</f>
        <v>1080101331</v>
      </c>
      <c r="D13602" t="s">
        <v>11350</v>
      </c>
      <c r="E13602">
        <v>-4299.97</v>
      </c>
      <c r="F13602">
        <v>-0.99</v>
      </c>
      <c r="G13602" t="s">
        <v>12</v>
      </c>
      <c r="I13602" t="s">
        <v>230</v>
      </c>
    </row>
    <row r="13603" spans="1:9" hidden="1" x14ac:dyDescent="0.25">
      <c r="A13603" t="s">
        <v>11316</v>
      </c>
      <c r="B13603" t="s">
        <v>98</v>
      </c>
      <c r="C13603" s="2">
        <f>HYPERLINK("https://cao.dolgi.msk.ru/account/1080101358/", 1080101358)</f>
        <v>1080101358</v>
      </c>
      <c r="D13603" t="s">
        <v>11351</v>
      </c>
      <c r="E13603">
        <v>0</v>
      </c>
      <c r="F13603">
        <v>0</v>
      </c>
      <c r="G13603" t="s">
        <v>12</v>
      </c>
      <c r="I13603" t="s">
        <v>230</v>
      </c>
    </row>
    <row r="13604" spans="1:9" hidden="1" x14ac:dyDescent="0.25">
      <c r="A13604" t="s">
        <v>11316</v>
      </c>
      <c r="B13604" t="s">
        <v>100</v>
      </c>
      <c r="C13604" s="2">
        <f>HYPERLINK("https://cao.dolgi.msk.ru/account/1080101366/", 1080101366)</f>
        <v>1080101366</v>
      </c>
      <c r="D13604" t="s">
        <v>11352</v>
      </c>
      <c r="E13604">
        <v>0</v>
      </c>
      <c r="F13604">
        <v>0</v>
      </c>
      <c r="G13604" t="s">
        <v>12</v>
      </c>
      <c r="I13604" t="s">
        <v>230</v>
      </c>
    </row>
    <row r="13605" spans="1:9" hidden="1" x14ac:dyDescent="0.25">
      <c r="A13605" t="s">
        <v>11353</v>
      </c>
      <c r="B13605" t="s">
        <v>10</v>
      </c>
      <c r="C13605" s="2">
        <f>HYPERLINK("https://cao.dolgi.msk.ru/account/1080098363/", 1080098363)</f>
        <v>1080098363</v>
      </c>
      <c r="D13605" t="s">
        <v>11354</v>
      </c>
      <c r="E13605">
        <v>2517.66</v>
      </c>
      <c r="F13605">
        <v>0.59</v>
      </c>
      <c r="G13605" t="s">
        <v>12</v>
      </c>
      <c r="H13605" t="s">
        <v>7</v>
      </c>
      <c r="I13605" t="s">
        <v>230</v>
      </c>
    </row>
    <row r="13606" spans="1:9" hidden="1" x14ac:dyDescent="0.25">
      <c r="A13606" t="s">
        <v>11353</v>
      </c>
      <c r="B13606" t="s">
        <v>10</v>
      </c>
      <c r="C13606" s="2">
        <f>HYPERLINK("https://cao.dolgi.msk.ru/account/1080098371/", 1080098371)</f>
        <v>1080098371</v>
      </c>
      <c r="D13606" t="s">
        <v>11355</v>
      </c>
      <c r="E13606">
        <v>-119.96</v>
      </c>
      <c r="F13606">
        <v>-0.02</v>
      </c>
      <c r="G13606" t="s">
        <v>12</v>
      </c>
      <c r="H13606" t="s">
        <v>7</v>
      </c>
      <c r="I13606" t="s">
        <v>230</v>
      </c>
    </row>
    <row r="13607" spans="1:9" hidden="1" x14ac:dyDescent="0.25">
      <c r="A13607" t="s">
        <v>11353</v>
      </c>
      <c r="B13607" t="s">
        <v>10</v>
      </c>
      <c r="C13607" s="2">
        <f>HYPERLINK("https://cao.dolgi.msk.ru/account/1080098419/", 1080098419)</f>
        <v>1080098419</v>
      </c>
      <c r="D13607" t="s">
        <v>11354</v>
      </c>
      <c r="E13607">
        <v>0</v>
      </c>
      <c r="G13607" t="s">
        <v>14</v>
      </c>
      <c r="H13607" t="s">
        <v>7</v>
      </c>
      <c r="I13607" t="s">
        <v>230</v>
      </c>
    </row>
    <row r="13608" spans="1:9" hidden="1" x14ac:dyDescent="0.25">
      <c r="A13608" t="s">
        <v>11353</v>
      </c>
      <c r="B13608" t="s">
        <v>16</v>
      </c>
      <c r="C13608" s="2">
        <f>HYPERLINK("https://cao.dolgi.msk.ru/account/1080098398/", 1080098398)</f>
        <v>1080098398</v>
      </c>
      <c r="D13608" t="s">
        <v>11356</v>
      </c>
      <c r="E13608">
        <v>630.78</v>
      </c>
      <c r="F13608">
        <v>0.06</v>
      </c>
      <c r="G13608" t="s">
        <v>12</v>
      </c>
      <c r="I13608" t="s">
        <v>230</v>
      </c>
    </row>
    <row r="13609" spans="1:9" hidden="1" x14ac:dyDescent="0.25">
      <c r="A13609" t="s">
        <v>11353</v>
      </c>
      <c r="B13609" t="s">
        <v>18</v>
      </c>
      <c r="C13609" s="2">
        <f>HYPERLINK("https://cao.dolgi.msk.ru/account/1080098427/", 1080098427)</f>
        <v>1080098427</v>
      </c>
      <c r="D13609" t="s">
        <v>11357</v>
      </c>
      <c r="E13609">
        <v>-8063.23</v>
      </c>
      <c r="F13609">
        <v>-0.93</v>
      </c>
      <c r="G13609" t="s">
        <v>12</v>
      </c>
      <c r="I13609" t="s">
        <v>230</v>
      </c>
    </row>
    <row r="13610" spans="1:9" hidden="1" x14ac:dyDescent="0.25">
      <c r="A13610" t="s">
        <v>11353</v>
      </c>
      <c r="B13610" t="s">
        <v>20</v>
      </c>
      <c r="C13610" s="2">
        <f>HYPERLINK("https://cao.dolgi.msk.ru/account/1080098435/", 1080098435)</f>
        <v>1080098435</v>
      </c>
      <c r="D13610" t="s">
        <v>11358</v>
      </c>
      <c r="E13610">
        <v>-3172.71</v>
      </c>
      <c r="F13610">
        <v>-1.1000000000000001</v>
      </c>
      <c r="G13610" t="s">
        <v>12</v>
      </c>
      <c r="H13610" t="s">
        <v>7</v>
      </c>
      <c r="I13610" t="s">
        <v>230</v>
      </c>
    </row>
    <row r="13611" spans="1:9" hidden="1" x14ac:dyDescent="0.25">
      <c r="A13611" t="s">
        <v>11353</v>
      </c>
      <c r="B13611" t="s">
        <v>20</v>
      </c>
      <c r="C13611" s="2">
        <f>HYPERLINK("https://cao.dolgi.msk.ru/account/1080098443/", 1080098443)</f>
        <v>1080098443</v>
      </c>
      <c r="D13611" t="s">
        <v>11358</v>
      </c>
      <c r="E13611">
        <v>-1211.95</v>
      </c>
      <c r="F13611">
        <v>-0.28999999999999998</v>
      </c>
      <c r="G13611" t="s">
        <v>12</v>
      </c>
      <c r="H13611" t="s">
        <v>7</v>
      </c>
      <c r="I13611" t="s">
        <v>230</v>
      </c>
    </row>
    <row r="13612" spans="1:9" hidden="1" x14ac:dyDescent="0.25">
      <c r="A13612" t="s">
        <v>11353</v>
      </c>
      <c r="B13612" t="s">
        <v>20</v>
      </c>
      <c r="C13612" s="2">
        <f>HYPERLINK("https://cao.dolgi.msk.ru/account/1080098451/", 1080098451)</f>
        <v>1080098451</v>
      </c>
      <c r="D13612" t="s">
        <v>11359</v>
      </c>
      <c r="E13612">
        <v>-873.02</v>
      </c>
      <c r="F13612">
        <v>-0.28000000000000003</v>
      </c>
      <c r="G13612" t="s">
        <v>12</v>
      </c>
      <c r="H13612" t="s">
        <v>7</v>
      </c>
      <c r="I13612" t="s">
        <v>230</v>
      </c>
    </row>
    <row r="13613" spans="1:9" hidden="1" x14ac:dyDescent="0.25">
      <c r="A13613" t="s">
        <v>11353</v>
      </c>
      <c r="B13613" t="s">
        <v>21</v>
      </c>
      <c r="C13613" s="2">
        <f>HYPERLINK("https://cao.dolgi.msk.ru/account/1080098478/", 1080098478)</f>
        <v>1080098478</v>
      </c>
      <c r="D13613" t="s">
        <v>11360</v>
      </c>
      <c r="E13613">
        <v>-14620.89</v>
      </c>
      <c r="F13613">
        <v>-2.2599999999999998</v>
      </c>
      <c r="G13613" t="s">
        <v>12</v>
      </c>
      <c r="I13613" t="s">
        <v>230</v>
      </c>
    </row>
    <row r="13614" spans="1:9" hidden="1" x14ac:dyDescent="0.25">
      <c r="A13614" t="s">
        <v>11353</v>
      </c>
      <c r="B13614" t="s">
        <v>22</v>
      </c>
      <c r="C13614" s="2">
        <f>HYPERLINK("https://cao.dolgi.msk.ru/account/1080098486/", 1080098486)</f>
        <v>1080098486</v>
      </c>
      <c r="D13614" t="s">
        <v>11361</v>
      </c>
      <c r="E13614">
        <v>77.599999999999994</v>
      </c>
      <c r="F13614">
        <v>0.01</v>
      </c>
      <c r="G13614" t="s">
        <v>12</v>
      </c>
      <c r="I13614" t="s">
        <v>230</v>
      </c>
    </row>
    <row r="13615" spans="1:9" hidden="1" x14ac:dyDescent="0.25">
      <c r="A13615" t="s">
        <v>11353</v>
      </c>
      <c r="B13615" t="s">
        <v>23</v>
      </c>
      <c r="C13615" s="2">
        <f>HYPERLINK("https://cao.dolgi.msk.ru/account/1080098494/", 1080098494)</f>
        <v>1080098494</v>
      </c>
      <c r="D13615" t="s">
        <v>11362</v>
      </c>
      <c r="G13615" t="s">
        <v>14</v>
      </c>
      <c r="I13615" t="s">
        <v>230</v>
      </c>
    </row>
    <row r="13616" spans="1:9" x14ac:dyDescent="0.25">
      <c r="A13616" t="s">
        <v>11353</v>
      </c>
      <c r="B13616" t="s">
        <v>23</v>
      </c>
      <c r="C13616" s="2">
        <f>HYPERLINK("https://cao.dolgi.msk.ru/account/1080098507/", 1080098507)</f>
        <v>1080098507</v>
      </c>
      <c r="D13616" t="s">
        <v>11362</v>
      </c>
      <c r="E13616">
        <v>8696.19</v>
      </c>
      <c r="F13616">
        <v>1.02</v>
      </c>
      <c r="G13616" t="s">
        <v>12</v>
      </c>
      <c r="I13616" t="s">
        <v>230</v>
      </c>
    </row>
    <row r="13617" spans="1:9" hidden="1" x14ac:dyDescent="0.25">
      <c r="A13617" t="s">
        <v>11353</v>
      </c>
      <c r="B13617" t="s">
        <v>23</v>
      </c>
      <c r="C13617" s="2">
        <f>HYPERLINK("https://cao.dolgi.msk.ru/account/1080098515/", 1080098515)</f>
        <v>1080098515</v>
      </c>
      <c r="D13617" t="s">
        <v>15</v>
      </c>
      <c r="G13617" t="s">
        <v>14</v>
      </c>
      <c r="I13617" t="s">
        <v>230</v>
      </c>
    </row>
    <row r="13618" spans="1:9" hidden="1" x14ac:dyDescent="0.25">
      <c r="A13618" t="s">
        <v>11353</v>
      </c>
      <c r="B13618" t="s">
        <v>24</v>
      </c>
      <c r="C13618" s="2">
        <f>HYPERLINK("https://cao.dolgi.msk.ru/account/1080098523/", 1080098523)</f>
        <v>1080098523</v>
      </c>
      <c r="D13618" t="s">
        <v>11363</v>
      </c>
      <c r="E13618">
        <v>-11944.06</v>
      </c>
      <c r="F13618">
        <v>-1.23</v>
      </c>
      <c r="G13618" t="s">
        <v>12</v>
      </c>
      <c r="I13618" t="s">
        <v>230</v>
      </c>
    </row>
    <row r="13619" spans="1:9" hidden="1" x14ac:dyDescent="0.25">
      <c r="A13619" t="s">
        <v>11353</v>
      </c>
      <c r="B13619" t="s">
        <v>27</v>
      </c>
      <c r="C13619" s="2">
        <f>HYPERLINK("https://cao.dolgi.msk.ru/account/1080098531/", 1080098531)</f>
        <v>1080098531</v>
      </c>
      <c r="D13619" t="s">
        <v>11364</v>
      </c>
      <c r="E13619">
        <v>93.01</v>
      </c>
      <c r="F13619">
        <v>0.01</v>
      </c>
      <c r="G13619" t="s">
        <v>12</v>
      </c>
      <c r="I13619" t="s">
        <v>230</v>
      </c>
    </row>
    <row r="13620" spans="1:9" hidden="1" x14ac:dyDescent="0.25">
      <c r="A13620" t="s">
        <v>11353</v>
      </c>
      <c r="B13620" t="s">
        <v>29</v>
      </c>
      <c r="C13620" s="2">
        <f>HYPERLINK("https://cao.dolgi.msk.ru/account/1080098566/", 1080098566)</f>
        <v>1080098566</v>
      </c>
      <c r="D13620" t="s">
        <v>11365</v>
      </c>
      <c r="E13620">
        <v>86.69</v>
      </c>
      <c r="F13620">
        <v>0.02</v>
      </c>
      <c r="G13620" t="s">
        <v>12</v>
      </c>
      <c r="I13620" t="s">
        <v>230</v>
      </c>
    </row>
    <row r="13621" spans="1:9" hidden="1" x14ac:dyDescent="0.25">
      <c r="A13621" t="s">
        <v>11353</v>
      </c>
      <c r="B13621" t="s">
        <v>31</v>
      </c>
      <c r="C13621" s="2">
        <f>HYPERLINK("https://cao.dolgi.msk.ru/account/1080098574/", 1080098574)</f>
        <v>1080098574</v>
      </c>
      <c r="D13621" t="s">
        <v>11366</v>
      </c>
      <c r="E13621">
        <v>-7695.78</v>
      </c>
      <c r="F13621">
        <v>-1.07</v>
      </c>
      <c r="G13621" t="s">
        <v>12</v>
      </c>
      <c r="I13621" t="s">
        <v>230</v>
      </c>
    </row>
    <row r="13622" spans="1:9" hidden="1" x14ac:dyDescent="0.25">
      <c r="A13622" t="s">
        <v>11353</v>
      </c>
      <c r="B13622" t="s">
        <v>33</v>
      </c>
      <c r="C13622" s="2">
        <f>HYPERLINK("https://cao.dolgi.msk.ru/account/1080098582/", 1080098582)</f>
        <v>1080098582</v>
      </c>
      <c r="D13622" t="s">
        <v>11367</v>
      </c>
      <c r="E13622">
        <v>4882.1000000000004</v>
      </c>
      <c r="F13622">
        <v>0.59</v>
      </c>
      <c r="G13622" t="s">
        <v>12</v>
      </c>
      <c r="I13622" t="s">
        <v>230</v>
      </c>
    </row>
    <row r="13623" spans="1:9" hidden="1" x14ac:dyDescent="0.25">
      <c r="A13623" t="s">
        <v>11353</v>
      </c>
      <c r="B13623" t="s">
        <v>34</v>
      </c>
      <c r="C13623" s="2">
        <f>HYPERLINK("https://cao.dolgi.msk.ru/account/1080098638/", 1080098638)</f>
        <v>1080098638</v>
      </c>
      <c r="D13623" t="s">
        <v>11368</v>
      </c>
      <c r="E13623">
        <v>-6488.72</v>
      </c>
      <c r="F13623">
        <v>-1.08</v>
      </c>
      <c r="G13623" t="s">
        <v>12</v>
      </c>
      <c r="I13623" t="s">
        <v>230</v>
      </c>
    </row>
    <row r="13624" spans="1:9" x14ac:dyDescent="0.25">
      <c r="A13624" t="s">
        <v>11353</v>
      </c>
      <c r="B13624" t="s">
        <v>36</v>
      </c>
      <c r="C13624" s="2">
        <f>HYPERLINK("https://cao.dolgi.msk.ru/account/1080098646/", 1080098646)</f>
        <v>1080098646</v>
      </c>
      <c r="D13624" t="s">
        <v>11369</v>
      </c>
      <c r="E13624">
        <v>149393.25</v>
      </c>
      <c r="F13624">
        <v>31.38</v>
      </c>
      <c r="G13624" t="s">
        <v>12</v>
      </c>
      <c r="H13624" t="s">
        <v>7</v>
      </c>
      <c r="I13624" t="s">
        <v>230</v>
      </c>
    </row>
    <row r="13625" spans="1:9" hidden="1" x14ac:dyDescent="0.25">
      <c r="A13625" t="s">
        <v>11353</v>
      </c>
      <c r="B13625" t="s">
        <v>36</v>
      </c>
      <c r="C13625" s="2">
        <f>HYPERLINK("https://cao.dolgi.msk.ru/account/1089127175/", 1089127175)</f>
        <v>1089127175</v>
      </c>
      <c r="D13625" t="s">
        <v>15</v>
      </c>
      <c r="E13625">
        <v>-1271.54</v>
      </c>
      <c r="F13625">
        <v>-1.33</v>
      </c>
      <c r="G13625" t="s">
        <v>12</v>
      </c>
      <c r="H13625" t="s">
        <v>7</v>
      </c>
      <c r="I13625" t="s">
        <v>230</v>
      </c>
    </row>
    <row r="13626" spans="1:9" hidden="1" x14ac:dyDescent="0.25">
      <c r="A13626" t="s">
        <v>11353</v>
      </c>
      <c r="B13626" t="s">
        <v>38</v>
      </c>
      <c r="C13626" s="2">
        <f>HYPERLINK("https://cao.dolgi.msk.ru/account/1080098654/", 1080098654)</f>
        <v>1080098654</v>
      </c>
      <c r="D13626" t="s">
        <v>11370</v>
      </c>
      <c r="E13626">
        <v>-6358.35</v>
      </c>
      <c r="F13626">
        <v>-1.01</v>
      </c>
      <c r="G13626" t="s">
        <v>12</v>
      </c>
      <c r="I13626" t="s">
        <v>230</v>
      </c>
    </row>
    <row r="13627" spans="1:9" hidden="1" x14ac:dyDescent="0.25">
      <c r="A13627" t="s">
        <v>11353</v>
      </c>
      <c r="B13627" t="s">
        <v>39</v>
      </c>
      <c r="C13627" s="2">
        <f>HYPERLINK("https://cao.dolgi.msk.ru/account/1080098662/", 1080098662)</f>
        <v>1080098662</v>
      </c>
      <c r="D13627" t="s">
        <v>11371</v>
      </c>
      <c r="E13627">
        <v>-7866.96</v>
      </c>
      <c r="F13627">
        <v>-1.0900000000000001</v>
      </c>
      <c r="G13627" t="s">
        <v>12</v>
      </c>
      <c r="I13627" t="s">
        <v>230</v>
      </c>
    </row>
    <row r="13628" spans="1:9" hidden="1" x14ac:dyDescent="0.25">
      <c r="A13628" t="s">
        <v>11353</v>
      </c>
      <c r="B13628" t="s">
        <v>40</v>
      </c>
      <c r="C13628" s="2">
        <f>HYPERLINK("https://cao.dolgi.msk.ru/account/1080098689/", 1080098689)</f>
        <v>1080098689</v>
      </c>
      <c r="D13628" t="s">
        <v>11372</v>
      </c>
      <c r="E13628">
        <v>5026.08</v>
      </c>
      <c r="F13628">
        <v>0.7</v>
      </c>
      <c r="G13628" t="s">
        <v>12</v>
      </c>
      <c r="I13628" t="s">
        <v>230</v>
      </c>
    </row>
    <row r="13629" spans="1:9" hidden="1" x14ac:dyDescent="0.25">
      <c r="A13629" t="s">
        <v>11353</v>
      </c>
      <c r="B13629" t="s">
        <v>41</v>
      </c>
      <c r="C13629" s="2">
        <f>HYPERLINK("https://cao.dolgi.msk.ru/account/1080098697/", 1080098697)</f>
        <v>1080098697</v>
      </c>
      <c r="D13629" t="s">
        <v>11373</v>
      </c>
      <c r="E13629">
        <v>-1261.8</v>
      </c>
      <c r="F13629">
        <v>-0.2</v>
      </c>
      <c r="G13629" t="s">
        <v>12</v>
      </c>
      <c r="I13629" t="s">
        <v>230</v>
      </c>
    </row>
    <row r="13630" spans="1:9" hidden="1" x14ac:dyDescent="0.25">
      <c r="A13630" t="s">
        <v>11353</v>
      </c>
      <c r="B13630" t="s">
        <v>42</v>
      </c>
      <c r="C13630" s="2">
        <f>HYPERLINK("https://cao.dolgi.msk.ru/account/1080098718/", 1080098718)</f>
        <v>1080098718</v>
      </c>
      <c r="D13630" t="s">
        <v>11374</v>
      </c>
      <c r="E13630">
        <v>-17032.12</v>
      </c>
      <c r="F13630">
        <v>-2.1</v>
      </c>
      <c r="G13630" t="s">
        <v>12</v>
      </c>
      <c r="I13630" t="s">
        <v>230</v>
      </c>
    </row>
    <row r="13631" spans="1:9" hidden="1" x14ac:dyDescent="0.25">
      <c r="A13631" t="s">
        <v>11353</v>
      </c>
      <c r="B13631" t="s">
        <v>44</v>
      </c>
      <c r="C13631" s="2">
        <f>HYPERLINK("https://cao.dolgi.msk.ru/account/1080098726/", 1080098726)</f>
        <v>1080098726</v>
      </c>
      <c r="D13631" t="s">
        <v>11375</v>
      </c>
      <c r="E13631">
        <v>-9285.31</v>
      </c>
      <c r="F13631">
        <v>-1.03</v>
      </c>
      <c r="G13631" t="s">
        <v>12</v>
      </c>
      <c r="I13631" t="s">
        <v>230</v>
      </c>
    </row>
    <row r="13632" spans="1:9" x14ac:dyDescent="0.25">
      <c r="A13632" t="s">
        <v>11353</v>
      </c>
      <c r="B13632" t="s">
        <v>66</v>
      </c>
      <c r="C13632" s="2">
        <f>HYPERLINK("https://cao.dolgi.msk.ru/account/1080098734/", 1080098734)</f>
        <v>1080098734</v>
      </c>
      <c r="D13632" t="s">
        <v>11376</v>
      </c>
      <c r="E13632">
        <v>8796.17</v>
      </c>
      <c r="F13632">
        <v>1.05</v>
      </c>
      <c r="G13632" t="s">
        <v>12</v>
      </c>
      <c r="I13632" t="s">
        <v>230</v>
      </c>
    </row>
    <row r="13633" spans="1:9" hidden="1" x14ac:dyDescent="0.25">
      <c r="A13633" t="s">
        <v>11353</v>
      </c>
      <c r="B13633" t="s">
        <v>68</v>
      </c>
      <c r="C13633" s="2">
        <f>HYPERLINK("https://cao.dolgi.msk.ru/account/1080098742/", 1080098742)</f>
        <v>1080098742</v>
      </c>
      <c r="D13633" t="s">
        <v>11377</v>
      </c>
      <c r="E13633">
        <v>54.84</v>
      </c>
      <c r="F13633">
        <v>0.01</v>
      </c>
      <c r="G13633" t="s">
        <v>12</v>
      </c>
      <c r="I13633" t="s">
        <v>230</v>
      </c>
    </row>
    <row r="13634" spans="1:9" hidden="1" x14ac:dyDescent="0.25">
      <c r="A13634" t="s">
        <v>11353</v>
      </c>
      <c r="B13634" t="s">
        <v>70</v>
      </c>
      <c r="C13634" s="2">
        <f>HYPERLINK("https://cao.dolgi.msk.ru/account/1080098769/", 1080098769)</f>
        <v>1080098769</v>
      </c>
      <c r="D13634" t="s">
        <v>11378</v>
      </c>
      <c r="E13634">
        <v>-8270.9599999999991</v>
      </c>
      <c r="F13634">
        <v>-1.08</v>
      </c>
      <c r="G13634" t="s">
        <v>12</v>
      </c>
      <c r="I13634" t="s">
        <v>230</v>
      </c>
    </row>
    <row r="13635" spans="1:9" hidden="1" x14ac:dyDescent="0.25">
      <c r="A13635" t="s">
        <v>11353</v>
      </c>
      <c r="B13635" t="s">
        <v>72</v>
      </c>
      <c r="C13635" s="2">
        <f>HYPERLINK("https://cao.dolgi.msk.ru/account/1080098777/", 1080098777)</f>
        <v>1080098777</v>
      </c>
      <c r="D13635" t="s">
        <v>11379</v>
      </c>
      <c r="E13635">
        <v>-5117.41</v>
      </c>
      <c r="F13635">
        <v>-1.06</v>
      </c>
      <c r="G13635" t="s">
        <v>12</v>
      </c>
      <c r="I13635" t="s">
        <v>230</v>
      </c>
    </row>
    <row r="13636" spans="1:9" hidden="1" x14ac:dyDescent="0.25">
      <c r="A13636" t="s">
        <v>11353</v>
      </c>
      <c r="B13636" t="s">
        <v>74</v>
      </c>
      <c r="C13636" s="2">
        <f>HYPERLINK("https://cao.dolgi.msk.ru/account/1080098785/", 1080098785)</f>
        <v>1080098785</v>
      </c>
      <c r="D13636" t="s">
        <v>11380</v>
      </c>
      <c r="E13636">
        <v>-850.53</v>
      </c>
      <c r="F13636">
        <v>-0.11</v>
      </c>
      <c r="G13636" t="s">
        <v>12</v>
      </c>
      <c r="I13636" t="s">
        <v>230</v>
      </c>
    </row>
    <row r="13637" spans="1:9" hidden="1" x14ac:dyDescent="0.25">
      <c r="A13637" t="s">
        <v>11353</v>
      </c>
      <c r="B13637" t="s">
        <v>76</v>
      </c>
      <c r="C13637" s="2">
        <f>HYPERLINK("https://cao.dolgi.msk.ru/account/1080098793/", 1080098793)</f>
        <v>1080098793</v>
      </c>
      <c r="D13637" t="s">
        <v>11381</v>
      </c>
      <c r="E13637">
        <v>-8148.78</v>
      </c>
      <c r="F13637">
        <v>-1.26</v>
      </c>
      <c r="G13637" t="s">
        <v>12</v>
      </c>
      <c r="I13637" t="s">
        <v>230</v>
      </c>
    </row>
    <row r="13638" spans="1:9" hidden="1" x14ac:dyDescent="0.25">
      <c r="A13638" t="s">
        <v>11353</v>
      </c>
      <c r="B13638" t="s">
        <v>78</v>
      </c>
      <c r="C13638" s="2">
        <f>HYPERLINK("https://cao.dolgi.msk.ru/account/1080098806/", 1080098806)</f>
        <v>1080098806</v>
      </c>
      <c r="D13638" t="s">
        <v>11382</v>
      </c>
      <c r="E13638">
        <v>-11382.07</v>
      </c>
      <c r="F13638">
        <v>-1.21</v>
      </c>
      <c r="G13638" t="s">
        <v>12</v>
      </c>
      <c r="I13638" t="s">
        <v>230</v>
      </c>
    </row>
    <row r="13639" spans="1:9" hidden="1" x14ac:dyDescent="0.25">
      <c r="A13639" t="s">
        <v>11353</v>
      </c>
      <c r="B13639" t="s">
        <v>80</v>
      </c>
      <c r="C13639" s="2">
        <f>HYPERLINK("https://cao.dolgi.msk.ru/account/1080098814/", 1080098814)</f>
        <v>1080098814</v>
      </c>
      <c r="D13639" t="s">
        <v>11383</v>
      </c>
      <c r="E13639">
        <v>-6477.12</v>
      </c>
      <c r="F13639">
        <v>-1.0900000000000001</v>
      </c>
      <c r="G13639" t="s">
        <v>12</v>
      </c>
      <c r="I13639" t="s">
        <v>230</v>
      </c>
    </row>
    <row r="13640" spans="1:9" hidden="1" x14ac:dyDescent="0.25">
      <c r="A13640" t="s">
        <v>11353</v>
      </c>
      <c r="B13640" t="s">
        <v>82</v>
      </c>
      <c r="C13640" s="2">
        <f>HYPERLINK("https://cao.dolgi.msk.ru/account/1080098005/", 1080098005)</f>
        <v>1080098005</v>
      </c>
      <c r="D13640" t="s">
        <v>11384</v>
      </c>
      <c r="E13640">
        <v>-2954.48</v>
      </c>
      <c r="F13640">
        <v>-1.0900000000000001</v>
      </c>
      <c r="G13640" t="s">
        <v>12</v>
      </c>
      <c r="H13640" t="s">
        <v>7</v>
      </c>
      <c r="I13640" t="s">
        <v>230</v>
      </c>
    </row>
    <row r="13641" spans="1:9" hidden="1" x14ac:dyDescent="0.25">
      <c r="A13641" t="s">
        <v>11353</v>
      </c>
      <c r="B13641" t="s">
        <v>82</v>
      </c>
      <c r="C13641" s="2">
        <f>HYPERLINK("https://cao.dolgi.msk.ru/account/1080098822/", 1080098822)</f>
        <v>1080098822</v>
      </c>
      <c r="D13641" t="s">
        <v>11385</v>
      </c>
      <c r="E13641">
        <v>-6734.83</v>
      </c>
      <c r="F13641">
        <v>-1.1000000000000001</v>
      </c>
      <c r="G13641" t="s">
        <v>12</v>
      </c>
      <c r="H13641" t="s">
        <v>7</v>
      </c>
      <c r="I13641" t="s">
        <v>230</v>
      </c>
    </row>
    <row r="13642" spans="1:9" hidden="1" x14ac:dyDescent="0.25">
      <c r="A13642" t="s">
        <v>11353</v>
      </c>
      <c r="B13642" t="s">
        <v>84</v>
      </c>
      <c r="C13642" s="2">
        <f>HYPERLINK("https://cao.dolgi.msk.ru/account/1080098849/", 1080098849)</f>
        <v>1080098849</v>
      </c>
      <c r="D13642" t="s">
        <v>11386</v>
      </c>
      <c r="E13642">
        <v>-2557.67</v>
      </c>
      <c r="F13642">
        <v>-1.05</v>
      </c>
      <c r="G13642" t="s">
        <v>12</v>
      </c>
      <c r="I13642" t="s">
        <v>230</v>
      </c>
    </row>
    <row r="13643" spans="1:9" hidden="1" x14ac:dyDescent="0.25">
      <c r="A13643" t="s">
        <v>11353</v>
      </c>
      <c r="B13643" t="s">
        <v>84</v>
      </c>
      <c r="C13643" s="2">
        <f>HYPERLINK("https://cao.dolgi.msk.ru/account/1089118412/", 1089118412)</f>
        <v>1089118412</v>
      </c>
      <c r="D13643" t="s">
        <v>11387</v>
      </c>
      <c r="E13643">
        <v>-3469.38</v>
      </c>
      <c r="F13643">
        <v>-1.08</v>
      </c>
      <c r="G13643" t="s">
        <v>12</v>
      </c>
      <c r="I13643" t="s">
        <v>230</v>
      </c>
    </row>
    <row r="13644" spans="1:9" hidden="1" x14ac:dyDescent="0.25">
      <c r="A13644" t="s">
        <v>11353</v>
      </c>
      <c r="B13644" t="s">
        <v>86</v>
      </c>
      <c r="C13644" s="2">
        <f>HYPERLINK("https://cao.dolgi.msk.ru/account/1080098857/", 1080098857)</f>
        <v>1080098857</v>
      </c>
      <c r="D13644" t="s">
        <v>11388</v>
      </c>
      <c r="E13644">
        <v>-8472.17</v>
      </c>
      <c r="F13644">
        <v>-0.71</v>
      </c>
      <c r="G13644" t="s">
        <v>12</v>
      </c>
      <c r="I13644" t="s">
        <v>230</v>
      </c>
    </row>
    <row r="13645" spans="1:9" hidden="1" x14ac:dyDescent="0.25">
      <c r="A13645" t="s">
        <v>11353</v>
      </c>
      <c r="B13645" t="s">
        <v>88</v>
      </c>
      <c r="C13645" s="2">
        <f>HYPERLINK("https://cao.dolgi.msk.ru/account/1080098873/", 1080098873)</f>
        <v>1080098873</v>
      </c>
      <c r="D13645" t="s">
        <v>11389</v>
      </c>
      <c r="E13645">
        <v>-7037.56</v>
      </c>
      <c r="F13645">
        <v>-1.06</v>
      </c>
      <c r="G13645" t="s">
        <v>12</v>
      </c>
      <c r="I13645" t="s">
        <v>230</v>
      </c>
    </row>
    <row r="13646" spans="1:9" hidden="1" x14ac:dyDescent="0.25">
      <c r="A13646" t="s">
        <v>11353</v>
      </c>
      <c r="B13646" t="s">
        <v>90</v>
      </c>
      <c r="C13646" s="2">
        <f>HYPERLINK("https://cao.dolgi.msk.ru/account/1080098881/", 1080098881)</f>
        <v>1080098881</v>
      </c>
      <c r="D13646" t="s">
        <v>15</v>
      </c>
      <c r="E13646">
        <v>-3039.23</v>
      </c>
      <c r="F13646">
        <v>-1.1000000000000001</v>
      </c>
      <c r="G13646" t="s">
        <v>12</v>
      </c>
      <c r="H13646" t="s">
        <v>7</v>
      </c>
      <c r="I13646" t="s">
        <v>230</v>
      </c>
    </row>
    <row r="13647" spans="1:9" hidden="1" x14ac:dyDescent="0.25">
      <c r="A13647" t="s">
        <v>11353</v>
      </c>
      <c r="B13647" t="s">
        <v>90</v>
      </c>
      <c r="C13647" s="2">
        <f>HYPERLINK("https://cao.dolgi.msk.ru/account/1080098902/", 1080098902)</f>
        <v>1080098902</v>
      </c>
      <c r="D13647" t="s">
        <v>11390</v>
      </c>
      <c r="E13647">
        <v>-3539.6</v>
      </c>
      <c r="F13647">
        <v>-1.0900000000000001</v>
      </c>
      <c r="G13647" t="s">
        <v>12</v>
      </c>
      <c r="H13647" t="s">
        <v>7</v>
      </c>
      <c r="I13647" t="s">
        <v>230</v>
      </c>
    </row>
    <row r="13648" spans="1:9" hidden="1" x14ac:dyDescent="0.25">
      <c r="A13648" t="s">
        <v>11353</v>
      </c>
      <c r="B13648" t="s">
        <v>92</v>
      </c>
      <c r="C13648" s="2">
        <f>HYPERLINK("https://cao.dolgi.msk.ru/account/1080098929/", 1080098929)</f>
        <v>1080098929</v>
      </c>
      <c r="D13648" t="s">
        <v>11391</v>
      </c>
      <c r="E13648">
        <v>-6377.01</v>
      </c>
      <c r="F13648">
        <v>-1.05</v>
      </c>
      <c r="G13648" t="s">
        <v>12</v>
      </c>
      <c r="I13648" t="s">
        <v>230</v>
      </c>
    </row>
    <row r="13649" spans="1:9" hidden="1" x14ac:dyDescent="0.25">
      <c r="A13649" t="s">
        <v>11353</v>
      </c>
      <c r="B13649" t="s">
        <v>94</v>
      </c>
      <c r="C13649" s="2">
        <f>HYPERLINK("https://cao.dolgi.msk.ru/account/1080098937/", 1080098937)</f>
        <v>1080098937</v>
      </c>
      <c r="D13649" t="s">
        <v>11392</v>
      </c>
      <c r="E13649">
        <v>-12325.75</v>
      </c>
      <c r="F13649">
        <v>-3.15</v>
      </c>
      <c r="G13649" t="s">
        <v>12</v>
      </c>
      <c r="I13649" t="s">
        <v>230</v>
      </c>
    </row>
    <row r="13650" spans="1:9" hidden="1" x14ac:dyDescent="0.25">
      <c r="A13650" t="s">
        <v>11353</v>
      </c>
      <c r="B13650" t="s">
        <v>96</v>
      </c>
      <c r="C13650" s="2">
        <f>HYPERLINK("https://cao.dolgi.msk.ru/account/1080098945/", 1080098945)</f>
        <v>1080098945</v>
      </c>
      <c r="D13650" t="s">
        <v>11393</v>
      </c>
      <c r="E13650">
        <v>-5205.28</v>
      </c>
      <c r="F13650">
        <v>-1.1200000000000001</v>
      </c>
      <c r="G13650" t="s">
        <v>12</v>
      </c>
      <c r="I13650" t="s">
        <v>230</v>
      </c>
    </row>
    <row r="13651" spans="1:9" x14ac:dyDescent="0.25">
      <c r="A13651" t="s">
        <v>11353</v>
      </c>
      <c r="B13651" t="s">
        <v>98</v>
      </c>
      <c r="C13651" s="2">
        <f>HYPERLINK("https://cao.dolgi.msk.ru/account/1080098953/", 1080098953)</f>
        <v>1080098953</v>
      </c>
      <c r="D13651" t="s">
        <v>11394</v>
      </c>
      <c r="E13651">
        <v>158118.13</v>
      </c>
      <c r="F13651">
        <v>23.65</v>
      </c>
      <c r="G13651" t="s">
        <v>12</v>
      </c>
      <c r="I13651" t="s">
        <v>230</v>
      </c>
    </row>
    <row r="13652" spans="1:9" x14ac:dyDescent="0.25">
      <c r="A13652" t="s">
        <v>11353</v>
      </c>
      <c r="B13652" t="s">
        <v>98</v>
      </c>
      <c r="C13652" s="2">
        <f>HYPERLINK("https://cao.dolgi.msk.ru/account/1083273462/", 1083273462)</f>
        <v>1083273462</v>
      </c>
      <c r="D13652" t="s">
        <v>11394</v>
      </c>
      <c r="E13652">
        <v>111223.36</v>
      </c>
      <c r="F13652">
        <v>16.63</v>
      </c>
      <c r="G13652" t="s">
        <v>12</v>
      </c>
      <c r="I13652" t="s">
        <v>230</v>
      </c>
    </row>
    <row r="13653" spans="1:9" hidden="1" x14ac:dyDescent="0.25">
      <c r="A13653" t="s">
        <v>11353</v>
      </c>
      <c r="B13653" t="s">
        <v>100</v>
      </c>
      <c r="C13653" s="2">
        <f>HYPERLINK("https://cao.dolgi.msk.ru/account/1080098961/", 1080098961)</f>
        <v>1080098961</v>
      </c>
      <c r="D13653" t="s">
        <v>11395</v>
      </c>
      <c r="E13653">
        <v>73.489999999999995</v>
      </c>
      <c r="F13653">
        <v>0.02</v>
      </c>
      <c r="G13653" t="s">
        <v>12</v>
      </c>
      <c r="I13653" t="s">
        <v>230</v>
      </c>
    </row>
    <row r="13654" spans="1:9" hidden="1" x14ac:dyDescent="0.25">
      <c r="A13654" t="s">
        <v>11353</v>
      </c>
      <c r="B13654" t="s">
        <v>102</v>
      </c>
      <c r="C13654" s="2">
        <f>HYPERLINK("https://cao.dolgi.msk.ru/account/1080098988/", 1080098988)</f>
        <v>1080098988</v>
      </c>
      <c r="D13654" t="s">
        <v>15</v>
      </c>
      <c r="E13654">
        <v>0</v>
      </c>
      <c r="G13654" t="s">
        <v>14</v>
      </c>
      <c r="I13654" t="s">
        <v>230</v>
      </c>
    </row>
    <row r="13655" spans="1:9" hidden="1" x14ac:dyDescent="0.25">
      <c r="A13655" t="s">
        <v>11353</v>
      </c>
      <c r="B13655" t="s">
        <v>102</v>
      </c>
      <c r="C13655" s="2">
        <f>HYPERLINK("https://cao.dolgi.msk.ru/account/1080098996/", 1080098996)</f>
        <v>1080098996</v>
      </c>
      <c r="D13655" t="s">
        <v>11396</v>
      </c>
      <c r="E13655">
        <v>-9208.2199999999993</v>
      </c>
      <c r="F13655">
        <v>-1.0900000000000001</v>
      </c>
      <c r="G13655" t="s">
        <v>12</v>
      </c>
      <c r="I13655" t="s">
        <v>230</v>
      </c>
    </row>
    <row r="13656" spans="1:9" hidden="1" x14ac:dyDescent="0.25">
      <c r="A13656" t="s">
        <v>11353</v>
      </c>
      <c r="B13656" t="s">
        <v>102</v>
      </c>
      <c r="C13656" s="2">
        <f>HYPERLINK("https://cao.dolgi.msk.ru/account/1080099008/", 1080099008)</f>
        <v>1080099008</v>
      </c>
      <c r="D13656" t="s">
        <v>11397</v>
      </c>
      <c r="E13656">
        <v>-203.65</v>
      </c>
      <c r="G13656" t="s">
        <v>14</v>
      </c>
      <c r="I13656" t="s">
        <v>230</v>
      </c>
    </row>
    <row r="13657" spans="1:9" hidden="1" x14ac:dyDescent="0.25">
      <c r="A13657" t="s">
        <v>11353</v>
      </c>
      <c r="B13657" t="s">
        <v>104</v>
      </c>
      <c r="C13657" s="2">
        <f>HYPERLINK("https://cao.dolgi.msk.ru/account/1080099016/", 1080099016)</f>
        <v>1080099016</v>
      </c>
      <c r="D13657" t="s">
        <v>11398</v>
      </c>
      <c r="E13657">
        <v>-3797.46</v>
      </c>
      <c r="F13657">
        <v>-1.06</v>
      </c>
      <c r="G13657" t="s">
        <v>12</v>
      </c>
      <c r="I13657" t="s">
        <v>230</v>
      </c>
    </row>
    <row r="13658" spans="1:9" hidden="1" x14ac:dyDescent="0.25">
      <c r="A13658" t="s">
        <v>11353</v>
      </c>
      <c r="B13658" t="s">
        <v>106</v>
      </c>
      <c r="C13658" s="2">
        <f>HYPERLINK("https://cao.dolgi.msk.ru/account/1080099024/", 1080099024)</f>
        <v>1080099024</v>
      </c>
      <c r="D13658" t="s">
        <v>11399</v>
      </c>
      <c r="E13658">
        <v>-8617.39</v>
      </c>
      <c r="F13658">
        <v>-1.08</v>
      </c>
      <c r="G13658" t="s">
        <v>12</v>
      </c>
      <c r="I13658" t="s">
        <v>230</v>
      </c>
    </row>
    <row r="13659" spans="1:9" hidden="1" x14ac:dyDescent="0.25">
      <c r="A13659" t="s">
        <v>11353</v>
      </c>
      <c r="B13659" t="s">
        <v>108</v>
      </c>
      <c r="C13659" s="2">
        <f>HYPERLINK("https://cao.dolgi.msk.ru/account/1080099032/", 1080099032)</f>
        <v>1080099032</v>
      </c>
      <c r="D13659" t="s">
        <v>11400</v>
      </c>
      <c r="E13659">
        <v>0</v>
      </c>
      <c r="F13659">
        <v>0</v>
      </c>
      <c r="G13659" t="s">
        <v>12</v>
      </c>
      <c r="I13659" t="s">
        <v>230</v>
      </c>
    </row>
    <row r="13660" spans="1:9" x14ac:dyDescent="0.25">
      <c r="A13660" t="s">
        <v>11401</v>
      </c>
      <c r="B13660" t="s">
        <v>110</v>
      </c>
      <c r="C13660" s="2">
        <f>HYPERLINK("https://cao.dolgi.msk.ru/account/1080099059/", 1080099059)</f>
        <v>1080099059</v>
      </c>
      <c r="D13660" t="s">
        <v>11402</v>
      </c>
      <c r="E13660">
        <v>86811.72</v>
      </c>
      <c r="F13660">
        <v>15.55</v>
      </c>
      <c r="G13660" t="s">
        <v>12</v>
      </c>
      <c r="I13660" t="s">
        <v>230</v>
      </c>
    </row>
    <row r="13661" spans="1:9" x14ac:dyDescent="0.25">
      <c r="A13661" t="s">
        <v>11401</v>
      </c>
      <c r="B13661" t="s">
        <v>112</v>
      </c>
      <c r="C13661" s="2">
        <f>HYPERLINK("https://cao.dolgi.msk.ru/account/1080099067/", 1080099067)</f>
        <v>1080099067</v>
      </c>
      <c r="D13661" t="s">
        <v>1082</v>
      </c>
      <c r="E13661">
        <v>4957.6400000000003</v>
      </c>
      <c r="F13661">
        <v>2.09</v>
      </c>
      <c r="G13661" t="s">
        <v>12</v>
      </c>
      <c r="H13661" t="s">
        <v>7</v>
      </c>
      <c r="I13661" t="s">
        <v>230</v>
      </c>
    </row>
    <row r="13662" spans="1:9" hidden="1" x14ac:dyDescent="0.25">
      <c r="A13662" t="s">
        <v>11401</v>
      </c>
      <c r="B13662" t="s">
        <v>112</v>
      </c>
      <c r="C13662" s="2">
        <f>HYPERLINK("https://cao.dolgi.msk.ru/account/1080099075/", 1080099075)</f>
        <v>1080099075</v>
      </c>
      <c r="D13662" t="s">
        <v>11403</v>
      </c>
      <c r="E13662">
        <v>1</v>
      </c>
      <c r="F13662">
        <v>0</v>
      </c>
      <c r="G13662" t="s">
        <v>12</v>
      </c>
      <c r="H13662" t="s">
        <v>7</v>
      </c>
      <c r="I13662" t="s">
        <v>230</v>
      </c>
    </row>
    <row r="13663" spans="1:9" hidden="1" x14ac:dyDescent="0.25">
      <c r="A13663" t="s">
        <v>11401</v>
      </c>
      <c r="B13663" t="s">
        <v>112</v>
      </c>
      <c r="C13663" s="2">
        <f>HYPERLINK("https://cao.dolgi.msk.ru/account/1089118295/", 1089118295)</f>
        <v>1089118295</v>
      </c>
      <c r="D13663" t="s">
        <v>15</v>
      </c>
      <c r="G13663" t="s">
        <v>14</v>
      </c>
      <c r="H13663" t="s">
        <v>7</v>
      </c>
      <c r="I13663" t="s">
        <v>230</v>
      </c>
    </row>
    <row r="13664" spans="1:9" hidden="1" x14ac:dyDescent="0.25">
      <c r="A13664" t="s">
        <v>11401</v>
      </c>
      <c r="B13664" t="s">
        <v>114</v>
      </c>
      <c r="C13664" s="2">
        <f>HYPERLINK("https://cao.dolgi.msk.ru/account/1080099083/", 1080099083)</f>
        <v>1080099083</v>
      </c>
      <c r="D13664" t="s">
        <v>11404</v>
      </c>
      <c r="E13664">
        <v>-6481.08</v>
      </c>
      <c r="F13664">
        <v>-1.03</v>
      </c>
      <c r="G13664" t="s">
        <v>12</v>
      </c>
      <c r="I13664" t="s">
        <v>230</v>
      </c>
    </row>
    <row r="13665" spans="1:9" hidden="1" x14ac:dyDescent="0.25">
      <c r="A13665" t="s">
        <v>11401</v>
      </c>
      <c r="B13665" t="s">
        <v>116</v>
      </c>
      <c r="C13665" s="2">
        <f>HYPERLINK("https://cao.dolgi.msk.ru/account/1080099091/", 1080099091)</f>
        <v>1080099091</v>
      </c>
      <c r="D13665" t="s">
        <v>11405</v>
      </c>
      <c r="E13665">
        <v>-11667.42</v>
      </c>
      <c r="F13665">
        <v>-1.02</v>
      </c>
      <c r="G13665" t="s">
        <v>12</v>
      </c>
      <c r="I13665" t="s">
        <v>230</v>
      </c>
    </row>
    <row r="13666" spans="1:9" hidden="1" x14ac:dyDescent="0.25">
      <c r="A13666" t="s">
        <v>11401</v>
      </c>
      <c r="B13666" t="s">
        <v>118</v>
      </c>
      <c r="C13666" s="2">
        <f>HYPERLINK("https://cao.dolgi.msk.ru/account/1080099139/", 1080099139)</f>
        <v>1080099139</v>
      </c>
      <c r="D13666" t="s">
        <v>11406</v>
      </c>
      <c r="E13666">
        <v>-5403.04</v>
      </c>
      <c r="F13666">
        <v>-1.05</v>
      </c>
      <c r="G13666" t="s">
        <v>12</v>
      </c>
      <c r="H13666" t="s">
        <v>7</v>
      </c>
      <c r="I13666" t="s">
        <v>230</v>
      </c>
    </row>
    <row r="13667" spans="1:9" hidden="1" x14ac:dyDescent="0.25">
      <c r="A13667" t="s">
        <v>11401</v>
      </c>
      <c r="B13667" t="s">
        <v>118</v>
      </c>
      <c r="C13667" s="2">
        <f>HYPERLINK("https://cao.dolgi.msk.ru/account/1080099147/", 1080099147)</f>
        <v>1080099147</v>
      </c>
      <c r="D13667" t="s">
        <v>11407</v>
      </c>
      <c r="E13667">
        <v>-3719.07</v>
      </c>
      <c r="F13667">
        <v>-1.07</v>
      </c>
      <c r="G13667" t="s">
        <v>12</v>
      </c>
      <c r="H13667" t="s">
        <v>7</v>
      </c>
      <c r="I13667" t="s">
        <v>230</v>
      </c>
    </row>
    <row r="13668" spans="1:9" hidden="1" x14ac:dyDescent="0.25">
      <c r="A13668" t="s">
        <v>11401</v>
      </c>
      <c r="B13668" t="s">
        <v>120</v>
      </c>
      <c r="C13668" s="2">
        <f>HYPERLINK("https://cao.dolgi.msk.ru/account/1080099155/", 1080099155)</f>
        <v>1080099155</v>
      </c>
      <c r="D13668" t="s">
        <v>11408</v>
      </c>
      <c r="E13668">
        <v>-9717.94</v>
      </c>
      <c r="F13668">
        <v>-1.0900000000000001</v>
      </c>
      <c r="G13668" t="s">
        <v>12</v>
      </c>
      <c r="I13668" t="s">
        <v>230</v>
      </c>
    </row>
    <row r="13669" spans="1:9" hidden="1" x14ac:dyDescent="0.25">
      <c r="A13669" t="s">
        <v>11401</v>
      </c>
      <c r="B13669" t="s">
        <v>122</v>
      </c>
      <c r="C13669" s="2">
        <f>HYPERLINK("https://cao.dolgi.msk.ru/account/1080099163/", 1080099163)</f>
        <v>1080099163</v>
      </c>
      <c r="D13669" t="s">
        <v>62</v>
      </c>
      <c r="E13669">
        <v>-1614.99</v>
      </c>
      <c r="F13669">
        <v>-0.27</v>
      </c>
      <c r="G13669" t="s">
        <v>12</v>
      </c>
      <c r="I13669" t="s">
        <v>230</v>
      </c>
    </row>
    <row r="13670" spans="1:9" hidden="1" x14ac:dyDescent="0.25">
      <c r="A13670" t="s">
        <v>11401</v>
      </c>
      <c r="B13670" t="s">
        <v>124</v>
      </c>
      <c r="C13670" s="2">
        <f>HYPERLINK("https://cao.dolgi.msk.ru/account/1080099171/", 1080099171)</f>
        <v>1080099171</v>
      </c>
      <c r="D13670" t="s">
        <v>11409</v>
      </c>
      <c r="E13670">
        <v>57.75</v>
      </c>
      <c r="F13670">
        <v>0.01</v>
      </c>
      <c r="G13670" t="s">
        <v>12</v>
      </c>
      <c r="I13670" t="s">
        <v>230</v>
      </c>
    </row>
    <row r="13671" spans="1:9" hidden="1" x14ac:dyDescent="0.25">
      <c r="A13671" t="s">
        <v>11401</v>
      </c>
      <c r="B13671" t="s">
        <v>126</v>
      </c>
      <c r="C13671" s="2">
        <f>HYPERLINK("https://cao.dolgi.msk.ru/account/1080099198/", 1080099198)</f>
        <v>1080099198</v>
      </c>
      <c r="D13671" t="s">
        <v>11410</v>
      </c>
      <c r="E13671">
        <v>-3022.49</v>
      </c>
      <c r="F13671">
        <v>-0.35</v>
      </c>
      <c r="G13671" t="s">
        <v>12</v>
      </c>
      <c r="I13671" t="s">
        <v>230</v>
      </c>
    </row>
    <row r="13672" spans="1:9" x14ac:dyDescent="0.25">
      <c r="A13672" t="s">
        <v>11401</v>
      </c>
      <c r="B13672" t="s">
        <v>128</v>
      </c>
      <c r="C13672" s="2">
        <f>HYPERLINK("https://cao.dolgi.msk.ru/account/1080099219/", 1080099219)</f>
        <v>1080099219</v>
      </c>
      <c r="D13672" t="s">
        <v>11411</v>
      </c>
      <c r="E13672">
        <v>4330.6000000000004</v>
      </c>
      <c r="F13672">
        <v>2.4</v>
      </c>
      <c r="G13672" t="s">
        <v>12</v>
      </c>
      <c r="H13672" t="s">
        <v>7</v>
      </c>
      <c r="I13672" t="s">
        <v>230</v>
      </c>
    </row>
    <row r="13673" spans="1:9" hidden="1" x14ac:dyDescent="0.25">
      <c r="A13673" t="s">
        <v>11401</v>
      </c>
      <c r="B13673" t="s">
        <v>128</v>
      </c>
      <c r="C13673" s="2">
        <f>HYPERLINK("https://cao.dolgi.msk.ru/account/1080099227/", 1080099227)</f>
        <v>1080099227</v>
      </c>
      <c r="D13673" t="s">
        <v>11411</v>
      </c>
      <c r="E13673">
        <v>-6272.44</v>
      </c>
      <c r="F13673">
        <v>-1.02</v>
      </c>
      <c r="G13673" t="s">
        <v>12</v>
      </c>
      <c r="H13673" t="s">
        <v>7</v>
      </c>
      <c r="I13673" t="s">
        <v>230</v>
      </c>
    </row>
    <row r="13674" spans="1:9" hidden="1" x14ac:dyDescent="0.25">
      <c r="A13674" t="s">
        <v>11401</v>
      </c>
      <c r="B13674" t="s">
        <v>130</v>
      </c>
      <c r="C13674" s="2">
        <f>HYPERLINK("https://cao.dolgi.msk.ru/account/1080099235/", 1080099235)</f>
        <v>1080099235</v>
      </c>
      <c r="D13674" t="s">
        <v>11412</v>
      </c>
      <c r="E13674">
        <v>-6310.26</v>
      </c>
      <c r="F13674">
        <v>-1.08</v>
      </c>
      <c r="G13674" t="s">
        <v>12</v>
      </c>
      <c r="I13674" t="s">
        <v>230</v>
      </c>
    </row>
    <row r="13675" spans="1:9" hidden="1" x14ac:dyDescent="0.25">
      <c r="A13675" t="s">
        <v>11401</v>
      </c>
      <c r="B13675" t="s">
        <v>132</v>
      </c>
      <c r="C13675" s="2">
        <f>HYPERLINK("https://cao.dolgi.msk.ru/account/1080099243/", 1080099243)</f>
        <v>1080099243</v>
      </c>
      <c r="D13675" t="s">
        <v>11413</v>
      </c>
      <c r="E13675">
        <v>-8943.24</v>
      </c>
      <c r="F13675">
        <v>-1.01</v>
      </c>
      <c r="G13675" t="s">
        <v>12</v>
      </c>
      <c r="I13675" t="s">
        <v>230</v>
      </c>
    </row>
    <row r="13676" spans="1:9" hidden="1" x14ac:dyDescent="0.25">
      <c r="A13676" t="s">
        <v>11401</v>
      </c>
      <c r="B13676" t="s">
        <v>133</v>
      </c>
      <c r="C13676" s="2">
        <f>HYPERLINK("https://cao.dolgi.msk.ru/account/1080099251/", 1080099251)</f>
        <v>1080099251</v>
      </c>
      <c r="D13676" t="s">
        <v>11414</v>
      </c>
      <c r="E13676">
        <v>-4622.75</v>
      </c>
      <c r="F13676">
        <v>-1.08</v>
      </c>
      <c r="G13676" t="s">
        <v>12</v>
      </c>
      <c r="H13676" t="s">
        <v>7</v>
      </c>
      <c r="I13676" t="s">
        <v>230</v>
      </c>
    </row>
    <row r="13677" spans="1:9" hidden="1" x14ac:dyDescent="0.25">
      <c r="A13677" t="s">
        <v>11401</v>
      </c>
      <c r="B13677" t="s">
        <v>133</v>
      </c>
      <c r="C13677" s="2">
        <f>HYPERLINK("https://cao.dolgi.msk.ru/account/1080099278/", 1080099278)</f>
        <v>1080099278</v>
      </c>
      <c r="D13677" t="s">
        <v>11414</v>
      </c>
      <c r="E13677">
        <v>-4742.3100000000004</v>
      </c>
      <c r="F13677">
        <v>-1.53</v>
      </c>
      <c r="G13677" t="s">
        <v>12</v>
      </c>
      <c r="H13677" t="s">
        <v>7</v>
      </c>
      <c r="I13677" t="s">
        <v>230</v>
      </c>
    </row>
    <row r="13678" spans="1:9" hidden="1" x14ac:dyDescent="0.25">
      <c r="A13678" t="s">
        <v>11401</v>
      </c>
      <c r="B13678" t="s">
        <v>133</v>
      </c>
      <c r="C13678" s="2">
        <f>HYPERLINK("https://cao.dolgi.msk.ru/account/1080099286/", 1080099286)</f>
        <v>1080099286</v>
      </c>
      <c r="D13678" t="s">
        <v>11414</v>
      </c>
      <c r="E13678">
        <v>-4407.08</v>
      </c>
      <c r="F13678">
        <v>-1.86</v>
      </c>
      <c r="G13678" t="s">
        <v>12</v>
      </c>
      <c r="H13678" t="s">
        <v>7</v>
      </c>
      <c r="I13678" t="s">
        <v>230</v>
      </c>
    </row>
    <row r="13679" spans="1:9" hidden="1" x14ac:dyDescent="0.25">
      <c r="A13679" t="s">
        <v>11401</v>
      </c>
      <c r="B13679" t="s">
        <v>135</v>
      </c>
      <c r="C13679" s="2">
        <f>HYPERLINK("https://cao.dolgi.msk.ru/account/1080099294/", 1080099294)</f>
        <v>1080099294</v>
      </c>
      <c r="D13679" t="s">
        <v>11415</v>
      </c>
      <c r="E13679">
        <v>-3235.36</v>
      </c>
      <c r="F13679">
        <v>-0.99</v>
      </c>
      <c r="G13679" t="s">
        <v>12</v>
      </c>
      <c r="I13679" t="s">
        <v>230</v>
      </c>
    </row>
    <row r="13680" spans="1:9" hidden="1" x14ac:dyDescent="0.25">
      <c r="A13680" t="s">
        <v>11401</v>
      </c>
      <c r="B13680" t="s">
        <v>137</v>
      </c>
      <c r="C13680" s="2">
        <f>HYPERLINK("https://cao.dolgi.msk.ru/account/1080099307/", 1080099307)</f>
        <v>1080099307</v>
      </c>
      <c r="D13680" t="s">
        <v>11416</v>
      </c>
      <c r="E13680">
        <v>-5704.88</v>
      </c>
      <c r="F13680">
        <v>-1.03</v>
      </c>
      <c r="G13680" t="s">
        <v>12</v>
      </c>
      <c r="I13680" t="s">
        <v>230</v>
      </c>
    </row>
    <row r="13681" spans="1:9" hidden="1" x14ac:dyDescent="0.25">
      <c r="A13681" t="s">
        <v>11401</v>
      </c>
      <c r="B13681" t="s">
        <v>139</v>
      </c>
      <c r="C13681" s="2">
        <f>HYPERLINK("https://cao.dolgi.msk.ru/account/1080099315/", 1080099315)</f>
        <v>1080099315</v>
      </c>
      <c r="D13681" t="s">
        <v>11417</v>
      </c>
      <c r="E13681">
        <v>105.31</v>
      </c>
      <c r="F13681">
        <v>0.01</v>
      </c>
      <c r="G13681" t="s">
        <v>12</v>
      </c>
      <c r="I13681" t="s">
        <v>230</v>
      </c>
    </row>
    <row r="13682" spans="1:9" hidden="1" x14ac:dyDescent="0.25">
      <c r="A13682" t="s">
        <v>11401</v>
      </c>
      <c r="B13682" t="s">
        <v>141</v>
      </c>
      <c r="C13682" s="2">
        <f>HYPERLINK("https://cao.dolgi.msk.ru/account/1080099323/", 1080099323)</f>
        <v>1080099323</v>
      </c>
      <c r="D13682" t="s">
        <v>11418</v>
      </c>
      <c r="E13682">
        <v>116.78</v>
      </c>
      <c r="F13682">
        <v>0.02</v>
      </c>
      <c r="G13682" t="s">
        <v>12</v>
      </c>
      <c r="I13682" t="s">
        <v>230</v>
      </c>
    </row>
    <row r="13683" spans="1:9" hidden="1" x14ac:dyDescent="0.25">
      <c r="A13683" t="s">
        <v>11401</v>
      </c>
      <c r="B13683" t="s">
        <v>143</v>
      </c>
      <c r="C13683" s="2">
        <f>HYPERLINK("https://cao.dolgi.msk.ru/account/1080099331/", 1080099331)</f>
        <v>1080099331</v>
      </c>
      <c r="D13683" t="s">
        <v>11419</v>
      </c>
      <c r="E13683">
        <v>-9147.02</v>
      </c>
      <c r="F13683">
        <v>-1.17</v>
      </c>
      <c r="G13683" t="s">
        <v>12</v>
      </c>
      <c r="I13683" t="s">
        <v>230</v>
      </c>
    </row>
    <row r="13684" spans="1:9" hidden="1" x14ac:dyDescent="0.25">
      <c r="A13684" t="s">
        <v>11401</v>
      </c>
      <c r="B13684" t="s">
        <v>145</v>
      </c>
      <c r="C13684" s="2">
        <f>HYPERLINK("https://cao.dolgi.msk.ru/account/1080099358/", 1080099358)</f>
        <v>1080099358</v>
      </c>
      <c r="D13684" t="s">
        <v>15</v>
      </c>
      <c r="E13684">
        <v>-23477.24</v>
      </c>
      <c r="F13684">
        <v>-4.5199999999999996</v>
      </c>
      <c r="G13684" t="s">
        <v>12</v>
      </c>
      <c r="I13684" t="s">
        <v>230</v>
      </c>
    </row>
    <row r="13685" spans="1:9" hidden="1" x14ac:dyDescent="0.25">
      <c r="A13685" t="s">
        <v>11401</v>
      </c>
      <c r="B13685" t="s">
        <v>147</v>
      </c>
      <c r="C13685" s="2">
        <f>HYPERLINK("https://cao.dolgi.msk.ru/account/1080099366/", 1080099366)</f>
        <v>1080099366</v>
      </c>
      <c r="D13685" t="s">
        <v>11420</v>
      </c>
      <c r="E13685">
        <v>-4652.93</v>
      </c>
      <c r="F13685">
        <v>-1.01</v>
      </c>
      <c r="G13685" t="s">
        <v>12</v>
      </c>
      <c r="I13685" t="s">
        <v>230</v>
      </c>
    </row>
    <row r="13686" spans="1:9" hidden="1" x14ac:dyDescent="0.25">
      <c r="A13686" t="s">
        <v>11401</v>
      </c>
      <c r="B13686" t="s">
        <v>149</v>
      </c>
      <c r="C13686" s="2">
        <f>HYPERLINK("https://cao.dolgi.msk.ru/account/1080099374/", 1080099374)</f>
        <v>1080099374</v>
      </c>
      <c r="D13686" t="s">
        <v>11421</v>
      </c>
      <c r="E13686">
        <v>-5497.12</v>
      </c>
      <c r="F13686">
        <v>-0.79</v>
      </c>
      <c r="G13686" t="s">
        <v>12</v>
      </c>
      <c r="I13686" t="s">
        <v>230</v>
      </c>
    </row>
    <row r="13687" spans="1:9" hidden="1" x14ac:dyDescent="0.25">
      <c r="A13687" t="s">
        <v>11401</v>
      </c>
      <c r="B13687" t="s">
        <v>151</v>
      </c>
      <c r="C13687" s="2">
        <f>HYPERLINK("https://cao.dolgi.msk.ru/account/1080099382/", 1080099382)</f>
        <v>1080099382</v>
      </c>
      <c r="D13687" t="s">
        <v>11422</v>
      </c>
      <c r="E13687">
        <v>-526.91</v>
      </c>
      <c r="F13687">
        <v>-0.05</v>
      </c>
      <c r="G13687" t="s">
        <v>12</v>
      </c>
      <c r="I13687" t="s">
        <v>230</v>
      </c>
    </row>
    <row r="13688" spans="1:9" hidden="1" x14ac:dyDescent="0.25">
      <c r="A13688" t="s">
        <v>11401</v>
      </c>
      <c r="B13688" t="s">
        <v>153</v>
      </c>
      <c r="C13688" s="2">
        <f>HYPERLINK("https://cao.dolgi.msk.ru/account/1080099411/", 1080099411)</f>
        <v>1080099411</v>
      </c>
      <c r="D13688" t="s">
        <v>11423</v>
      </c>
      <c r="E13688">
        <v>-6078.41</v>
      </c>
      <c r="F13688">
        <v>-0.98</v>
      </c>
      <c r="G13688" t="s">
        <v>12</v>
      </c>
      <c r="I13688" t="s">
        <v>230</v>
      </c>
    </row>
    <row r="13689" spans="1:9" hidden="1" x14ac:dyDescent="0.25">
      <c r="A13689" t="s">
        <v>11401</v>
      </c>
      <c r="B13689" t="s">
        <v>155</v>
      </c>
      <c r="C13689" s="2">
        <f>HYPERLINK("https://cao.dolgi.msk.ru/account/1080099438/", 1080099438)</f>
        <v>1080099438</v>
      </c>
      <c r="D13689" t="s">
        <v>11424</v>
      </c>
      <c r="E13689">
        <v>-3061.64</v>
      </c>
      <c r="F13689">
        <v>-1.06</v>
      </c>
      <c r="G13689" t="s">
        <v>12</v>
      </c>
      <c r="H13689" t="s">
        <v>7</v>
      </c>
      <c r="I13689" t="s">
        <v>230</v>
      </c>
    </row>
    <row r="13690" spans="1:9" hidden="1" x14ac:dyDescent="0.25">
      <c r="A13690" t="s">
        <v>11401</v>
      </c>
      <c r="B13690" t="s">
        <v>155</v>
      </c>
      <c r="C13690" s="2">
        <f>HYPERLINK("https://cao.dolgi.msk.ru/account/1080099446/", 1080099446)</f>
        <v>1080099446</v>
      </c>
      <c r="D13690" t="s">
        <v>11425</v>
      </c>
      <c r="E13690">
        <v>-2964.76</v>
      </c>
      <c r="F13690">
        <v>-1.74</v>
      </c>
      <c r="G13690" t="s">
        <v>12</v>
      </c>
      <c r="H13690" t="s">
        <v>7</v>
      </c>
      <c r="I13690" t="s">
        <v>230</v>
      </c>
    </row>
    <row r="13691" spans="1:9" hidden="1" x14ac:dyDescent="0.25">
      <c r="A13691" t="s">
        <v>11401</v>
      </c>
      <c r="B13691" t="s">
        <v>157</v>
      </c>
      <c r="C13691" s="2">
        <f>HYPERLINK("https://cao.dolgi.msk.ru/account/1080099454/", 1080099454)</f>
        <v>1080099454</v>
      </c>
      <c r="D13691" t="s">
        <v>11426</v>
      </c>
      <c r="E13691">
        <v>-8832.06</v>
      </c>
      <c r="F13691">
        <v>-1.06</v>
      </c>
      <c r="G13691" t="s">
        <v>12</v>
      </c>
      <c r="I13691" t="s">
        <v>230</v>
      </c>
    </row>
    <row r="13692" spans="1:9" x14ac:dyDescent="0.25">
      <c r="A13692" t="s">
        <v>11401</v>
      </c>
      <c r="B13692" t="s">
        <v>159</v>
      </c>
      <c r="C13692" s="2">
        <f>HYPERLINK("https://cao.dolgi.msk.ru/account/1080099462/", 1080099462)</f>
        <v>1080099462</v>
      </c>
      <c r="D13692" t="s">
        <v>11427</v>
      </c>
      <c r="E13692">
        <v>34000.86</v>
      </c>
      <c r="F13692">
        <v>2.2400000000000002</v>
      </c>
      <c r="G13692" t="s">
        <v>12</v>
      </c>
      <c r="I13692" t="s">
        <v>230</v>
      </c>
    </row>
    <row r="13693" spans="1:9" hidden="1" x14ac:dyDescent="0.25">
      <c r="A13693" t="s">
        <v>11401</v>
      </c>
      <c r="B13693" t="s">
        <v>161</v>
      </c>
      <c r="C13693" s="2">
        <f>HYPERLINK("https://cao.dolgi.msk.ru/account/1080099489/", 1080099489)</f>
        <v>1080099489</v>
      </c>
      <c r="D13693" t="s">
        <v>11428</v>
      </c>
      <c r="E13693">
        <v>-2733.37</v>
      </c>
      <c r="F13693">
        <v>-1.02</v>
      </c>
      <c r="G13693" t="s">
        <v>12</v>
      </c>
      <c r="H13693" t="s">
        <v>7</v>
      </c>
      <c r="I13693" t="s">
        <v>230</v>
      </c>
    </row>
    <row r="13694" spans="1:9" hidden="1" x14ac:dyDescent="0.25">
      <c r="A13694" t="s">
        <v>11401</v>
      </c>
      <c r="B13694" t="s">
        <v>161</v>
      </c>
      <c r="C13694" s="2">
        <f>HYPERLINK("https://cao.dolgi.msk.ru/account/1080099497/", 1080099497)</f>
        <v>1080099497</v>
      </c>
      <c r="D13694" t="s">
        <v>11429</v>
      </c>
      <c r="E13694">
        <v>-14848.32</v>
      </c>
      <c r="F13694">
        <v>-3.3</v>
      </c>
      <c r="G13694" t="s">
        <v>12</v>
      </c>
      <c r="H13694" t="s">
        <v>7</v>
      </c>
      <c r="I13694" t="s">
        <v>230</v>
      </c>
    </row>
    <row r="13695" spans="1:9" hidden="1" x14ac:dyDescent="0.25">
      <c r="A13695" t="s">
        <v>11401</v>
      </c>
      <c r="B13695" t="s">
        <v>163</v>
      </c>
      <c r="C13695" s="2">
        <f>HYPERLINK("https://cao.dolgi.msk.ru/account/1080099518/", 1080099518)</f>
        <v>1080099518</v>
      </c>
      <c r="D13695" t="s">
        <v>11430</v>
      </c>
      <c r="E13695">
        <v>-7125.64</v>
      </c>
      <c r="F13695">
        <v>-1.25</v>
      </c>
      <c r="G13695" t="s">
        <v>12</v>
      </c>
      <c r="I13695" t="s">
        <v>230</v>
      </c>
    </row>
    <row r="13696" spans="1:9" hidden="1" x14ac:dyDescent="0.25">
      <c r="A13696" t="s">
        <v>11401</v>
      </c>
      <c r="B13696" t="s">
        <v>571</v>
      </c>
      <c r="C13696" s="2">
        <f>HYPERLINK("https://cao.dolgi.msk.ru/account/1080099526/", 1080099526)</f>
        <v>1080099526</v>
      </c>
      <c r="D13696" t="s">
        <v>11431</v>
      </c>
      <c r="E13696">
        <v>-6724.09</v>
      </c>
      <c r="F13696">
        <v>-0.69</v>
      </c>
      <c r="G13696" t="s">
        <v>12</v>
      </c>
      <c r="I13696" t="s">
        <v>230</v>
      </c>
    </row>
    <row r="13697" spans="1:9" hidden="1" x14ac:dyDescent="0.25">
      <c r="A13697" t="s">
        <v>11401</v>
      </c>
      <c r="B13697" t="s">
        <v>682</v>
      </c>
      <c r="C13697" s="2">
        <f>HYPERLINK("https://cao.dolgi.msk.ru/account/1080099534/", 1080099534)</f>
        <v>1080099534</v>
      </c>
      <c r="D13697" t="s">
        <v>11432</v>
      </c>
      <c r="E13697">
        <v>-3970.4</v>
      </c>
      <c r="F13697">
        <v>-1.03</v>
      </c>
      <c r="G13697" t="s">
        <v>12</v>
      </c>
      <c r="I13697" t="s">
        <v>230</v>
      </c>
    </row>
    <row r="13698" spans="1:9" hidden="1" x14ac:dyDescent="0.25">
      <c r="A13698" t="s">
        <v>11401</v>
      </c>
      <c r="B13698" t="s">
        <v>578</v>
      </c>
      <c r="C13698" s="2">
        <f>HYPERLINK("https://cao.dolgi.msk.ru/account/1080099542/", 1080099542)</f>
        <v>1080099542</v>
      </c>
      <c r="D13698" t="s">
        <v>11433</v>
      </c>
      <c r="E13698">
        <v>8.08</v>
      </c>
      <c r="F13698">
        <v>0</v>
      </c>
      <c r="G13698" t="s">
        <v>12</v>
      </c>
      <c r="I13698" t="s">
        <v>230</v>
      </c>
    </row>
    <row r="13699" spans="1:9" hidden="1" x14ac:dyDescent="0.25">
      <c r="A13699" t="s">
        <v>11401</v>
      </c>
      <c r="B13699" t="s">
        <v>580</v>
      </c>
      <c r="C13699" s="2">
        <f>HYPERLINK("https://cao.dolgi.msk.ru/account/1080099569/", 1080099569)</f>
        <v>1080099569</v>
      </c>
      <c r="D13699" t="s">
        <v>11434</v>
      </c>
      <c r="E13699">
        <v>-1231.8599999999999</v>
      </c>
      <c r="F13699">
        <v>-0.18</v>
      </c>
      <c r="G13699" t="s">
        <v>12</v>
      </c>
      <c r="I13699" t="s">
        <v>230</v>
      </c>
    </row>
    <row r="13700" spans="1:9" hidden="1" x14ac:dyDescent="0.25">
      <c r="A13700" t="s">
        <v>11401</v>
      </c>
      <c r="B13700" t="s">
        <v>686</v>
      </c>
      <c r="C13700" s="2">
        <f>HYPERLINK("https://cao.dolgi.msk.ru/account/1080099577/", 1080099577)</f>
        <v>1080099577</v>
      </c>
      <c r="D13700" t="s">
        <v>62</v>
      </c>
      <c r="E13700">
        <v>0</v>
      </c>
      <c r="G13700" t="s">
        <v>12</v>
      </c>
      <c r="I13700" t="s">
        <v>230</v>
      </c>
    </row>
    <row r="13701" spans="1:9" hidden="1" x14ac:dyDescent="0.25">
      <c r="A13701" t="s">
        <v>11401</v>
      </c>
      <c r="B13701" t="s">
        <v>582</v>
      </c>
      <c r="C13701" s="2">
        <f>HYPERLINK("https://cao.dolgi.msk.ru/account/1080099585/", 1080099585)</f>
        <v>1080099585</v>
      </c>
      <c r="D13701" t="s">
        <v>11435</v>
      </c>
      <c r="E13701">
        <v>-393.81</v>
      </c>
      <c r="F13701">
        <v>-0.05</v>
      </c>
      <c r="G13701" t="s">
        <v>12</v>
      </c>
      <c r="I13701" t="s">
        <v>230</v>
      </c>
    </row>
    <row r="13702" spans="1:9" x14ac:dyDescent="0.25">
      <c r="A13702" t="s">
        <v>11401</v>
      </c>
      <c r="B13702" t="s">
        <v>584</v>
      </c>
      <c r="C13702" s="2">
        <f>HYPERLINK("https://cao.dolgi.msk.ru/account/1080099593/", 1080099593)</f>
        <v>1080099593</v>
      </c>
      <c r="D13702" t="s">
        <v>11436</v>
      </c>
      <c r="E13702">
        <v>89602.54</v>
      </c>
      <c r="F13702">
        <v>34.369999999999997</v>
      </c>
      <c r="G13702" t="s">
        <v>12</v>
      </c>
      <c r="H13702" t="s">
        <v>7</v>
      </c>
      <c r="I13702" t="s">
        <v>230</v>
      </c>
    </row>
    <row r="13703" spans="1:9" x14ac:dyDescent="0.25">
      <c r="A13703" t="s">
        <v>11401</v>
      </c>
      <c r="B13703" t="s">
        <v>584</v>
      </c>
      <c r="C13703" s="2">
        <f>HYPERLINK("https://cao.dolgi.msk.ru/account/1080099606/", 1080099606)</f>
        <v>1080099606</v>
      </c>
      <c r="D13703" t="s">
        <v>11436</v>
      </c>
      <c r="E13703">
        <v>3508.59</v>
      </c>
      <c r="F13703">
        <v>1.62</v>
      </c>
      <c r="G13703" t="s">
        <v>12</v>
      </c>
      <c r="H13703" t="s">
        <v>7</v>
      </c>
      <c r="I13703" t="s">
        <v>230</v>
      </c>
    </row>
    <row r="13704" spans="1:9" hidden="1" x14ac:dyDescent="0.25">
      <c r="A13704" t="s">
        <v>11401</v>
      </c>
      <c r="B13704" t="s">
        <v>586</v>
      </c>
      <c r="C13704" s="2">
        <f>HYPERLINK("https://cao.dolgi.msk.ru/account/1080099614/", 1080099614)</f>
        <v>1080099614</v>
      </c>
      <c r="D13704" t="s">
        <v>11437</v>
      </c>
      <c r="E13704">
        <v>-6033.8</v>
      </c>
      <c r="F13704">
        <v>-1.02</v>
      </c>
      <c r="G13704" t="s">
        <v>12</v>
      </c>
      <c r="I13704" t="s">
        <v>230</v>
      </c>
    </row>
    <row r="13705" spans="1:9" hidden="1" x14ac:dyDescent="0.25">
      <c r="A13705" t="s">
        <v>11401</v>
      </c>
      <c r="B13705" t="s">
        <v>588</v>
      </c>
      <c r="C13705" s="2">
        <f>HYPERLINK("https://cao.dolgi.msk.ru/account/1080099622/", 1080099622)</f>
        <v>1080099622</v>
      </c>
      <c r="D13705" t="s">
        <v>11438</v>
      </c>
      <c r="E13705">
        <v>-12567.95</v>
      </c>
      <c r="F13705">
        <v>-1.44</v>
      </c>
      <c r="G13705" t="s">
        <v>12</v>
      </c>
      <c r="I13705" t="s">
        <v>230</v>
      </c>
    </row>
    <row r="13706" spans="1:9" hidden="1" x14ac:dyDescent="0.25">
      <c r="A13706" t="s">
        <v>11401</v>
      </c>
      <c r="B13706" t="s">
        <v>590</v>
      </c>
      <c r="C13706" s="2">
        <f>HYPERLINK("https://cao.dolgi.msk.ru/account/1080099649/", 1080099649)</f>
        <v>1080099649</v>
      </c>
      <c r="D13706" t="s">
        <v>11439</v>
      </c>
      <c r="E13706">
        <v>-6918.98</v>
      </c>
      <c r="F13706">
        <v>-1.03</v>
      </c>
      <c r="G13706" t="s">
        <v>12</v>
      </c>
      <c r="I13706" t="s">
        <v>230</v>
      </c>
    </row>
    <row r="13707" spans="1:9" hidden="1" x14ac:dyDescent="0.25">
      <c r="A13707" t="s">
        <v>11401</v>
      </c>
      <c r="B13707" t="s">
        <v>693</v>
      </c>
      <c r="C13707" s="2">
        <f>HYPERLINK("https://cao.dolgi.msk.ru/account/1080099657/", 1080099657)</f>
        <v>1080099657</v>
      </c>
      <c r="D13707" t="s">
        <v>11440</v>
      </c>
      <c r="E13707">
        <v>-3930.66</v>
      </c>
      <c r="F13707">
        <v>-1.1200000000000001</v>
      </c>
      <c r="G13707" t="s">
        <v>12</v>
      </c>
      <c r="I13707" t="s">
        <v>230</v>
      </c>
    </row>
    <row r="13708" spans="1:9" hidden="1" x14ac:dyDescent="0.25">
      <c r="A13708" t="s">
        <v>11401</v>
      </c>
      <c r="B13708" t="s">
        <v>693</v>
      </c>
      <c r="C13708" s="2">
        <f>HYPERLINK("https://cao.dolgi.msk.ru/account/1083277949/", 1083277949)</f>
        <v>1083277949</v>
      </c>
      <c r="D13708" t="s">
        <v>15</v>
      </c>
      <c r="E13708">
        <v>-2829.52</v>
      </c>
      <c r="F13708">
        <v>-1.1299999999999999</v>
      </c>
      <c r="G13708" t="s">
        <v>12</v>
      </c>
      <c r="I13708" t="s">
        <v>230</v>
      </c>
    </row>
    <row r="13709" spans="1:9" hidden="1" x14ac:dyDescent="0.25">
      <c r="A13709" t="s">
        <v>11401</v>
      </c>
      <c r="B13709" t="s">
        <v>693</v>
      </c>
      <c r="C13709" s="2">
        <f>HYPERLINK("https://cao.dolgi.msk.ru/account/1089125831/", 1089125831)</f>
        <v>1089125831</v>
      </c>
      <c r="D13709" t="s">
        <v>11441</v>
      </c>
      <c r="E13709">
        <v>-2710.48</v>
      </c>
      <c r="F13709">
        <v>-1.6</v>
      </c>
      <c r="G13709" t="s">
        <v>12</v>
      </c>
      <c r="I13709" t="s">
        <v>230</v>
      </c>
    </row>
    <row r="13710" spans="1:9" hidden="1" x14ac:dyDescent="0.25">
      <c r="A13710" t="s">
        <v>11401</v>
      </c>
      <c r="B13710" t="s">
        <v>694</v>
      </c>
      <c r="C13710" s="2">
        <f>HYPERLINK("https://cao.dolgi.msk.ru/account/1080099665/", 1080099665)</f>
        <v>1080099665</v>
      </c>
      <c r="D13710" t="s">
        <v>11442</v>
      </c>
      <c r="E13710">
        <v>-8666.4599999999991</v>
      </c>
      <c r="F13710">
        <v>-1.02</v>
      </c>
      <c r="G13710" t="s">
        <v>12</v>
      </c>
      <c r="I13710" t="s">
        <v>230</v>
      </c>
    </row>
    <row r="13711" spans="1:9" hidden="1" x14ac:dyDescent="0.25">
      <c r="A13711" t="s">
        <v>11401</v>
      </c>
      <c r="B13711" t="s">
        <v>696</v>
      </c>
      <c r="C13711" s="2">
        <f>HYPERLINK("https://cao.dolgi.msk.ru/account/1080099673/", 1080099673)</f>
        <v>1080099673</v>
      </c>
      <c r="D13711" t="s">
        <v>11443</v>
      </c>
      <c r="E13711">
        <v>-21730.46</v>
      </c>
      <c r="F13711">
        <v>-2.5</v>
      </c>
      <c r="G13711" t="s">
        <v>12</v>
      </c>
      <c r="I13711" t="s">
        <v>230</v>
      </c>
    </row>
    <row r="13712" spans="1:9" hidden="1" x14ac:dyDescent="0.25">
      <c r="A13712" t="s">
        <v>11401</v>
      </c>
      <c r="B13712" t="s">
        <v>698</v>
      </c>
      <c r="C13712" s="2">
        <f>HYPERLINK("https://cao.dolgi.msk.ru/account/1080099681/", 1080099681)</f>
        <v>1080099681</v>
      </c>
      <c r="D13712" t="s">
        <v>11444</v>
      </c>
      <c r="E13712">
        <v>-3219.48</v>
      </c>
      <c r="F13712">
        <v>-1.03</v>
      </c>
      <c r="G13712" t="s">
        <v>12</v>
      </c>
      <c r="H13712" t="s">
        <v>7</v>
      </c>
      <c r="I13712" t="s">
        <v>230</v>
      </c>
    </row>
    <row r="13713" spans="1:9" hidden="1" x14ac:dyDescent="0.25">
      <c r="A13713" t="s">
        <v>11401</v>
      </c>
      <c r="B13713" t="s">
        <v>698</v>
      </c>
      <c r="C13713" s="2">
        <f>HYPERLINK("https://cao.dolgi.msk.ru/account/1080099702/", 1080099702)</f>
        <v>1080099702</v>
      </c>
      <c r="D13713" t="s">
        <v>11444</v>
      </c>
      <c r="E13713">
        <v>-2877.61</v>
      </c>
      <c r="F13713">
        <v>-1.03</v>
      </c>
      <c r="G13713" t="s">
        <v>12</v>
      </c>
      <c r="H13713" t="s">
        <v>7</v>
      </c>
      <c r="I13713" t="s">
        <v>230</v>
      </c>
    </row>
    <row r="13714" spans="1:9" hidden="1" x14ac:dyDescent="0.25">
      <c r="A13714" t="s">
        <v>11445</v>
      </c>
      <c r="B13714" t="s">
        <v>10</v>
      </c>
      <c r="C13714" s="2">
        <f>HYPERLINK("https://cao.dolgi.msk.ru/account/1080313414/", 1080313414)</f>
        <v>1080313414</v>
      </c>
      <c r="D13714" t="s">
        <v>11446</v>
      </c>
      <c r="E13714">
        <v>-2278.96</v>
      </c>
      <c r="F13714">
        <v>-1.1000000000000001</v>
      </c>
      <c r="G13714" t="s">
        <v>12</v>
      </c>
      <c r="I13714" t="s">
        <v>1050</v>
      </c>
    </row>
    <row r="13715" spans="1:9" hidden="1" x14ac:dyDescent="0.25">
      <c r="A13715" t="s">
        <v>11445</v>
      </c>
      <c r="B13715" t="s">
        <v>16</v>
      </c>
      <c r="C13715" s="2">
        <f>HYPERLINK("https://cao.dolgi.msk.ru/account/1080314257/", 1080314257)</f>
        <v>1080314257</v>
      </c>
      <c r="D13715" t="s">
        <v>11447</v>
      </c>
      <c r="E13715">
        <v>0</v>
      </c>
      <c r="F13715">
        <v>0</v>
      </c>
      <c r="G13715" t="s">
        <v>12</v>
      </c>
      <c r="I13715" t="s">
        <v>1050</v>
      </c>
    </row>
    <row r="13716" spans="1:9" hidden="1" x14ac:dyDescent="0.25">
      <c r="A13716" t="s">
        <v>11445</v>
      </c>
      <c r="B13716" t="s">
        <v>18</v>
      </c>
      <c r="C13716" s="2">
        <f>HYPERLINK("https://cao.dolgi.msk.ru/account/1080314265/", 1080314265)</f>
        <v>1080314265</v>
      </c>
      <c r="D13716" t="s">
        <v>11448</v>
      </c>
      <c r="E13716">
        <v>-4142.57</v>
      </c>
      <c r="F13716">
        <v>-1.0900000000000001</v>
      </c>
      <c r="G13716" t="s">
        <v>12</v>
      </c>
      <c r="I13716" t="s">
        <v>1050</v>
      </c>
    </row>
    <row r="13717" spans="1:9" hidden="1" x14ac:dyDescent="0.25">
      <c r="A13717" t="s">
        <v>11445</v>
      </c>
      <c r="B13717" t="s">
        <v>20</v>
      </c>
      <c r="C13717" s="2">
        <f>HYPERLINK("https://cao.dolgi.msk.ru/account/1080314273/", 1080314273)</f>
        <v>1080314273</v>
      </c>
      <c r="D13717" t="s">
        <v>11449</v>
      </c>
      <c r="E13717">
        <v>-4667.5</v>
      </c>
      <c r="F13717">
        <v>-1.04</v>
      </c>
      <c r="G13717" t="s">
        <v>12</v>
      </c>
      <c r="I13717" t="s">
        <v>1050</v>
      </c>
    </row>
    <row r="13718" spans="1:9" hidden="1" x14ac:dyDescent="0.25">
      <c r="A13718" t="s">
        <v>11445</v>
      </c>
      <c r="B13718" t="s">
        <v>21</v>
      </c>
      <c r="C13718" s="2">
        <f>HYPERLINK("https://cao.dolgi.msk.ru/account/1080314281/", 1080314281)</f>
        <v>1080314281</v>
      </c>
      <c r="D13718" t="s">
        <v>11450</v>
      </c>
      <c r="E13718">
        <v>-4165.5600000000004</v>
      </c>
      <c r="F13718">
        <v>-1.1399999999999999</v>
      </c>
      <c r="G13718" t="s">
        <v>12</v>
      </c>
      <c r="I13718" t="s">
        <v>1050</v>
      </c>
    </row>
    <row r="13719" spans="1:9" hidden="1" x14ac:dyDescent="0.25">
      <c r="A13719" t="s">
        <v>11445</v>
      </c>
      <c r="B13719" t="s">
        <v>22</v>
      </c>
      <c r="C13719" s="2">
        <f>HYPERLINK("https://cao.dolgi.msk.ru/account/1080314329/", 1080314329)</f>
        <v>1080314329</v>
      </c>
      <c r="D13719" t="s">
        <v>11451</v>
      </c>
      <c r="E13719">
        <v>-2604.69</v>
      </c>
      <c r="F13719">
        <v>-1.1000000000000001</v>
      </c>
      <c r="G13719" t="s">
        <v>12</v>
      </c>
      <c r="I13719" t="s">
        <v>1050</v>
      </c>
    </row>
    <row r="13720" spans="1:9" hidden="1" x14ac:dyDescent="0.25">
      <c r="A13720" t="s">
        <v>11445</v>
      </c>
      <c r="B13720" t="s">
        <v>23</v>
      </c>
      <c r="C13720" s="2">
        <f>HYPERLINK("https://cao.dolgi.msk.ru/account/1080314337/", 1080314337)</f>
        <v>1080314337</v>
      </c>
      <c r="D13720" t="s">
        <v>11452</v>
      </c>
      <c r="E13720">
        <v>-3905.1</v>
      </c>
      <c r="F13720">
        <v>-1.03</v>
      </c>
      <c r="G13720" t="s">
        <v>12</v>
      </c>
      <c r="I13720" t="s">
        <v>1050</v>
      </c>
    </row>
    <row r="13721" spans="1:9" hidden="1" x14ac:dyDescent="0.25">
      <c r="A13721" t="s">
        <v>11445</v>
      </c>
      <c r="B13721" t="s">
        <v>24</v>
      </c>
      <c r="C13721" s="2">
        <f>HYPERLINK("https://cao.dolgi.msk.ru/account/1080314302/", 1080314302)</f>
        <v>1080314302</v>
      </c>
      <c r="D13721" t="s">
        <v>11453</v>
      </c>
      <c r="E13721">
        <v>-2557.37</v>
      </c>
      <c r="F13721">
        <v>-1.1200000000000001</v>
      </c>
      <c r="G13721" t="s">
        <v>12</v>
      </c>
      <c r="I13721" t="s">
        <v>1050</v>
      </c>
    </row>
    <row r="13722" spans="1:9" hidden="1" x14ac:dyDescent="0.25">
      <c r="A13722" t="s">
        <v>11445</v>
      </c>
      <c r="B13722" t="s">
        <v>27</v>
      </c>
      <c r="C13722" s="2">
        <f>HYPERLINK("https://cao.dolgi.msk.ru/account/1080314345/", 1080314345)</f>
        <v>1080314345</v>
      </c>
      <c r="D13722" t="s">
        <v>11454</v>
      </c>
      <c r="E13722">
        <v>-6855.38</v>
      </c>
      <c r="F13722">
        <v>-1.1599999999999999</v>
      </c>
      <c r="G13722" t="s">
        <v>12</v>
      </c>
      <c r="I13722" t="s">
        <v>1050</v>
      </c>
    </row>
    <row r="13723" spans="1:9" hidden="1" x14ac:dyDescent="0.25">
      <c r="A13723" t="s">
        <v>11445</v>
      </c>
      <c r="B13723" t="s">
        <v>29</v>
      </c>
      <c r="C13723" s="2">
        <f>HYPERLINK("https://cao.dolgi.msk.ru/account/1080314353/", 1080314353)</f>
        <v>1080314353</v>
      </c>
      <c r="D13723" t="s">
        <v>11455</v>
      </c>
      <c r="E13723">
        <v>-5067.38</v>
      </c>
      <c r="F13723">
        <v>-1</v>
      </c>
      <c r="G13723" t="s">
        <v>12</v>
      </c>
      <c r="I13723" t="s">
        <v>1050</v>
      </c>
    </row>
    <row r="13724" spans="1:9" hidden="1" x14ac:dyDescent="0.25">
      <c r="A13724" t="s">
        <v>11445</v>
      </c>
      <c r="B13724" t="s">
        <v>31</v>
      </c>
      <c r="C13724" s="2">
        <f>HYPERLINK("https://cao.dolgi.msk.ru/account/1080314361/", 1080314361)</f>
        <v>1080314361</v>
      </c>
      <c r="D13724" t="s">
        <v>11456</v>
      </c>
      <c r="E13724">
        <v>-4767.29</v>
      </c>
      <c r="F13724">
        <v>-1.21</v>
      </c>
      <c r="G13724" t="s">
        <v>12</v>
      </c>
      <c r="I13724" t="s">
        <v>1050</v>
      </c>
    </row>
    <row r="13725" spans="1:9" hidden="1" x14ac:dyDescent="0.25">
      <c r="A13725" t="s">
        <v>11445</v>
      </c>
      <c r="B13725" t="s">
        <v>33</v>
      </c>
      <c r="C13725" s="2">
        <f>HYPERLINK("https://cao.dolgi.msk.ru/account/1080314388/", 1080314388)</f>
        <v>1080314388</v>
      </c>
      <c r="D13725" t="s">
        <v>11457</v>
      </c>
      <c r="G13725" t="s">
        <v>14</v>
      </c>
      <c r="I13725" t="s">
        <v>1050</v>
      </c>
    </row>
    <row r="13726" spans="1:9" hidden="1" x14ac:dyDescent="0.25">
      <c r="A13726" t="s">
        <v>11445</v>
      </c>
      <c r="B13726" t="s">
        <v>33</v>
      </c>
      <c r="C13726" s="2">
        <f>HYPERLINK("https://cao.dolgi.msk.ru/account/1089125196/", 1089125196)</f>
        <v>1089125196</v>
      </c>
      <c r="D13726" t="s">
        <v>11458</v>
      </c>
      <c r="E13726">
        <v>-4768.55</v>
      </c>
      <c r="F13726">
        <v>-1.1000000000000001</v>
      </c>
      <c r="G13726" t="s">
        <v>12</v>
      </c>
      <c r="I13726" t="s">
        <v>1050</v>
      </c>
    </row>
    <row r="13727" spans="1:9" hidden="1" x14ac:dyDescent="0.25">
      <c r="A13727" t="s">
        <v>11445</v>
      </c>
      <c r="B13727" t="s">
        <v>34</v>
      </c>
      <c r="C13727" s="2">
        <f>HYPERLINK("https://cao.dolgi.msk.ru/account/1080314396/", 1080314396)</f>
        <v>1080314396</v>
      </c>
      <c r="D13727" t="s">
        <v>11459</v>
      </c>
      <c r="E13727">
        <v>-6430.08</v>
      </c>
      <c r="F13727">
        <v>-1.06</v>
      </c>
      <c r="G13727" t="s">
        <v>12</v>
      </c>
      <c r="I13727" t="s">
        <v>1050</v>
      </c>
    </row>
    <row r="13728" spans="1:9" hidden="1" x14ac:dyDescent="0.25">
      <c r="A13728" t="s">
        <v>11445</v>
      </c>
      <c r="B13728" t="s">
        <v>36</v>
      </c>
      <c r="C13728" s="2">
        <f>HYPERLINK("https://cao.dolgi.msk.ru/account/1080314409/", 1080314409)</f>
        <v>1080314409</v>
      </c>
      <c r="D13728" t="s">
        <v>11460</v>
      </c>
      <c r="E13728">
        <v>-2421.2199999999998</v>
      </c>
      <c r="F13728">
        <v>-1.1100000000000001</v>
      </c>
      <c r="G13728" t="s">
        <v>12</v>
      </c>
      <c r="I13728" t="s">
        <v>1050</v>
      </c>
    </row>
    <row r="13729" spans="1:9" hidden="1" x14ac:dyDescent="0.25">
      <c r="A13729" t="s">
        <v>11445</v>
      </c>
      <c r="B13729" t="s">
        <v>38</v>
      </c>
      <c r="C13729" s="2">
        <f>HYPERLINK("https://cao.dolgi.msk.ru/account/1080314417/", 1080314417)</f>
        <v>1080314417</v>
      </c>
      <c r="D13729" t="s">
        <v>11461</v>
      </c>
      <c r="E13729">
        <v>-253.38</v>
      </c>
      <c r="F13729">
        <v>-0.06</v>
      </c>
      <c r="G13729" t="s">
        <v>12</v>
      </c>
      <c r="I13729" t="s">
        <v>1050</v>
      </c>
    </row>
    <row r="13730" spans="1:9" hidden="1" x14ac:dyDescent="0.25">
      <c r="A13730" t="s">
        <v>11445</v>
      </c>
      <c r="B13730" t="s">
        <v>39</v>
      </c>
      <c r="C13730" s="2">
        <f>HYPERLINK("https://cao.dolgi.msk.ru/account/1080314425/", 1080314425)</f>
        <v>1080314425</v>
      </c>
      <c r="D13730" t="s">
        <v>11462</v>
      </c>
      <c r="E13730">
        <v>-6306.61</v>
      </c>
      <c r="F13730">
        <v>-1.1299999999999999</v>
      </c>
      <c r="G13730" t="s">
        <v>12</v>
      </c>
      <c r="I13730" t="s">
        <v>1050</v>
      </c>
    </row>
    <row r="13731" spans="1:9" hidden="1" x14ac:dyDescent="0.25">
      <c r="A13731" t="s">
        <v>11445</v>
      </c>
      <c r="B13731" t="s">
        <v>40</v>
      </c>
      <c r="C13731" s="2">
        <f>HYPERLINK("https://cao.dolgi.msk.ru/account/1080314433/", 1080314433)</f>
        <v>1080314433</v>
      </c>
      <c r="D13731" t="s">
        <v>11463</v>
      </c>
      <c r="E13731">
        <v>-15.52</v>
      </c>
      <c r="F13731">
        <v>0</v>
      </c>
      <c r="G13731" t="s">
        <v>12</v>
      </c>
      <c r="I13731" t="s">
        <v>1050</v>
      </c>
    </row>
    <row r="13732" spans="1:9" hidden="1" x14ac:dyDescent="0.25">
      <c r="A13732" t="s">
        <v>11445</v>
      </c>
      <c r="B13732" t="s">
        <v>41</v>
      </c>
      <c r="C13732" s="2">
        <f>HYPERLINK("https://cao.dolgi.msk.ru/account/1080314441/", 1080314441)</f>
        <v>1080314441</v>
      </c>
      <c r="D13732" t="s">
        <v>11464</v>
      </c>
      <c r="E13732">
        <v>-2888.81</v>
      </c>
      <c r="F13732">
        <v>-1.0900000000000001</v>
      </c>
      <c r="G13732" t="s">
        <v>12</v>
      </c>
      <c r="I13732" t="s">
        <v>1050</v>
      </c>
    </row>
    <row r="13733" spans="1:9" hidden="1" x14ac:dyDescent="0.25">
      <c r="A13733" t="s">
        <v>11445</v>
      </c>
      <c r="B13733" t="s">
        <v>42</v>
      </c>
      <c r="C13733" s="2">
        <f>HYPERLINK("https://cao.dolgi.msk.ru/account/1080314468/", 1080314468)</f>
        <v>1080314468</v>
      </c>
      <c r="D13733" t="s">
        <v>11465</v>
      </c>
      <c r="E13733">
        <v>-7413.55</v>
      </c>
      <c r="F13733">
        <v>-1.43</v>
      </c>
      <c r="G13733" t="s">
        <v>12</v>
      </c>
      <c r="I13733" t="s">
        <v>1050</v>
      </c>
    </row>
    <row r="13734" spans="1:9" hidden="1" x14ac:dyDescent="0.25">
      <c r="A13734" t="s">
        <v>11445</v>
      </c>
      <c r="B13734" t="s">
        <v>44</v>
      </c>
      <c r="C13734" s="2">
        <f>HYPERLINK("https://cao.dolgi.msk.ru/account/1080314476/", 1080314476)</f>
        <v>1080314476</v>
      </c>
      <c r="D13734" t="s">
        <v>11466</v>
      </c>
      <c r="E13734">
        <v>-5501.28</v>
      </c>
      <c r="F13734">
        <v>-1.1100000000000001</v>
      </c>
      <c r="G13734" t="s">
        <v>12</v>
      </c>
      <c r="I13734" t="s">
        <v>1050</v>
      </c>
    </row>
    <row r="13735" spans="1:9" hidden="1" x14ac:dyDescent="0.25">
      <c r="A13735" t="s">
        <v>11445</v>
      </c>
      <c r="B13735" t="s">
        <v>66</v>
      </c>
      <c r="C13735" s="2">
        <f>HYPERLINK("https://cao.dolgi.msk.ru/account/1080314484/", 1080314484)</f>
        <v>1080314484</v>
      </c>
      <c r="D13735" t="s">
        <v>11467</v>
      </c>
      <c r="E13735">
        <v>0</v>
      </c>
      <c r="F13735">
        <v>0</v>
      </c>
      <c r="G13735" t="s">
        <v>12</v>
      </c>
      <c r="I13735" t="s">
        <v>1050</v>
      </c>
    </row>
    <row r="13736" spans="1:9" hidden="1" x14ac:dyDescent="0.25">
      <c r="A13736" t="s">
        <v>11445</v>
      </c>
      <c r="B13736" t="s">
        <v>68</v>
      </c>
      <c r="C13736" s="2">
        <f>HYPERLINK("https://cao.dolgi.msk.ru/account/1080314492/", 1080314492)</f>
        <v>1080314492</v>
      </c>
      <c r="D13736" t="s">
        <v>11468</v>
      </c>
      <c r="E13736">
        <v>-403.84</v>
      </c>
      <c r="F13736">
        <v>-0.11</v>
      </c>
      <c r="G13736" t="s">
        <v>12</v>
      </c>
      <c r="I13736" t="s">
        <v>1050</v>
      </c>
    </row>
    <row r="13737" spans="1:9" hidden="1" x14ac:dyDescent="0.25">
      <c r="A13737" t="s">
        <v>11445</v>
      </c>
      <c r="B13737" t="s">
        <v>70</v>
      </c>
      <c r="C13737" s="2">
        <f>HYPERLINK("https://cao.dolgi.msk.ru/account/1080314505/", 1080314505)</f>
        <v>1080314505</v>
      </c>
      <c r="D13737" t="s">
        <v>11469</v>
      </c>
      <c r="E13737">
        <v>-5605.82</v>
      </c>
      <c r="F13737">
        <v>-1.1499999999999999</v>
      </c>
      <c r="G13737" t="s">
        <v>12</v>
      </c>
      <c r="I13737" t="s">
        <v>1050</v>
      </c>
    </row>
    <row r="13738" spans="1:9" hidden="1" x14ac:dyDescent="0.25">
      <c r="A13738" t="s">
        <v>11445</v>
      </c>
      <c r="B13738" t="s">
        <v>72</v>
      </c>
      <c r="C13738" s="2">
        <f>HYPERLINK("https://cao.dolgi.msk.ru/account/1080314513/", 1080314513)</f>
        <v>1080314513</v>
      </c>
      <c r="D13738" t="s">
        <v>11470</v>
      </c>
      <c r="E13738">
        <v>-3263.94</v>
      </c>
      <c r="F13738">
        <v>-1.0900000000000001</v>
      </c>
      <c r="G13738" t="s">
        <v>12</v>
      </c>
      <c r="I13738" t="s">
        <v>1050</v>
      </c>
    </row>
    <row r="13739" spans="1:9" hidden="1" x14ac:dyDescent="0.25">
      <c r="A13739" t="s">
        <v>11445</v>
      </c>
      <c r="B13739" t="s">
        <v>74</v>
      </c>
      <c r="C13739" s="2">
        <f>HYPERLINK("https://cao.dolgi.msk.ru/account/1080314521/", 1080314521)</f>
        <v>1080314521</v>
      </c>
      <c r="D13739" t="s">
        <v>11471</v>
      </c>
      <c r="E13739">
        <v>-11792.81</v>
      </c>
      <c r="F13739">
        <v>-4.43</v>
      </c>
      <c r="G13739" t="s">
        <v>12</v>
      </c>
      <c r="I13739" t="s">
        <v>1050</v>
      </c>
    </row>
    <row r="13740" spans="1:9" hidden="1" x14ac:dyDescent="0.25">
      <c r="A13740" t="s">
        <v>11445</v>
      </c>
      <c r="B13740" t="s">
        <v>76</v>
      </c>
      <c r="C13740" s="2">
        <f>HYPERLINK("https://cao.dolgi.msk.ru/account/1080314548/", 1080314548)</f>
        <v>1080314548</v>
      </c>
      <c r="D13740" t="s">
        <v>11472</v>
      </c>
      <c r="E13740">
        <v>-2085.25</v>
      </c>
      <c r="F13740">
        <v>-1.21</v>
      </c>
      <c r="G13740" t="s">
        <v>12</v>
      </c>
      <c r="I13740" t="s">
        <v>1050</v>
      </c>
    </row>
    <row r="13741" spans="1:9" hidden="1" x14ac:dyDescent="0.25">
      <c r="A13741" t="s">
        <v>11445</v>
      </c>
      <c r="B13741" t="s">
        <v>78</v>
      </c>
      <c r="C13741" s="2">
        <f>HYPERLINK("https://cao.dolgi.msk.ru/account/1080314556/", 1080314556)</f>
        <v>1080314556</v>
      </c>
      <c r="D13741" t="s">
        <v>11473</v>
      </c>
      <c r="E13741">
        <v>-6867.56</v>
      </c>
      <c r="F13741">
        <v>-1.37</v>
      </c>
      <c r="G13741" t="s">
        <v>12</v>
      </c>
      <c r="I13741" t="s">
        <v>1050</v>
      </c>
    </row>
    <row r="13742" spans="1:9" hidden="1" x14ac:dyDescent="0.25">
      <c r="A13742" t="s">
        <v>11445</v>
      </c>
      <c r="B13742" t="s">
        <v>80</v>
      </c>
      <c r="C13742" s="2">
        <f>HYPERLINK("https://cao.dolgi.msk.ru/account/1080314564/", 1080314564)</f>
        <v>1080314564</v>
      </c>
      <c r="D13742" t="s">
        <v>11474</v>
      </c>
      <c r="E13742">
        <v>-3243.69</v>
      </c>
      <c r="F13742">
        <v>-0.92</v>
      </c>
      <c r="G13742" t="s">
        <v>12</v>
      </c>
      <c r="I13742" t="s">
        <v>1050</v>
      </c>
    </row>
    <row r="13743" spans="1:9" hidden="1" x14ac:dyDescent="0.25">
      <c r="A13743" t="s">
        <v>11445</v>
      </c>
      <c r="B13743" t="s">
        <v>82</v>
      </c>
      <c r="C13743" s="2">
        <f>HYPERLINK("https://cao.dolgi.msk.ru/account/1080314572/", 1080314572)</f>
        <v>1080314572</v>
      </c>
      <c r="D13743" t="s">
        <v>11475</v>
      </c>
      <c r="E13743">
        <v>0</v>
      </c>
      <c r="F13743">
        <v>0</v>
      </c>
      <c r="G13743" t="s">
        <v>12</v>
      </c>
      <c r="I13743" t="s">
        <v>1050</v>
      </c>
    </row>
    <row r="13744" spans="1:9" hidden="1" x14ac:dyDescent="0.25">
      <c r="A13744" t="s">
        <v>11445</v>
      </c>
      <c r="B13744" t="s">
        <v>84</v>
      </c>
      <c r="C13744" s="2">
        <f>HYPERLINK("https://cao.dolgi.msk.ru/account/1080314599/", 1080314599)</f>
        <v>1080314599</v>
      </c>
      <c r="D13744" t="s">
        <v>11476</v>
      </c>
      <c r="E13744">
        <v>0</v>
      </c>
      <c r="F13744">
        <v>0</v>
      </c>
      <c r="G13744" t="s">
        <v>12</v>
      </c>
      <c r="I13744" t="s">
        <v>1050</v>
      </c>
    </row>
    <row r="13745" spans="1:9" hidden="1" x14ac:dyDescent="0.25">
      <c r="A13745" t="s">
        <v>11445</v>
      </c>
      <c r="B13745" t="s">
        <v>86</v>
      </c>
      <c r="C13745" s="2">
        <f>HYPERLINK("https://cao.dolgi.msk.ru/account/1080314601/", 1080314601)</f>
        <v>1080314601</v>
      </c>
      <c r="D13745" t="s">
        <v>11477</v>
      </c>
      <c r="E13745">
        <v>0</v>
      </c>
      <c r="F13745">
        <v>0</v>
      </c>
      <c r="G13745" t="s">
        <v>12</v>
      </c>
      <c r="I13745" t="s">
        <v>1050</v>
      </c>
    </row>
    <row r="13746" spans="1:9" hidden="1" x14ac:dyDescent="0.25">
      <c r="A13746" t="s">
        <v>11445</v>
      </c>
      <c r="B13746" t="s">
        <v>88</v>
      </c>
      <c r="C13746" s="2">
        <f>HYPERLINK("https://cao.dolgi.msk.ru/account/1080314628/", 1080314628)</f>
        <v>1080314628</v>
      </c>
      <c r="D13746" t="s">
        <v>11478</v>
      </c>
      <c r="E13746">
        <v>-4473.8500000000004</v>
      </c>
      <c r="F13746">
        <v>-1.1299999999999999</v>
      </c>
      <c r="G13746" t="s">
        <v>12</v>
      </c>
      <c r="I13746" t="s">
        <v>1050</v>
      </c>
    </row>
    <row r="13747" spans="1:9" hidden="1" x14ac:dyDescent="0.25">
      <c r="A13747" t="s">
        <v>11445</v>
      </c>
      <c r="B13747" t="s">
        <v>90</v>
      </c>
      <c r="C13747" s="2">
        <f>HYPERLINK("https://cao.dolgi.msk.ru/account/1080314249/", 1080314249)</f>
        <v>1080314249</v>
      </c>
      <c r="D13747" t="s">
        <v>11479</v>
      </c>
      <c r="E13747">
        <v>-3883.96</v>
      </c>
      <c r="F13747">
        <v>-1.1399999999999999</v>
      </c>
      <c r="G13747" t="s">
        <v>12</v>
      </c>
      <c r="I13747" t="s">
        <v>1050</v>
      </c>
    </row>
    <row r="13748" spans="1:9" hidden="1" x14ac:dyDescent="0.25">
      <c r="A13748" t="s">
        <v>11445</v>
      </c>
      <c r="B13748" t="s">
        <v>92</v>
      </c>
      <c r="C13748" s="2">
        <f>HYPERLINK("https://cao.dolgi.msk.ru/account/1080314636/", 1080314636)</f>
        <v>1080314636</v>
      </c>
      <c r="D13748" t="s">
        <v>11480</v>
      </c>
      <c r="E13748">
        <v>-2894.91</v>
      </c>
      <c r="F13748">
        <v>-1</v>
      </c>
      <c r="G13748" t="s">
        <v>12</v>
      </c>
      <c r="I13748" t="s">
        <v>1050</v>
      </c>
    </row>
    <row r="13749" spans="1:9" hidden="1" x14ac:dyDescent="0.25">
      <c r="A13749" t="s">
        <v>11445</v>
      </c>
      <c r="B13749" t="s">
        <v>94</v>
      </c>
      <c r="C13749" s="2">
        <f>HYPERLINK("https://cao.dolgi.msk.ru/account/1080314644/", 1080314644)</f>
        <v>1080314644</v>
      </c>
      <c r="D13749" t="s">
        <v>11481</v>
      </c>
      <c r="E13749">
        <v>-3152.65</v>
      </c>
      <c r="F13749">
        <v>-1.17</v>
      </c>
      <c r="G13749" t="s">
        <v>12</v>
      </c>
      <c r="I13749" t="s">
        <v>1050</v>
      </c>
    </row>
    <row r="13750" spans="1:9" hidden="1" x14ac:dyDescent="0.25">
      <c r="A13750" t="s">
        <v>11445</v>
      </c>
      <c r="B13750" t="s">
        <v>96</v>
      </c>
      <c r="C13750" s="2">
        <f>HYPERLINK("https://cao.dolgi.msk.ru/account/1080314652/", 1080314652)</f>
        <v>1080314652</v>
      </c>
      <c r="D13750" t="s">
        <v>11482</v>
      </c>
      <c r="E13750">
        <v>-4799.59</v>
      </c>
      <c r="F13750">
        <v>-1.53</v>
      </c>
      <c r="G13750" t="s">
        <v>12</v>
      </c>
      <c r="I13750" t="s">
        <v>1050</v>
      </c>
    </row>
    <row r="13751" spans="1:9" hidden="1" x14ac:dyDescent="0.25">
      <c r="A13751" t="s">
        <v>11445</v>
      </c>
      <c r="B13751" t="s">
        <v>98</v>
      </c>
      <c r="C13751" s="2">
        <f>HYPERLINK("https://cao.dolgi.msk.ru/account/1080314679/", 1080314679)</f>
        <v>1080314679</v>
      </c>
      <c r="D13751" t="s">
        <v>11483</v>
      </c>
      <c r="E13751">
        <v>0</v>
      </c>
      <c r="F13751">
        <v>0</v>
      </c>
      <c r="G13751" t="s">
        <v>12</v>
      </c>
      <c r="I13751" t="s">
        <v>1050</v>
      </c>
    </row>
    <row r="13752" spans="1:9" x14ac:dyDescent="0.25">
      <c r="A13752" t="s">
        <v>11445</v>
      </c>
      <c r="B13752" t="s">
        <v>100</v>
      </c>
      <c r="C13752" s="2">
        <f>HYPERLINK("https://cao.dolgi.msk.ru/account/1080314687/", 1080314687)</f>
        <v>1080314687</v>
      </c>
      <c r="D13752" t="s">
        <v>11484</v>
      </c>
      <c r="E13752">
        <v>7353.15</v>
      </c>
      <c r="F13752">
        <v>2.5</v>
      </c>
      <c r="G13752" t="s">
        <v>12</v>
      </c>
      <c r="I13752" t="s">
        <v>1050</v>
      </c>
    </row>
    <row r="13753" spans="1:9" hidden="1" x14ac:dyDescent="0.25">
      <c r="A13753" t="s">
        <v>11445</v>
      </c>
      <c r="B13753" t="s">
        <v>102</v>
      </c>
      <c r="C13753" s="2">
        <f>HYPERLINK("https://cao.dolgi.msk.ru/account/1080314695/", 1080314695)</f>
        <v>1080314695</v>
      </c>
      <c r="D13753" t="s">
        <v>11485</v>
      </c>
      <c r="E13753">
        <v>-2853.73</v>
      </c>
      <c r="F13753">
        <v>-1.1599999999999999</v>
      </c>
      <c r="G13753" t="s">
        <v>12</v>
      </c>
      <c r="I13753" t="s">
        <v>1050</v>
      </c>
    </row>
    <row r="13754" spans="1:9" hidden="1" x14ac:dyDescent="0.25">
      <c r="A13754" t="s">
        <v>11445</v>
      </c>
      <c r="B13754" t="s">
        <v>104</v>
      </c>
      <c r="C13754" s="2">
        <f>HYPERLINK("https://cao.dolgi.msk.ru/account/1080314708/", 1080314708)</f>
        <v>1080314708</v>
      </c>
      <c r="D13754" t="s">
        <v>11486</v>
      </c>
      <c r="E13754">
        <v>-7075.37</v>
      </c>
      <c r="F13754">
        <v>-1.07</v>
      </c>
      <c r="G13754" t="s">
        <v>12</v>
      </c>
      <c r="I13754" t="s">
        <v>1050</v>
      </c>
    </row>
    <row r="13755" spans="1:9" hidden="1" x14ac:dyDescent="0.25">
      <c r="A13755" t="s">
        <v>11445</v>
      </c>
      <c r="B13755" t="s">
        <v>106</v>
      </c>
      <c r="C13755" s="2">
        <f>HYPERLINK("https://cao.dolgi.msk.ru/account/1080314716/", 1080314716)</f>
        <v>1080314716</v>
      </c>
      <c r="D13755" t="s">
        <v>11487</v>
      </c>
      <c r="E13755">
        <v>0</v>
      </c>
      <c r="F13755">
        <v>0</v>
      </c>
      <c r="G13755" t="s">
        <v>12</v>
      </c>
      <c r="I13755" t="s">
        <v>1050</v>
      </c>
    </row>
    <row r="13756" spans="1:9" hidden="1" x14ac:dyDescent="0.25">
      <c r="A13756" t="s">
        <v>11445</v>
      </c>
      <c r="B13756" t="s">
        <v>108</v>
      </c>
      <c r="C13756" s="2">
        <f>HYPERLINK("https://cao.dolgi.msk.ru/account/1080314724/", 1080314724)</f>
        <v>1080314724</v>
      </c>
      <c r="D13756" t="s">
        <v>11488</v>
      </c>
      <c r="E13756">
        <v>-2340.65</v>
      </c>
      <c r="F13756">
        <v>-0.62</v>
      </c>
      <c r="G13756" t="s">
        <v>12</v>
      </c>
      <c r="I13756" t="s">
        <v>1050</v>
      </c>
    </row>
    <row r="13757" spans="1:9" hidden="1" x14ac:dyDescent="0.25">
      <c r="A13757" t="s">
        <v>11445</v>
      </c>
      <c r="B13757" t="s">
        <v>110</v>
      </c>
      <c r="C13757" s="2">
        <f>HYPERLINK("https://cao.dolgi.msk.ru/account/1080314732/", 1080314732)</f>
        <v>1080314732</v>
      </c>
      <c r="D13757" t="s">
        <v>11489</v>
      </c>
      <c r="E13757">
        <v>-1953.15</v>
      </c>
      <c r="F13757">
        <v>-1.1100000000000001</v>
      </c>
      <c r="G13757" t="s">
        <v>12</v>
      </c>
      <c r="I13757" t="s">
        <v>1050</v>
      </c>
    </row>
    <row r="13758" spans="1:9" hidden="1" x14ac:dyDescent="0.25">
      <c r="A13758" t="s">
        <v>11445</v>
      </c>
      <c r="B13758" t="s">
        <v>112</v>
      </c>
      <c r="C13758" s="2">
        <f>HYPERLINK("https://cao.dolgi.msk.ru/account/1080314759/", 1080314759)</f>
        <v>1080314759</v>
      </c>
      <c r="D13758" t="s">
        <v>11490</v>
      </c>
      <c r="E13758">
        <v>-6903.8</v>
      </c>
      <c r="F13758">
        <v>-1.1100000000000001</v>
      </c>
      <c r="G13758" t="s">
        <v>12</v>
      </c>
      <c r="I13758" t="s">
        <v>1050</v>
      </c>
    </row>
    <row r="13759" spans="1:9" hidden="1" x14ac:dyDescent="0.25">
      <c r="A13759" t="s">
        <v>11445</v>
      </c>
      <c r="B13759" t="s">
        <v>114</v>
      </c>
      <c r="C13759" s="2">
        <f>HYPERLINK("https://cao.dolgi.msk.ru/account/1080314767/", 1080314767)</f>
        <v>1080314767</v>
      </c>
      <c r="D13759" t="s">
        <v>11491</v>
      </c>
      <c r="E13759">
        <v>-2848.48</v>
      </c>
      <c r="F13759">
        <v>-1.1100000000000001</v>
      </c>
      <c r="G13759" t="s">
        <v>12</v>
      </c>
      <c r="I13759" t="s">
        <v>1050</v>
      </c>
    </row>
    <row r="13760" spans="1:9" hidden="1" x14ac:dyDescent="0.25">
      <c r="A13760" t="s">
        <v>11445</v>
      </c>
      <c r="B13760" t="s">
        <v>116</v>
      </c>
      <c r="C13760" s="2">
        <f>HYPERLINK("https://cao.dolgi.msk.ru/account/1080314775/", 1080314775)</f>
        <v>1080314775</v>
      </c>
      <c r="D13760" t="s">
        <v>11492</v>
      </c>
      <c r="E13760">
        <v>-4544.49</v>
      </c>
      <c r="F13760">
        <v>-1</v>
      </c>
      <c r="G13760" t="s">
        <v>12</v>
      </c>
      <c r="I13760" t="s">
        <v>1050</v>
      </c>
    </row>
    <row r="13761" spans="1:9" hidden="1" x14ac:dyDescent="0.25">
      <c r="A13761" t="s">
        <v>11445</v>
      </c>
      <c r="B13761" t="s">
        <v>118</v>
      </c>
      <c r="C13761" s="2">
        <f>HYPERLINK("https://cao.dolgi.msk.ru/account/1080314783/", 1080314783)</f>
        <v>1080314783</v>
      </c>
      <c r="D13761" t="s">
        <v>11493</v>
      </c>
      <c r="E13761">
        <v>-5546.92</v>
      </c>
      <c r="F13761">
        <v>-1.07</v>
      </c>
      <c r="G13761" t="s">
        <v>12</v>
      </c>
      <c r="I13761" t="s">
        <v>1050</v>
      </c>
    </row>
    <row r="13762" spans="1:9" hidden="1" x14ac:dyDescent="0.25">
      <c r="A13762" t="s">
        <v>11445</v>
      </c>
      <c r="B13762" t="s">
        <v>120</v>
      </c>
      <c r="C13762" s="2">
        <f>HYPERLINK("https://cao.dolgi.msk.ru/account/1080314791/", 1080314791)</f>
        <v>1080314791</v>
      </c>
      <c r="D13762" t="s">
        <v>11494</v>
      </c>
      <c r="E13762">
        <v>-4428.93</v>
      </c>
      <c r="F13762">
        <v>-1.1100000000000001</v>
      </c>
      <c r="G13762" t="s">
        <v>12</v>
      </c>
      <c r="I13762" t="s">
        <v>1050</v>
      </c>
    </row>
    <row r="13763" spans="1:9" hidden="1" x14ac:dyDescent="0.25">
      <c r="A13763" t="s">
        <v>11445</v>
      </c>
      <c r="B13763" t="s">
        <v>122</v>
      </c>
      <c r="C13763" s="2">
        <f>HYPERLINK("https://cao.dolgi.msk.ru/account/1080314804/", 1080314804)</f>
        <v>1080314804</v>
      </c>
      <c r="D13763" t="s">
        <v>11495</v>
      </c>
      <c r="E13763">
        <v>-76.48</v>
      </c>
      <c r="F13763">
        <v>-0.02</v>
      </c>
      <c r="G13763" t="s">
        <v>12</v>
      </c>
      <c r="I13763" t="s">
        <v>1050</v>
      </c>
    </row>
    <row r="13764" spans="1:9" hidden="1" x14ac:dyDescent="0.25">
      <c r="A13764" t="s">
        <v>11445</v>
      </c>
      <c r="B13764" t="s">
        <v>124</v>
      </c>
      <c r="C13764" s="2">
        <f>HYPERLINK("https://cao.dolgi.msk.ru/account/1080314812/", 1080314812)</f>
        <v>1080314812</v>
      </c>
      <c r="D13764" t="s">
        <v>11496</v>
      </c>
      <c r="E13764">
        <v>-4566.41</v>
      </c>
      <c r="F13764">
        <v>-1.29</v>
      </c>
      <c r="G13764" t="s">
        <v>12</v>
      </c>
      <c r="I13764" t="s">
        <v>1050</v>
      </c>
    </row>
    <row r="13765" spans="1:9" hidden="1" x14ac:dyDescent="0.25">
      <c r="A13765" t="s">
        <v>11445</v>
      </c>
      <c r="B13765" t="s">
        <v>126</v>
      </c>
      <c r="C13765" s="2">
        <f>HYPERLINK("https://cao.dolgi.msk.ru/account/1080314839/", 1080314839)</f>
        <v>1080314839</v>
      </c>
      <c r="D13765" t="s">
        <v>11497</v>
      </c>
      <c r="E13765">
        <v>-4296.2299999999996</v>
      </c>
      <c r="F13765">
        <v>-0.74</v>
      </c>
      <c r="G13765" t="s">
        <v>12</v>
      </c>
      <c r="I13765" t="s">
        <v>1050</v>
      </c>
    </row>
    <row r="13766" spans="1:9" hidden="1" x14ac:dyDescent="0.25">
      <c r="A13766" t="s">
        <v>11445</v>
      </c>
      <c r="B13766" t="s">
        <v>128</v>
      </c>
      <c r="C13766" s="2">
        <f>HYPERLINK("https://cao.dolgi.msk.ru/account/1080314847/", 1080314847)</f>
        <v>1080314847</v>
      </c>
      <c r="D13766" t="s">
        <v>11498</v>
      </c>
      <c r="E13766">
        <v>-5661.62</v>
      </c>
      <c r="F13766">
        <v>-1.28</v>
      </c>
      <c r="G13766" t="s">
        <v>12</v>
      </c>
      <c r="I13766" t="s">
        <v>1050</v>
      </c>
    </row>
    <row r="13767" spans="1:9" hidden="1" x14ac:dyDescent="0.25">
      <c r="A13767" t="s">
        <v>11445</v>
      </c>
      <c r="B13767" t="s">
        <v>130</v>
      </c>
      <c r="C13767" s="2">
        <f>HYPERLINK("https://cao.dolgi.msk.ru/account/1080314855/", 1080314855)</f>
        <v>1080314855</v>
      </c>
      <c r="D13767" t="s">
        <v>11499</v>
      </c>
      <c r="E13767">
        <v>0</v>
      </c>
      <c r="F13767">
        <v>0</v>
      </c>
      <c r="G13767" t="s">
        <v>12</v>
      </c>
      <c r="I13767" t="s">
        <v>1050</v>
      </c>
    </row>
    <row r="13768" spans="1:9" hidden="1" x14ac:dyDescent="0.25">
      <c r="A13768" t="s">
        <v>11445</v>
      </c>
      <c r="B13768" t="s">
        <v>132</v>
      </c>
      <c r="C13768" s="2">
        <f>HYPERLINK("https://cao.dolgi.msk.ru/account/1080314863/", 1080314863)</f>
        <v>1080314863</v>
      </c>
      <c r="D13768" t="s">
        <v>11500</v>
      </c>
      <c r="E13768">
        <v>-4134.2700000000004</v>
      </c>
      <c r="F13768">
        <v>-1.1399999999999999</v>
      </c>
      <c r="G13768" t="s">
        <v>12</v>
      </c>
      <c r="I13768" t="s">
        <v>1050</v>
      </c>
    </row>
    <row r="13769" spans="1:9" hidden="1" x14ac:dyDescent="0.25">
      <c r="A13769" t="s">
        <v>11445</v>
      </c>
      <c r="B13769" t="s">
        <v>133</v>
      </c>
      <c r="C13769" s="2">
        <f>HYPERLINK("https://cao.dolgi.msk.ru/account/1080314871/", 1080314871)</f>
        <v>1080314871</v>
      </c>
      <c r="D13769" t="s">
        <v>11501</v>
      </c>
      <c r="E13769">
        <v>-152.29</v>
      </c>
      <c r="F13769">
        <v>-0.04</v>
      </c>
      <c r="G13769" t="s">
        <v>12</v>
      </c>
      <c r="I13769" t="s">
        <v>1050</v>
      </c>
    </row>
    <row r="13770" spans="1:9" hidden="1" x14ac:dyDescent="0.25">
      <c r="A13770" t="s">
        <v>11445</v>
      </c>
      <c r="B13770" t="s">
        <v>135</v>
      </c>
      <c r="C13770" s="2">
        <f>HYPERLINK("https://cao.dolgi.msk.ru/account/1080314898/", 1080314898)</f>
        <v>1080314898</v>
      </c>
      <c r="D13770" t="s">
        <v>11502</v>
      </c>
      <c r="E13770">
        <v>0</v>
      </c>
      <c r="F13770">
        <v>0</v>
      </c>
      <c r="G13770" t="s">
        <v>12</v>
      </c>
      <c r="I13770" t="s">
        <v>1050</v>
      </c>
    </row>
    <row r="13771" spans="1:9" hidden="1" x14ac:dyDescent="0.25">
      <c r="A13771" t="s">
        <v>11445</v>
      </c>
      <c r="B13771" t="s">
        <v>137</v>
      </c>
      <c r="C13771" s="2">
        <f>HYPERLINK("https://cao.dolgi.msk.ru/account/1080314919/", 1080314919)</f>
        <v>1080314919</v>
      </c>
      <c r="D13771" t="s">
        <v>11503</v>
      </c>
      <c r="E13771">
        <v>-3992.67</v>
      </c>
      <c r="F13771">
        <v>-1.02</v>
      </c>
      <c r="G13771" t="s">
        <v>12</v>
      </c>
      <c r="I13771" t="s">
        <v>1050</v>
      </c>
    </row>
    <row r="13772" spans="1:9" hidden="1" x14ac:dyDescent="0.25">
      <c r="A13772" t="s">
        <v>11445</v>
      </c>
      <c r="B13772" t="s">
        <v>139</v>
      </c>
      <c r="C13772" s="2">
        <f>HYPERLINK("https://cao.dolgi.msk.ru/account/1080314927/", 1080314927)</f>
        <v>1080314927</v>
      </c>
      <c r="D13772" t="s">
        <v>11504</v>
      </c>
      <c r="E13772">
        <v>-7188.94</v>
      </c>
      <c r="F13772">
        <v>-1.1200000000000001</v>
      </c>
      <c r="G13772" t="s">
        <v>12</v>
      </c>
      <c r="I13772" t="s">
        <v>1050</v>
      </c>
    </row>
    <row r="13773" spans="1:9" hidden="1" x14ac:dyDescent="0.25">
      <c r="A13773" t="s">
        <v>11445</v>
      </c>
      <c r="B13773" t="s">
        <v>141</v>
      </c>
      <c r="C13773" s="2">
        <f>HYPERLINK("https://cao.dolgi.msk.ru/account/1080314935/", 1080314935)</f>
        <v>1080314935</v>
      </c>
      <c r="D13773" t="s">
        <v>11505</v>
      </c>
      <c r="E13773">
        <v>-2399.3000000000002</v>
      </c>
      <c r="F13773">
        <v>-1.24</v>
      </c>
      <c r="G13773" t="s">
        <v>12</v>
      </c>
      <c r="I13773" t="s">
        <v>1050</v>
      </c>
    </row>
    <row r="13774" spans="1:9" hidden="1" x14ac:dyDescent="0.25">
      <c r="A13774" t="s">
        <v>11445</v>
      </c>
      <c r="B13774" t="s">
        <v>143</v>
      </c>
      <c r="C13774" s="2">
        <f>HYPERLINK("https://cao.dolgi.msk.ru/account/1080314943/", 1080314943)</f>
        <v>1080314943</v>
      </c>
      <c r="D13774" t="s">
        <v>11506</v>
      </c>
      <c r="E13774">
        <v>-9.56</v>
      </c>
      <c r="F13774">
        <v>0</v>
      </c>
      <c r="G13774" t="s">
        <v>12</v>
      </c>
      <c r="I13774" t="s">
        <v>1050</v>
      </c>
    </row>
    <row r="13775" spans="1:9" hidden="1" x14ac:dyDescent="0.25">
      <c r="A13775" t="s">
        <v>11445</v>
      </c>
      <c r="B13775" t="s">
        <v>145</v>
      </c>
      <c r="C13775" s="2">
        <f>HYPERLINK("https://cao.dolgi.msk.ru/account/1080314951/", 1080314951)</f>
        <v>1080314951</v>
      </c>
      <c r="D13775" t="s">
        <v>11507</v>
      </c>
      <c r="E13775">
        <v>-3182.56</v>
      </c>
      <c r="F13775">
        <v>-1.1399999999999999</v>
      </c>
      <c r="G13775" t="s">
        <v>12</v>
      </c>
      <c r="I13775" t="s">
        <v>1050</v>
      </c>
    </row>
    <row r="13776" spans="1:9" hidden="1" x14ac:dyDescent="0.25">
      <c r="A13776" t="s">
        <v>11445</v>
      </c>
      <c r="B13776" t="s">
        <v>147</v>
      </c>
      <c r="C13776" s="2">
        <f>HYPERLINK("https://cao.dolgi.msk.ru/account/1080314978/", 1080314978)</f>
        <v>1080314978</v>
      </c>
      <c r="D13776" t="s">
        <v>11508</v>
      </c>
      <c r="E13776">
        <v>-2483.11</v>
      </c>
      <c r="F13776">
        <v>-1.1599999999999999</v>
      </c>
      <c r="G13776" t="s">
        <v>12</v>
      </c>
      <c r="I13776" t="s">
        <v>1050</v>
      </c>
    </row>
    <row r="13777" spans="1:9" hidden="1" x14ac:dyDescent="0.25">
      <c r="A13777" t="s">
        <v>11445</v>
      </c>
      <c r="B13777" t="s">
        <v>149</v>
      </c>
      <c r="C13777" s="2">
        <f>HYPERLINK("https://cao.dolgi.msk.ru/account/1080314986/", 1080314986)</f>
        <v>1080314986</v>
      </c>
      <c r="D13777" t="s">
        <v>11509</v>
      </c>
      <c r="E13777">
        <v>-4842.6099999999997</v>
      </c>
      <c r="F13777">
        <v>-1.35</v>
      </c>
      <c r="G13777" t="s">
        <v>12</v>
      </c>
      <c r="I13777" t="s">
        <v>1050</v>
      </c>
    </row>
    <row r="13778" spans="1:9" hidden="1" x14ac:dyDescent="0.25">
      <c r="A13778" t="s">
        <v>11445</v>
      </c>
      <c r="B13778" t="s">
        <v>151</v>
      </c>
      <c r="C13778" s="2">
        <f>HYPERLINK("https://cao.dolgi.msk.ru/account/1080314994/", 1080314994)</f>
        <v>1080314994</v>
      </c>
      <c r="D13778" t="s">
        <v>11510</v>
      </c>
      <c r="E13778">
        <v>-4147.1099999999997</v>
      </c>
      <c r="F13778">
        <v>-1.0900000000000001</v>
      </c>
      <c r="G13778" t="s">
        <v>12</v>
      </c>
      <c r="I13778" t="s">
        <v>1050</v>
      </c>
    </row>
    <row r="13779" spans="1:9" hidden="1" x14ac:dyDescent="0.25">
      <c r="A13779" t="s">
        <v>11445</v>
      </c>
      <c r="B13779" t="s">
        <v>153</v>
      </c>
      <c r="C13779" s="2">
        <f>HYPERLINK("https://cao.dolgi.msk.ru/account/1080315006/", 1080315006)</f>
        <v>1080315006</v>
      </c>
      <c r="D13779" t="s">
        <v>11511</v>
      </c>
      <c r="E13779">
        <v>-5766.73</v>
      </c>
      <c r="F13779">
        <v>-1.03</v>
      </c>
      <c r="G13779" t="s">
        <v>12</v>
      </c>
      <c r="I13779" t="s">
        <v>1050</v>
      </c>
    </row>
    <row r="13780" spans="1:9" hidden="1" x14ac:dyDescent="0.25">
      <c r="A13780" t="s">
        <v>11445</v>
      </c>
      <c r="B13780" t="s">
        <v>155</v>
      </c>
      <c r="C13780" s="2">
        <f>HYPERLINK("https://cao.dolgi.msk.ru/account/1080315014/", 1080315014)</f>
        <v>1080315014</v>
      </c>
      <c r="D13780" t="s">
        <v>11512</v>
      </c>
      <c r="E13780">
        <v>-4642.38</v>
      </c>
      <c r="F13780">
        <v>-1.37</v>
      </c>
      <c r="G13780" t="s">
        <v>12</v>
      </c>
      <c r="I13780" t="s">
        <v>1050</v>
      </c>
    </row>
    <row r="13781" spans="1:9" hidden="1" x14ac:dyDescent="0.25">
      <c r="A13781" t="s">
        <v>11445</v>
      </c>
      <c r="B13781" t="s">
        <v>155</v>
      </c>
      <c r="C13781" s="2">
        <f>HYPERLINK("https://cao.dolgi.msk.ru/account/1083274107/", 1083274107)</f>
        <v>1083274107</v>
      </c>
      <c r="D13781" t="s">
        <v>15</v>
      </c>
      <c r="E13781">
        <v>359.33</v>
      </c>
      <c r="G13781" t="s">
        <v>14</v>
      </c>
      <c r="I13781" t="s">
        <v>1050</v>
      </c>
    </row>
    <row r="13782" spans="1:9" hidden="1" x14ac:dyDescent="0.25">
      <c r="A13782" t="s">
        <v>11445</v>
      </c>
      <c r="B13782" t="s">
        <v>155</v>
      </c>
      <c r="C13782" s="2">
        <f>HYPERLINK("https://cao.dolgi.msk.ru/account/1083274123/", 1083274123)</f>
        <v>1083274123</v>
      </c>
      <c r="D13782" t="s">
        <v>15</v>
      </c>
      <c r="E13782">
        <v>-10462.27</v>
      </c>
      <c r="F13782">
        <v>-14.29</v>
      </c>
      <c r="G13782" t="s">
        <v>12</v>
      </c>
      <c r="I13782" t="s">
        <v>1050</v>
      </c>
    </row>
    <row r="13783" spans="1:9" hidden="1" x14ac:dyDescent="0.25">
      <c r="A13783" t="s">
        <v>11445</v>
      </c>
      <c r="B13783" t="s">
        <v>157</v>
      </c>
      <c r="C13783" s="2">
        <f>HYPERLINK("https://cao.dolgi.msk.ru/account/1080315022/", 1080315022)</f>
        <v>1080315022</v>
      </c>
      <c r="D13783" t="s">
        <v>11513</v>
      </c>
      <c r="E13783">
        <v>-5792.06</v>
      </c>
      <c r="F13783">
        <v>-1.19</v>
      </c>
      <c r="G13783" t="s">
        <v>12</v>
      </c>
      <c r="I13783" t="s">
        <v>1050</v>
      </c>
    </row>
    <row r="13784" spans="1:9" hidden="1" x14ac:dyDescent="0.25">
      <c r="A13784" t="s">
        <v>11445</v>
      </c>
      <c r="B13784" t="s">
        <v>159</v>
      </c>
      <c r="C13784" s="2">
        <f>HYPERLINK("https://cao.dolgi.msk.ru/account/1080315049/", 1080315049)</f>
        <v>1080315049</v>
      </c>
      <c r="D13784" t="s">
        <v>11514</v>
      </c>
      <c r="E13784">
        <v>750.24</v>
      </c>
      <c r="F13784">
        <v>0.24</v>
      </c>
      <c r="G13784" t="s">
        <v>12</v>
      </c>
      <c r="I13784" t="s">
        <v>1050</v>
      </c>
    </row>
    <row r="13785" spans="1:9" hidden="1" x14ac:dyDescent="0.25">
      <c r="A13785" t="s">
        <v>11445</v>
      </c>
      <c r="B13785" t="s">
        <v>161</v>
      </c>
      <c r="C13785" s="2">
        <f>HYPERLINK("https://cao.dolgi.msk.ru/account/1080315057/", 1080315057)</f>
        <v>1080315057</v>
      </c>
      <c r="D13785" t="s">
        <v>11515</v>
      </c>
      <c r="E13785">
        <v>-37.67</v>
      </c>
      <c r="F13785">
        <v>-0.01</v>
      </c>
      <c r="G13785" t="s">
        <v>12</v>
      </c>
      <c r="I13785" t="s">
        <v>1050</v>
      </c>
    </row>
    <row r="13786" spans="1:9" hidden="1" x14ac:dyDescent="0.25">
      <c r="A13786" t="s">
        <v>11445</v>
      </c>
      <c r="B13786" t="s">
        <v>163</v>
      </c>
      <c r="C13786" s="2">
        <f>HYPERLINK("https://cao.dolgi.msk.ru/account/1080315065/", 1080315065)</f>
        <v>1080315065</v>
      </c>
      <c r="D13786" t="s">
        <v>11516</v>
      </c>
      <c r="E13786">
        <v>-3105.67</v>
      </c>
      <c r="F13786">
        <v>-1.08</v>
      </c>
      <c r="G13786" t="s">
        <v>12</v>
      </c>
      <c r="I13786" t="s">
        <v>1050</v>
      </c>
    </row>
    <row r="13787" spans="1:9" hidden="1" x14ac:dyDescent="0.25">
      <c r="A13787" t="s">
        <v>11445</v>
      </c>
      <c r="B13787" t="s">
        <v>571</v>
      </c>
      <c r="C13787" s="2">
        <f>HYPERLINK("https://cao.dolgi.msk.ru/account/1080315073/", 1080315073)</f>
        <v>1080315073</v>
      </c>
      <c r="D13787" t="s">
        <v>11517</v>
      </c>
      <c r="E13787">
        <v>0</v>
      </c>
      <c r="F13787">
        <v>0</v>
      </c>
      <c r="G13787" t="s">
        <v>12</v>
      </c>
      <c r="I13787" t="s">
        <v>1050</v>
      </c>
    </row>
    <row r="13788" spans="1:9" hidden="1" x14ac:dyDescent="0.25">
      <c r="A13788" t="s">
        <v>11445</v>
      </c>
      <c r="B13788" t="s">
        <v>682</v>
      </c>
      <c r="C13788" s="2">
        <f>HYPERLINK("https://cao.dolgi.msk.ru/account/1080315081/", 1080315081)</f>
        <v>1080315081</v>
      </c>
      <c r="D13788" t="s">
        <v>11518</v>
      </c>
      <c r="E13788">
        <v>-4901.07</v>
      </c>
      <c r="F13788">
        <v>-1.1599999999999999</v>
      </c>
      <c r="G13788" t="s">
        <v>12</v>
      </c>
      <c r="I13788" t="s">
        <v>1050</v>
      </c>
    </row>
    <row r="13789" spans="1:9" hidden="1" x14ac:dyDescent="0.25">
      <c r="A13789" t="s">
        <v>11445</v>
      </c>
      <c r="B13789" t="s">
        <v>578</v>
      </c>
      <c r="C13789" s="2">
        <f>HYPERLINK("https://cao.dolgi.msk.ru/account/1080315102/", 1080315102)</f>
        <v>1080315102</v>
      </c>
      <c r="D13789" t="s">
        <v>11519</v>
      </c>
      <c r="E13789">
        <v>-8625.2000000000007</v>
      </c>
      <c r="F13789">
        <v>-1.42</v>
      </c>
      <c r="G13789" t="s">
        <v>12</v>
      </c>
      <c r="I13789" t="s">
        <v>1050</v>
      </c>
    </row>
    <row r="13790" spans="1:9" hidden="1" x14ac:dyDescent="0.25">
      <c r="A13790" t="s">
        <v>11445</v>
      </c>
      <c r="B13790" t="s">
        <v>580</v>
      </c>
      <c r="C13790" s="2">
        <f>HYPERLINK("https://cao.dolgi.msk.ru/account/1080315129/", 1080315129)</f>
        <v>1080315129</v>
      </c>
      <c r="D13790" t="s">
        <v>11520</v>
      </c>
      <c r="E13790">
        <v>-269.49</v>
      </c>
      <c r="F13790">
        <v>-0.13</v>
      </c>
      <c r="G13790" t="s">
        <v>12</v>
      </c>
      <c r="I13790" t="s">
        <v>1050</v>
      </c>
    </row>
    <row r="13791" spans="1:9" hidden="1" x14ac:dyDescent="0.25">
      <c r="A13791" t="s">
        <v>11445</v>
      </c>
      <c r="B13791" t="s">
        <v>580</v>
      </c>
      <c r="C13791" s="2">
        <f>HYPERLINK("https://cao.dolgi.msk.ru/account/1083283871/", 1083283871)</f>
        <v>1083283871</v>
      </c>
      <c r="D13791" t="s">
        <v>15</v>
      </c>
      <c r="E13791">
        <v>-1273.83</v>
      </c>
      <c r="F13791">
        <v>-1.74</v>
      </c>
      <c r="G13791" t="s">
        <v>12</v>
      </c>
      <c r="I13791" t="s">
        <v>1050</v>
      </c>
    </row>
    <row r="13792" spans="1:9" hidden="1" x14ac:dyDescent="0.25">
      <c r="A13792" t="s">
        <v>11445</v>
      </c>
      <c r="B13792" t="s">
        <v>686</v>
      </c>
      <c r="C13792" s="2">
        <f>HYPERLINK("https://cao.dolgi.msk.ru/account/1080315137/", 1080315137)</f>
        <v>1080315137</v>
      </c>
      <c r="D13792" t="s">
        <v>11521</v>
      </c>
      <c r="E13792">
        <v>-3389.35</v>
      </c>
      <c r="F13792">
        <v>-1.1399999999999999</v>
      </c>
      <c r="G13792" t="s">
        <v>12</v>
      </c>
      <c r="I13792" t="s">
        <v>1050</v>
      </c>
    </row>
    <row r="13793" spans="1:9" hidden="1" x14ac:dyDescent="0.25">
      <c r="A13793" t="s">
        <v>11445</v>
      </c>
      <c r="B13793" t="s">
        <v>582</v>
      </c>
      <c r="C13793" s="2">
        <f>HYPERLINK("https://cao.dolgi.msk.ru/account/1080315145/", 1080315145)</f>
        <v>1080315145</v>
      </c>
      <c r="D13793" t="s">
        <v>11522</v>
      </c>
      <c r="E13793">
        <v>-4447.0600000000004</v>
      </c>
      <c r="F13793">
        <v>-1.21</v>
      </c>
      <c r="G13793" t="s">
        <v>12</v>
      </c>
      <c r="I13793" t="s">
        <v>1050</v>
      </c>
    </row>
    <row r="13794" spans="1:9" hidden="1" x14ac:dyDescent="0.25">
      <c r="A13794" t="s">
        <v>11445</v>
      </c>
      <c r="B13794" t="s">
        <v>584</v>
      </c>
      <c r="C13794" s="2">
        <f>HYPERLINK("https://cao.dolgi.msk.ru/account/1080315153/", 1080315153)</f>
        <v>1080315153</v>
      </c>
      <c r="D13794" t="s">
        <v>11523</v>
      </c>
      <c r="E13794">
        <v>-2142.98</v>
      </c>
      <c r="F13794">
        <v>-1.04</v>
      </c>
      <c r="G13794" t="s">
        <v>12</v>
      </c>
      <c r="I13794" t="s">
        <v>1050</v>
      </c>
    </row>
    <row r="13795" spans="1:9" hidden="1" x14ac:dyDescent="0.25">
      <c r="A13795" t="s">
        <v>11445</v>
      </c>
      <c r="B13795" t="s">
        <v>586</v>
      </c>
      <c r="C13795" s="2">
        <f>HYPERLINK("https://cao.dolgi.msk.ru/account/1080315161/", 1080315161)</f>
        <v>1080315161</v>
      </c>
      <c r="D13795" t="s">
        <v>11524</v>
      </c>
      <c r="E13795">
        <v>-1778.21</v>
      </c>
      <c r="F13795">
        <v>-0.38</v>
      </c>
      <c r="G13795" t="s">
        <v>12</v>
      </c>
      <c r="I13795" t="s">
        <v>1050</v>
      </c>
    </row>
    <row r="13796" spans="1:9" hidden="1" x14ac:dyDescent="0.25">
      <c r="A13796" t="s">
        <v>11445</v>
      </c>
      <c r="B13796" t="s">
        <v>588</v>
      </c>
      <c r="C13796" s="2">
        <f>HYPERLINK("https://cao.dolgi.msk.ru/account/1080315188/", 1080315188)</f>
        <v>1080315188</v>
      </c>
      <c r="D13796" t="s">
        <v>11525</v>
      </c>
      <c r="E13796">
        <v>-5929.22</v>
      </c>
      <c r="F13796">
        <v>-1.0900000000000001</v>
      </c>
      <c r="G13796" t="s">
        <v>12</v>
      </c>
      <c r="I13796" t="s">
        <v>1050</v>
      </c>
    </row>
    <row r="13797" spans="1:9" hidden="1" x14ac:dyDescent="0.25">
      <c r="A13797" t="s">
        <v>11445</v>
      </c>
      <c r="B13797" t="s">
        <v>590</v>
      </c>
      <c r="C13797" s="2">
        <f>HYPERLINK("https://cao.dolgi.msk.ru/account/1080315196/", 1080315196)</f>
        <v>1080315196</v>
      </c>
      <c r="D13797" t="s">
        <v>11526</v>
      </c>
      <c r="E13797">
        <v>-4787.88</v>
      </c>
      <c r="F13797">
        <v>-1.1299999999999999</v>
      </c>
      <c r="G13797" t="s">
        <v>12</v>
      </c>
      <c r="I13797" t="s">
        <v>1050</v>
      </c>
    </row>
    <row r="13798" spans="1:9" hidden="1" x14ac:dyDescent="0.25">
      <c r="A13798" t="s">
        <v>11445</v>
      </c>
      <c r="B13798" t="s">
        <v>693</v>
      </c>
      <c r="C13798" s="2">
        <f>HYPERLINK("https://cao.dolgi.msk.ru/account/1080315209/", 1080315209)</f>
        <v>1080315209</v>
      </c>
      <c r="D13798" t="s">
        <v>11527</v>
      </c>
      <c r="E13798">
        <v>-5866.34</v>
      </c>
      <c r="F13798">
        <v>-1.22</v>
      </c>
      <c r="G13798" t="s">
        <v>12</v>
      </c>
      <c r="I13798" t="s">
        <v>1050</v>
      </c>
    </row>
    <row r="13799" spans="1:9" hidden="1" x14ac:dyDescent="0.25">
      <c r="A13799" t="s">
        <v>11445</v>
      </c>
      <c r="B13799" t="s">
        <v>694</v>
      </c>
      <c r="C13799" s="2">
        <f>HYPERLINK("https://cao.dolgi.msk.ru/account/1080315217/", 1080315217)</f>
        <v>1080315217</v>
      </c>
      <c r="D13799" t="s">
        <v>11528</v>
      </c>
      <c r="E13799">
        <v>-2811.8</v>
      </c>
      <c r="F13799">
        <v>-1.25</v>
      </c>
      <c r="G13799" t="s">
        <v>12</v>
      </c>
      <c r="I13799" t="s">
        <v>1050</v>
      </c>
    </row>
    <row r="13800" spans="1:9" hidden="1" x14ac:dyDescent="0.25">
      <c r="A13800" t="s">
        <v>11445</v>
      </c>
      <c r="B13800" t="s">
        <v>696</v>
      </c>
      <c r="C13800" s="2">
        <f>HYPERLINK("https://cao.dolgi.msk.ru/account/1080315225/", 1080315225)</f>
        <v>1080315225</v>
      </c>
      <c r="D13800" t="s">
        <v>11529</v>
      </c>
      <c r="E13800">
        <v>-6947.23</v>
      </c>
      <c r="F13800">
        <v>-0.99</v>
      </c>
      <c r="G13800" t="s">
        <v>12</v>
      </c>
      <c r="I13800" t="s">
        <v>1050</v>
      </c>
    </row>
    <row r="13801" spans="1:9" hidden="1" x14ac:dyDescent="0.25">
      <c r="A13801" t="s">
        <v>11445</v>
      </c>
      <c r="B13801" t="s">
        <v>698</v>
      </c>
      <c r="C13801" s="2">
        <f>HYPERLINK("https://cao.dolgi.msk.ru/account/1080315233/", 1080315233)</f>
        <v>1080315233</v>
      </c>
      <c r="D13801" t="s">
        <v>11530</v>
      </c>
      <c r="E13801">
        <v>-5334.67</v>
      </c>
      <c r="F13801">
        <v>-1.1499999999999999</v>
      </c>
      <c r="G13801" t="s">
        <v>12</v>
      </c>
      <c r="I13801" t="s">
        <v>1050</v>
      </c>
    </row>
    <row r="13802" spans="1:9" x14ac:dyDescent="0.25">
      <c r="A13802" t="s">
        <v>11445</v>
      </c>
      <c r="B13802" t="s">
        <v>700</v>
      </c>
      <c r="C13802" s="2">
        <f>HYPERLINK("https://cao.dolgi.msk.ru/account/1080315241/", 1080315241)</f>
        <v>1080315241</v>
      </c>
      <c r="D13802" t="s">
        <v>15</v>
      </c>
      <c r="E13802">
        <v>14601.15</v>
      </c>
      <c r="F13802">
        <v>3.52</v>
      </c>
      <c r="G13802" t="s">
        <v>12</v>
      </c>
      <c r="I13802" t="s">
        <v>1050</v>
      </c>
    </row>
    <row r="13803" spans="1:9" hidden="1" x14ac:dyDescent="0.25">
      <c r="A13803" t="s">
        <v>11445</v>
      </c>
      <c r="B13803" t="s">
        <v>702</v>
      </c>
      <c r="C13803" s="2">
        <f>HYPERLINK("https://cao.dolgi.msk.ru/account/1080315268/", 1080315268)</f>
        <v>1080315268</v>
      </c>
      <c r="D13803" t="s">
        <v>11531</v>
      </c>
      <c r="E13803">
        <v>-9094.01</v>
      </c>
      <c r="F13803">
        <v>-1.2</v>
      </c>
      <c r="G13803" t="s">
        <v>12</v>
      </c>
      <c r="I13803" t="s">
        <v>1050</v>
      </c>
    </row>
    <row r="13804" spans="1:9" hidden="1" x14ac:dyDescent="0.25">
      <c r="A13804" t="s">
        <v>11445</v>
      </c>
      <c r="B13804" t="s">
        <v>703</v>
      </c>
      <c r="C13804" s="2">
        <f>HYPERLINK("https://cao.dolgi.msk.ru/account/1080315276/", 1080315276)</f>
        <v>1080315276</v>
      </c>
      <c r="D13804" t="s">
        <v>11532</v>
      </c>
      <c r="E13804">
        <v>77.88</v>
      </c>
      <c r="F13804">
        <v>0.01</v>
      </c>
      <c r="G13804" t="s">
        <v>12</v>
      </c>
      <c r="I13804" t="s">
        <v>1050</v>
      </c>
    </row>
    <row r="13805" spans="1:9" hidden="1" x14ac:dyDescent="0.25">
      <c r="A13805" t="s">
        <v>11445</v>
      </c>
      <c r="B13805" t="s">
        <v>705</v>
      </c>
      <c r="C13805" s="2">
        <f>HYPERLINK("https://cao.dolgi.msk.ru/account/1080315284/", 1080315284)</f>
        <v>1080315284</v>
      </c>
      <c r="D13805" t="s">
        <v>11533</v>
      </c>
      <c r="E13805">
        <v>-5610.94</v>
      </c>
      <c r="F13805">
        <v>-1.23</v>
      </c>
      <c r="G13805" t="s">
        <v>12</v>
      </c>
      <c r="I13805" t="s">
        <v>1050</v>
      </c>
    </row>
    <row r="13806" spans="1:9" hidden="1" x14ac:dyDescent="0.25">
      <c r="A13806" t="s">
        <v>11445</v>
      </c>
      <c r="B13806" t="s">
        <v>707</v>
      </c>
      <c r="C13806" s="2">
        <f>HYPERLINK("https://cao.dolgi.msk.ru/account/1080315292/", 1080315292)</f>
        <v>1080315292</v>
      </c>
      <c r="D13806" t="s">
        <v>11534</v>
      </c>
      <c r="E13806">
        <v>0</v>
      </c>
      <c r="F13806">
        <v>0</v>
      </c>
      <c r="G13806" t="s">
        <v>12</v>
      </c>
      <c r="I13806" t="s">
        <v>1050</v>
      </c>
    </row>
    <row r="13807" spans="1:9" hidden="1" x14ac:dyDescent="0.25">
      <c r="A13807" t="s">
        <v>11445</v>
      </c>
      <c r="B13807" t="s">
        <v>709</v>
      </c>
      <c r="C13807" s="2">
        <f>HYPERLINK("https://cao.dolgi.msk.ru/account/1080315305/", 1080315305)</f>
        <v>1080315305</v>
      </c>
      <c r="D13807" t="s">
        <v>11535</v>
      </c>
      <c r="E13807">
        <v>-6884.67</v>
      </c>
      <c r="F13807">
        <v>-2.0299999999999998</v>
      </c>
      <c r="G13807" t="s">
        <v>12</v>
      </c>
      <c r="I13807" t="s">
        <v>1050</v>
      </c>
    </row>
    <row r="13808" spans="1:9" hidden="1" x14ac:dyDescent="0.25">
      <c r="A13808" t="s">
        <v>11445</v>
      </c>
      <c r="B13808" t="s">
        <v>711</v>
      </c>
      <c r="C13808" s="2">
        <f>HYPERLINK("https://cao.dolgi.msk.ru/account/1080315313/", 1080315313)</f>
        <v>1080315313</v>
      </c>
      <c r="D13808" t="s">
        <v>11536</v>
      </c>
      <c r="E13808">
        <v>-3801.94</v>
      </c>
      <c r="F13808">
        <v>-0.74</v>
      </c>
      <c r="G13808" t="s">
        <v>12</v>
      </c>
      <c r="I13808" t="s">
        <v>1050</v>
      </c>
    </row>
    <row r="13809" spans="1:9" hidden="1" x14ac:dyDescent="0.25">
      <c r="A13809" t="s">
        <v>11537</v>
      </c>
      <c r="B13809" t="s">
        <v>10</v>
      </c>
      <c r="C13809" s="2">
        <f>HYPERLINK("https://cao.dolgi.msk.ru/account/1080268377/", 1080268377)</f>
        <v>1080268377</v>
      </c>
      <c r="D13809" t="s">
        <v>11538</v>
      </c>
      <c r="E13809">
        <v>-7432.11</v>
      </c>
      <c r="F13809">
        <v>-1.1399999999999999</v>
      </c>
      <c r="G13809" t="s">
        <v>12</v>
      </c>
      <c r="I13809" t="s">
        <v>1050</v>
      </c>
    </row>
    <row r="13810" spans="1:9" hidden="1" x14ac:dyDescent="0.25">
      <c r="A13810" t="s">
        <v>11537</v>
      </c>
      <c r="B13810" t="s">
        <v>16</v>
      </c>
      <c r="C13810" s="2">
        <f>HYPERLINK("https://cao.dolgi.msk.ru/account/1080268385/", 1080268385)</f>
        <v>1080268385</v>
      </c>
      <c r="D13810" t="s">
        <v>11539</v>
      </c>
      <c r="E13810">
        <v>-7070.19</v>
      </c>
      <c r="F13810">
        <v>-1.19</v>
      </c>
      <c r="G13810" t="s">
        <v>12</v>
      </c>
      <c r="I13810" t="s">
        <v>1050</v>
      </c>
    </row>
    <row r="13811" spans="1:9" hidden="1" x14ac:dyDescent="0.25">
      <c r="A13811" t="s">
        <v>11537</v>
      </c>
      <c r="B13811" t="s">
        <v>18</v>
      </c>
      <c r="C13811" s="2">
        <f>HYPERLINK("https://cao.dolgi.msk.ru/account/1080268342/", 1080268342)</f>
        <v>1080268342</v>
      </c>
      <c r="D13811" t="s">
        <v>11540</v>
      </c>
      <c r="E13811">
        <v>-8547.56</v>
      </c>
      <c r="F13811">
        <v>-1.1100000000000001</v>
      </c>
      <c r="G13811" t="s">
        <v>12</v>
      </c>
      <c r="I13811" t="s">
        <v>1050</v>
      </c>
    </row>
    <row r="13812" spans="1:9" hidden="1" x14ac:dyDescent="0.25">
      <c r="A13812" t="s">
        <v>11537</v>
      </c>
      <c r="B13812" t="s">
        <v>20</v>
      </c>
      <c r="C13812" s="2">
        <f>HYPERLINK("https://cao.dolgi.msk.ru/account/1080268393/", 1080268393)</f>
        <v>1080268393</v>
      </c>
      <c r="D13812" t="s">
        <v>11541</v>
      </c>
      <c r="E13812">
        <v>-7728.58</v>
      </c>
      <c r="F13812">
        <v>-1.18</v>
      </c>
      <c r="G13812" t="s">
        <v>12</v>
      </c>
      <c r="I13812" t="s">
        <v>1050</v>
      </c>
    </row>
    <row r="13813" spans="1:9" hidden="1" x14ac:dyDescent="0.25">
      <c r="A13813" t="s">
        <v>11537</v>
      </c>
      <c r="B13813" t="s">
        <v>21</v>
      </c>
      <c r="C13813" s="2">
        <f>HYPERLINK("https://cao.dolgi.msk.ru/account/1080268406/", 1080268406)</f>
        <v>1080268406</v>
      </c>
      <c r="D13813" t="s">
        <v>11542</v>
      </c>
      <c r="E13813">
        <v>4147.49</v>
      </c>
      <c r="F13813">
        <v>0.49</v>
      </c>
      <c r="G13813" t="s">
        <v>12</v>
      </c>
      <c r="I13813" t="s">
        <v>1050</v>
      </c>
    </row>
    <row r="13814" spans="1:9" x14ac:dyDescent="0.25">
      <c r="A13814" t="s">
        <v>11537</v>
      </c>
      <c r="B13814" t="s">
        <v>22</v>
      </c>
      <c r="C13814" s="2">
        <f>HYPERLINK("https://cao.dolgi.msk.ru/account/1080268414/", 1080268414)</f>
        <v>1080268414</v>
      </c>
      <c r="D13814" t="s">
        <v>11543</v>
      </c>
      <c r="E13814">
        <v>2595.41</v>
      </c>
      <c r="F13814">
        <v>1.1399999999999999</v>
      </c>
      <c r="G13814" t="s">
        <v>12</v>
      </c>
      <c r="I13814" t="s">
        <v>1050</v>
      </c>
    </row>
    <row r="13815" spans="1:9" hidden="1" x14ac:dyDescent="0.25">
      <c r="A13815" t="s">
        <v>11537</v>
      </c>
      <c r="B13815" t="s">
        <v>22</v>
      </c>
      <c r="C13815" s="2">
        <f>HYPERLINK("https://cao.dolgi.msk.ru/account/1083271993/", 1083271993)</f>
        <v>1083271993</v>
      </c>
      <c r="D13815" t="s">
        <v>15</v>
      </c>
      <c r="E13815">
        <v>-4275.33</v>
      </c>
      <c r="F13815">
        <v>-1.89</v>
      </c>
      <c r="G13815" t="s">
        <v>12</v>
      </c>
      <c r="I13815" t="s">
        <v>1050</v>
      </c>
    </row>
    <row r="13816" spans="1:9" hidden="1" x14ac:dyDescent="0.25">
      <c r="A13816" t="s">
        <v>11537</v>
      </c>
      <c r="B13816" t="s">
        <v>23</v>
      </c>
      <c r="C13816" s="2">
        <f>HYPERLINK("https://cao.dolgi.msk.ru/account/1080287885/", 1080287885)</f>
        <v>1080287885</v>
      </c>
      <c r="D13816" t="s">
        <v>11544</v>
      </c>
      <c r="E13816">
        <v>-6442.9</v>
      </c>
      <c r="F13816">
        <v>-1.1299999999999999</v>
      </c>
      <c r="G13816" t="s">
        <v>12</v>
      </c>
      <c r="I13816" t="s">
        <v>1050</v>
      </c>
    </row>
    <row r="13817" spans="1:9" hidden="1" x14ac:dyDescent="0.25">
      <c r="A13817" t="s">
        <v>11537</v>
      </c>
      <c r="B13817" t="s">
        <v>24</v>
      </c>
      <c r="C13817" s="2">
        <f>HYPERLINK("https://cao.dolgi.msk.ru/account/1080287914/", 1080287914)</f>
        <v>1080287914</v>
      </c>
      <c r="D13817" t="s">
        <v>15</v>
      </c>
      <c r="E13817">
        <v>-8538.86</v>
      </c>
      <c r="F13817">
        <v>-1.1299999999999999</v>
      </c>
      <c r="G13817" t="s">
        <v>12</v>
      </c>
      <c r="I13817" t="s">
        <v>1050</v>
      </c>
    </row>
    <row r="13818" spans="1:9" hidden="1" x14ac:dyDescent="0.25">
      <c r="A13818" t="s">
        <v>11537</v>
      </c>
      <c r="B13818" t="s">
        <v>27</v>
      </c>
      <c r="C13818" s="2">
        <f>HYPERLINK("https://cao.dolgi.msk.ru/account/1080287922/", 1080287922)</f>
        <v>1080287922</v>
      </c>
      <c r="D13818" t="s">
        <v>11545</v>
      </c>
      <c r="E13818">
        <v>-6618.81</v>
      </c>
      <c r="F13818">
        <v>-1.1299999999999999</v>
      </c>
      <c r="G13818" t="s">
        <v>12</v>
      </c>
      <c r="I13818" t="s">
        <v>1050</v>
      </c>
    </row>
    <row r="13819" spans="1:9" hidden="1" x14ac:dyDescent="0.25">
      <c r="A13819" t="s">
        <v>11537</v>
      </c>
      <c r="B13819" t="s">
        <v>29</v>
      </c>
      <c r="C13819" s="2">
        <f>HYPERLINK("https://cao.dolgi.msk.ru/account/1080287949/", 1080287949)</f>
        <v>1080287949</v>
      </c>
      <c r="D13819" t="s">
        <v>11546</v>
      </c>
      <c r="E13819">
        <v>-5077.66</v>
      </c>
      <c r="F13819">
        <v>-1.19</v>
      </c>
      <c r="G13819" t="s">
        <v>12</v>
      </c>
      <c r="I13819" t="s">
        <v>1050</v>
      </c>
    </row>
    <row r="13820" spans="1:9" hidden="1" x14ac:dyDescent="0.25">
      <c r="A13820" t="s">
        <v>11537</v>
      </c>
      <c r="B13820" t="s">
        <v>31</v>
      </c>
      <c r="C13820" s="2">
        <f>HYPERLINK("https://cao.dolgi.msk.ru/account/1080287957/", 1080287957)</f>
        <v>1080287957</v>
      </c>
      <c r="D13820" t="s">
        <v>11547</v>
      </c>
      <c r="E13820">
        <v>24.87</v>
      </c>
      <c r="F13820">
        <v>0</v>
      </c>
      <c r="G13820" t="s">
        <v>12</v>
      </c>
      <c r="I13820" t="s">
        <v>1050</v>
      </c>
    </row>
    <row r="13821" spans="1:9" hidden="1" x14ac:dyDescent="0.25">
      <c r="A13821" t="s">
        <v>11537</v>
      </c>
      <c r="B13821" t="s">
        <v>33</v>
      </c>
      <c r="C13821" s="2">
        <f>HYPERLINK("https://cao.dolgi.msk.ru/account/1080287965/", 1080287965)</f>
        <v>1080287965</v>
      </c>
      <c r="D13821" t="s">
        <v>11548</v>
      </c>
      <c r="E13821">
        <v>-6448.12</v>
      </c>
      <c r="F13821">
        <v>-1.38</v>
      </c>
      <c r="G13821" t="s">
        <v>12</v>
      </c>
      <c r="I13821" t="s">
        <v>1050</v>
      </c>
    </row>
    <row r="13822" spans="1:9" hidden="1" x14ac:dyDescent="0.25">
      <c r="A13822" t="s">
        <v>11537</v>
      </c>
      <c r="B13822" t="s">
        <v>34</v>
      </c>
      <c r="C13822" s="2">
        <f>HYPERLINK("https://cao.dolgi.msk.ru/account/1080287973/", 1080287973)</f>
        <v>1080287973</v>
      </c>
      <c r="D13822" t="s">
        <v>11549</v>
      </c>
      <c r="E13822">
        <v>-9024.52</v>
      </c>
      <c r="F13822">
        <v>-1.04</v>
      </c>
      <c r="G13822" t="s">
        <v>12</v>
      </c>
      <c r="I13822" t="s">
        <v>1050</v>
      </c>
    </row>
    <row r="13823" spans="1:9" hidden="1" x14ac:dyDescent="0.25">
      <c r="A13823" t="s">
        <v>11537</v>
      </c>
      <c r="B13823" t="s">
        <v>36</v>
      </c>
      <c r="C13823" s="2">
        <f>HYPERLINK("https://cao.dolgi.msk.ru/account/1080287981/", 1080287981)</f>
        <v>1080287981</v>
      </c>
      <c r="D13823" t="s">
        <v>15</v>
      </c>
      <c r="E13823">
        <v>-4907.1000000000004</v>
      </c>
      <c r="F13823">
        <v>-1.24</v>
      </c>
      <c r="G13823" t="s">
        <v>12</v>
      </c>
      <c r="I13823" t="s">
        <v>1050</v>
      </c>
    </row>
    <row r="13824" spans="1:9" hidden="1" x14ac:dyDescent="0.25">
      <c r="A13824" t="s">
        <v>11537</v>
      </c>
      <c r="B13824" t="s">
        <v>38</v>
      </c>
      <c r="C13824" s="2">
        <f>HYPERLINK("https://cao.dolgi.msk.ru/account/1080288001/", 1080288001)</f>
        <v>1080288001</v>
      </c>
      <c r="D13824" t="s">
        <v>11550</v>
      </c>
      <c r="E13824">
        <v>-13365.51</v>
      </c>
      <c r="F13824">
        <v>-1.19</v>
      </c>
      <c r="G13824" t="s">
        <v>12</v>
      </c>
      <c r="I13824" t="s">
        <v>1050</v>
      </c>
    </row>
    <row r="13825" spans="1:9" hidden="1" x14ac:dyDescent="0.25">
      <c r="A13825" t="s">
        <v>11537</v>
      </c>
      <c r="B13825" t="s">
        <v>39</v>
      </c>
      <c r="C13825" s="2">
        <f>HYPERLINK("https://cao.dolgi.msk.ru/account/1080288028/", 1080288028)</f>
        <v>1080288028</v>
      </c>
      <c r="D13825" t="s">
        <v>11551</v>
      </c>
      <c r="E13825">
        <v>-7391.42</v>
      </c>
      <c r="F13825">
        <v>-1.08</v>
      </c>
      <c r="G13825" t="s">
        <v>12</v>
      </c>
      <c r="I13825" t="s">
        <v>1050</v>
      </c>
    </row>
    <row r="13826" spans="1:9" hidden="1" x14ac:dyDescent="0.25">
      <c r="A13826" t="s">
        <v>11537</v>
      </c>
      <c r="B13826" t="s">
        <v>40</v>
      </c>
      <c r="C13826" s="2">
        <f>HYPERLINK("https://cao.dolgi.msk.ru/account/1080288036/", 1080288036)</f>
        <v>1080288036</v>
      </c>
      <c r="D13826" t="s">
        <v>11552</v>
      </c>
      <c r="E13826">
        <v>-6255.46</v>
      </c>
      <c r="F13826">
        <v>-1.1499999999999999</v>
      </c>
      <c r="G13826" t="s">
        <v>12</v>
      </c>
      <c r="I13826" t="s">
        <v>1050</v>
      </c>
    </row>
    <row r="13827" spans="1:9" hidden="1" x14ac:dyDescent="0.25">
      <c r="A13827" t="s">
        <v>11537</v>
      </c>
      <c r="B13827" t="s">
        <v>41</v>
      </c>
      <c r="C13827" s="2">
        <f>HYPERLINK("https://cao.dolgi.msk.ru/account/1080288044/", 1080288044)</f>
        <v>1080288044</v>
      </c>
      <c r="D13827" t="s">
        <v>11553</v>
      </c>
      <c r="E13827">
        <v>-1102.33</v>
      </c>
      <c r="F13827">
        <v>-0.3</v>
      </c>
      <c r="G13827" t="s">
        <v>12</v>
      </c>
      <c r="I13827" t="s">
        <v>1050</v>
      </c>
    </row>
    <row r="13828" spans="1:9" hidden="1" x14ac:dyDescent="0.25">
      <c r="A13828" t="s">
        <v>11537</v>
      </c>
      <c r="B13828" t="s">
        <v>42</v>
      </c>
      <c r="C13828" s="2">
        <f>HYPERLINK("https://cao.dolgi.msk.ru/account/1080288052/", 1080288052)</f>
        <v>1080288052</v>
      </c>
      <c r="D13828" t="s">
        <v>11460</v>
      </c>
      <c r="E13828">
        <v>-11123.23</v>
      </c>
      <c r="F13828">
        <v>-0.96</v>
      </c>
      <c r="G13828" t="s">
        <v>12</v>
      </c>
      <c r="I13828" t="s">
        <v>1050</v>
      </c>
    </row>
    <row r="13829" spans="1:9" hidden="1" x14ac:dyDescent="0.25">
      <c r="A13829" t="s">
        <v>11537</v>
      </c>
      <c r="B13829" t="s">
        <v>11554</v>
      </c>
      <c r="C13829" s="2">
        <f>HYPERLINK("https://cao.dolgi.msk.ru/account/1080288079/", 1080288079)</f>
        <v>1080288079</v>
      </c>
      <c r="D13829" t="s">
        <v>11555</v>
      </c>
      <c r="E13829">
        <v>-15129.55</v>
      </c>
      <c r="F13829">
        <v>-1.62</v>
      </c>
      <c r="G13829" t="s">
        <v>12</v>
      </c>
      <c r="I13829" t="s">
        <v>1050</v>
      </c>
    </row>
    <row r="13830" spans="1:9" x14ac:dyDescent="0.25">
      <c r="A13830" t="s">
        <v>11537</v>
      </c>
      <c r="B13830" t="s">
        <v>68</v>
      </c>
      <c r="C13830" s="2">
        <f>HYPERLINK("https://cao.dolgi.msk.ru/account/1080288108/", 1080288108)</f>
        <v>1080288108</v>
      </c>
      <c r="D13830" t="s">
        <v>11556</v>
      </c>
      <c r="E13830">
        <v>16814.650000000001</v>
      </c>
      <c r="F13830">
        <v>2.09</v>
      </c>
      <c r="G13830" t="s">
        <v>12</v>
      </c>
      <c r="I13830" t="s">
        <v>1050</v>
      </c>
    </row>
    <row r="13831" spans="1:9" hidden="1" x14ac:dyDescent="0.25">
      <c r="A13831" t="s">
        <v>11537</v>
      </c>
      <c r="B13831" t="s">
        <v>70</v>
      </c>
      <c r="C13831" s="2">
        <f>HYPERLINK("https://cao.dolgi.msk.ru/account/1080288095/", 1080288095)</f>
        <v>1080288095</v>
      </c>
      <c r="D13831" t="s">
        <v>15</v>
      </c>
      <c r="E13831">
        <v>6219.69</v>
      </c>
      <c r="F13831">
        <v>0.92</v>
      </c>
      <c r="G13831" t="s">
        <v>12</v>
      </c>
      <c r="I13831" t="s">
        <v>1050</v>
      </c>
    </row>
    <row r="13832" spans="1:9" hidden="1" x14ac:dyDescent="0.25">
      <c r="A13832" t="s">
        <v>11537</v>
      </c>
      <c r="B13832" t="s">
        <v>72</v>
      </c>
      <c r="C13832" s="2">
        <f>HYPERLINK("https://cao.dolgi.msk.ru/account/1080288132/", 1080288132)</f>
        <v>1080288132</v>
      </c>
      <c r="D13832" t="s">
        <v>11557</v>
      </c>
      <c r="E13832">
        <v>-27681.61</v>
      </c>
      <c r="F13832">
        <v>-1.19</v>
      </c>
      <c r="G13832" t="s">
        <v>12</v>
      </c>
      <c r="I13832" t="s">
        <v>1050</v>
      </c>
    </row>
    <row r="13833" spans="1:9" x14ac:dyDescent="0.25">
      <c r="A13833" t="s">
        <v>11537</v>
      </c>
      <c r="B13833" t="s">
        <v>74</v>
      </c>
      <c r="C13833" s="2">
        <f>HYPERLINK("https://cao.dolgi.msk.ru/account/1080288159/", 1080288159)</f>
        <v>1080288159</v>
      </c>
      <c r="D13833" t="s">
        <v>11558</v>
      </c>
      <c r="E13833">
        <v>22218.880000000001</v>
      </c>
      <c r="F13833">
        <v>1.0900000000000001</v>
      </c>
      <c r="G13833" t="s">
        <v>12</v>
      </c>
      <c r="I13833" t="s">
        <v>1050</v>
      </c>
    </row>
    <row r="13834" spans="1:9" x14ac:dyDescent="0.25">
      <c r="A13834" t="s">
        <v>11537</v>
      </c>
      <c r="B13834" t="s">
        <v>76</v>
      </c>
      <c r="C13834" s="2">
        <f>HYPERLINK("https://cao.dolgi.msk.ru/account/1080288167/", 1080288167)</f>
        <v>1080288167</v>
      </c>
      <c r="D13834" t="s">
        <v>11559</v>
      </c>
      <c r="E13834">
        <v>11307.42</v>
      </c>
      <c r="F13834">
        <v>1.01</v>
      </c>
      <c r="G13834" t="s">
        <v>12</v>
      </c>
      <c r="I13834" t="s">
        <v>1050</v>
      </c>
    </row>
    <row r="13835" spans="1:9" hidden="1" x14ac:dyDescent="0.25">
      <c r="A13835" t="s">
        <v>11537</v>
      </c>
      <c r="B13835" t="s">
        <v>78</v>
      </c>
      <c r="C13835" s="2">
        <f>HYPERLINK("https://cao.dolgi.msk.ru/account/1080288175/", 1080288175)</f>
        <v>1080288175</v>
      </c>
      <c r="D13835" t="s">
        <v>11560</v>
      </c>
      <c r="E13835">
        <v>-1997.6</v>
      </c>
      <c r="F13835">
        <v>-0.49</v>
      </c>
      <c r="G13835" t="s">
        <v>12</v>
      </c>
      <c r="I13835" t="s">
        <v>1050</v>
      </c>
    </row>
    <row r="13836" spans="1:9" hidden="1" x14ac:dyDescent="0.25">
      <c r="A13836" t="s">
        <v>11537</v>
      </c>
      <c r="B13836" t="s">
        <v>80</v>
      </c>
      <c r="C13836" s="2">
        <f>HYPERLINK("https://cao.dolgi.msk.ru/account/1080288183/", 1080288183)</f>
        <v>1080288183</v>
      </c>
      <c r="D13836" t="s">
        <v>11561</v>
      </c>
      <c r="E13836">
        <v>-48.5</v>
      </c>
      <c r="F13836">
        <v>-0.01</v>
      </c>
      <c r="G13836" t="s">
        <v>12</v>
      </c>
      <c r="I13836" t="s">
        <v>1050</v>
      </c>
    </row>
    <row r="13837" spans="1:9" hidden="1" x14ac:dyDescent="0.25">
      <c r="A13837" t="s">
        <v>11537</v>
      </c>
      <c r="B13837" t="s">
        <v>82</v>
      </c>
      <c r="C13837" s="2">
        <f>HYPERLINK("https://cao.dolgi.msk.ru/account/1080288191/", 1080288191)</f>
        <v>1080288191</v>
      </c>
      <c r="D13837" t="s">
        <v>11562</v>
      </c>
      <c r="E13837">
        <v>-10001.57</v>
      </c>
      <c r="F13837">
        <v>-1.18</v>
      </c>
      <c r="G13837" t="s">
        <v>12</v>
      </c>
      <c r="I13837" t="s">
        <v>1050</v>
      </c>
    </row>
    <row r="13838" spans="1:9" hidden="1" x14ac:dyDescent="0.25">
      <c r="A13838" t="s">
        <v>11537</v>
      </c>
      <c r="B13838" t="s">
        <v>84</v>
      </c>
      <c r="C13838" s="2">
        <f>HYPERLINK("https://cao.dolgi.msk.ru/account/1080288204/", 1080288204)</f>
        <v>1080288204</v>
      </c>
      <c r="D13838" t="s">
        <v>11563</v>
      </c>
      <c r="E13838">
        <v>-7000.98</v>
      </c>
      <c r="F13838">
        <v>-1.44</v>
      </c>
      <c r="G13838" t="s">
        <v>12</v>
      </c>
      <c r="I13838" t="s">
        <v>1050</v>
      </c>
    </row>
    <row r="13839" spans="1:9" hidden="1" x14ac:dyDescent="0.25">
      <c r="A13839" t="s">
        <v>11537</v>
      </c>
      <c r="B13839" t="s">
        <v>86</v>
      </c>
      <c r="C13839" s="2">
        <f>HYPERLINK("https://cao.dolgi.msk.ru/account/1080288087/", 1080288087)</f>
        <v>1080288087</v>
      </c>
      <c r="D13839" t="s">
        <v>11564</v>
      </c>
      <c r="E13839">
        <v>5090.9799999999996</v>
      </c>
      <c r="F13839">
        <v>0.96</v>
      </c>
      <c r="G13839" t="s">
        <v>12</v>
      </c>
      <c r="I13839" t="s">
        <v>1050</v>
      </c>
    </row>
    <row r="13840" spans="1:9" hidden="1" x14ac:dyDescent="0.25">
      <c r="A13840" t="s">
        <v>11537</v>
      </c>
      <c r="B13840" t="s">
        <v>88</v>
      </c>
      <c r="C13840" s="2">
        <f>HYPERLINK("https://cao.dolgi.msk.ru/account/1080288116/", 1080288116)</f>
        <v>1080288116</v>
      </c>
      <c r="D13840" t="s">
        <v>11565</v>
      </c>
      <c r="E13840">
        <v>-6927.62</v>
      </c>
      <c r="F13840">
        <v>-1.1399999999999999</v>
      </c>
      <c r="G13840" t="s">
        <v>12</v>
      </c>
      <c r="I13840" t="s">
        <v>1050</v>
      </c>
    </row>
    <row r="13841" spans="1:9" hidden="1" x14ac:dyDescent="0.25">
      <c r="A13841" t="s">
        <v>11537</v>
      </c>
      <c r="B13841" t="s">
        <v>381</v>
      </c>
      <c r="C13841" s="2">
        <f>HYPERLINK("https://cao.dolgi.msk.ru/account/1080288124/", 1080288124)</f>
        <v>1080288124</v>
      </c>
      <c r="D13841" t="s">
        <v>11566</v>
      </c>
      <c r="E13841">
        <v>-0.17</v>
      </c>
      <c r="F13841">
        <v>0</v>
      </c>
      <c r="G13841" t="s">
        <v>12</v>
      </c>
      <c r="I13841" t="s">
        <v>1050</v>
      </c>
    </row>
    <row r="13842" spans="1:9" hidden="1" x14ac:dyDescent="0.25">
      <c r="A13842" t="s">
        <v>11537</v>
      </c>
      <c r="B13842" t="s">
        <v>94</v>
      </c>
      <c r="C13842" s="2">
        <f>HYPERLINK("https://cao.dolgi.msk.ru/account/1080288212/", 1080288212)</f>
        <v>1080288212</v>
      </c>
      <c r="D13842" t="s">
        <v>11567</v>
      </c>
      <c r="E13842">
        <v>-3065.78</v>
      </c>
      <c r="F13842">
        <v>-1.1399999999999999</v>
      </c>
      <c r="G13842" t="s">
        <v>12</v>
      </c>
      <c r="I13842" t="s">
        <v>1050</v>
      </c>
    </row>
    <row r="13843" spans="1:9" hidden="1" x14ac:dyDescent="0.25">
      <c r="A13843" t="s">
        <v>11537</v>
      </c>
      <c r="B13843" t="s">
        <v>96</v>
      </c>
      <c r="C13843" s="2">
        <f>HYPERLINK("https://cao.dolgi.msk.ru/account/1080288239/", 1080288239)</f>
        <v>1080288239</v>
      </c>
      <c r="D13843" t="s">
        <v>11568</v>
      </c>
      <c r="E13843">
        <v>-4039.12</v>
      </c>
      <c r="F13843">
        <v>-1.17</v>
      </c>
      <c r="G13843" t="s">
        <v>12</v>
      </c>
      <c r="I13843" t="s">
        <v>1050</v>
      </c>
    </row>
    <row r="13844" spans="1:9" x14ac:dyDescent="0.25">
      <c r="A13844" t="s">
        <v>11537</v>
      </c>
      <c r="B13844" t="s">
        <v>98</v>
      </c>
      <c r="C13844" s="2">
        <f>HYPERLINK("https://cao.dolgi.msk.ru/account/1080288247/", 1080288247)</f>
        <v>1080288247</v>
      </c>
      <c r="D13844" t="s">
        <v>11569</v>
      </c>
      <c r="E13844">
        <v>21195.87</v>
      </c>
      <c r="F13844">
        <v>2.81</v>
      </c>
      <c r="G13844" t="s">
        <v>12</v>
      </c>
      <c r="I13844" t="s">
        <v>1050</v>
      </c>
    </row>
    <row r="13845" spans="1:9" hidden="1" x14ac:dyDescent="0.25">
      <c r="A13845" t="s">
        <v>11537</v>
      </c>
      <c r="B13845" t="s">
        <v>100</v>
      </c>
      <c r="C13845" s="2">
        <f>HYPERLINK("https://cao.dolgi.msk.ru/account/1080288263/", 1080288263)</f>
        <v>1080288263</v>
      </c>
      <c r="D13845" t="s">
        <v>11570</v>
      </c>
      <c r="E13845">
        <v>-3137.12</v>
      </c>
      <c r="F13845">
        <v>-0.86</v>
      </c>
      <c r="G13845" t="s">
        <v>12</v>
      </c>
      <c r="I13845" t="s">
        <v>1050</v>
      </c>
    </row>
    <row r="13846" spans="1:9" hidden="1" x14ac:dyDescent="0.25">
      <c r="A13846" t="s">
        <v>11537</v>
      </c>
      <c r="B13846" t="s">
        <v>102</v>
      </c>
      <c r="C13846" s="2">
        <f>HYPERLINK("https://cao.dolgi.msk.ru/account/1080288271/", 1080288271)</f>
        <v>1080288271</v>
      </c>
      <c r="D13846" t="s">
        <v>11571</v>
      </c>
      <c r="E13846">
        <v>-2807.04</v>
      </c>
      <c r="F13846">
        <v>-0.94</v>
      </c>
      <c r="G13846" t="s">
        <v>12</v>
      </c>
      <c r="I13846" t="s">
        <v>1050</v>
      </c>
    </row>
    <row r="13847" spans="1:9" hidden="1" x14ac:dyDescent="0.25">
      <c r="A13847" t="s">
        <v>11537</v>
      </c>
      <c r="B13847" t="s">
        <v>104</v>
      </c>
      <c r="C13847" s="2">
        <f>HYPERLINK("https://cao.dolgi.msk.ru/account/1080288298/", 1080288298)</f>
        <v>1080288298</v>
      </c>
      <c r="D13847" t="s">
        <v>11572</v>
      </c>
      <c r="E13847">
        <v>-33745.03</v>
      </c>
      <c r="F13847">
        <v>-5.43</v>
      </c>
      <c r="G13847" t="s">
        <v>12</v>
      </c>
      <c r="I13847" t="s">
        <v>1050</v>
      </c>
    </row>
    <row r="13848" spans="1:9" hidden="1" x14ac:dyDescent="0.25">
      <c r="A13848" t="s">
        <v>11537</v>
      </c>
      <c r="B13848" t="s">
        <v>106</v>
      </c>
      <c r="C13848" s="2">
        <f>HYPERLINK("https://cao.dolgi.msk.ru/account/1080288319/", 1080288319)</f>
        <v>1080288319</v>
      </c>
      <c r="D13848" t="s">
        <v>11573</v>
      </c>
      <c r="E13848">
        <v>-14585.54</v>
      </c>
      <c r="F13848">
        <v>-1.17</v>
      </c>
      <c r="G13848" t="s">
        <v>12</v>
      </c>
      <c r="I13848" t="s">
        <v>1050</v>
      </c>
    </row>
    <row r="13849" spans="1:9" hidden="1" x14ac:dyDescent="0.25">
      <c r="A13849" t="s">
        <v>11537</v>
      </c>
      <c r="B13849" t="s">
        <v>110</v>
      </c>
      <c r="C13849" s="2">
        <f>HYPERLINK("https://cao.dolgi.msk.ru/account/1080288327/", 1080288327)</f>
        <v>1080288327</v>
      </c>
      <c r="D13849" t="s">
        <v>11574</v>
      </c>
      <c r="E13849">
        <v>-5562.14</v>
      </c>
      <c r="F13849">
        <v>-1.17</v>
      </c>
      <c r="G13849" t="s">
        <v>12</v>
      </c>
      <c r="I13849" t="s">
        <v>1050</v>
      </c>
    </row>
    <row r="13850" spans="1:9" hidden="1" x14ac:dyDescent="0.25">
      <c r="A13850" t="s">
        <v>11537</v>
      </c>
      <c r="B13850" t="s">
        <v>112</v>
      </c>
      <c r="C13850" s="2">
        <f>HYPERLINK("https://cao.dolgi.msk.ru/account/1080288351/", 1080288351)</f>
        <v>1080288351</v>
      </c>
      <c r="D13850" t="s">
        <v>11575</v>
      </c>
      <c r="E13850">
        <v>-8451.4</v>
      </c>
      <c r="F13850">
        <v>-1.1299999999999999</v>
      </c>
      <c r="G13850" t="s">
        <v>12</v>
      </c>
      <c r="I13850" t="s">
        <v>1050</v>
      </c>
    </row>
    <row r="13851" spans="1:9" hidden="1" x14ac:dyDescent="0.25">
      <c r="A13851" t="s">
        <v>11537</v>
      </c>
      <c r="B13851" t="s">
        <v>114</v>
      </c>
      <c r="C13851" s="2">
        <f>HYPERLINK("https://cao.dolgi.msk.ru/account/1080288378/", 1080288378)</f>
        <v>1080288378</v>
      </c>
      <c r="D13851" t="s">
        <v>11576</v>
      </c>
      <c r="E13851">
        <v>-48.5</v>
      </c>
      <c r="F13851">
        <v>-0.01</v>
      </c>
      <c r="G13851" t="s">
        <v>12</v>
      </c>
      <c r="I13851" t="s">
        <v>1050</v>
      </c>
    </row>
    <row r="13852" spans="1:9" hidden="1" x14ac:dyDescent="0.25">
      <c r="A13852" t="s">
        <v>11537</v>
      </c>
      <c r="B13852" t="s">
        <v>116</v>
      </c>
      <c r="C13852" s="2">
        <f>HYPERLINK("https://cao.dolgi.msk.ru/account/1080287893/", 1080287893)</f>
        <v>1080287893</v>
      </c>
      <c r="D13852" t="s">
        <v>11577</v>
      </c>
      <c r="E13852">
        <v>-4514.55</v>
      </c>
      <c r="F13852">
        <v>-1.06</v>
      </c>
      <c r="G13852" t="s">
        <v>12</v>
      </c>
      <c r="I13852" t="s">
        <v>1050</v>
      </c>
    </row>
    <row r="13853" spans="1:9" hidden="1" x14ac:dyDescent="0.25">
      <c r="A13853" t="s">
        <v>11537</v>
      </c>
      <c r="B13853" t="s">
        <v>118</v>
      </c>
      <c r="C13853" s="2">
        <f>HYPERLINK("https://cao.dolgi.msk.ru/account/1080287906/", 1080287906)</f>
        <v>1080287906</v>
      </c>
      <c r="D13853" t="s">
        <v>15</v>
      </c>
      <c r="E13853">
        <v>0</v>
      </c>
      <c r="G13853" t="s">
        <v>14</v>
      </c>
      <c r="I13853" t="s">
        <v>1050</v>
      </c>
    </row>
    <row r="13854" spans="1:9" hidden="1" x14ac:dyDescent="0.25">
      <c r="A13854" t="s">
        <v>11537</v>
      </c>
      <c r="B13854" t="s">
        <v>120</v>
      </c>
      <c r="C13854" s="2">
        <f>HYPERLINK("https://cao.dolgi.msk.ru/account/1080288255/", 1080288255)</f>
        <v>1080288255</v>
      </c>
      <c r="D13854" t="s">
        <v>15</v>
      </c>
      <c r="E13854">
        <v>-10521.99</v>
      </c>
      <c r="F13854">
        <v>-1.07</v>
      </c>
      <c r="G13854" t="s">
        <v>12</v>
      </c>
      <c r="I13854" t="s">
        <v>1050</v>
      </c>
    </row>
    <row r="13855" spans="1:9" hidden="1" x14ac:dyDescent="0.25">
      <c r="A13855" t="s">
        <v>11537</v>
      </c>
      <c r="B13855" t="s">
        <v>122</v>
      </c>
      <c r="C13855" s="2">
        <f>HYPERLINK("https://cao.dolgi.msk.ru/account/1080288335/", 1080288335)</f>
        <v>1080288335</v>
      </c>
      <c r="D13855" t="s">
        <v>11578</v>
      </c>
      <c r="E13855">
        <v>-24428.34</v>
      </c>
      <c r="F13855">
        <v>-1.19</v>
      </c>
      <c r="G13855" t="s">
        <v>12</v>
      </c>
      <c r="I13855" t="s">
        <v>1050</v>
      </c>
    </row>
    <row r="13856" spans="1:9" hidden="1" x14ac:dyDescent="0.25">
      <c r="A13856" t="s">
        <v>11537</v>
      </c>
      <c r="B13856" t="s">
        <v>124</v>
      </c>
      <c r="C13856" s="2">
        <f>HYPERLINK("https://cao.dolgi.msk.ru/account/1080288386/", 1080288386)</f>
        <v>1080288386</v>
      </c>
      <c r="D13856" t="s">
        <v>11579</v>
      </c>
      <c r="E13856">
        <v>-17201.23</v>
      </c>
      <c r="F13856">
        <v>-1.1599999999999999</v>
      </c>
      <c r="G13856" t="s">
        <v>12</v>
      </c>
      <c r="I13856" t="s">
        <v>1050</v>
      </c>
    </row>
    <row r="13857" spans="1:9" hidden="1" x14ac:dyDescent="0.25">
      <c r="A13857" t="s">
        <v>11537</v>
      </c>
      <c r="B13857" t="s">
        <v>6808</v>
      </c>
      <c r="C13857" s="2">
        <f>HYPERLINK("https://cao.dolgi.msk.ru/account/1080288394/", 1080288394)</f>
        <v>1080288394</v>
      </c>
      <c r="D13857" t="s">
        <v>11580</v>
      </c>
      <c r="E13857">
        <v>-95.2</v>
      </c>
      <c r="F13857">
        <v>-0.02</v>
      </c>
      <c r="G13857" t="s">
        <v>12</v>
      </c>
      <c r="I13857" t="s">
        <v>1050</v>
      </c>
    </row>
    <row r="13858" spans="1:9" hidden="1" x14ac:dyDescent="0.25">
      <c r="A13858" t="s">
        <v>11537</v>
      </c>
      <c r="B13858" t="s">
        <v>126</v>
      </c>
      <c r="C13858" s="2">
        <f>HYPERLINK("https://cao.dolgi.msk.ru/account/1080288407/", 1080288407)</f>
        <v>1080288407</v>
      </c>
      <c r="D13858" t="s">
        <v>11581</v>
      </c>
      <c r="E13858">
        <v>-8604.33</v>
      </c>
      <c r="F13858">
        <v>-1.18</v>
      </c>
      <c r="G13858" t="s">
        <v>12</v>
      </c>
      <c r="I13858" t="s">
        <v>1050</v>
      </c>
    </row>
    <row r="13859" spans="1:9" hidden="1" x14ac:dyDescent="0.25">
      <c r="A13859" t="s">
        <v>11537</v>
      </c>
      <c r="B13859" t="s">
        <v>128</v>
      </c>
      <c r="C13859" s="2">
        <f>HYPERLINK("https://cao.dolgi.msk.ru/account/1080288415/", 1080288415)</f>
        <v>1080288415</v>
      </c>
      <c r="D13859" t="s">
        <v>11582</v>
      </c>
      <c r="E13859">
        <v>-37.1</v>
      </c>
      <c r="F13859">
        <v>-0.01</v>
      </c>
      <c r="G13859" t="s">
        <v>12</v>
      </c>
      <c r="I13859" t="s">
        <v>1050</v>
      </c>
    </row>
    <row r="13860" spans="1:9" hidden="1" x14ac:dyDescent="0.25">
      <c r="A13860" t="s">
        <v>11537</v>
      </c>
      <c r="B13860" t="s">
        <v>130</v>
      </c>
      <c r="C13860" s="2">
        <f>HYPERLINK("https://cao.dolgi.msk.ru/account/1080288423/", 1080288423)</f>
        <v>1080288423</v>
      </c>
      <c r="D13860" t="s">
        <v>11583</v>
      </c>
      <c r="E13860">
        <v>-4957.6400000000003</v>
      </c>
      <c r="F13860">
        <v>-1.21</v>
      </c>
      <c r="G13860" t="s">
        <v>12</v>
      </c>
      <c r="I13860" t="s">
        <v>1050</v>
      </c>
    </row>
    <row r="13861" spans="1:9" hidden="1" x14ac:dyDescent="0.25">
      <c r="A13861" t="s">
        <v>11537</v>
      </c>
      <c r="B13861" t="s">
        <v>132</v>
      </c>
      <c r="C13861" s="2">
        <f>HYPERLINK("https://cao.dolgi.msk.ru/account/1080288458/", 1080288458)</f>
        <v>1080288458</v>
      </c>
      <c r="D13861" t="s">
        <v>11584</v>
      </c>
      <c r="E13861">
        <v>-6224.76</v>
      </c>
      <c r="F13861">
        <v>-1.1200000000000001</v>
      </c>
      <c r="G13861" t="s">
        <v>12</v>
      </c>
      <c r="I13861" t="s">
        <v>1050</v>
      </c>
    </row>
    <row r="13862" spans="1:9" hidden="1" x14ac:dyDescent="0.25">
      <c r="A13862" t="s">
        <v>11537</v>
      </c>
      <c r="B13862" t="s">
        <v>133</v>
      </c>
      <c r="C13862" s="2">
        <f>HYPERLINK("https://cao.dolgi.msk.ru/account/1080288431/", 1080288431)</f>
        <v>1080288431</v>
      </c>
      <c r="D13862" t="s">
        <v>11585</v>
      </c>
      <c r="E13862">
        <v>-61.6</v>
      </c>
      <c r="F13862">
        <v>-0.01</v>
      </c>
      <c r="G13862" t="s">
        <v>12</v>
      </c>
      <c r="I13862" t="s">
        <v>1050</v>
      </c>
    </row>
    <row r="13863" spans="1:9" hidden="1" x14ac:dyDescent="0.25">
      <c r="A13863" t="s">
        <v>11537</v>
      </c>
      <c r="B13863" t="s">
        <v>135</v>
      </c>
      <c r="C13863" s="2">
        <f>HYPERLINK("https://cao.dolgi.msk.ru/account/1080288466/", 1080288466)</f>
        <v>1080288466</v>
      </c>
      <c r="D13863" t="s">
        <v>15</v>
      </c>
      <c r="E13863">
        <v>-4705.8</v>
      </c>
      <c r="F13863">
        <v>-1.2</v>
      </c>
      <c r="G13863" t="s">
        <v>12</v>
      </c>
      <c r="I13863" t="s">
        <v>1050</v>
      </c>
    </row>
    <row r="13864" spans="1:9" hidden="1" x14ac:dyDescent="0.25">
      <c r="A13864" t="s">
        <v>11537</v>
      </c>
      <c r="B13864" t="s">
        <v>137</v>
      </c>
      <c r="C13864" s="2">
        <f>HYPERLINK("https://cao.dolgi.msk.ru/account/1080288474/", 1080288474)</f>
        <v>1080288474</v>
      </c>
      <c r="D13864" t="s">
        <v>11586</v>
      </c>
      <c r="E13864">
        <v>-8894.49</v>
      </c>
      <c r="F13864">
        <v>-1.1599999999999999</v>
      </c>
      <c r="G13864" t="s">
        <v>12</v>
      </c>
      <c r="I13864" t="s">
        <v>1050</v>
      </c>
    </row>
    <row r="13865" spans="1:9" hidden="1" x14ac:dyDescent="0.25">
      <c r="A13865" t="s">
        <v>11537</v>
      </c>
      <c r="B13865" t="s">
        <v>139</v>
      </c>
      <c r="C13865" s="2">
        <f>HYPERLINK("https://cao.dolgi.msk.ru/account/1080288482/", 1080288482)</f>
        <v>1080288482</v>
      </c>
      <c r="D13865" t="s">
        <v>11587</v>
      </c>
      <c r="E13865">
        <v>-7583.5</v>
      </c>
      <c r="F13865">
        <v>-1.23</v>
      </c>
      <c r="G13865" t="s">
        <v>12</v>
      </c>
      <c r="I13865" t="s">
        <v>1050</v>
      </c>
    </row>
    <row r="13866" spans="1:9" hidden="1" x14ac:dyDescent="0.25">
      <c r="A13866" t="s">
        <v>11537</v>
      </c>
      <c r="B13866" t="s">
        <v>141</v>
      </c>
      <c r="C13866" s="2">
        <f>HYPERLINK("https://cao.dolgi.msk.ru/account/1080288554/", 1080288554)</f>
        <v>1080288554</v>
      </c>
      <c r="D13866" t="s">
        <v>62</v>
      </c>
      <c r="E13866">
        <v>44.67</v>
      </c>
      <c r="F13866">
        <v>0.01</v>
      </c>
      <c r="G13866" t="s">
        <v>12</v>
      </c>
      <c r="I13866" t="s">
        <v>1050</v>
      </c>
    </row>
    <row r="13867" spans="1:9" hidden="1" x14ac:dyDescent="0.25">
      <c r="A13867" t="s">
        <v>11537</v>
      </c>
      <c r="B13867" t="s">
        <v>143</v>
      </c>
      <c r="C13867" s="2">
        <f>HYPERLINK("https://cao.dolgi.msk.ru/account/1080288562/", 1080288562)</f>
        <v>1080288562</v>
      </c>
      <c r="D13867" t="s">
        <v>11588</v>
      </c>
      <c r="E13867">
        <v>-8491.25</v>
      </c>
      <c r="F13867">
        <v>-1.1299999999999999</v>
      </c>
      <c r="G13867" t="s">
        <v>12</v>
      </c>
      <c r="I13867" t="s">
        <v>1050</v>
      </c>
    </row>
    <row r="13868" spans="1:9" hidden="1" x14ac:dyDescent="0.25">
      <c r="A13868" t="s">
        <v>11537</v>
      </c>
      <c r="B13868" t="s">
        <v>145</v>
      </c>
      <c r="C13868" s="2">
        <f>HYPERLINK("https://cao.dolgi.msk.ru/account/1080288503/", 1080288503)</f>
        <v>1080288503</v>
      </c>
      <c r="D13868" t="s">
        <v>11589</v>
      </c>
      <c r="E13868">
        <v>-85.5</v>
      </c>
      <c r="F13868">
        <v>-0.01</v>
      </c>
      <c r="G13868" t="s">
        <v>12</v>
      </c>
      <c r="I13868" t="s">
        <v>1050</v>
      </c>
    </row>
    <row r="13869" spans="1:9" hidden="1" x14ac:dyDescent="0.25">
      <c r="A13869" t="s">
        <v>11537</v>
      </c>
      <c r="B13869" t="s">
        <v>147</v>
      </c>
      <c r="C13869" s="2">
        <f>HYPERLINK("https://cao.dolgi.msk.ru/account/1080288538/", 1080288538)</f>
        <v>1080288538</v>
      </c>
      <c r="D13869" t="s">
        <v>11590</v>
      </c>
      <c r="E13869">
        <v>-9909.33</v>
      </c>
      <c r="F13869">
        <v>-1.19</v>
      </c>
      <c r="G13869" t="s">
        <v>12</v>
      </c>
      <c r="I13869" t="s">
        <v>1050</v>
      </c>
    </row>
    <row r="13870" spans="1:9" hidden="1" x14ac:dyDescent="0.25">
      <c r="A13870" t="s">
        <v>11537</v>
      </c>
      <c r="B13870" t="s">
        <v>149</v>
      </c>
      <c r="C13870" s="2">
        <f>HYPERLINK("https://cao.dolgi.msk.ru/account/1080288546/", 1080288546)</f>
        <v>1080288546</v>
      </c>
      <c r="D13870" t="s">
        <v>15</v>
      </c>
      <c r="E13870">
        <v>5848.86</v>
      </c>
      <c r="F13870">
        <v>0.97</v>
      </c>
      <c r="G13870" t="s">
        <v>12</v>
      </c>
      <c r="I13870" t="s">
        <v>1050</v>
      </c>
    </row>
    <row r="13871" spans="1:9" hidden="1" x14ac:dyDescent="0.25">
      <c r="A13871" t="s">
        <v>11537</v>
      </c>
      <c r="B13871" t="s">
        <v>151</v>
      </c>
      <c r="C13871" s="2">
        <f>HYPERLINK("https://cao.dolgi.msk.ru/account/1080288589/", 1080288589)</f>
        <v>1080288589</v>
      </c>
      <c r="D13871" t="s">
        <v>11591</v>
      </c>
      <c r="E13871">
        <v>-7648.54</v>
      </c>
      <c r="F13871">
        <v>-1.03</v>
      </c>
      <c r="G13871" t="s">
        <v>12</v>
      </c>
      <c r="I13871" t="s">
        <v>1050</v>
      </c>
    </row>
    <row r="13872" spans="1:9" hidden="1" x14ac:dyDescent="0.25">
      <c r="A13872" t="s">
        <v>11537</v>
      </c>
      <c r="B13872" t="s">
        <v>153</v>
      </c>
      <c r="C13872" s="2">
        <f>HYPERLINK("https://cao.dolgi.msk.ru/account/1080288511/", 1080288511)</f>
        <v>1080288511</v>
      </c>
      <c r="D13872" t="s">
        <v>11592</v>
      </c>
      <c r="E13872">
        <v>-37.9</v>
      </c>
      <c r="F13872">
        <v>-0.01</v>
      </c>
      <c r="G13872" t="s">
        <v>12</v>
      </c>
      <c r="I13872" t="s">
        <v>1050</v>
      </c>
    </row>
    <row r="13873" spans="1:9" hidden="1" x14ac:dyDescent="0.25">
      <c r="A13873" t="s">
        <v>11537</v>
      </c>
      <c r="B13873" t="s">
        <v>155</v>
      </c>
      <c r="C13873" s="2">
        <f>HYPERLINK("https://cao.dolgi.msk.ru/account/1080288597/", 1080288597)</f>
        <v>1080288597</v>
      </c>
      <c r="D13873" t="s">
        <v>11593</v>
      </c>
      <c r="E13873">
        <v>-75.8</v>
      </c>
      <c r="F13873">
        <v>-0.01</v>
      </c>
      <c r="G13873" t="s">
        <v>12</v>
      </c>
      <c r="I13873" t="s">
        <v>1050</v>
      </c>
    </row>
    <row r="13874" spans="1:9" hidden="1" x14ac:dyDescent="0.25">
      <c r="A13874" t="s">
        <v>11537</v>
      </c>
      <c r="B13874" t="s">
        <v>157</v>
      </c>
      <c r="C13874" s="2">
        <f>HYPERLINK("https://cao.dolgi.msk.ru/account/1080288618/", 1080288618)</f>
        <v>1080288618</v>
      </c>
      <c r="D13874" t="s">
        <v>11594</v>
      </c>
      <c r="E13874">
        <v>0</v>
      </c>
      <c r="F13874">
        <v>0</v>
      </c>
      <c r="G13874" t="s">
        <v>12</v>
      </c>
      <c r="I13874" t="s">
        <v>1050</v>
      </c>
    </row>
    <row r="13875" spans="1:9" x14ac:dyDescent="0.25">
      <c r="A13875" t="s">
        <v>11537</v>
      </c>
      <c r="B13875" t="s">
        <v>159</v>
      </c>
      <c r="C13875" s="2">
        <f>HYPERLINK("https://cao.dolgi.msk.ru/account/1080288626/", 1080288626)</f>
        <v>1080288626</v>
      </c>
      <c r="D13875" t="s">
        <v>15</v>
      </c>
      <c r="E13875">
        <v>7558.17</v>
      </c>
      <c r="F13875">
        <v>1.58</v>
      </c>
      <c r="G13875" t="s">
        <v>12</v>
      </c>
      <c r="I13875" t="s">
        <v>1050</v>
      </c>
    </row>
    <row r="13876" spans="1:9" hidden="1" x14ac:dyDescent="0.25">
      <c r="A13876" t="s">
        <v>11537</v>
      </c>
      <c r="B13876" t="s">
        <v>161</v>
      </c>
      <c r="C13876" s="2">
        <f>HYPERLINK("https://cao.dolgi.msk.ru/account/1080288634/", 1080288634)</f>
        <v>1080288634</v>
      </c>
      <c r="D13876" t="s">
        <v>11595</v>
      </c>
      <c r="E13876">
        <v>-4787.54</v>
      </c>
      <c r="F13876">
        <v>-1.1100000000000001</v>
      </c>
      <c r="G13876" t="s">
        <v>12</v>
      </c>
      <c r="I13876" t="s">
        <v>1050</v>
      </c>
    </row>
    <row r="13877" spans="1:9" hidden="1" x14ac:dyDescent="0.25">
      <c r="A13877" t="s">
        <v>11537</v>
      </c>
      <c r="B13877" t="s">
        <v>163</v>
      </c>
      <c r="C13877" s="2">
        <f>HYPERLINK("https://cao.dolgi.msk.ru/account/1080288642/", 1080288642)</f>
        <v>1080288642</v>
      </c>
      <c r="D13877" t="s">
        <v>11596</v>
      </c>
      <c r="E13877">
        <v>-4884.41</v>
      </c>
      <c r="F13877">
        <v>-1.08</v>
      </c>
      <c r="G13877" t="s">
        <v>12</v>
      </c>
      <c r="I13877" t="s">
        <v>1050</v>
      </c>
    </row>
    <row r="13878" spans="1:9" hidden="1" x14ac:dyDescent="0.25">
      <c r="A13878" t="s">
        <v>11537</v>
      </c>
      <c r="B13878" t="s">
        <v>571</v>
      </c>
      <c r="C13878" s="2">
        <f>HYPERLINK("https://cao.dolgi.msk.ru/account/1080288669/", 1080288669)</f>
        <v>1080288669</v>
      </c>
      <c r="D13878" t="s">
        <v>11597</v>
      </c>
      <c r="E13878">
        <v>-4548.12</v>
      </c>
      <c r="F13878">
        <v>-1.22</v>
      </c>
      <c r="G13878" t="s">
        <v>12</v>
      </c>
      <c r="I13878" t="s">
        <v>1050</v>
      </c>
    </row>
    <row r="13879" spans="1:9" hidden="1" x14ac:dyDescent="0.25">
      <c r="A13879" t="s">
        <v>11537</v>
      </c>
      <c r="B13879" t="s">
        <v>682</v>
      </c>
      <c r="C13879" s="2">
        <f>HYPERLINK("https://cao.dolgi.msk.ru/account/1080288677/", 1080288677)</f>
        <v>1080288677</v>
      </c>
      <c r="D13879" t="s">
        <v>11598</v>
      </c>
      <c r="E13879">
        <v>-14765.14</v>
      </c>
      <c r="F13879">
        <v>-1.1599999999999999</v>
      </c>
      <c r="G13879" t="s">
        <v>12</v>
      </c>
      <c r="I13879" t="s">
        <v>1050</v>
      </c>
    </row>
    <row r="13880" spans="1:9" hidden="1" x14ac:dyDescent="0.25">
      <c r="A13880" t="s">
        <v>11537</v>
      </c>
      <c r="B13880" t="s">
        <v>578</v>
      </c>
      <c r="C13880" s="2">
        <f>HYPERLINK("https://cao.dolgi.msk.ru/account/1080288706/", 1080288706)</f>
        <v>1080288706</v>
      </c>
      <c r="D13880" t="s">
        <v>15</v>
      </c>
      <c r="G13880" t="s">
        <v>14</v>
      </c>
      <c r="I13880" t="s">
        <v>1050</v>
      </c>
    </row>
    <row r="13881" spans="1:9" hidden="1" x14ac:dyDescent="0.25">
      <c r="A13881" t="s">
        <v>11537</v>
      </c>
      <c r="B13881" t="s">
        <v>580</v>
      </c>
      <c r="C13881" s="2">
        <f>HYPERLINK("https://cao.dolgi.msk.ru/account/1080288685/", 1080288685)</f>
        <v>1080288685</v>
      </c>
      <c r="D13881" t="s">
        <v>11599</v>
      </c>
      <c r="E13881">
        <v>0</v>
      </c>
      <c r="F13881">
        <v>0</v>
      </c>
      <c r="G13881" t="s">
        <v>12</v>
      </c>
      <c r="I13881" t="s">
        <v>1050</v>
      </c>
    </row>
    <row r="13882" spans="1:9" hidden="1" x14ac:dyDescent="0.25">
      <c r="A13882" t="s">
        <v>11537</v>
      </c>
      <c r="B13882" t="s">
        <v>686</v>
      </c>
      <c r="C13882" s="2">
        <f>HYPERLINK("https://cao.dolgi.msk.ru/account/1080288693/", 1080288693)</f>
        <v>1080288693</v>
      </c>
      <c r="D13882" t="s">
        <v>11600</v>
      </c>
      <c r="E13882">
        <v>-35592.85</v>
      </c>
      <c r="F13882">
        <v>-1.2</v>
      </c>
      <c r="G13882" t="s">
        <v>12</v>
      </c>
      <c r="I13882" t="s">
        <v>1050</v>
      </c>
    </row>
    <row r="13883" spans="1:9" hidden="1" x14ac:dyDescent="0.25">
      <c r="A13883" t="s">
        <v>11601</v>
      </c>
      <c r="B13883" t="s">
        <v>578</v>
      </c>
      <c r="C13883" s="2">
        <f>HYPERLINK("https://cao.dolgi.msk.ru/account/1080289143/", 1080289143)</f>
        <v>1080289143</v>
      </c>
      <c r="D13883" t="s">
        <v>11602</v>
      </c>
      <c r="E13883">
        <v>-3931.28</v>
      </c>
      <c r="F13883">
        <v>-0.5</v>
      </c>
      <c r="G13883" t="s">
        <v>12</v>
      </c>
      <c r="I13883" t="s">
        <v>1050</v>
      </c>
    </row>
    <row r="13884" spans="1:9" hidden="1" x14ac:dyDescent="0.25">
      <c r="A13884" t="s">
        <v>11601</v>
      </c>
      <c r="B13884" t="s">
        <v>580</v>
      </c>
      <c r="C13884" s="2">
        <f>HYPERLINK("https://cao.dolgi.msk.ru/account/1080289151/", 1080289151)</f>
        <v>1080289151</v>
      </c>
      <c r="D13884" t="s">
        <v>11603</v>
      </c>
      <c r="E13884">
        <v>-3856.36</v>
      </c>
      <c r="F13884">
        <v>-1.04</v>
      </c>
      <c r="G13884" t="s">
        <v>12</v>
      </c>
      <c r="I13884" t="s">
        <v>1050</v>
      </c>
    </row>
    <row r="13885" spans="1:9" hidden="1" x14ac:dyDescent="0.25">
      <c r="A13885" t="s">
        <v>11601</v>
      </c>
      <c r="B13885" t="s">
        <v>686</v>
      </c>
      <c r="C13885" s="2">
        <f>HYPERLINK("https://cao.dolgi.msk.ru/account/1080289178/", 1080289178)</f>
        <v>1080289178</v>
      </c>
      <c r="D13885" t="s">
        <v>15</v>
      </c>
      <c r="E13885">
        <v>363.91</v>
      </c>
      <c r="G13885" t="s">
        <v>14</v>
      </c>
      <c r="I13885" t="s">
        <v>1050</v>
      </c>
    </row>
    <row r="13886" spans="1:9" hidden="1" x14ac:dyDescent="0.25">
      <c r="A13886" t="s">
        <v>11601</v>
      </c>
      <c r="B13886" t="s">
        <v>686</v>
      </c>
      <c r="C13886" s="2">
        <f>HYPERLINK("https://cao.dolgi.msk.ru/account/1080320374/", 1080320374)</f>
        <v>1080320374</v>
      </c>
      <c r="D13886" t="s">
        <v>15</v>
      </c>
      <c r="E13886">
        <v>0</v>
      </c>
      <c r="G13886" t="s">
        <v>14</v>
      </c>
      <c r="I13886" t="s">
        <v>1050</v>
      </c>
    </row>
    <row r="13887" spans="1:9" hidden="1" x14ac:dyDescent="0.25">
      <c r="A13887" t="s">
        <v>11601</v>
      </c>
      <c r="B13887" t="s">
        <v>582</v>
      </c>
      <c r="C13887" s="2">
        <f>HYPERLINK("https://cao.dolgi.msk.ru/account/1080289186/", 1080289186)</f>
        <v>1080289186</v>
      </c>
      <c r="D13887" t="s">
        <v>11604</v>
      </c>
      <c r="E13887">
        <v>-65.489999999999995</v>
      </c>
      <c r="F13887">
        <v>-0.02</v>
      </c>
      <c r="G13887" t="s">
        <v>12</v>
      </c>
      <c r="I13887" t="s">
        <v>1050</v>
      </c>
    </row>
    <row r="13888" spans="1:9" hidden="1" x14ac:dyDescent="0.25">
      <c r="A13888" t="s">
        <v>11601</v>
      </c>
      <c r="B13888" t="s">
        <v>584</v>
      </c>
      <c r="C13888" s="2">
        <f>HYPERLINK("https://cao.dolgi.msk.ru/account/1080289194/", 1080289194)</f>
        <v>1080289194</v>
      </c>
      <c r="D13888" t="s">
        <v>11605</v>
      </c>
      <c r="E13888">
        <v>-9546.7900000000009</v>
      </c>
      <c r="F13888">
        <v>-1.24</v>
      </c>
      <c r="G13888" t="s">
        <v>12</v>
      </c>
      <c r="I13888" t="s">
        <v>1050</v>
      </c>
    </row>
    <row r="13889" spans="1:9" hidden="1" x14ac:dyDescent="0.25">
      <c r="A13889" t="s">
        <v>11601</v>
      </c>
      <c r="B13889" t="s">
        <v>586</v>
      </c>
      <c r="C13889" s="2">
        <f>HYPERLINK("https://cao.dolgi.msk.ru/account/1080289207/", 1080289207)</f>
        <v>1080289207</v>
      </c>
      <c r="D13889" t="s">
        <v>11606</v>
      </c>
      <c r="E13889">
        <v>0</v>
      </c>
      <c r="F13889">
        <v>0</v>
      </c>
      <c r="G13889" t="s">
        <v>12</v>
      </c>
      <c r="I13889" t="s">
        <v>1050</v>
      </c>
    </row>
    <row r="13890" spans="1:9" hidden="1" x14ac:dyDescent="0.25">
      <c r="A13890" t="s">
        <v>11601</v>
      </c>
      <c r="B13890" t="s">
        <v>588</v>
      </c>
      <c r="C13890" s="2">
        <f>HYPERLINK("https://cao.dolgi.msk.ru/account/1080289215/", 1080289215)</f>
        <v>1080289215</v>
      </c>
      <c r="D13890" t="s">
        <v>11607</v>
      </c>
      <c r="E13890">
        <v>0</v>
      </c>
      <c r="F13890">
        <v>0</v>
      </c>
      <c r="G13890" t="s">
        <v>12</v>
      </c>
      <c r="I13890" t="s">
        <v>1050</v>
      </c>
    </row>
    <row r="13891" spans="1:9" hidden="1" x14ac:dyDescent="0.25">
      <c r="A13891" t="s">
        <v>11601</v>
      </c>
      <c r="B13891" t="s">
        <v>590</v>
      </c>
      <c r="C13891" s="2">
        <f>HYPERLINK("https://cao.dolgi.msk.ru/account/1080289223/", 1080289223)</f>
        <v>1080289223</v>
      </c>
      <c r="D13891" t="s">
        <v>15</v>
      </c>
      <c r="E13891">
        <v>-4042.98</v>
      </c>
      <c r="F13891">
        <v>-1.1200000000000001</v>
      </c>
      <c r="G13891" t="s">
        <v>12</v>
      </c>
      <c r="I13891" t="s">
        <v>1050</v>
      </c>
    </row>
    <row r="13892" spans="1:9" hidden="1" x14ac:dyDescent="0.25">
      <c r="A13892" t="s">
        <v>11601</v>
      </c>
      <c r="B13892" t="s">
        <v>693</v>
      </c>
      <c r="C13892" s="2">
        <f>HYPERLINK("https://cao.dolgi.msk.ru/account/1080289231/", 1080289231)</f>
        <v>1080289231</v>
      </c>
      <c r="D13892" t="s">
        <v>11608</v>
      </c>
      <c r="E13892">
        <v>-426.62</v>
      </c>
      <c r="F13892">
        <v>-0.06</v>
      </c>
      <c r="G13892" t="s">
        <v>12</v>
      </c>
      <c r="I13892" t="s">
        <v>1050</v>
      </c>
    </row>
    <row r="13893" spans="1:9" hidden="1" x14ac:dyDescent="0.25">
      <c r="A13893" t="s">
        <v>11601</v>
      </c>
      <c r="B13893" t="s">
        <v>694</v>
      </c>
      <c r="C13893" s="2">
        <f>HYPERLINK("https://cao.dolgi.msk.ru/account/1080289258/", 1080289258)</f>
        <v>1080289258</v>
      </c>
      <c r="D13893" t="s">
        <v>62</v>
      </c>
      <c r="E13893">
        <v>-8710.11</v>
      </c>
      <c r="F13893">
        <v>-1.1399999999999999</v>
      </c>
      <c r="G13893" t="s">
        <v>12</v>
      </c>
      <c r="I13893" t="s">
        <v>1050</v>
      </c>
    </row>
    <row r="13894" spans="1:9" hidden="1" x14ac:dyDescent="0.25">
      <c r="A13894" t="s">
        <v>11601</v>
      </c>
      <c r="B13894" t="s">
        <v>696</v>
      </c>
      <c r="C13894" s="2">
        <f>HYPERLINK("https://cao.dolgi.msk.ru/account/1080289266/", 1080289266)</f>
        <v>1080289266</v>
      </c>
      <c r="D13894" t="s">
        <v>11609</v>
      </c>
      <c r="E13894">
        <v>-3539.46</v>
      </c>
      <c r="F13894">
        <v>-1.21</v>
      </c>
      <c r="G13894" t="s">
        <v>12</v>
      </c>
      <c r="I13894" t="s">
        <v>1050</v>
      </c>
    </row>
    <row r="13895" spans="1:9" hidden="1" x14ac:dyDescent="0.25">
      <c r="A13895" t="s">
        <v>11601</v>
      </c>
      <c r="B13895" t="s">
        <v>698</v>
      </c>
      <c r="C13895" s="2">
        <f>HYPERLINK("https://cao.dolgi.msk.ru/account/1080289274/", 1080289274)</f>
        <v>1080289274</v>
      </c>
      <c r="D13895" t="s">
        <v>11610</v>
      </c>
      <c r="E13895">
        <v>-14.24</v>
      </c>
      <c r="F13895">
        <v>0</v>
      </c>
      <c r="G13895" t="s">
        <v>12</v>
      </c>
      <c r="I13895" t="s">
        <v>1050</v>
      </c>
    </row>
    <row r="13896" spans="1:9" hidden="1" x14ac:dyDescent="0.25">
      <c r="A13896" t="s">
        <v>11601</v>
      </c>
      <c r="B13896" t="s">
        <v>700</v>
      </c>
      <c r="C13896" s="2">
        <f>HYPERLINK("https://cao.dolgi.msk.ru/account/1080289282/", 1080289282)</f>
        <v>1080289282</v>
      </c>
      <c r="D13896" t="s">
        <v>11611</v>
      </c>
      <c r="E13896">
        <v>-10046.200000000001</v>
      </c>
      <c r="F13896">
        <v>-1.19</v>
      </c>
      <c r="G13896" t="s">
        <v>12</v>
      </c>
      <c r="I13896" t="s">
        <v>1050</v>
      </c>
    </row>
    <row r="13897" spans="1:9" hidden="1" x14ac:dyDescent="0.25">
      <c r="A13897" t="s">
        <v>11601</v>
      </c>
      <c r="B13897" t="s">
        <v>702</v>
      </c>
      <c r="C13897" s="2">
        <f>HYPERLINK("https://cao.dolgi.msk.ru/account/1080289303/", 1080289303)</f>
        <v>1080289303</v>
      </c>
      <c r="D13897" t="s">
        <v>62</v>
      </c>
      <c r="E13897">
        <v>-15807.92</v>
      </c>
      <c r="F13897">
        <v>-1.1100000000000001</v>
      </c>
      <c r="G13897" t="s">
        <v>12</v>
      </c>
      <c r="I13897" t="s">
        <v>1050</v>
      </c>
    </row>
    <row r="13898" spans="1:9" hidden="1" x14ac:dyDescent="0.25">
      <c r="A13898" t="s">
        <v>11601</v>
      </c>
      <c r="B13898" t="s">
        <v>703</v>
      </c>
      <c r="C13898" s="2">
        <f>HYPERLINK("https://cao.dolgi.msk.ru/account/1080289311/", 1080289311)</f>
        <v>1080289311</v>
      </c>
      <c r="D13898" t="s">
        <v>11612</v>
      </c>
      <c r="E13898">
        <v>-4323.71</v>
      </c>
      <c r="F13898">
        <v>-1.1100000000000001</v>
      </c>
      <c r="G13898" t="s">
        <v>12</v>
      </c>
      <c r="I13898" t="s">
        <v>1050</v>
      </c>
    </row>
    <row r="13899" spans="1:9" hidden="1" x14ac:dyDescent="0.25">
      <c r="A13899" t="s">
        <v>11601</v>
      </c>
      <c r="B13899" t="s">
        <v>705</v>
      </c>
      <c r="C13899" s="2">
        <f>HYPERLINK("https://cao.dolgi.msk.ru/account/1080289338/", 1080289338)</f>
        <v>1080289338</v>
      </c>
      <c r="D13899" t="s">
        <v>11613</v>
      </c>
      <c r="E13899">
        <v>-4933.93</v>
      </c>
      <c r="F13899">
        <v>-1.56</v>
      </c>
      <c r="G13899" t="s">
        <v>12</v>
      </c>
      <c r="I13899" t="s">
        <v>1050</v>
      </c>
    </row>
    <row r="13900" spans="1:9" hidden="1" x14ac:dyDescent="0.25">
      <c r="A13900" t="s">
        <v>11601</v>
      </c>
      <c r="B13900" t="s">
        <v>707</v>
      </c>
      <c r="C13900" s="2">
        <f>HYPERLINK("https://cao.dolgi.msk.ru/account/1080289346/", 1080289346)</f>
        <v>1080289346</v>
      </c>
      <c r="D13900" t="s">
        <v>11614</v>
      </c>
      <c r="E13900">
        <v>-9691.17</v>
      </c>
      <c r="F13900">
        <v>-1.19</v>
      </c>
      <c r="G13900" t="s">
        <v>12</v>
      </c>
      <c r="I13900" t="s">
        <v>1050</v>
      </c>
    </row>
    <row r="13901" spans="1:9" hidden="1" x14ac:dyDescent="0.25">
      <c r="A13901" t="s">
        <v>11601</v>
      </c>
      <c r="B13901" t="s">
        <v>709</v>
      </c>
      <c r="C13901" s="2">
        <f>HYPERLINK("https://cao.dolgi.msk.ru/account/1080289354/", 1080289354)</f>
        <v>1080289354</v>
      </c>
      <c r="D13901" t="s">
        <v>11615</v>
      </c>
      <c r="E13901">
        <v>-12674.18</v>
      </c>
      <c r="F13901">
        <v>-1.1499999999999999</v>
      </c>
      <c r="G13901" t="s">
        <v>12</v>
      </c>
      <c r="I13901" t="s">
        <v>1050</v>
      </c>
    </row>
    <row r="13902" spans="1:9" hidden="1" x14ac:dyDescent="0.25">
      <c r="A13902" t="s">
        <v>11601</v>
      </c>
      <c r="B13902" t="s">
        <v>711</v>
      </c>
      <c r="C13902" s="2">
        <f>HYPERLINK("https://cao.dolgi.msk.ru/account/1080289362/", 1080289362)</f>
        <v>1080289362</v>
      </c>
      <c r="D13902" t="s">
        <v>62</v>
      </c>
      <c r="E13902">
        <v>-4406.4799999999996</v>
      </c>
      <c r="F13902">
        <v>-1.07</v>
      </c>
      <c r="G13902" t="s">
        <v>12</v>
      </c>
      <c r="I13902" t="s">
        <v>1050</v>
      </c>
    </row>
    <row r="13903" spans="1:9" hidden="1" x14ac:dyDescent="0.25">
      <c r="A13903" t="s">
        <v>11601</v>
      </c>
      <c r="B13903" t="s">
        <v>713</v>
      </c>
      <c r="C13903" s="2">
        <f>HYPERLINK("https://cao.dolgi.msk.ru/account/1080289389/", 1080289389)</f>
        <v>1080289389</v>
      </c>
      <c r="D13903" t="s">
        <v>11616</v>
      </c>
      <c r="E13903">
        <v>-11620.3</v>
      </c>
      <c r="F13903">
        <v>-1.55</v>
      </c>
      <c r="G13903" t="s">
        <v>12</v>
      </c>
      <c r="I13903" t="s">
        <v>1050</v>
      </c>
    </row>
    <row r="13904" spans="1:9" hidden="1" x14ac:dyDescent="0.25">
      <c r="A13904" t="s">
        <v>11601</v>
      </c>
      <c r="B13904" t="s">
        <v>528</v>
      </c>
      <c r="C13904" s="2">
        <f>HYPERLINK("https://cao.dolgi.msk.ru/account/1080289397/", 1080289397)</f>
        <v>1080289397</v>
      </c>
      <c r="D13904" t="s">
        <v>11617</v>
      </c>
      <c r="E13904">
        <v>-1302.76</v>
      </c>
      <c r="G13904" t="s">
        <v>14</v>
      </c>
      <c r="I13904" t="s">
        <v>1050</v>
      </c>
    </row>
    <row r="13905" spans="1:9" hidden="1" x14ac:dyDescent="0.25">
      <c r="A13905" t="s">
        <v>11601</v>
      </c>
      <c r="B13905" t="s">
        <v>530</v>
      </c>
      <c r="C13905" s="2">
        <f>HYPERLINK("https://cao.dolgi.msk.ru/account/1080289418/", 1080289418)</f>
        <v>1080289418</v>
      </c>
      <c r="D13905" t="s">
        <v>62</v>
      </c>
      <c r="E13905">
        <v>-4239.84</v>
      </c>
      <c r="F13905">
        <v>-1.18</v>
      </c>
      <c r="G13905" t="s">
        <v>12</v>
      </c>
      <c r="I13905" t="s">
        <v>1050</v>
      </c>
    </row>
    <row r="13906" spans="1:9" hidden="1" x14ac:dyDescent="0.25">
      <c r="A13906" t="s">
        <v>11601</v>
      </c>
      <c r="B13906" t="s">
        <v>532</v>
      </c>
      <c r="C13906" s="2">
        <f>HYPERLINK("https://cao.dolgi.msk.ru/account/1080289426/", 1080289426)</f>
        <v>1080289426</v>
      </c>
      <c r="D13906" t="s">
        <v>11618</v>
      </c>
      <c r="E13906">
        <v>-1837.18</v>
      </c>
      <c r="F13906">
        <v>-0.27</v>
      </c>
      <c r="G13906" t="s">
        <v>12</v>
      </c>
      <c r="I13906" t="s">
        <v>1050</v>
      </c>
    </row>
    <row r="13907" spans="1:9" hidden="1" x14ac:dyDescent="0.25">
      <c r="A13907" t="s">
        <v>11601</v>
      </c>
      <c r="B13907" t="s">
        <v>534</v>
      </c>
      <c r="C13907" s="2">
        <f>HYPERLINK("https://cao.dolgi.msk.ru/account/1080289434/", 1080289434)</f>
        <v>1080289434</v>
      </c>
      <c r="D13907" t="s">
        <v>11619</v>
      </c>
      <c r="E13907">
        <v>-5192.3</v>
      </c>
      <c r="F13907">
        <v>-1.1499999999999999</v>
      </c>
      <c r="G13907" t="s">
        <v>12</v>
      </c>
      <c r="I13907" t="s">
        <v>1050</v>
      </c>
    </row>
    <row r="13908" spans="1:9" hidden="1" x14ac:dyDescent="0.25">
      <c r="A13908" t="s">
        <v>11601</v>
      </c>
      <c r="B13908" t="s">
        <v>536</v>
      </c>
      <c r="C13908" s="2">
        <f>HYPERLINK("https://cao.dolgi.msk.ru/account/1080289442/", 1080289442)</f>
        <v>1080289442</v>
      </c>
      <c r="D13908" t="s">
        <v>11620</v>
      </c>
      <c r="E13908">
        <v>-268.95999999999998</v>
      </c>
      <c r="F13908">
        <v>-0.03</v>
      </c>
      <c r="G13908" t="s">
        <v>12</v>
      </c>
      <c r="I13908" t="s">
        <v>1050</v>
      </c>
    </row>
    <row r="13909" spans="1:9" hidden="1" x14ac:dyDescent="0.25">
      <c r="A13909" t="s">
        <v>11601</v>
      </c>
      <c r="B13909" t="s">
        <v>538</v>
      </c>
      <c r="C13909" s="2">
        <f>HYPERLINK("https://cao.dolgi.msk.ru/account/1080289469/", 1080289469)</f>
        <v>1080289469</v>
      </c>
      <c r="D13909" t="s">
        <v>11621</v>
      </c>
      <c r="E13909">
        <v>-9940.4599999999991</v>
      </c>
      <c r="F13909">
        <v>-1.19</v>
      </c>
      <c r="G13909" t="s">
        <v>12</v>
      </c>
      <c r="I13909" t="s">
        <v>1050</v>
      </c>
    </row>
    <row r="13910" spans="1:9" hidden="1" x14ac:dyDescent="0.25">
      <c r="A13910" t="s">
        <v>11601</v>
      </c>
      <c r="B13910" t="s">
        <v>539</v>
      </c>
      <c r="C13910" s="2">
        <f>HYPERLINK("https://cao.dolgi.msk.ru/account/1080289477/", 1080289477)</f>
        <v>1080289477</v>
      </c>
      <c r="D13910" t="s">
        <v>62</v>
      </c>
      <c r="E13910">
        <v>-4679</v>
      </c>
      <c r="F13910">
        <v>-1.08</v>
      </c>
      <c r="G13910" t="s">
        <v>12</v>
      </c>
      <c r="I13910" t="s">
        <v>1050</v>
      </c>
    </row>
    <row r="13911" spans="1:9" hidden="1" x14ac:dyDescent="0.25">
      <c r="A13911" t="s">
        <v>11601</v>
      </c>
      <c r="B13911" t="s">
        <v>541</v>
      </c>
      <c r="C13911" s="2">
        <f>HYPERLINK("https://cao.dolgi.msk.ru/account/1080289485/", 1080289485)</f>
        <v>1080289485</v>
      </c>
      <c r="D13911" t="s">
        <v>11622</v>
      </c>
      <c r="E13911">
        <v>-4054.13</v>
      </c>
      <c r="F13911">
        <v>-1</v>
      </c>
      <c r="G13911" t="s">
        <v>12</v>
      </c>
      <c r="I13911" t="s">
        <v>1050</v>
      </c>
    </row>
    <row r="13912" spans="1:9" hidden="1" x14ac:dyDescent="0.25">
      <c r="A13912" t="s">
        <v>11601</v>
      </c>
      <c r="B13912" t="s">
        <v>543</v>
      </c>
      <c r="C13912" s="2">
        <f>HYPERLINK("https://cao.dolgi.msk.ru/account/1080289493/", 1080289493)</f>
        <v>1080289493</v>
      </c>
      <c r="D13912" t="s">
        <v>62</v>
      </c>
      <c r="E13912">
        <v>-9458.51</v>
      </c>
      <c r="F13912">
        <v>-1.24</v>
      </c>
      <c r="G13912" t="s">
        <v>12</v>
      </c>
      <c r="I13912" t="s">
        <v>1050</v>
      </c>
    </row>
    <row r="13913" spans="1:9" hidden="1" x14ac:dyDescent="0.25">
      <c r="A13913" t="s">
        <v>11601</v>
      </c>
      <c r="B13913" t="s">
        <v>545</v>
      </c>
      <c r="C13913" s="2">
        <f>HYPERLINK("https://cao.dolgi.msk.ru/account/1080289506/", 1080289506)</f>
        <v>1080289506</v>
      </c>
      <c r="D13913" t="s">
        <v>62</v>
      </c>
      <c r="E13913">
        <v>-1619.16</v>
      </c>
      <c r="F13913">
        <v>-0.13</v>
      </c>
      <c r="G13913" t="s">
        <v>12</v>
      </c>
      <c r="I13913" t="s">
        <v>1050</v>
      </c>
    </row>
    <row r="13914" spans="1:9" hidden="1" x14ac:dyDescent="0.25">
      <c r="A13914" t="s">
        <v>11601</v>
      </c>
      <c r="B13914" t="s">
        <v>546</v>
      </c>
      <c r="C13914" s="2">
        <f>HYPERLINK("https://cao.dolgi.msk.ru/account/1080289514/", 1080289514)</f>
        <v>1080289514</v>
      </c>
      <c r="D13914" t="s">
        <v>11623</v>
      </c>
      <c r="E13914">
        <v>-2317.34</v>
      </c>
      <c r="F13914">
        <v>-1.06</v>
      </c>
      <c r="G13914" t="s">
        <v>12</v>
      </c>
      <c r="I13914" t="s">
        <v>1050</v>
      </c>
    </row>
    <row r="13915" spans="1:9" hidden="1" x14ac:dyDescent="0.25">
      <c r="A13915" t="s">
        <v>11601</v>
      </c>
      <c r="B13915" t="s">
        <v>548</v>
      </c>
      <c r="C13915" s="2">
        <f>HYPERLINK("https://cao.dolgi.msk.ru/account/1080289522/", 1080289522)</f>
        <v>1080289522</v>
      </c>
      <c r="D13915" t="s">
        <v>11624</v>
      </c>
      <c r="E13915">
        <v>-5875.3</v>
      </c>
      <c r="F13915">
        <v>-1.1100000000000001</v>
      </c>
      <c r="G13915" t="s">
        <v>12</v>
      </c>
      <c r="I13915" t="s">
        <v>1050</v>
      </c>
    </row>
    <row r="13916" spans="1:9" hidden="1" x14ac:dyDescent="0.25">
      <c r="A13916" t="s">
        <v>11601</v>
      </c>
      <c r="B13916" t="s">
        <v>727</v>
      </c>
      <c r="C13916" s="2">
        <f>HYPERLINK("https://cao.dolgi.msk.ru/account/1080289549/", 1080289549)</f>
        <v>1080289549</v>
      </c>
      <c r="D13916" t="s">
        <v>11625</v>
      </c>
      <c r="E13916">
        <v>-10499.02</v>
      </c>
      <c r="F13916">
        <v>-1.27</v>
      </c>
      <c r="G13916" t="s">
        <v>12</v>
      </c>
      <c r="I13916" t="s">
        <v>1050</v>
      </c>
    </row>
    <row r="13917" spans="1:9" hidden="1" x14ac:dyDescent="0.25">
      <c r="A13917" t="s">
        <v>11601</v>
      </c>
      <c r="B13917" t="s">
        <v>551</v>
      </c>
      <c r="C13917" s="2">
        <f>HYPERLINK("https://cao.dolgi.msk.ru/account/1080289557/", 1080289557)</f>
        <v>1080289557</v>
      </c>
      <c r="D13917" t="s">
        <v>11626</v>
      </c>
      <c r="E13917">
        <v>-9041.42</v>
      </c>
      <c r="F13917">
        <v>-1.18</v>
      </c>
      <c r="G13917" t="s">
        <v>12</v>
      </c>
      <c r="I13917" t="s">
        <v>1050</v>
      </c>
    </row>
    <row r="13918" spans="1:9" hidden="1" x14ac:dyDescent="0.25">
      <c r="A13918" t="s">
        <v>11601</v>
      </c>
      <c r="B13918" t="s">
        <v>730</v>
      </c>
      <c r="C13918" s="2">
        <f>HYPERLINK("https://cao.dolgi.msk.ru/account/1080289565/", 1080289565)</f>
        <v>1080289565</v>
      </c>
      <c r="D13918" t="s">
        <v>11627</v>
      </c>
      <c r="E13918">
        <v>-1991.16</v>
      </c>
      <c r="F13918">
        <v>-0.7</v>
      </c>
      <c r="G13918" t="s">
        <v>12</v>
      </c>
      <c r="I13918" t="s">
        <v>1050</v>
      </c>
    </row>
    <row r="13919" spans="1:9" hidden="1" x14ac:dyDescent="0.25">
      <c r="A13919" t="s">
        <v>11601</v>
      </c>
      <c r="B13919" t="s">
        <v>732</v>
      </c>
      <c r="C13919" s="2">
        <f>HYPERLINK("https://cao.dolgi.msk.ru/account/1080289573/", 1080289573)</f>
        <v>1080289573</v>
      </c>
      <c r="D13919" t="s">
        <v>11628</v>
      </c>
      <c r="E13919">
        <v>-2527.34</v>
      </c>
      <c r="F13919">
        <v>-1.01</v>
      </c>
      <c r="G13919" t="s">
        <v>12</v>
      </c>
      <c r="I13919" t="s">
        <v>1050</v>
      </c>
    </row>
    <row r="13920" spans="1:9" hidden="1" x14ac:dyDescent="0.25">
      <c r="A13920" t="s">
        <v>11601</v>
      </c>
      <c r="B13920" t="s">
        <v>553</v>
      </c>
      <c r="C13920" s="2">
        <f>HYPERLINK("https://cao.dolgi.msk.ru/account/1080289581/", 1080289581)</f>
        <v>1080289581</v>
      </c>
      <c r="D13920" t="s">
        <v>11629</v>
      </c>
      <c r="E13920">
        <v>-7151.04</v>
      </c>
      <c r="F13920">
        <v>-1.3</v>
      </c>
      <c r="G13920" t="s">
        <v>12</v>
      </c>
      <c r="I13920" t="s">
        <v>1050</v>
      </c>
    </row>
    <row r="13921" spans="1:9" hidden="1" x14ac:dyDescent="0.25">
      <c r="A13921" t="s">
        <v>11601</v>
      </c>
      <c r="B13921" t="s">
        <v>555</v>
      </c>
      <c r="C13921" s="2">
        <f>HYPERLINK("https://cao.dolgi.msk.ru/account/1080289602/", 1080289602)</f>
        <v>1080289602</v>
      </c>
      <c r="D13921" t="s">
        <v>15</v>
      </c>
      <c r="E13921">
        <v>-10980.18</v>
      </c>
      <c r="F13921">
        <v>-1.35</v>
      </c>
      <c r="G13921" t="s">
        <v>12</v>
      </c>
      <c r="I13921" t="s">
        <v>1050</v>
      </c>
    </row>
    <row r="13922" spans="1:9" hidden="1" x14ac:dyDescent="0.25">
      <c r="A13922" t="s">
        <v>11601</v>
      </c>
      <c r="B13922" t="s">
        <v>736</v>
      </c>
      <c r="C13922" s="2">
        <f>HYPERLINK("https://cao.dolgi.msk.ru/account/1080289629/", 1080289629)</f>
        <v>1080289629</v>
      </c>
      <c r="D13922" t="s">
        <v>11630</v>
      </c>
      <c r="E13922">
        <v>-5029.01</v>
      </c>
      <c r="F13922">
        <v>-1.1100000000000001</v>
      </c>
      <c r="G13922" t="s">
        <v>12</v>
      </c>
      <c r="I13922" t="s">
        <v>1050</v>
      </c>
    </row>
    <row r="13923" spans="1:9" x14ac:dyDescent="0.25">
      <c r="A13923" t="s">
        <v>11601</v>
      </c>
      <c r="B13923" t="s">
        <v>738</v>
      </c>
      <c r="C13923" s="2">
        <f>HYPERLINK("https://cao.dolgi.msk.ru/account/1080289637/", 1080289637)</f>
        <v>1080289637</v>
      </c>
      <c r="D13923" t="s">
        <v>11631</v>
      </c>
      <c r="E13923">
        <v>50753.87</v>
      </c>
      <c r="F13923">
        <v>7.17</v>
      </c>
      <c r="G13923" t="s">
        <v>12</v>
      </c>
      <c r="I13923" t="s">
        <v>1050</v>
      </c>
    </row>
    <row r="13924" spans="1:9" hidden="1" x14ac:dyDescent="0.25">
      <c r="A13924" t="s">
        <v>11632</v>
      </c>
      <c r="B13924" t="s">
        <v>10</v>
      </c>
      <c r="C13924" s="2">
        <f>HYPERLINK("https://cao.dolgi.msk.ru/account/1080258363/", 1080258363)</f>
        <v>1080258363</v>
      </c>
      <c r="D13924" t="s">
        <v>11633</v>
      </c>
      <c r="E13924">
        <v>2814.28</v>
      </c>
      <c r="F13924">
        <v>0.69</v>
      </c>
      <c r="G13924" t="s">
        <v>12</v>
      </c>
      <c r="I13924" t="s">
        <v>1050</v>
      </c>
    </row>
    <row r="13925" spans="1:9" hidden="1" x14ac:dyDescent="0.25">
      <c r="A13925" t="s">
        <v>11632</v>
      </c>
      <c r="B13925" t="s">
        <v>16</v>
      </c>
      <c r="C13925" s="2">
        <f>HYPERLINK("https://cao.dolgi.msk.ru/account/1080258371/", 1080258371)</f>
        <v>1080258371</v>
      </c>
      <c r="D13925" t="s">
        <v>11634</v>
      </c>
      <c r="E13925">
        <v>-10437.99</v>
      </c>
      <c r="F13925">
        <v>-2.39</v>
      </c>
      <c r="G13925" t="s">
        <v>12</v>
      </c>
      <c r="I13925" t="s">
        <v>1050</v>
      </c>
    </row>
    <row r="13926" spans="1:9" hidden="1" x14ac:dyDescent="0.25">
      <c r="A13926" t="s">
        <v>11632</v>
      </c>
      <c r="B13926" t="s">
        <v>18</v>
      </c>
      <c r="C13926" s="2">
        <f>HYPERLINK("https://cao.dolgi.msk.ru/account/1080258398/", 1080258398)</f>
        <v>1080258398</v>
      </c>
      <c r="D13926" t="s">
        <v>11635</v>
      </c>
      <c r="E13926">
        <v>-3907.28</v>
      </c>
      <c r="F13926">
        <v>-0.76</v>
      </c>
      <c r="G13926" t="s">
        <v>12</v>
      </c>
      <c r="I13926" t="s">
        <v>1050</v>
      </c>
    </row>
    <row r="13927" spans="1:9" hidden="1" x14ac:dyDescent="0.25">
      <c r="A13927" t="s">
        <v>11632</v>
      </c>
      <c r="B13927" t="s">
        <v>20</v>
      </c>
      <c r="C13927" s="2">
        <f>HYPERLINK("https://cao.dolgi.msk.ru/account/1080258419/", 1080258419)</f>
        <v>1080258419</v>
      </c>
      <c r="D13927" t="s">
        <v>11636</v>
      </c>
      <c r="E13927">
        <v>-4872.79</v>
      </c>
      <c r="F13927">
        <v>-1.39</v>
      </c>
      <c r="G13927" t="s">
        <v>12</v>
      </c>
      <c r="I13927" t="s">
        <v>1050</v>
      </c>
    </row>
    <row r="13928" spans="1:9" x14ac:dyDescent="0.25">
      <c r="A13928" t="s">
        <v>11632</v>
      </c>
      <c r="B13928" t="s">
        <v>21</v>
      </c>
      <c r="C13928" s="2">
        <f>HYPERLINK("https://cao.dolgi.msk.ru/account/1080258427/", 1080258427)</f>
        <v>1080258427</v>
      </c>
      <c r="D13928" t="s">
        <v>62</v>
      </c>
      <c r="E13928">
        <v>5267.54</v>
      </c>
      <c r="F13928">
        <v>1.83</v>
      </c>
      <c r="G13928" t="s">
        <v>12</v>
      </c>
      <c r="I13928" t="s">
        <v>1050</v>
      </c>
    </row>
    <row r="13929" spans="1:9" hidden="1" x14ac:dyDescent="0.25">
      <c r="A13929" t="s">
        <v>11632</v>
      </c>
      <c r="B13929" t="s">
        <v>22</v>
      </c>
      <c r="C13929" s="2">
        <f>HYPERLINK("https://cao.dolgi.msk.ru/account/1080258435/", 1080258435)</f>
        <v>1080258435</v>
      </c>
      <c r="D13929" t="s">
        <v>11637</v>
      </c>
      <c r="E13929">
        <v>-3530.82</v>
      </c>
      <c r="F13929">
        <v>-0.9</v>
      </c>
      <c r="G13929" t="s">
        <v>12</v>
      </c>
      <c r="I13929" t="s">
        <v>1050</v>
      </c>
    </row>
    <row r="13930" spans="1:9" hidden="1" x14ac:dyDescent="0.25">
      <c r="A13930" t="s">
        <v>11632</v>
      </c>
      <c r="B13930" t="s">
        <v>23</v>
      </c>
      <c r="C13930" s="2">
        <f>HYPERLINK("https://cao.dolgi.msk.ru/account/1080258443/", 1080258443)</f>
        <v>1080258443</v>
      </c>
      <c r="D13930" t="s">
        <v>11638</v>
      </c>
      <c r="E13930">
        <v>-4124.3999999999996</v>
      </c>
      <c r="F13930">
        <v>-0.91</v>
      </c>
      <c r="G13930" t="s">
        <v>12</v>
      </c>
      <c r="I13930" t="s">
        <v>1050</v>
      </c>
    </row>
    <row r="13931" spans="1:9" hidden="1" x14ac:dyDescent="0.25">
      <c r="A13931" t="s">
        <v>11632</v>
      </c>
      <c r="B13931" t="s">
        <v>24</v>
      </c>
      <c r="C13931" s="2">
        <f>HYPERLINK("https://cao.dolgi.msk.ru/account/1080258451/", 1080258451)</f>
        <v>1080258451</v>
      </c>
      <c r="D13931" t="s">
        <v>11639</v>
      </c>
      <c r="E13931">
        <v>-4923.25</v>
      </c>
      <c r="F13931">
        <v>-1.1599999999999999</v>
      </c>
      <c r="G13931" t="s">
        <v>12</v>
      </c>
      <c r="I13931" t="s">
        <v>1050</v>
      </c>
    </row>
    <row r="13932" spans="1:9" hidden="1" x14ac:dyDescent="0.25">
      <c r="A13932" t="s">
        <v>11632</v>
      </c>
      <c r="B13932" t="s">
        <v>27</v>
      </c>
      <c r="C13932" s="2">
        <f>HYPERLINK("https://cao.dolgi.msk.ru/account/1080258478/", 1080258478)</f>
        <v>1080258478</v>
      </c>
      <c r="D13932" t="s">
        <v>11635</v>
      </c>
      <c r="E13932">
        <v>-62.16</v>
      </c>
      <c r="F13932">
        <v>-0.01</v>
      </c>
      <c r="G13932" t="s">
        <v>12</v>
      </c>
      <c r="I13932" t="s">
        <v>1050</v>
      </c>
    </row>
    <row r="13933" spans="1:9" hidden="1" x14ac:dyDescent="0.25">
      <c r="A13933" t="s">
        <v>11632</v>
      </c>
      <c r="B13933" t="s">
        <v>29</v>
      </c>
      <c r="C13933" s="2">
        <f>HYPERLINK("https://cao.dolgi.msk.ru/account/1080258494/", 1080258494)</f>
        <v>1080258494</v>
      </c>
      <c r="D13933" t="s">
        <v>11640</v>
      </c>
      <c r="E13933">
        <v>-5478.11</v>
      </c>
      <c r="F13933">
        <v>-1.17</v>
      </c>
      <c r="G13933" t="s">
        <v>12</v>
      </c>
      <c r="I13933" t="s">
        <v>1050</v>
      </c>
    </row>
    <row r="13934" spans="1:9" hidden="1" x14ac:dyDescent="0.25">
      <c r="A13934" t="s">
        <v>11632</v>
      </c>
      <c r="B13934" t="s">
        <v>31</v>
      </c>
      <c r="C13934" s="2">
        <f>HYPERLINK("https://cao.dolgi.msk.ru/account/1080258507/", 1080258507)</f>
        <v>1080258507</v>
      </c>
      <c r="D13934" t="s">
        <v>11641</v>
      </c>
      <c r="E13934">
        <v>42.48</v>
      </c>
      <c r="F13934">
        <v>0.01</v>
      </c>
      <c r="G13934" t="s">
        <v>12</v>
      </c>
      <c r="I13934" t="s">
        <v>1050</v>
      </c>
    </row>
    <row r="13935" spans="1:9" hidden="1" x14ac:dyDescent="0.25">
      <c r="A13935" t="s">
        <v>11632</v>
      </c>
      <c r="B13935" t="s">
        <v>33</v>
      </c>
      <c r="C13935" s="2">
        <f>HYPERLINK("https://cao.dolgi.msk.ru/account/1080258515/", 1080258515)</f>
        <v>1080258515</v>
      </c>
      <c r="D13935" t="s">
        <v>11642</v>
      </c>
      <c r="E13935">
        <v>-135.52000000000001</v>
      </c>
      <c r="F13935">
        <v>-0.03</v>
      </c>
      <c r="G13935" t="s">
        <v>12</v>
      </c>
      <c r="I13935" t="s">
        <v>1050</v>
      </c>
    </row>
    <row r="13936" spans="1:9" hidden="1" x14ac:dyDescent="0.25">
      <c r="A13936" t="s">
        <v>11632</v>
      </c>
      <c r="B13936" t="s">
        <v>34</v>
      </c>
      <c r="C13936" s="2">
        <f>HYPERLINK("https://cao.dolgi.msk.ru/account/1080258523/", 1080258523)</f>
        <v>1080258523</v>
      </c>
      <c r="D13936" t="s">
        <v>11643</v>
      </c>
      <c r="E13936">
        <v>-6634.37</v>
      </c>
      <c r="F13936">
        <v>-1.56</v>
      </c>
      <c r="G13936" t="s">
        <v>12</v>
      </c>
      <c r="I13936" t="s">
        <v>1050</v>
      </c>
    </row>
    <row r="13937" spans="1:9" hidden="1" x14ac:dyDescent="0.25">
      <c r="A13937" t="s">
        <v>11632</v>
      </c>
      <c r="B13937" t="s">
        <v>36</v>
      </c>
      <c r="C13937" s="2">
        <f>HYPERLINK("https://cao.dolgi.msk.ru/account/1080258531/", 1080258531)</f>
        <v>1080258531</v>
      </c>
      <c r="D13937" t="s">
        <v>11644</v>
      </c>
      <c r="E13937">
        <v>-86.8</v>
      </c>
      <c r="F13937">
        <v>-0.03</v>
      </c>
      <c r="G13937" t="s">
        <v>12</v>
      </c>
      <c r="I13937" t="s">
        <v>1050</v>
      </c>
    </row>
    <row r="13938" spans="1:9" hidden="1" x14ac:dyDescent="0.25">
      <c r="A13938" t="s">
        <v>11632</v>
      </c>
      <c r="B13938" t="s">
        <v>38</v>
      </c>
      <c r="C13938" s="2">
        <f>HYPERLINK("https://cao.dolgi.msk.ru/account/1080258558/", 1080258558)</f>
        <v>1080258558</v>
      </c>
      <c r="D13938" t="s">
        <v>11645</v>
      </c>
      <c r="E13938">
        <v>-4405.43</v>
      </c>
      <c r="F13938">
        <v>-1.18</v>
      </c>
      <c r="G13938" t="s">
        <v>12</v>
      </c>
      <c r="I13938" t="s">
        <v>1050</v>
      </c>
    </row>
    <row r="13939" spans="1:9" hidden="1" x14ac:dyDescent="0.25">
      <c r="A13939" t="s">
        <v>11632</v>
      </c>
      <c r="B13939" t="s">
        <v>39</v>
      </c>
      <c r="C13939" s="2">
        <f>HYPERLINK("https://cao.dolgi.msk.ru/account/1080258566/", 1080258566)</f>
        <v>1080258566</v>
      </c>
      <c r="D13939" t="s">
        <v>11646</v>
      </c>
      <c r="E13939">
        <v>806.37</v>
      </c>
      <c r="F13939">
        <v>0.24</v>
      </c>
      <c r="G13939" t="s">
        <v>12</v>
      </c>
      <c r="I13939" t="s">
        <v>1050</v>
      </c>
    </row>
    <row r="13940" spans="1:9" x14ac:dyDescent="0.25">
      <c r="A13940" t="s">
        <v>11632</v>
      </c>
      <c r="B13940" t="s">
        <v>40</v>
      </c>
      <c r="C13940" s="2">
        <f>HYPERLINK("https://cao.dolgi.msk.ru/account/1080258574/", 1080258574)</f>
        <v>1080258574</v>
      </c>
      <c r="D13940" t="s">
        <v>15</v>
      </c>
      <c r="E13940">
        <v>4007.15</v>
      </c>
      <c r="F13940">
        <v>1.01</v>
      </c>
      <c r="G13940" t="s">
        <v>12</v>
      </c>
      <c r="I13940" t="s">
        <v>1050</v>
      </c>
    </row>
    <row r="13941" spans="1:9" hidden="1" x14ac:dyDescent="0.25">
      <c r="A13941" t="s">
        <v>11632</v>
      </c>
      <c r="B13941" t="s">
        <v>41</v>
      </c>
      <c r="C13941" s="2">
        <f>HYPERLINK("https://cao.dolgi.msk.ru/account/1080258582/", 1080258582)</f>
        <v>1080258582</v>
      </c>
      <c r="D13941" t="s">
        <v>11647</v>
      </c>
      <c r="E13941">
        <v>2210.41</v>
      </c>
      <c r="F13941">
        <v>0.45</v>
      </c>
      <c r="G13941" t="s">
        <v>12</v>
      </c>
      <c r="I13941" t="s">
        <v>1050</v>
      </c>
    </row>
    <row r="13942" spans="1:9" hidden="1" x14ac:dyDescent="0.25">
      <c r="A13942" t="s">
        <v>11632</v>
      </c>
      <c r="B13942" t="s">
        <v>42</v>
      </c>
      <c r="C13942" s="2">
        <f>HYPERLINK("https://cao.dolgi.msk.ru/account/1080258603/", 1080258603)</f>
        <v>1080258603</v>
      </c>
      <c r="D13942" t="s">
        <v>11648</v>
      </c>
      <c r="E13942">
        <v>-34.22</v>
      </c>
      <c r="F13942">
        <v>-0.01</v>
      </c>
      <c r="G13942" t="s">
        <v>12</v>
      </c>
      <c r="I13942" t="s">
        <v>1050</v>
      </c>
    </row>
    <row r="13943" spans="1:9" hidden="1" x14ac:dyDescent="0.25">
      <c r="A13943" t="s">
        <v>11632</v>
      </c>
      <c r="B13943" t="s">
        <v>44</v>
      </c>
      <c r="C13943" s="2">
        <f>HYPERLINK("https://cao.dolgi.msk.ru/account/1080258611/", 1080258611)</f>
        <v>1080258611</v>
      </c>
      <c r="D13943" t="s">
        <v>11649</v>
      </c>
      <c r="E13943">
        <v>-4939.25</v>
      </c>
      <c r="F13943">
        <v>-1.21</v>
      </c>
      <c r="G13943" t="s">
        <v>12</v>
      </c>
      <c r="I13943" t="s">
        <v>1050</v>
      </c>
    </row>
    <row r="13944" spans="1:9" hidden="1" x14ac:dyDescent="0.25">
      <c r="A13944" t="s">
        <v>11632</v>
      </c>
      <c r="B13944" t="s">
        <v>66</v>
      </c>
      <c r="C13944" s="2">
        <f>HYPERLINK("https://cao.dolgi.msk.ru/account/1080258638/", 1080258638)</f>
        <v>1080258638</v>
      </c>
      <c r="D13944" t="s">
        <v>11650</v>
      </c>
      <c r="E13944">
        <v>-6779.91</v>
      </c>
      <c r="F13944">
        <v>-0.85</v>
      </c>
      <c r="G13944" t="s">
        <v>12</v>
      </c>
      <c r="I13944" t="s">
        <v>1050</v>
      </c>
    </row>
    <row r="13945" spans="1:9" hidden="1" x14ac:dyDescent="0.25">
      <c r="A13945" t="s">
        <v>11632</v>
      </c>
      <c r="B13945" t="s">
        <v>68</v>
      </c>
      <c r="C13945" s="2">
        <f>HYPERLINK("https://cao.dolgi.msk.ru/account/1080258646/", 1080258646)</f>
        <v>1080258646</v>
      </c>
      <c r="D13945" t="s">
        <v>11651</v>
      </c>
      <c r="E13945">
        <v>-4277.3100000000004</v>
      </c>
      <c r="F13945">
        <v>-1.26</v>
      </c>
      <c r="G13945" t="s">
        <v>12</v>
      </c>
      <c r="I13945" t="s">
        <v>1050</v>
      </c>
    </row>
    <row r="13946" spans="1:9" hidden="1" x14ac:dyDescent="0.25">
      <c r="A13946" t="s">
        <v>11632</v>
      </c>
      <c r="B13946" t="s">
        <v>70</v>
      </c>
      <c r="C13946" s="2">
        <f>HYPERLINK("https://cao.dolgi.msk.ru/account/1080258654/", 1080258654)</f>
        <v>1080258654</v>
      </c>
      <c r="D13946" t="s">
        <v>11652</v>
      </c>
      <c r="E13946">
        <v>-4697.5600000000004</v>
      </c>
      <c r="F13946">
        <v>-1.25</v>
      </c>
      <c r="G13946" t="s">
        <v>12</v>
      </c>
      <c r="I13946" t="s">
        <v>1050</v>
      </c>
    </row>
    <row r="13947" spans="1:9" hidden="1" x14ac:dyDescent="0.25">
      <c r="A13947" t="s">
        <v>11632</v>
      </c>
      <c r="B13947" t="s">
        <v>72</v>
      </c>
      <c r="C13947" s="2">
        <f>HYPERLINK("https://cao.dolgi.msk.ru/account/1080258662/", 1080258662)</f>
        <v>1080258662</v>
      </c>
      <c r="D13947" t="s">
        <v>11653</v>
      </c>
      <c r="E13947">
        <v>-3938.71</v>
      </c>
      <c r="F13947">
        <v>-1.1200000000000001</v>
      </c>
      <c r="G13947" t="s">
        <v>12</v>
      </c>
      <c r="I13947" t="s">
        <v>1050</v>
      </c>
    </row>
    <row r="13948" spans="1:9" hidden="1" x14ac:dyDescent="0.25">
      <c r="A13948" t="s">
        <v>11632</v>
      </c>
      <c r="B13948" t="s">
        <v>74</v>
      </c>
      <c r="C13948" s="2">
        <f>HYPERLINK("https://cao.dolgi.msk.ru/account/1080258689/", 1080258689)</f>
        <v>1080258689</v>
      </c>
      <c r="D13948" t="s">
        <v>11654</v>
      </c>
      <c r="E13948">
        <v>-1585.64</v>
      </c>
      <c r="F13948">
        <v>-1.28</v>
      </c>
      <c r="G13948" t="s">
        <v>12</v>
      </c>
      <c r="I13948" t="s">
        <v>1050</v>
      </c>
    </row>
    <row r="13949" spans="1:9" hidden="1" x14ac:dyDescent="0.25">
      <c r="A13949" t="s">
        <v>11632</v>
      </c>
      <c r="B13949" t="s">
        <v>76</v>
      </c>
      <c r="C13949" s="2">
        <f>HYPERLINK("https://cao.dolgi.msk.ru/account/1080258697/", 1080258697)</f>
        <v>1080258697</v>
      </c>
      <c r="D13949" t="s">
        <v>11655</v>
      </c>
      <c r="E13949">
        <v>2040.08</v>
      </c>
      <c r="F13949">
        <v>0.55000000000000004</v>
      </c>
      <c r="G13949" t="s">
        <v>12</v>
      </c>
      <c r="I13949" t="s">
        <v>1050</v>
      </c>
    </row>
    <row r="13950" spans="1:9" hidden="1" x14ac:dyDescent="0.25">
      <c r="A13950" t="s">
        <v>11632</v>
      </c>
      <c r="B13950" t="s">
        <v>78</v>
      </c>
      <c r="C13950" s="2">
        <f>HYPERLINK("https://cao.dolgi.msk.ru/account/1080258718/", 1080258718)</f>
        <v>1080258718</v>
      </c>
      <c r="D13950" t="s">
        <v>11656</v>
      </c>
      <c r="E13950">
        <v>-4363.62</v>
      </c>
      <c r="F13950">
        <v>-1.21</v>
      </c>
      <c r="G13950" t="s">
        <v>12</v>
      </c>
      <c r="I13950" t="s">
        <v>1050</v>
      </c>
    </row>
    <row r="13951" spans="1:9" hidden="1" x14ac:dyDescent="0.25">
      <c r="A13951" t="s">
        <v>11632</v>
      </c>
      <c r="B13951" t="s">
        <v>80</v>
      </c>
      <c r="C13951" s="2">
        <f>HYPERLINK("https://cao.dolgi.msk.ru/account/1080258726/", 1080258726)</f>
        <v>1080258726</v>
      </c>
      <c r="D13951" t="s">
        <v>11657</v>
      </c>
      <c r="E13951">
        <v>-4905.71</v>
      </c>
      <c r="F13951">
        <v>-1.1599999999999999</v>
      </c>
      <c r="G13951" t="s">
        <v>12</v>
      </c>
      <c r="I13951" t="s">
        <v>1050</v>
      </c>
    </row>
    <row r="13952" spans="1:9" hidden="1" x14ac:dyDescent="0.25">
      <c r="A13952" t="s">
        <v>11632</v>
      </c>
      <c r="B13952" t="s">
        <v>82</v>
      </c>
      <c r="C13952" s="2">
        <f>HYPERLINK("https://cao.dolgi.msk.ru/account/1080258734/", 1080258734)</f>
        <v>1080258734</v>
      </c>
      <c r="D13952" t="s">
        <v>11658</v>
      </c>
      <c r="E13952">
        <v>-7707.61</v>
      </c>
      <c r="F13952">
        <v>-1.1399999999999999</v>
      </c>
      <c r="G13952" t="s">
        <v>12</v>
      </c>
      <c r="I13952" t="s">
        <v>1050</v>
      </c>
    </row>
    <row r="13953" spans="1:9" hidden="1" x14ac:dyDescent="0.25">
      <c r="A13953" t="s">
        <v>11632</v>
      </c>
      <c r="B13953" t="s">
        <v>84</v>
      </c>
      <c r="C13953" s="2">
        <f>HYPERLINK("https://cao.dolgi.msk.ru/account/1080258742/", 1080258742)</f>
        <v>1080258742</v>
      </c>
      <c r="D13953" t="s">
        <v>11659</v>
      </c>
      <c r="E13953">
        <v>-2323.35</v>
      </c>
      <c r="F13953">
        <v>-1.33</v>
      </c>
      <c r="G13953" t="s">
        <v>12</v>
      </c>
      <c r="I13953" t="s">
        <v>1050</v>
      </c>
    </row>
    <row r="13954" spans="1:9" hidden="1" x14ac:dyDescent="0.25">
      <c r="A13954" t="s">
        <v>11632</v>
      </c>
      <c r="B13954" t="s">
        <v>86</v>
      </c>
      <c r="C13954" s="2">
        <f>HYPERLINK("https://cao.dolgi.msk.ru/account/1080258769/", 1080258769)</f>
        <v>1080258769</v>
      </c>
      <c r="D13954" t="s">
        <v>11660</v>
      </c>
      <c r="E13954">
        <v>-5465.94</v>
      </c>
      <c r="F13954">
        <v>-1.08</v>
      </c>
      <c r="G13954" t="s">
        <v>12</v>
      </c>
      <c r="I13954" t="s">
        <v>1050</v>
      </c>
    </row>
    <row r="13955" spans="1:9" hidden="1" x14ac:dyDescent="0.25">
      <c r="A13955" t="s">
        <v>11632</v>
      </c>
      <c r="B13955" t="s">
        <v>88</v>
      </c>
      <c r="C13955" s="2">
        <f>HYPERLINK("https://cao.dolgi.msk.ru/account/1080258777/", 1080258777)</f>
        <v>1080258777</v>
      </c>
      <c r="D13955" t="s">
        <v>11661</v>
      </c>
      <c r="E13955">
        <v>-3979.98</v>
      </c>
      <c r="F13955">
        <v>-1.18</v>
      </c>
      <c r="G13955" t="s">
        <v>12</v>
      </c>
      <c r="I13955" t="s">
        <v>1050</v>
      </c>
    </row>
    <row r="13956" spans="1:9" hidden="1" x14ac:dyDescent="0.25">
      <c r="A13956" t="s">
        <v>11632</v>
      </c>
      <c r="B13956" t="s">
        <v>90</v>
      </c>
      <c r="C13956" s="2">
        <f>HYPERLINK("https://cao.dolgi.msk.ru/account/1080258785/", 1080258785)</f>
        <v>1080258785</v>
      </c>
      <c r="D13956" t="s">
        <v>11662</v>
      </c>
      <c r="E13956">
        <v>-4139.04</v>
      </c>
      <c r="F13956">
        <v>-1.4</v>
      </c>
      <c r="G13956" t="s">
        <v>12</v>
      </c>
      <c r="I13956" t="s">
        <v>1050</v>
      </c>
    </row>
    <row r="13957" spans="1:9" hidden="1" x14ac:dyDescent="0.25">
      <c r="A13957" t="s">
        <v>11632</v>
      </c>
      <c r="B13957" t="s">
        <v>92</v>
      </c>
      <c r="C13957" s="2">
        <f>HYPERLINK("https://cao.dolgi.msk.ru/account/1080258793/", 1080258793)</f>
        <v>1080258793</v>
      </c>
      <c r="D13957" t="s">
        <v>11663</v>
      </c>
      <c r="E13957">
        <v>-2855.24</v>
      </c>
      <c r="F13957">
        <v>-1.23</v>
      </c>
      <c r="G13957" t="s">
        <v>12</v>
      </c>
      <c r="I13957" t="s">
        <v>1050</v>
      </c>
    </row>
    <row r="13958" spans="1:9" hidden="1" x14ac:dyDescent="0.25">
      <c r="A13958" t="s">
        <v>11632</v>
      </c>
      <c r="B13958" t="s">
        <v>94</v>
      </c>
      <c r="C13958" s="2">
        <f>HYPERLINK("https://cao.dolgi.msk.ru/account/1080258806/", 1080258806)</f>
        <v>1080258806</v>
      </c>
      <c r="D13958" t="s">
        <v>11664</v>
      </c>
      <c r="E13958">
        <v>0</v>
      </c>
      <c r="F13958">
        <v>0</v>
      </c>
      <c r="G13958" t="s">
        <v>12</v>
      </c>
      <c r="I13958" t="s">
        <v>1050</v>
      </c>
    </row>
    <row r="13959" spans="1:9" hidden="1" x14ac:dyDescent="0.25">
      <c r="A13959" t="s">
        <v>11632</v>
      </c>
      <c r="B13959" t="s">
        <v>96</v>
      </c>
      <c r="C13959" s="2">
        <f>HYPERLINK("https://cao.dolgi.msk.ru/account/1080258814/", 1080258814)</f>
        <v>1080258814</v>
      </c>
      <c r="D13959" t="s">
        <v>11665</v>
      </c>
      <c r="E13959">
        <v>-5218.66</v>
      </c>
      <c r="F13959">
        <v>-1.07</v>
      </c>
      <c r="G13959" t="s">
        <v>12</v>
      </c>
      <c r="I13959" t="s">
        <v>1050</v>
      </c>
    </row>
    <row r="13960" spans="1:9" hidden="1" x14ac:dyDescent="0.25">
      <c r="A13960" t="s">
        <v>11632</v>
      </c>
      <c r="B13960" t="s">
        <v>98</v>
      </c>
      <c r="C13960" s="2">
        <f>HYPERLINK("https://cao.dolgi.msk.ru/account/1080258822/", 1080258822)</f>
        <v>1080258822</v>
      </c>
      <c r="D13960" t="s">
        <v>11666</v>
      </c>
      <c r="E13960">
        <v>-5180.45</v>
      </c>
      <c r="F13960">
        <v>-1.24</v>
      </c>
      <c r="G13960" t="s">
        <v>12</v>
      </c>
      <c r="I13960" t="s">
        <v>1050</v>
      </c>
    </row>
    <row r="13961" spans="1:9" hidden="1" x14ac:dyDescent="0.25">
      <c r="A13961" t="s">
        <v>11632</v>
      </c>
      <c r="B13961" t="s">
        <v>100</v>
      </c>
      <c r="C13961" s="2">
        <f>HYPERLINK("https://cao.dolgi.msk.ru/account/1080258849/", 1080258849)</f>
        <v>1080258849</v>
      </c>
      <c r="D13961" t="s">
        <v>11667</v>
      </c>
      <c r="E13961">
        <v>-4855.57</v>
      </c>
      <c r="F13961">
        <v>-1.1299999999999999</v>
      </c>
      <c r="G13961" t="s">
        <v>12</v>
      </c>
      <c r="I13961" t="s">
        <v>1050</v>
      </c>
    </row>
    <row r="13962" spans="1:9" hidden="1" x14ac:dyDescent="0.25">
      <c r="A13962" t="s">
        <v>11632</v>
      </c>
      <c r="B13962" t="s">
        <v>102</v>
      </c>
      <c r="C13962" s="2">
        <f>HYPERLINK("https://cao.dolgi.msk.ru/account/1080258857/", 1080258857)</f>
        <v>1080258857</v>
      </c>
      <c r="D13962" t="s">
        <v>11668</v>
      </c>
      <c r="E13962">
        <v>-5424.32</v>
      </c>
      <c r="F13962">
        <v>-1.18</v>
      </c>
      <c r="G13962" t="s">
        <v>12</v>
      </c>
      <c r="I13962" t="s">
        <v>1050</v>
      </c>
    </row>
    <row r="13963" spans="1:9" hidden="1" x14ac:dyDescent="0.25">
      <c r="A13963" t="s">
        <v>11632</v>
      </c>
      <c r="B13963" t="s">
        <v>104</v>
      </c>
      <c r="C13963" s="2">
        <f>HYPERLINK("https://cao.dolgi.msk.ru/account/1080258865/", 1080258865)</f>
        <v>1080258865</v>
      </c>
      <c r="D13963" t="s">
        <v>11669</v>
      </c>
      <c r="E13963">
        <v>-4909.42</v>
      </c>
      <c r="F13963">
        <v>-1.1299999999999999</v>
      </c>
      <c r="G13963" t="s">
        <v>12</v>
      </c>
      <c r="I13963" t="s">
        <v>1050</v>
      </c>
    </row>
    <row r="13964" spans="1:9" hidden="1" x14ac:dyDescent="0.25">
      <c r="A13964" t="s">
        <v>11632</v>
      </c>
      <c r="B13964" t="s">
        <v>106</v>
      </c>
      <c r="C13964" s="2">
        <f>HYPERLINK("https://cao.dolgi.msk.ru/account/1080258873/", 1080258873)</f>
        <v>1080258873</v>
      </c>
      <c r="D13964" t="s">
        <v>11670</v>
      </c>
      <c r="E13964">
        <v>-3591.7</v>
      </c>
      <c r="F13964">
        <v>-1.18</v>
      </c>
      <c r="G13964" t="s">
        <v>12</v>
      </c>
      <c r="I13964" t="s">
        <v>1050</v>
      </c>
    </row>
    <row r="13965" spans="1:9" x14ac:dyDescent="0.25">
      <c r="A13965" t="s">
        <v>11632</v>
      </c>
      <c r="B13965" t="s">
        <v>108</v>
      </c>
      <c r="C13965" s="2">
        <f>HYPERLINK("https://cao.dolgi.msk.ru/account/1080258881/", 1080258881)</f>
        <v>1080258881</v>
      </c>
      <c r="D13965" t="s">
        <v>11671</v>
      </c>
      <c r="E13965">
        <v>85399.28</v>
      </c>
      <c r="F13965">
        <v>45.72</v>
      </c>
      <c r="G13965" t="s">
        <v>12</v>
      </c>
      <c r="I13965" t="s">
        <v>1050</v>
      </c>
    </row>
    <row r="13966" spans="1:9" hidden="1" x14ac:dyDescent="0.25">
      <c r="A13966" t="s">
        <v>11632</v>
      </c>
      <c r="B13966" t="s">
        <v>110</v>
      </c>
      <c r="C13966" s="2">
        <f>HYPERLINK("https://cao.dolgi.msk.ru/account/1080258902/", 1080258902)</f>
        <v>1080258902</v>
      </c>
      <c r="D13966" t="s">
        <v>11672</v>
      </c>
      <c r="E13966">
        <v>1282.06</v>
      </c>
      <c r="F13966">
        <v>0.35</v>
      </c>
      <c r="G13966" t="s">
        <v>12</v>
      </c>
      <c r="I13966" t="s">
        <v>1050</v>
      </c>
    </row>
    <row r="13967" spans="1:9" hidden="1" x14ac:dyDescent="0.25">
      <c r="A13967" t="s">
        <v>11632</v>
      </c>
      <c r="B13967" t="s">
        <v>112</v>
      </c>
      <c r="C13967" s="2">
        <f>HYPERLINK("https://cao.dolgi.msk.ru/account/1080258929/", 1080258929)</f>
        <v>1080258929</v>
      </c>
      <c r="D13967" t="s">
        <v>11673</v>
      </c>
      <c r="E13967">
        <v>-3388.34</v>
      </c>
      <c r="F13967">
        <v>-1.17</v>
      </c>
      <c r="G13967" t="s">
        <v>12</v>
      </c>
      <c r="I13967" t="s">
        <v>1050</v>
      </c>
    </row>
    <row r="13968" spans="1:9" hidden="1" x14ac:dyDescent="0.25">
      <c r="A13968" t="s">
        <v>11632</v>
      </c>
      <c r="B13968" t="s">
        <v>114</v>
      </c>
      <c r="C13968" s="2">
        <f>HYPERLINK("https://cao.dolgi.msk.ru/account/1080258937/", 1080258937)</f>
        <v>1080258937</v>
      </c>
      <c r="D13968" t="s">
        <v>11674</v>
      </c>
      <c r="E13968">
        <v>-5219.53</v>
      </c>
      <c r="F13968">
        <v>-1.2</v>
      </c>
      <c r="G13968" t="s">
        <v>12</v>
      </c>
      <c r="I13968" t="s">
        <v>1050</v>
      </c>
    </row>
    <row r="13969" spans="1:9" hidden="1" x14ac:dyDescent="0.25">
      <c r="A13969" t="s">
        <v>11632</v>
      </c>
      <c r="B13969" t="s">
        <v>116</v>
      </c>
      <c r="C13969" s="2">
        <f>HYPERLINK("https://cao.dolgi.msk.ru/account/1080258945/", 1080258945)</f>
        <v>1080258945</v>
      </c>
      <c r="D13969" t="s">
        <v>11675</v>
      </c>
      <c r="E13969">
        <v>-5252.34</v>
      </c>
      <c r="F13969">
        <v>-1.01</v>
      </c>
      <c r="G13969" t="s">
        <v>12</v>
      </c>
      <c r="I13969" t="s">
        <v>1050</v>
      </c>
    </row>
    <row r="13970" spans="1:9" hidden="1" x14ac:dyDescent="0.25">
      <c r="A13970" t="s">
        <v>11632</v>
      </c>
      <c r="B13970" t="s">
        <v>118</v>
      </c>
      <c r="C13970" s="2">
        <f>HYPERLINK("https://cao.dolgi.msk.ru/account/1080258953/", 1080258953)</f>
        <v>1080258953</v>
      </c>
      <c r="D13970" t="s">
        <v>11676</v>
      </c>
      <c r="E13970">
        <v>-5850.8</v>
      </c>
      <c r="F13970">
        <v>-2.1</v>
      </c>
      <c r="G13970" t="s">
        <v>12</v>
      </c>
      <c r="I13970" t="s">
        <v>1050</v>
      </c>
    </row>
    <row r="13971" spans="1:9" hidden="1" x14ac:dyDescent="0.25">
      <c r="A13971" t="s">
        <v>11632</v>
      </c>
      <c r="B13971" t="s">
        <v>120</v>
      </c>
      <c r="C13971" s="2">
        <f>HYPERLINK("https://cao.dolgi.msk.ru/account/1080258961/", 1080258961)</f>
        <v>1080258961</v>
      </c>
      <c r="D13971" t="s">
        <v>11677</v>
      </c>
      <c r="E13971">
        <v>-2286.04</v>
      </c>
      <c r="F13971">
        <v>-1.55</v>
      </c>
      <c r="G13971" t="s">
        <v>12</v>
      </c>
      <c r="I13971" t="s">
        <v>1050</v>
      </c>
    </row>
    <row r="13972" spans="1:9" hidden="1" x14ac:dyDescent="0.25">
      <c r="A13972" t="s">
        <v>11632</v>
      </c>
      <c r="B13972" t="s">
        <v>122</v>
      </c>
      <c r="C13972" s="2">
        <f>HYPERLINK("https://cao.dolgi.msk.ru/account/1080258988/", 1080258988)</f>
        <v>1080258988</v>
      </c>
      <c r="D13972" t="s">
        <v>11678</v>
      </c>
      <c r="E13972">
        <v>4202.5600000000004</v>
      </c>
      <c r="F13972">
        <v>1</v>
      </c>
      <c r="G13972" t="s">
        <v>12</v>
      </c>
      <c r="I13972" t="s">
        <v>1050</v>
      </c>
    </row>
    <row r="13973" spans="1:9" x14ac:dyDescent="0.25">
      <c r="A13973" t="s">
        <v>11632</v>
      </c>
      <c r="B13973" t="s">
        <v>124</v>
      </c>
      <c r="C13973" s="2">
        <f>HYPERLINK("https://cao.dolgi.msk.ru/account/1080258996/", 1080258996)</f>
        <v>1080258996</v>
      </c>
      <c r="D13973" t="s">
        <v>11679</v>
      </c>
      <c r="E13973">
        <v>9171.9599999999991</v>
      </c>
      <c r="F13973">
        <v>2</v>
      </c>
      <c r="G13973" t="s">
        <v>12</v>
      </c>
      <c r="I13973" t="s">
        <v>1050</v>
      </c>
    </row>
    <row r="13974" spans="1:9" hidden="1" x14ac:dyDescent="0.25">
      <c r="A13974" t="s">
        <v>11632</v>
      </c>
      <c r="B13974" t="s">
        <v>126</v>
      </c>
      <c r="C13974" s="2">
        <f>HYPERLINK("https://cao.dolgi.msk.ru/account/1080259008/", 1080259008)</f>
        <v>1080259008</v>
      </c>
      <c r="D13974" t="s">
        <v>11680</v>
      </c>
      <c r="E13974">
        <v>-4167.7299999999996</v>
      </c>
      <c r="F13974">
        <v>-1.83</v>
      </c>
      <c r="G13974" t="s">
        <v>12</v>
      </c>
      <c r="I13974" t="s">
        <v>1050</v>
      </c>
    </row>
    <row r="13975" spans="1:9" hidden="1" x14ac:dyDescent="0.25">
      <c r="A13975" t="s">
        <v>11632</v>
      </c>
      <c r="B13975" t="s">
        <v>128</v>
      </c>
      <c r="C13975" s="2">
        <f>HYPERLINK("https://cao.dolgi.msk.ru/account/1080259016/", 1080259016)</f>
        <v>1080259016</v>
      </c>
      <c r="D13975" t="s">
        <v>11681</v>
      </c>
      <c r="E13975">
        <v>1613.51</v>
      </c>
      <c r="F13975">
        <v>0.54</v>
      </c>
      <c r="G13975" t="s">
        <v>12</v>
      </c>
      <c r="I13975" t="s">
        <v>1050</v>
      </c>
    </row>
    <row r="13976" spans="1:9" hidden="1" x14ac:dyDescent="0.25">
      <c r="A13976" t="s">
        <v>11632</v>
      </c>
      <c r="B13976" t="s">
        <v>130</v>
      </c>
      <c r="C13976" s="2">
        <f>HYPERLINK("https://cao.dolgi.msk.ru/account/1080259024/", 1080259024)</f>
        <v>1080259024</v>
      </c>
      <c r="D13976" t="s">
        <v>11682</v>
      </c>
      <c r="E13976">
        <v>-5779.73</v>
      </c>
      <c r="F13976">
        <v>-1.23</v>
      </c>
      <c r="G13976" t="s">
        <v>12</v>
      </c>
      <c r="I13976" t="s">
        <v>1050</v>
      </c>
    </row>
    <row r="13977" spans="1:9" hidden="1" x14ac:dyDescent="0.25">
      <c r="A13977" t="s">
        <v>11632</v>
      </c>
      <c r="B13977" t="s">
        <v>132</v>
      </c>
      <c r="C13977" s="2">
        <f>HYPERLINK("https://cao.dolgi.msk.ru/account/1080259032/", 1080259032)</f>
        <v>1080259032</v>
      </c>
      <c r="D13977" t="s">
        <v>11683</v>
      </c>
      <c r="E13977">
        <v>-27.5</v>
      </c>
      <c r="F13977">
        <v>-0.01</v>
      </c>
      <c r="G13977" t="s">
        <v>12</v>
      </c>
      <c r="I13977" t="s">
        <v>1050</v>
      </c>
    </row>
    <row r="13978" spans="1:9" x14ac:dyDescent="0.25">
      <c r="A13978" t="s">
        <v>11632</v>
      </c>
      <c r="B13978" t="s">
        <v>133</v>
      </c>
      <c r="C13978" s="2">
        <f>HYPERLINK("https://cao.dolgi.msk.ru/account/1080259059/", 1080259059)</f>
        <v>1080259059</v>
      </c>
      <c r="D13978" t="s">
        <v>11684</v>
      </c>
      <c r="E13978">
        <v>17480.32</v>
      </c>
      <c r="F13978">
        <v>2.74</v>
      </c>
      <c r="G13978" t="s">
        <v>12</v>
      </c>
      <c r="I13978" t="s">
        <v>1050</v>
      </c>
    </row>
    <row r="13979" spans="1:9" hidden="1" x14ac:dyDescent="0.25">
      <c r="A13979" t="s">
        <v>11632</v>
      </c>
      <c r="B13979" t="s">
        <v>135</v>
      </c>
      <c r="C13979" s="2">
        <f>HYPERLINK("https://cao.dolgi.msk.ru/account/1080259067/", 1080259067)</f>
        <v>1080259067</v>
      </c>
      <c r="D13979" t="s">
        <v>11685</v>
      </c>
      <c r="E13979">
        <v>-493.91</v>
      </c>
      <c r="F13979">
        <v>-0.16</v>
      </c>
      <c r="G13979" t="s">
        <v>12</v>
      </c>
      <c r="I13979" t="s">
        <v>1050</v>
      </c>
    </row>
    <row r="13980" spans="1:9" hidden="1" x14ac:dyDescent="0.25">
      <c r="A13980" t="s">
        <v>11632</v>
      </c>
      <c r="B13980" t="s">
        <v>137</v>
      </c>
      <c r="C13980" s="2">
        <f>HYPERLINK("https://cao.dolgi.msk.ru/account/1080259075/", 1080259075)</f>
        <v>1080259075</v>
      </c>
      <c r="D13980" t="s">
        <v>11686</v>
      </c>
      <c r="E13980">
        <v>0</v>
      </c>
      <c r="F13980">
        <v>0</v>
      </c>
      <c r="G13980" t="s">
        <v>12</v>
      </c>
      <c r="I13980" t="s">
        <v>1050</v>
      </c>
    </row>
    <row r="13981" spans="1:9" hidden="1" x14ac:dyDescent="0.25">
      <c r="A13981" t="s">
        <v>11632</v>
      </c>
      <c r="B13981" t="s">
        <v>139</v>
      </c>
      <c r="C13981" s="2">
        <f>HYPERLINK("https://cao.dolgi.msk.ru/account/1080259083/", 1080259083)</f>
        <v>1080259083</v>
      </c>
      <c r="D13981" t="s">
        <v>11687</v>
      </c>
      <c r="E13981">
        <v>-4974.6000000000004</v>
      </c>
      <c r="F13981">
        <v>-1</v>
      </c>
      <c r="G13981" t="s">
        <v>12</v>
      </c>
      <c r="I13981" t="s">
        <v>1050</v>
      </c>
    </row>
    <row r="13982" spans="1:9" hidden="1" x14ac:dyDescent="0.25">
      <c r="A13982" t="s">
        <v>11632</v>
      </c>
      <c r="B13982" t="s">
        <v>141</v>
      </c>
      <c r="C13982" s="2">
        <f>HYPERLINK("https://cao.dolgi.msk.ru/account/1080259091/", 1080259091)</f>
        <v>1080259091</v>
      </c>
      <c r="D13982" t="s">
        <v>11688</v>
      </c>
      <c r="E13982">
        <v>-367.02</v>
      </c>
      <c r="F13982">
        <v>-0.38</v>
      </c>
      <c r="G13982" t="s">
        <v>12</v>
      </c>
      <c r="I13982" t="s">
        <v>1050</v>
      </c>
    </row>
    <row r="13983" spans="1:9" hidden="1" x14ac:dyDescent="0.25">
      <c r="A13983" t="s">
        <v>11632</v>
      </c>
      <c r="B13983" t="s">
        <v>141</v>
      </c>
      <c r="C13983" s="2">
        <f>HYPERLINK("https://cao.dolgi.msk.ru/account/1083272267/", 1083272267)</f>
        <v>1083272267</v>
      </c>
      <c r="D13983" t="s">
        <v>15</v>
      </c>
      <c r="E13983">
        <v>1919.69</v>
      </c>
      <c r="F13983">
        <v>0.95</v>
      </c>
      <c r="G13983" t="s">
        <v>12</v>
      </c>
      <c r="I13983" t="s">
        <v>1050</v>
      </c>
    </row>
    <row r="13984" spans="1:9" hidden="1" x14ac:dyDescent="0.25">
      <c r="A13984" t="s">
        <v>11632</v>
      </c>
      <c r="B13984" t="s">
        <v>143</v>
      </c>
      <c r="C13984" s="2">
        <f>HYPERLINK("https://cao.dolgi.msk.ru/account/1080259104/", 1080259104)</f>
        <v>1080259104</v>
      </c>
      <c r="D13984" t="s">
        <v>11689</v>
      </c>
      <c r="E13984">
        <v>-1774.37</v>
      </c>
      <c r="F13984">
        <v>-1.17</v>
      </c>
      <c r="G13984" t="s">
        <v>12</v>
      </c>
      <c r="I13984" t="s">
        <v>1050</v>
      </c>
    </row>
    <row r="13985" spans="1:9" hidden="1" x14ac:dyDescent="0.25">
      <c r="A13985" t="s">
        <v>11632</v>
      </c>
      <c r="B13985" t="s">
        <v>145</v>
      </c>
      <c r="C13985" s="2">
        <f>HYPERLINK("https://cao.dolgi.msk.ru/account/1080259112/", 1080259112)</f>
        <v>1080259112</v>
      </c>
      <c r="D13985" t="s">
        <v>11690</v>
      </c>
      <c r="E13985">
        <v>-3388.09</v>
      </c>
      <c r="F13985">
        <v>-1.19</v>
      </c>
      <c r="G13985" t="s">
        <v>12</v>
      </c>
      <c r="I13985" t="s">
        <v>1050</v>
      </c>
    </row>
    <row r="13986" spans="1:9" hidden="1" x14ac:dyDescent="0.25">
      <c r="A13986" t="s">
        <v>11632</v>
      </c>
      <c r="B13986" t="s">
        <v>147</v>
      </c>
      <c r="C13986" s="2">
        <f>HYPERLINK("https://cao.dolgi.msk.ru/account/1080259139/", 1080259139)</f>
        <v>1080259139</v>
      </c>
      <c r="D13986" t="s">
        <v>11691</v>
      </c>
      <c r="E13986">
        <v>-6157.11</v>
      </c>
      <c r="F13986">
        <v>-1.27</v>
      </c>
      <c r="G13986" t="s">
        <v>12</v>
      </c>
      <c r="I13986" t="s">
        <v>1050</v>
      </c>
    </row>
    <row r="13987" spans="1:9" hidden="1" x14ac:dyDescent="0.25">
      <c r="A13987" t="s">
        <v>11632</v>
      </c>
      <c r="B13987" t="s">
        <v>149</v>
      </c>
      <c r="C13987" s="2">
        <f>HYPERLINK("https://cao.dolgi.msk.ru/account/1080259147/", 1080259147)</f>
        <v>1080259147</v>
      </c>
      <c r="D13987" t="s">
        <v>11692</v>
      </c>
      <c r="E13987">
        <v>-3764.73</v>
      </c>
      <c r="F13987">
        <v>-1.1000000000000001</v>
      </c>
      <c r="G13987" t="s">
        <v>12</v>
      </c>
      <c r="I13987" t="s">
        <v>1050</v>
      </c>
    </row>
    <row r="13988" spans="1:9" hidden="1" x14ac:dyDescent="0.25">
      <c r="A13988" t="s">
        <v>11632</v>
      </c>
      <c r="B13988" t="s">
        <v>151</v>
      </c>
      <c r="C13988" s="2">
        <f>HYPERLINK("https://cao.dolgi.msk.ru/account/1080259155/", 1080259155)</f>
        <v>1080259155</v>
      </c>
      <c r="D13988" t="s">
        <v>11693</v>
      </c>
      <c r="E13988">
        <v>-4885.17</v>
      </c>
      <c r="F13988">
        <v>-1.1599999999999999</v>
      </c>
      <c r="G13988" t="s">
        <v>12</v>
      </c>
      <c r="I13988" t="s">
        <v>1050</v>
      </c>
    </row>
    <row r="13989" spans="1:9" hidden="1" x14ac:dyDescent="0.25">
      <c r="A13989" t="s">
        <v>11632</v>
      </c>
      <c r="B13989" t="s">
        <v>153</v>
      </c>
      <c r="C13989" s="2">
        <f>HYPERLINK("https://cao.dolgi.msk.ru/account/1080259163/", 1080259163)</f>
        <v>1080259163</v>
      </c>
      <c r="D13989" t="s">
        <v>11694</v>
      </c>
      <c r="E13989">
        <v>-4823.75</v>
      </c>
      <c r="F13989">
        <v>-1.0900000000000001</v>
      </c>
      <c r="G13989" t="s">
        <v>12</v>
      </c>
      <c r="I13989" t="s">
        <v>1050</v>
      </c>
    </row>
    <row r="13990" spans="1:9" hidden="1" x14ac:dyDescent="0.25">
      <c r="A13990" t="s">
        <v>11632</v>
      </c>
      <c r="B13990" t="s">
        <v>155</v>
      </c>
      <c r="C13990" s="2">
        <f>HYPERLINK("https://cao.dolgi.msk.ru/account/1080259171/", 1080259171)</f>
        <v>1080259171</v>
      </c>
      <c r="D13990" t="s">
        <v>11695</v>
      </c>
      <c r="E13990">
        <v>-2782.85</v>
      </c>
      <c r="F13990">
        <v>-1.04</v>
      </c>
      <c r="G13990" t="s">
        <v>12</v>
      </c>
      <c r="I13990" t="s">
        <v>1050</v>
      </c>
    </row>
    <row r="13991" spans="1:9" hidden="1" x14ac:dyDescent="0.25">
      <c r="A13991" t="s">
        <v>11632</v>
      </c>
      <c r="B13991" t="s">
        <v>157</v>
      </c>
      <c r="C13991" s="2">
        <f>HYPERLINK("https://cao.dolgi.msk.ru/account/1080259198/", 1080259198)</f>
        <v>1080259198</v>
      </c>
      <c r="D13991" t="s">
        <v>11696</v>
      </c>
      <c r="E13991">
        <v>3053.28</v>
      </c>
      <c r="F13991">
        <v>0.69</v>
      </c>
      <c r="G13991" t="s">
        <v>12</v>
      </c>
      <c r="I13991" t="s">
        <v>1050</v>
      </c>
    </row>
    <row r="13992" spans="1:9" hidden="1" x14ac:dyDescent="0.25">
      <c r="A13992" t="s">
        <v>11632</v>
      </c>
      <c r="B13992" t="s">
        <v>159</v>
      </c>
      <c r="C13992" s="2">
        <f>HYPERLINK("https://cao.dolgi.msk.ru/account/1080259219/", 1080259219)</f>
        <v>1080259219</v>
      </c>
      <c r="D13992" t="s">
        <v>11697</v>
      </c>
      <c r="E13992">
        <v>-4116.47</v>
      </c>
      <c r="F13992">
        <v>-1.38</v>
      </c>
      <c r="G13992" t="s">
        <v>12</v>
      </c>
      <c r="I13992" t="s">
        <v>1050</v>
      </c>
    </row>
    <row r="13993" spans="1:9" hidden="1" x14ac:dyDescent="0.25">
      <c r="A13993" t="s">
        <v>11632</v>
      </c>
      <c r="B13993" t="s">
        <v>161</v>
      </c>
      <c r="C13993" s="2">
        <f>HYPERLINK("https://cao.dolgi.msk.ru/account/1080259227/", 1080259227)</f>
        <v>1080259227</v>
      </c>
      <c r="D13993" t="s">
        <v>11698</v>
      </c>
      <c r="E13993">
        <v>-5970.18</v>
      </c>
      <c r="F13993">
        <v>-1.07</v>
      </c>
      <c r="G13993" t="s">
        <v>12</v>
      </c>
      <c r="I13993" t="s">
        <v>1050</v>
      </c>
    </row>
    <row r="13994" spans="1:9" hidden="1" x14ac:dyDescent="0.25">
      <c r="A13994" t="s">
        <v>11632</v>
      </c>
      <c r="B13994" t="s">
        <v>163</v>
      </c>
      <c r="C13994" s="2">
        <f>HYPERLINK("https://cao.dolgi.msk.ru/account/1080259235/", 1080259235)</f>
        <v>1080259235</v>
      </c>
      <c r="D13994" t="s">
        <v>11699</v>
      </c>
      <c r="E13994">
        <v>-2319.27</v>
      </c>
      <c r="F13994">
        <v>-1.24</v>
      </c>
      <c r="G13994" t="s">
        <v>12</v>
      </c>
      <c r="I13994" t="s">
        <v>1050</v>
      </c>
    </row>
    <row r="13995" spans="1:9" hidden="1" x14ac:dyDescent="0.25">
      <c r="A13995" t="s">
        <v>11632</v>
      </c>
      <c r="B13995" t="s">
        <v>571</v>
      </c>
      <c r="C13995" s="2">
        <f>HYPERLINK("https://cao.dolgi.msk.ru/account/1080259243/", 1080259243)</f>
        <v>1080259243</v>
      </c>
      <c r="D13995" t="s">
        <v>11700</v>
      </c>
      <c r="E13995">
        <v>-4426.97</v>
      </c>
      <c r="F13995">
        <v>-1.02</v>
      </c>
      <c r="G13995" t="s">
        <v>12</v>
      </c>
      <c r="I13995" t="s">
        <v>1050</v>
      </c>
    </row>
    <row r="13996" spans="1:9" hidden="1" x14ac:dyDescent="0.25">
      <c r="A13996" t="s">
        <v>11632</v>
      </c>
      <c r="B13996" t="s">
        <v>682</v>
      </c>
      <c r="C13996" s="2">
        <f>HYPERLINK("https://cao.dolgi.msk.ru/account/1080259251/", 1080259251)</f>
        <v>1080259251</v>
      </c>
      <c r="D13996" t="s">
        <v>11701</v>
      </c>
      <c r="E13996">
        <v>-5053.3</v>
      </c>
      <c r="F13996">
        <v>-1.17</v>
      </c>
      <c r="G13996" t="s">
        <v>12</v>
      </c>
      <c r="I13996" t="s">
        <v>1050</v>
      </c>
    </row>
    <row r="13997" spans="1:9" hidden="1" x14ac:dyDescent="0.25">
      <c r="A13997" t="s">
        <v>11702</v>
      </c>
      <c r="B13997" t="s">
        <v>746</v>
      </c>
      <c r="C13997" s="2">
        <f>HYPERLINK("https://cao.dolgi.msk.ru/account/1080259278/", 1080259278)</f>
        <v>1080259278</v>
      </c>
      <c r="D13997" t="s">
        <v>11703</v>
      </c>
      <c r="E13997">
        <v>-4923.4799999999996</v>
      </c>
      <c r="F13997">
        <v>-1.17</v>
      </c>
      <c r="G13997" t="s">
        <v>12</v>
      </c>
      <c r="I13997" t="s">
        <v>1050</v>
      </c>
    </row>
    <row r="13998" spans="1:9" x14ac:dyDescent="0.25">
      <c r="A13998" t="s">
        <v>11702</v>
      </c>
      <c r="B13998" t="s">
        <v>748</v>
      </c>
      <c r="C13998" s="2">
        <f>HYPERLINK("https://cao.dolgi.msk.ru/account/1080259286/", 1080259286)</f>
        <v>1080259286</v>
      </c>
      <c r="D13998" t="s">
        <v>62</v>
      </c>
      <c r="E13998">
        <v>16673.16</v>
      </c>
      <c r="F13998">
        <v>2.13</v>
      </c>
      <c r="G13998" t="s">
        <v>12</v>
      </c>
      <c r="I13998" t="s">
        <v>1050</v>
      </c>
    </row>
    <row r="13999" spans="1:9" hidden="1" x14ac:dyDescent="0.25">
      <c r="A13999" t="s">
        <v>11702</v>
      </c>
      <c r="B13999" t="s">
        <v>750</v>
      </c>
      <c r="C13999" s="2">
        <f>HYPERLINK("https://cao.dolgi.msk.ru/account/1080259294/", 1080259294)</f>
        <v>1080259294</v>
      </c>
      <c r="D13999" t="s">
        <v>11704</v>
      </c>
      <c r="G13999" t="s">
        <v>14</v>
      </c>
      <c r="I13999" t="s">
        <v>1050</v>
      </c>
    </row>
    <row r="14000" spans="1:9" hidden="1" x14ac:dyDescent="0.25">
      <c r="A14000" t="s">
        <v>11702</v>
      </c>
      <c r="B14000" t="s">
        <v>752</v>
      </c>
      <c r="C14000" s="2">
        <f>HYPERLINK("https://cao.dolgi.msk.ru/account/1080259307/", 1080259307)</f>
        <v>1080259307</v>
      </c>
      <c r="D14000" t="s">
        <v>11705</v>
      </c>
      <c r="E14000">
        <v>-7956.2</v>
      </c>
      <c r="F14000">
        <v>-1.02</v>
      </c>
      <c r="G14000" t="s">
        <v>12</v>
      </c>
      <c r="I14000" t="s">
        <v>1050</v>
      </c>
    </row>
    <row r="14001" spans="1:9" hidden="1" x14ac:dyDescent="0.25">
      <c r="A14001" t="s">
        <v>11702</v>
      </c>
      <c r="B14001" t="s">
        <v>754</v>
      </c>
      <c r="C14001" s="2">
        <f>HYPERLINK("https://cao.dolgi.msk.ru/account/1080259315/", 1080259315)</f>
        <v>1080259315</v>
      </c>
      <c r="D14001" t="s">
        <v>11706</v>
      </c>
      <c r="E14001">
        <v>-4935.16</v>
      </c>
      <c r="F14001">
        <v>-0.8</v>
      </c>
      <c r="G14001" t="s">
        <v>12</v>
      </c>
      <c r="I14001" t="s">
        <v>1050</v>
      </c>
    </row>
    <row r="14002" spans="1:9" hidden="1" x14ac:dyDescent="0.25">
      <c r="A14002" t="s">
        <v>11702</v>
      </c>
      <c r="B14002" t="s">
        <v>756</v>
      </c>
      <c r="C14002" s="2">
        <f>HYPERLINK("https://cao.dolgi.msk.ru/account/1080259323/", 1080259323)</f>
        <v>1080259323</v>
      </c>
      <c r="D14002" t="s">
        <v>11707</v>
      </c>
      <c r="E14002">
        <v>-6025.87</v>
      </c>
      <c r="F14002">
        <v>-0.92</v>
      </c>
      <c r="G14002" t="s">
        <v>12</v>
      </c>
      <c r="I14002" t="s">
        <v>1050</v>
      </c>
    </row>
    <row r="14003" spans="1:9" hidden="1" x14ac:dyDescent="0.25">
      <c r="A14003" t="s">
        <v>11702</v>
      </c>
      <c r="B14003" t="s">
        <v>758</v>
      </c>
      <c r="C14003" s="2">
        <f>HYPERLINK("https://cao.dolgi.msk.ru/account/1080259331/", 1080259331)</f>
        <v>1080259331</v>
      </c>
      <c r="D14003" t="s">
        <v>11708</v>
      </c>
      <c r="E14003">
        <v>634.03</v>
      </c>
      <c r="G14003" t="s">
        <v>14</v>
      </c>
      <c r="I14003" t="s">
        <v>1050</v>
      </c>
    </row>
    <row r="14004" spans="1:9" hidden="1" x14ac:dyDescent="0.25">
      <c r="A14004" t="s">
        <v>11702</v>
      </c>
      <c r="B14004" t="s">
        <v>758</v>
      </c>
      <c r="C14004" s="2">
        <f>HYPERLINK("https://cao.dolgi.msk.ru/account/1080259358/", 1080259358)</f>
        <v>1080259358</v>
      </c>
      <c r="D14004" t="s">
        <v>11709</v>
      </c>
      <c r="E14004">
        <v>-10778.52</v>
      </c>
      <c r="F14004">
        <v>-1.56</v>
      </c>
      <c r="G14004" t="s">
        <v>12</v>
      </c>
      <c r="I14004" t="s">
        <v>1050</v>
      </c>
    </row>
    <row r="14005" spans="1:9" x14ac:dyDescent="0.25">
      <c r="A14005" t="s">
        <v>11702</v>
      </c>
      <c r="B14005" t="s">
        <v>760</v>
      </c>
      <c r="C14005" s="2">
        <f>HYPERLINK("https://cao.dolgi.msk.ru/account/1080259366/", 1080259366)</f>
        <v>1080259366</v>
      </c>
      <c r="D14005" t="s">
        <v>11710</v>
      </c>
      <c r="E14005">
        <v>27199.38</v>
      </c>
      <c r="F14005">
        <v>5.61</v>
      </c>
      <c r="G14005" t="s">
        <v>12</v>
      </c>
      <c r="I14005" t="s">
        <v>1050</v>
      </c>
    </row>
    <row r="14006" spans="1:9" hidden="1" x14ac:dyDescent="0.25">
      <c r="A14006" t="s">
        <v>11702</v>
      </c>
      <c r="B14006" t="s">
        <v>762</v>
      </c>
      <c r="C14006" s="2">
        <f>HYPERLINK("https://cao.dolgi.msk.ru/account/1080259374/", 1080259374)</f>
        <v>1080259374</v>
      </c>
      <c r="D14006" t="s">
        <v>11711</v>
      </c>
      <c r="E14006">
        <v>-6542.82</v>
      </c>
      <c r="F14006">
        <v>-1.08</v>
      </c>
      <c r="G14006" t="s">
        <v>12</v>
      </c>
      <c r="I14006" t="s">
        <v>1050</v>
      </c>
    </row>
    <row r="14007" spans="1:9" hidden="1" x14ac:dyDescent="0.25">
      <c r="A14007" t="s">
        <v>11702</v>
      </c>
      <c r="B14007" t="s">
        <v>764</v>
      </c>
      <c r="C14007" s="2">
        <f>HYPERLINK("https://cao.dolgi.msk.ru/account/1080259382/", 1080259382)</f>
        <v>1080259382</v>
      </c>
      <c r="D14007" t="s">
        <v>11712</v>
      </c>
      <c r="E14007">
        <v>-5154.66</v>
      </c>
      <c r="F14007">
        <v>-1.07</v>
      </c>
      <c r="G14007" t="s">
        <v>12</v>
      </c>
      <c r="I14007" t="s">
        <v>1050</v>
      </c>
    </row>
    <row r="14008" spans="1:9" hidden="1" x14ac:dyDescent="0.25">
      <c r="A14008" t="s">
        <v>11702</v>
      </c>
      <c r="B14008" t="s">
        <v>766</v>
      </c>
      <c r="C14008" s="2">
        <f>HYPERLINK("https://cao.dolgi.msk.ru/account/1080259403/", 1080259403)</f>
        <v>1080259403</v>
      </c>
      <c r="D14008" t="s">
        <v>11713</v>
      </c>
      <c r="E14008">
        <v>-8369.9500000000007</v>
      </c>
      <c r="F14008">
        <v>-1.42</v>
      </c>
      <c r="G14008" t="s">
        <v>12</v>
      </c>
      <c r="I14008" t="s">
        <v>1050</v>
      </c>
    </row>
    <row r="14009" spans="1:9" hidden="1" x14ac:dyDescent="0.25">
      <c r="A14009" t="s">
        <v>11702</v>
      </c>
      <c r="B14009" t="s">
        <v>768</v>
      </c>
      <c r="C14009" s="2">
        <f>HYPERLINK("https://cao.dolgi.msk.ru/account/1080259411/", 1080259411)</f>
        <v>1080259411</v>
      </c>
      <c r="D14009" t="s">
        <v>11714</v>
      </c>
      <c r="E14009">
        <v>-6481.86</v>
      </c>
      <c r="F14009">
        <v>-1.1100000000000001</v>
      </c>
      <c r="G14009" t="s">
        <v>12</v>
      </c>
      <c r="I14009" t="s">
        <v>1050</v>
      </c>
    </row>
    <row r="14010" spans="1:9" hidden="1" x14ac:dyDescent="0.25">
      <c r="A14010" t="s">
        <v>11702</v>
      </c>
      <c r="B14010" t="s">
        <v>770</v>
      </c>
      <c r="C14010" s="2">
        <f>HYPERLINK("https://cao.dolgi.msk.ru/account/1080259438/", 1080259438)</f>
        <v>1080259438</v>
      </c>
      <c r="D14010" t="s">
        <v>11715</v>
      </c>
      <c r="E14010">
        <v>-16084.07</v>
      </c>
      <c r="F14010">
        <v>-2.16</v>
      </c>
      <c r="G14010" t="s">
        <v>12</v>
      </c>
      <c r="I14010" t="s">
        <v>1050</v>
      </c>
    </row>
    <row r="14011" spans="1:9" hidden="1" x14ac:dyDescent="0.25">
      <c r="A14011" t="s">
        <v>11702</v>
      </c>
      <c r="B14011" t="s">
        <v>770</v>
      </c>
      <c r="C14011" s="2">
        <f>HYPERLINK("https://cao.dolgi.msk.ru/account/1089127159/", 1089127159)</f>
        <v>1089127159</v>
      </c>
      <c r="D14011" t="s">
        <v>15</v>
      </c>
      <c r="E14011">
        <v>0</v>
      </c>
      <c r="G14011" t="s">
        <v>14</v>
      </c>
      <c r="I14011" t="s">
        <v>1050</v>
      </c>
    </row>
    <row r="14012" spans="1:9" hidden="1" x14ac:dyDescent="0.25">
      <c r="A14012" t="s">
        <v>11702</v>
      </c>
      <c r="B14012" t="s">
        <v>772</v>
      </c>
      <c r="C14012" s="2">
        <f>HYPERLINK("https://cao.dolgi.msk.ru/account/1080259446/", 1080259446)</f>
        <v>1080259446</v>
      </c>
      <c r="D14012" t="s">
        <v>11716</v>
      </c>
      <c r="E14012">
        <v>-5921.3</v>
      </c>
      <c r="F14012">
        <v>-1.1000000000000001</v>
      </c>
      <c r="G14012" t="s">
        <v>12</v>
      </c>
      <c r="I14012" t="s">
        <v>1050</v>
      </c>
    </row>
    <row r="14013" spans="1:9" x14ac:dyDescent="0.25">
      <c r="A14013" t="s">
        <v>11702</v>
      </c>
      <c r="B14013" t="s">
        <v>774</v>
      </c>
      <c r="C14013" s="2">
        <f>HYPERLINK("https://cao.dolgi.msk.ru/account/1080259454/", 1080259454)</f>
        <v>1080259454</v>
      </c>
      <c r="D14013" t="s">
        <v>11717</v>
      </c>
      <c r="E14013">
        <v>15236.31</v>
      </c>
      <c r="F14013">
        <v>1.04</v>
      </c>
      <c r="G14013" t="s">
        <v>12</v>
      </c>
      <c r="I14013" t="s">
        <v>1050</v>
      </c>
    </row>
    <row r="14014" spans="1:9" hidden="1" x14ac:dyDescent="0.25">
      <c r="A14014" t="s">
        <v>11702</v>
      </c>
      <c r="B14014" t="s">
        <v>776</v>
      </c>
      <c r="C14014" s="2">
        <f>HYPERLINK("https://cao.dolgi.msk.ru/account/1080259462/", 1080259462)</f>
        <v>1080259462</v>
      </c>
      <c r="D14014" t="s">
        <v>11718</v>
      </c>
      <c r="E14014">
        <v>0</v>
      </c>
      <c r="F14014">
        <v>0</v>
      </c>
      <c r="G14014" t="s">
        <v>12</v>
      </c>
      <c r="I14014" t="s">
        <v>1050</v>
      </c>
    </row>
    <row r="14015" spans="1:9" hidden="1" x14ac:dyDescent="0.25">
      <c r="A14015" t="s">
        <v>11702</v>
      </c>
      <c r="B14015" t="s">
        <v>778</v>
      </c>
      <c r="C14015" s="2">
        <f>HYPERLINK("https://cao.dolgi.msk.ru/account/1080259489/", 1080259489)</f>
        <v>1080259489</v>
      </c>
      <c r="D14015" t="s">
        <v>11719</v>
      </c>
      <c r="E14015">
        <v>-11406.19</v>
      </c>
      <c r="F14015">
        <v>-1.1399999999999999</v>
      </c>
      <c r="G14015" t="s">
        <v>12</v>
      </c>
      <c r="I14015" t="s">
        <v>1050</v>
      </c>
    </row>
    <row r="14016" spans="1:9" hidden="1" x14ac:dyDescent="0.25">
      <c r="A14016" t="s">
        <v>11702</v>
      </c>
      <c r="B14016" t="s">
        <v>780</v>
      </c>
      <c r="C14016" s="2">
        <f>HYPERLINK("https://cao.dolgi.msk.ru/account/1080259497/", 1080259497)</f>
        <v>1080259497</v>
      </c>
      <c r="D14016" t="s">
        <v>11720</v>
      </c>
      <c r="E14016">
        <v>-6565.1</v>
      </c>
      <c r="F14016">
        <v>-0.9</v>
      </c>
      <c r="G14016" t="s">
        <v>12</v>
      </c>
      <c r="I14016" t="s">
        <v>1050</v>
      </c>
    </row>
    <row r="14017" spans="1:9" x14ac:dyDescent="0.25">
      <c r="A14017" t="s">
        <v>11702</v>
      </c>
      <c r="B14017" t="s">
        <v>781</v>
      </c>
      <c r="C14017" s="2">
        <f>HYPERLINK("https://cao.dolgi.msk.ru/account/1080259518/", 1080259518)</f>
        <v>1080259518</v>
      </c>
      <c r="D14017" t="s">
        <v>11721</v>
      </c>
      <c r="E14017">
        <v>13023.46</v>
      </c>
      <c r="F14017">
        <v>2</v>
      </c>
      <c r="G14017" t="s">
        <v>12</v>
      </c>
      <c r="I14017" t="s">
        <v>1050</v>
      </c>
    </row>
    <row r="14018" spans="1:9" hidden="1" x14ac:dyDescent="0.25">
      <c r="A14018" t="s">
        <v>11702</v>
      </c>
      <c r="B14018" t="s">
        <v>782</v>
      </c>
      <c r="C14018" s="2">
        <f>HYPERLINK("https://cao.dolgi.msk.ru/account/1080259526/", 1080259526)</f>
        <v>1080259526</v>
      </c>
      <c r="D14018" t="s">
        <v>11722</v>
      </c>
      <c r="E14018">
        <v>-5327.91</v>
      </c>
      <c r="F14018">
        <v>-1.1000000000000001</v>
      </c>
      <c r="G14018" t="s">
        <v>12</v>
      </c>
      <c r="I14018" t="s">
        <v>1050</v>
      </c>
    </row>
    <row r="14019" spans="1:9" hidden="1" x14ac:dyDescent="0.25">
      <c r="A14019" t="s">
        <v>11702</v>
      </c>
      <c r="B14019" t="s">
        <v>784</v>
      </c>
      <c r="C14019" s="2">
        <f>HYPERLINK("https://cao.dolgi.msk.ru/account/1080259534/", 1080259534)</f>
        <v>1080259534</v>
      </c>
      <c r="D14019" t="s">
        <v>11723</v>
      </c>
      <c r="E14019">
        <v>-1881.94</v>
      </c>
      <c r="F14019">
        <v>-1.07</v>
      </c>
      <c r="G14019" t="s">
        <v>12</v>
      </c>
      <c r="H14019" t="s">
        <v>7</v>
      </c>
      <c r="I14019" t="s">
        <v>1050</v>
      </c>
    </row>
    <row r="14020" spans="1:9" hidden="1" x14ac:dyDescent="0.25">
      <c r="A14020" t="s">
        <v>11702</v>
      </c>
      <c r="B14020" t="s">
        <v>784</v>
      </c>
      <c r="C14020" s="2">
        <f>HYPERLINK("https://cao.dolgi.msk.ru/account/1080259542/", 1080259542)</f>
        <v>1080259542</v>
      </c>
      <c r="D14020" t="s">
        <v>11723</v>
      </c>
      <c r="E14020">
        <v>-7898.73</v>
      </c>
      <c r="F14020">
        <v>-1.1100000000000001</v>
      </c>
      <c r="G14020" t="s">
        <v>12</v>
      </c>
      <c r="H14020" t="s">
        <v>7</v>
      </c>
      <c r="I14020" t="s">
        <v>1050</v>
      </c>
    </row>
    <row r="14021" spans="1:9" hidden="1" x14ac:dyDescent="0.25">
      <c r="A14021" t="s">
        <v>11702</v>
      </c>
      <c r="B14021" t="s">
        <v>786</v>
      </c>
      <c r="C14021" s="2">
        <f>HYPERLINK("https://cao.dolgi.msk.ru/account/1080259569/", 1080259569)</f>
        <v>1080259569</v>
      </c>
      <c r="D14021" t="s">
        <v>11724</v>
      </c>
      <c r="E14021">
        <v>-4042.09</v>
      </c>
      <c r="F14021">
        <v>-1.2</v>
      </c>
      <c r="G14021" t="s">
        <v>12</v>
      </c>
      <c r="I14021" t="s">
        <v>1050</v>
      </c>
    </row>
    <row r="14022" spans="1:9" hidden="1" x14ac:dyDescent="0.25">
      <c r="A14022" t="s">
        <v>11702</v>
      </c>
      <c r="B14022" t="s">
        <v>786</v>
      </c>
      <c r="C14022" s="2">
        <f>HYPERLINK("https://cao.dolgi.msk.ru/account/1089131764/", 1089131764)</f>
        <v>1089131764</v>
      </c>
      <c r="D14022" t="s">
        <v>15</v>
      </c>
      <c r="E14022">
        <v>-4001.36</v>
      </c>
      <c r="F14022">
        <v>-1.21</v>
      </c>
      <c r="G14022" t="s">
        <v>12</v>
      </c>
      <c r="I14022" t="s">
        <v>1050</v>
      </c>
    </row>
    <row r="14023" spans="1:9" hidden="1" x14ac:dyDescent="0.25">
      <c r="A14023" t="s">
        <v>11702</v>
      </c>
      <c r="B14023" t="s">
        <v>788</v>
      </c>
      <c r="C14023" s="2">
        <f>HYPERLINK("https://cao.dolgi.msk.ru/account/1080259577/", 1080259577)</f>
        <v>1080259577</v>
      </c>
      <c r="D14023" t="s">
        <v>11725</v>
      </c>
      <c r="E14023">
        <v>-6001</v>
      </c>
      <c r="F14023">
        <v>-1.1299999999999999</v>
      </c>
      <c r="G14023" t="s">
        <v>12</v>
      </c>
      <c r="I14023" t="s">
        <v>1050</v>
      </c>
    </row>
    <row r="14024" spans="1:9" hidden="1" x14ac:dyDescent="0.25">
      <c r="A14024" t="s">
        <v>11702</v>
      </c>
      <c r="B14024" t="s">
        <v>789</v>
      </c>
      <c r="C14024" s="2">
        <f>HYPERLINK("https://cao.dolgi.msk.ru/account/1080259585/", 1080259585)</f>
        <v>1080259585</v>
      </c>
      <c r="D14024" t="s">
        <v>11726</v>
      </c>
      <c r="E14024">
        <v>-5394.83</v>
      </c>
      <c r="F14024">
        <v>-1.34</v>
      </c>
      <c r="G14024" t="s">
        <v>12</v>
      </c>
      <c r="I14024" t="s">
        <v>1050</v>
      </c>
    </row>
    <row r="14025" spans="1:9" hidden="1" x14ac:dyDescent="0.25">
      <c r="A14025" t="s">
        <v>11702</v>
      </c>
      <c r="B14025" t="s">
        <v>790</v>
      </c>
      <c r="C14025" s="2">
        <f>HYPERLINK("https://cao.dolgi.msk.ru/account/1080259593/", 1080259593)</f>
        <v>1080259593</v>
      </c>
      <c r="D14025" t="s">
        <v>62</v>
      </c>
      <c r="E14025">
        <v>5286.89</v>
      </c>
      <c r="F14025">
        <v>0.94</v>
      </c>
      <c r="G14025" t="s">
        <v>12</v>
      </c>
      <c r="I14025" t="s">
        <v>1050</v>
      </c>
    </row>
    <row r="14026" spans="1:9" hidden="1" x14ac:dyDescent="0.25">
      <c r="A14026" t="s">
        <v>11702</v>
      </c>
      <c r="B14026" t="s">
        <v>792</v>
      </c>
      <c r="C14026" s="2">
        <f>HYPERLINK("https://cao.dolgi.msk.ru/account/1080259606/", 1080259606)</f>
        <v>1080259606</v>
      </c>
      <c r="D14026" t="s">
        <v>11727</v>
      </c>
      <c r="E14026">
        <v>-5246.39</v>
      </c>
      <c r="F14026">
        <v>-1.1299999999999999</v>
      </c>
      <c r="G14026" t="s">
        <v>12</v>
      </c>
      <c r="I14026" t="s">
        <v>1050</v>
      </c>
    </row>
    <row r="14027" spans="1:9" x14ac:dyDescent="0.25">
      <c r="A14027" t="s">
        <v>11702</v>
      </c>
      <c r="B14027" t="s">
        <v>794</v>
      </c>
      <c r="C14027" s="2">
        <f>HYPERLINK("https://cao.dolgi.msk.ru/account/1080259614/", 1080259614)</f>
        <v>1080259614</v>
      </c>
      <c r="D14027" t="s">
        <v>11728</v>
      </c>
      <c r="E14027">
        <v>8051.73</v>
      </c>
      <c r="F14027">
        <v>1.01</v>
      </c>
      <c r="G14027" t="s">
        <v>12</v>
      </c>
      <c r="I14027" t="s">
        <v>1050</v>
      </c>
    </row>
    <row r="14028" spans="1:9" hidden="1" x14ac:dyDescent="0.25">
      <c r="A14028" t="s">
        <v>11702</v>
      </c>
      <c r="B14028" t="s">
        <v>796</v>
      </c>
      <c r="C14028" s="2">
        <f>HYPERLINK("https://cao.dolgi.msk.ru/account/1080259622/", 1080259622)</f>
        <v>1080259622</v>
      </c>
      <c r="D14028" t="s">
        <v>11729</v>
      </c>
      <c r="E14028">
        <v>-4082.92</v>
      </c>
      <c r="F14028">
        <v>-1.17</v>
      </c>
      <c r="G14028" t="s">
        <v>12</v>
      </c>
      <c r="I14028" t="s">
        <v>1050</v>
      </c>
    </row>
    <row r="14029" spans="1:9" hidden="1" x14ac:dyDescent="0.25">
      <c r="A14029" t="s">
        <v>11702</v>
      </c>
      <c r="B14029" t="s">
        <v>798</v>
      </c>
      <c r="C14029" s="2">
        <f>HYPERLINK("https://cao.dolgi.msk.ru/account/1080259657/", 1080259657)</f>
        <v>1080259657</v>
      </c>
      <c r="D14029" t="s">
        <v>11730</v>
      </c>
      <c r="E14029">
        <v>-11402.11</v>
      </c>
      <c r="F14029">
        <v>-2.1800000000000002</v>
      </c>
      <c r="G14029" t="s">
        <v>12</v>
      </c>
      <c r="I14029" t="s">
        <v>1050</v>
      </c>
    </row>
    <row r="14030" spans="1:9" hidden="1" x14ac:dyDescent="0.25">
      <c r="A14030" t="s">
        <v>11702</v>
      </c>
      <c r="B14030" t="s">
        <v>800</v>
      </c>
      <c r="C14030" s="2">
        <f>HYPERLINK("https://cao.dolgi.msk.ru/account/1080259665/", 1080259665)</f>
        <v>1080259665</v>
      </c>
      <c r="D14030" t="s">
        <v>11731</v>
      </c>
      <c r="E14030">
        <v>-5905.22</v>
      </c>
      <c r="F14030">
        <v>-1.21</v>
      </c>
      <c r="G14030" t="s">
        <v>12</v>
      </c>
      <c r="I14030" t="s">
        <v>1050</v>
      </c>
    </row>
    <row r="14031" spans="1:9" hidden="1" x14ac:dyDescent="0.25">
      <c r="A14031" t="s">
        <v>11702</v>
      </c>
      <c r="B14031" t="s">
        <v>802</v>
      </c>
      <c r="C14031" s="2">
        <f>HYPERLINK("https://cao.dolgi.msk.ru/account/1080259673/", 1080259673)</f>
        <v>1080259673</v>
      </c>
      <c r="D14031" t="s">
        <v>11732</v>
      </c>
      <c r="E14031">
        <v>-8086.75</v>
      </c>
      <c r="F14031">
        <v>-1.68</v>
      </c>
      <c r="G14031" t="s">
        <v>12</v>
      </c>
      <c r="I14031" t="s">
        <v>1050</v>
      </c>
    </row>
    <row r="14032" spans="1:9" hidden="1" x14ac:dyDescent="0.25">
      <c r="A14032" t="s">
        <v>11702</v>
      </c>
      <c r="B14032" t="s">
        <v>804</v>
      </c>
      <c r="C14032" s="2">
        <f>HYPERLINK("https://cao.dolgi.msk.ru/account/1080259681/", 1080259681)</f>
        <v>1080259681</v>
      </c>
      <c r="D14032" t="s">
        <v>11733</v>
      </c>
      <c r="E14032">
        <v>-5241.7700000000004</v>
      </c>
      <c r="F14032">
        <v>-0.96</v>
      </c>
      <c r="G14032" t="s">
        <v>12</v>
      </c>
      <c r="I14032" t="s">
        <v>1050</v>
      </c>
    </row>
    <row r="14033" spans="1:9" hidden="1" x14ac:dyDescent="0.25">
      <c r="A14033" t="s">
        <v>11702</v>
      </c>
      <c r="B14033" t="s">
        <v>806</v>
      </c>
      <c r="C14033" s="2">
        <f>HYPERLINK("https://cao.dolgi.msk.ru/account/1080259702/", 1080259702)</f>
        <v>1080259702</v>
      </c>
      <c r="D14033" t="s">
        <v>11734</v>
      </c>
      <c r="E14033">
        <v>-2652.8</v>
      </c>
      <c r="F14033">
        <v>-1.1299999999999999</v>
      </c>
      <c r="G14033" t="s">
        <v>12</v>
      </c>
      <c r="H14033" t="s">
        <v>7</v>
      </c>
      <c r="I14033" t="s">
        <v>1050</v>
      </c>
    </row>
    <row r="14034" spans="1:9" hidden="1" x14ac:dyDescent="0.25">
      <c r="A14034" t="s">
        <v>11702</v>
      </c>
      <c r="B14034" t="s">
        <v>806</v>
      </c>
      <c r="C14034" s="2">
        <f>HYPERLINK("https://cao.dolgi.msk.ru/account/1080259729/", 1080259729)</f>
        <v>1080259729</v>
      </c>
      <c r="D14034" t="s">
        <v>11734</v>
      </c>
      <c r="E14034">
        <v>-4716.6099999999997</v>
      </c>
      <c r="F14034">
        <v>-1.1200000000000001</v>
      </c>
      <c r="G14034" t="s">
        <v>12</v>
      </c>
      <c r="H14034" t="s">
        <v>7</v>
      </c>
      <c r="I14034" t="s">
        <v>1050</v>
      </c>
    </row>
    <row r="14035" spans="1:9" hidden="1" x14ac:dyDescent="0.25">
      <c r="A14035" t="s">
        <v>11702</v>
      </c>
      <c r="B14035" t="s">
        <v>808</v>
      </c>
      <c r="C14035" s="2">
        <f>HYPERLINK("https://cao.dolgi.msk.ru/account/1080259737/", 1080259737)</f>
        <v>1080259737</v>
      </c>
      <c r="D14035" t="s">
        <v>11735</v>
      </c>
      <c r="E14035">
        <v>-1629.96</v>
      </c>
      <c r="F14035">
        <v>-0.32</v>
      </c>
      <c r="G14035" t="s">
        <v>12</v>
      </c>
      <c r="I14035" t="s">
        <v>1050</v>
      </c>
    </row>
    <row r="14036" spans="1:9" hidden="1" x14ac:dyDescent="0.25">
      <c r="A14036" t="s">
        <v>11702</v>
      </c>
      <c r="B14036" t="s">
        <v>810</v>
      </c>
      <c r="C14036" s="2">
        <f>HYPERLINK("https://cao.dolgi.msk.ru/account/1080259745/", 1080259745)</f>
        <v>1080259745</v>
      </c>
      <c r="D14036" t="s">
        <v>11736</v>
      </c>
      <c r="E14036">
        <v>-4217.46</v>
      </c>
      <c r="F14036">
        <v>-1</v>
      </c>
      <c r="G14036" t="s">
        <v>12</v>
      </c>
      <c r="I14036" t="s">
        <v>1050</v>
      </c>
    </row>
    <row r="14037" spans="1:9" hidden="1" x14ac:dyDescent="0.25">
      <c r="A14037" t="s">
        <v>11702</v>
      </c>
      <c r="B14037" t="s">
        <v>810</v>
      </c>
      <c r="C14037" s="2">
        <f>HYPERLINK("https://cao.dolgi.msk.ru/account/1083270923/", 1083270923)</f>
        <v>1083270923</v>
      </c>
      <c r="D14037" t="s">
        <v>15</v>
      </c>
      <c r="E14037">
        <v>0</v>
      </c>
      <c r="F14037">
        <v>0</v>
      </c>
      <c r="G14037" t="s">
        <v>12</v>
      </c>
      <c r="I14037" t="s">
        <v>1050</v>
      </c>
    </row>
    <row r="14038" spans="1:9" hidden="1" x14ac:dyDescent="0.25">
      <c r="A14038" t="s">
        <v>11702</v>
      </c>
      <c r="B14038" t="s">
        <v>812</v>
      </c>
      <c r="C14038" s="2">
        <f>HYPERLINK("https://cao.dolgi.msk.ru/account/1080259649/", 1080259649)</f>
        <v>1080259649</v>
      </c>
      <c r="D14038" t="s">
        <v>15</v>
      </c>
      <c r="E14038">
        <v>-7675.66</v>
      </c>
      <c r="F14038">
        <v>-1.1200000000000001</v>
      </c>
      <c r="G14038" t="s">
        <v>12</v>
      </c>
      <c r="I14038" t="s">
        <v>1050</v>
      </c>
    </row>
    <row r="14039" spans="1:9" hidden="1" x14ac:dyDescent="0.25">
      <c r="A14039" t="s">
        <v>11702</v>
      </c>
      <c r="B14039" t="s">
        <v>814</v>
      </c>
      <c r="C14039" s="2">
        <f>HYPERLINK("https://cao.dolgi.msk.ru/account/1080259753/", 1080259753)</f>
        <v>1080259753</v>
      </c>
      <c r="D14039" t="s">
        <v>11737</v>
      </c>
      <c r="E14039">
        <v>-6935.38</v>
      </c>
      <c r="F14039">
        <v>-0.86</v>
      </c>
      <c r="G14039" t="s">
        <v>12</v>
      </c>
      <c r="I14039" t="s">
        <v>1050</v>
      </c>
    </row>
    <row r="14040" spans="1:9" hidden="1" x14ac:dyDescent="0.25">
      <c r="A14040" t="s">
        <v>11702</v>
      </c>
      <c r="B14040" t="s">
        <v>816</v>
      </c>
      <c r="C14040" s="2">
        <f>HYPERLINK("https://cao.dolgi.msk.ru/account/1080259761/", 1080259761)</f>
        <v>1080259761</v>
      </c>
      <c r="D14040" t="s">
        <v>11738</v>
      </c>
      <c r="E14040">
        <v>-8014.34</v>
      </c>
      <c r="F14040">
        <v>-1.1200000000000001</v>
      </c>
      <c r="G14040" t="s">
        <v>12</v>
      </c>
      <c r="I14040" t="s">
        <v>1050</v>
      </c>
    </row>
    <row r="14041" spans="1:9" hidden="1" x14ac:dyDescent="0.25">
      <c r="A14041" t="s">
        <v>11702</v>
      </c>
      <c r="B14041" t="s">
        <v>818</v>
      </c>
      <c r="C14041" s="2">
        <f>HYPERLINK("https://cao.dolgi.msk.ru/account/1080259788/", 1080259788)</f>
        <v>1080259788</v>
      </c>
      <c r="D14041" t="s">
        <v>11739</v>
      </c>
      <c r="E14041">
        <v>-7558.34</v>
      </c>
      <c r="F14041">
        <v>-1.07</v>
      </c>
      <c r="G14041" t="s">
        <v>12</v>
      </c>
      <c r="I14041" t="s">
        <v>1050</v>
      </c>
    </row>
    <row r="14042" spans="1:9" hidden="1" x14ac:dyDescent="0.25">
      <c r="A14042" t="s">
        <v>11702</v>
      </c>
      <c r="B14042" t="s">
        <v>820</v>
      </c>
      <c r="C14042" s="2">
        <f>HYPERLINK("https://cao.dolgi.msk.ru/account/1080259796/", 1080259796)</f>
        <v>1080259796</v>
      </c>
      <c r="D14042" t="s">
        <v>11740</v>
      </c>
      <c r="E14042">
        <v>-289</v>
      </c>
      <c r="F14042">
        <v>-0.05</v>
      </c>
      <c r="G14042" t="s">
        <v>12</v>
      </c>
      <c r="I14042" t="s">
        <v>1050</v>
      </c>
    </row>
    <row r="14043" spans="1:9" hidden="1" x14ac:dyDescent="0.25">
      <c r="A14043" t="s">
        <v>11702</v>
      </c>
      <c r="B14043" t="s">
        <v>822</v>
      </c>
      <c r="C14043" s="2">
        <f>HYPERLINK("https://cao.dolgi.msk.ru/account/1080259809/", 1080259809)</f>
        <v>1080259809</v>
      </c>
      <c r="D14043" t="s">
        <v>15</v>
      </c>
      <c r="E14043">
        <v>-532.83000000000004</v>
      </c>
      <c r="F14043">
        <v>-0.1</v>
      </c>
      <c r="G14043" t="s">
        <v>12</v>
      </c>
      <c r="I14043" t="s">
        <v>1050</v>
      </c>
    </row>
    <row r="14044" spans="1:9" hidden="1" x14ac:dyDescent="0.25">
      <c r="A14044" t="s">
        <v>11702</v>
      </c>
      <c r="B14044" t="s">
        <v>824</v>
      </c>
      <c r="C14044" s="2">
        <f>HYPERLINK("https://cao.dolgi.msk.ru/account/1080259817/", 1080259817)</f>
        <v>1080259817</v>
      </c>
      <c r="D14044" t="s">
        <v>11741</v>
      </c>
      <c r="E14044">
        <v>-3809.73</v>
      </c>
      <c r="F14044">
        <v>-2.63</v>
      </c>
      <c r="G14044" t="s">
        <v>12</v>
      </c>
      <c r="H14044" t="s">
        <v>7</v>
      </c>
      <c r="I14044" t="s">
        <v>1050</v>
      </c>
    </row>
    <row r="14045" spans="1:9" hidden="1" x14ac:dyDescent="0.25">
      <c r="A14045" t="s">
        <v>11702</v>
      </c>
      <c r="B14045" t="s">
        <v>824</v>
      </c>
      <c r="C14045" s="2">
        <f>HYPERLINK("https://cao.dolgi.msk.ru/account/1080259825/", 1080259825)</f>
        <v>1080259825</v>
      </c>
      <c r="D14045" t="s">
        <v>11742</v>
      </c>
      <c r="E14045">
        <v>-987.47</v>
      </c>
      <c r="F14045">
        <v>-0.16</v>
      </c>
      <c r="G14045" t="s">
        <v>12</v>
      </c>
      <c r="H14045" t="s">
        <v>7</v>
      </c>
      <c r="I14045" t="s">
        <v>1050</v>
      </c>
    </row>
    <row r="14046" spans="1:9" x14ac:dyDescent="0.25">
      <c r="A14046" t="s">
        <v>11702</v>
      </c>
      <c r="B14046" t="s">
        <v>826</v>
      </c>
      <c r="C14046" s="2">
        <f>HYPERLINK("https://cao.dolgi.msk.ru/account/1080259833/", 1080259833)</f>
        <v>1080259833</v>
      </c>
      <c r="D14046" t="s">
        <v>11743</v>
      </c>
      <c r="E14046">
        <v>11531.92</v>
      </c>
      <c r="F14046">
        <v>1.75</v>
      </c>
      <c r="G14046" t="s">
        <v>12</v>
      </c>
      <c r="I14046" t="s">
        <v>1050</v>
      </c>
    </row>
    <row r="14047" spans="1:9" hidden="1" x14ac:dyDescent="0.25">
      <c r="A14047" t="s">
        <v>11702</v>
      </c>
      <c r="B14047" t="s">
        <v>828</v>
      </c>
      <c r="C14047" s="2">
        <f>HYPERLINK("https://cao.dolgi.msk.ru/account/1080259841/", 1080259841)</f>
        <v>1080259841</v>
      </c>
      <c r="D14047" t="s">
        <v>11744</v>
      </c>
      <c r="E14047">
        <v>-5950.52</v>
      </c>
      <c r="F14047">
        <v>-1.06</v>
      </c>
      <c r="G14047" t="s">
        <v>12</v>
      </c>
      <c r="I14047" t="s">
        <v>1050</v>
      </c>
    </row>
    <row r="14048" spans="1:9" hidden="1" x14ac:dyDescent="0.25">
      <c r="A14048" t="s">
        <v>11702</v>
      </c>
      <c r="B14048" t="s">
        <v>830</v>
      </c>
      <c r="C14048" s="2">
        <f>HYPERLINK("https://cao.dolgi.msk.ru/account/1080259868/", 1080259868)</f>
        <v>1080259868</v>
      </c>
      <c r="D14048" t="s">
        <v>1151</v>
      </c>
      <c r="E14048">
        <v>-18315.41</v>
      </c>
      <c r="F14048">
        <v>-5.27</v>
      </c>
      <c r="G14048" t="s">
        <v>12</v>
      </c>
      <c r="I14048" t="s">
        <v>1050</v>
      </c>
    </row>
    <row r="14049" spans="1:9" hidden="1" x14ac:dyDescent="0.25">
      <c r="A14049" t="s">
        <v>11702</v>
      </c>
      <c r="B14049" t="s">
        <v>830</v>
      </c>
      <c r="C14049" s="2">
        <f>HYPERLINK("https://cao.dolgi.msk.ru/account/1083316426/", 1083316426)</f>
        <v>1083316426</v>
      </c>
      <c r="D14049" t="s">
        <v>15</v>
      </c>
      <c r="E14049">
        <v>-1129.48</v>
      </c>
      <c r="F14049">
        <v>-0.69</v>
      </c>
      <c r="G14049" t="s">
        <v>12</v>
      </c>
      <c r="I14049" t="s">
        <v>1050</v>
      </c>
    </row>
    <row r="14050" spans="1:9" hidden="1" x14ac:dyDescent="0.25">
      <c r="A14050" t="s">
        <v>11702</v>
      </c>
      <c r="B14050" t="s">
        <v>831</v>
      </c>
      <c r="C14050" s="2">
        <f>HYPERLINK("https://cao.dolgi.msk.ru/account/1080322994/", 1080322994)</f>
        <v>1080322994</v>
      </c>
      <c r="D14050" t="s">
        <v>15</v>
      </c>
      <c r="G14050" t="s">
        <v>14</v>
      </c>
      <c r="I14050" t="s">
        <v>1050</v>
      </c>
    </row>
    <row r="14051" spans="1:9" hidden="1" x14ac:dyDescent="0.25">
      <c r="A14051" t="s">
        <v>11702</v>
      </c>
      <c r="B14051" t="s">
        <v>833</v>
      </c>
      <c r="C14051" s="2">
        <f>HYPERLINK("https://cao.dolgi.msk.ru/account/1080259884/", 1080259884)</f>
        <v>1080259884</v>
      </c>
      <c r="D14051" t="s">
        <v>5684</v>
      </c>
      <c r="E14051">
        <v>-6075.16</v>
      </c>
      <c r="F14051">
        <v>-1.1299999999999999</v>
      </c>
      <c r="G14051" t="s">
        <v>12</v>
      </c>
      <c r="I14051" t="s">
        <v>1050</v>
      </c>
    </row>
    <row r="14052" spans="1:9" hidden="1" x14ac:dyDescent="0.25">
      <c r="A14052" t="s">
        <v>11702</v>
      </c>
      <c r="B14052" t="s">
        <v>835</v>
      </c>
      <c r="C14052" s="2">
        <f>HYPERLINK("https://cao.dolgi.msk.ru/account/1080259876/", 1080259876)</f>
        <v>1080259876</v>
      </c>
      <c r="D14052" t="s">
        <v>11745</v>
      </c>
      <c r="E14052">
        <v>-5180.26</v>
      </c>
      <c r="F14052">
        <v>-1.04</v>
      </c>
      <c r="G14052" t="s">
        <v>12</v>
      </c>
      <c r="I14052" t="s">
        <v>1050</v>
      </c>
    </row>
    <row r="14053" spans="1:9" hidden="1" x14ac:dyDescent="0.25">
      <c r="A14053" t="s">
        <v>11702</v>
      </c>
      <c r="B14053" t="s">
        <v>837</v>
      </c>
      <c r="C14053" s="2">
        <f>HYPERLINK("https://cao.dolgi.msk.ru/account/1080259892/", 1080259892)</f>
        <v>1080259892</v>
      </c>
      <c r="D14053" t="s">
        <v>11746</v>
      </c>
      <c r="E14053">
        <v>-6620.78</v>
      </c>
      <c r="F14053">
        <v>-0.89</v>
      </c>
      <c r="G14053" t="s">
        <v>12</v>
      </c>
      <c r="I14053" t="s">
        <v>1050</v>
      </c>
    </row>
    <row r="14054" spans="1:9" hidden="1" x14ac:dyDescent="0.25">
      <c r="A14054" t="s">
        <v>11702</v>
      </c>
      <c r="B14054" t="s">
        <v>838</v>
      </c>
      <c r="C14054" s="2">
        <f>HYPERLINK("https://cao.dolgi.msk.ru/account/1080259905/", 1080259905)</f>
        <v>1080259905</v>
      </c>
      <c r="D14054" t="s">
        <v>11747</v>
      </c>
      <c r="E14054">
        <v>-3836.02</v>
      </c>
      <c r="F14054">
        <v>-1.06</v>
      </c>
      <c r="G14054" t="s">
        <v>12</v>
      </c>
      <c r="I14054" t="s">
        <v>1050</v>
      </c>
    </row>
    <row r="14055" spans="1:9" hidden="1" x14ac:dyDescent="0.25">
      <c r="A14055" t="s">
        <v>11702</v>
      </c>
      <c r="B14055" t="s">
        <v>838</v>
      </c>
      <c r="C14055" s="2">
        <f>HYPERLINK("https://cao.dolgi.msk.ru/account/1083269017/", 1083269017)</f>
        <v>1083269017</v>
      </c>
      <c r="D14055" t="s">
        <v>15</v>
      </c>
      <c r="E14055">
        <v>-3304.44</v>
      </c>
      <c r="F14055">
        <v>-1.07</v>
      </c>
      <c r="G14055" t="s">
        <v>12</v>
      </c>
      <c r="I14055" t="s">
        <v>1050</v>
      </c>
    </row>
    <row r="14056" spans="1:9" hidden="1" x14ac:dyDescent="0.25">
      <c r="A14056" t="s">
        <v>11702</v>
      </c>
      <c r="B14056" t="s">
        <v>840</v>
      </c>
      <c r="C14056" s="2">
        <f>HYPERLINK("https://cao.dolgi.msk.ru/account/1080259913/", 1080259913)</f>
        <v>1080259913</v>
      </c>
      <c r="D14056" t="s">
        <v>11748</v>
      </c>
      <c r="E14056">
        <v>-7384.71</v>
      </c>
      <c r="F14056">
        <v>-1.18</v>
      </c>
      <c r="G14056" t="s">
        <v>12</v>
      </c>
      <c r="I14056" t="s">
        <v>1050</v>
      </c>
    </row>
    <row r="14057" spans="1:9" hidden="1" x14ac:dyDescent="0.25">
      <c r="A14057" t="s">
        <v>11702</v>
      </c>
      <c r="B14057" t="s">
        <v>842</v>
      </c>
      <c r="C14057" s="2">
        <f>HYPERLINK("https://cao.dolgi.msk.ru/account/1080259921/", 1080259921)</f>
        <v>1080259921</v>
      </c>
      <c r="D14057" t="s">
        <v>11749</v>
      </c>
      <c r="E14057">
        <v>-6866.97</v>
      </c>
      <c r="F14057">
        <v>-1.1000000000000001</v>
      </c>
      <c r="G14057" t="s">
        <v>12</v>
      </c>
      <c r="I14057" t="s">
        <v>1050</v>
      </c>
    </row>
    <row r="14058" spans="1:9" hidden="1" x14ac:dyDescent="0.25">
      <c r="A14058" t="s">
        <v>11702</v>
      </c>
      <c r="B14058" t="s">
        <v>844</v>
      </c>
      <c r="C14058" s="2">
        <f>HYPERLINK("https://cao.dolgi.msk.ru/account/1080259948/", 1080259948)</f>
        <v>1080259948</v>
      </c>
      <c r="D14058" t="s">
        <v>11750</v>
      </c>
      <c r="E14058">
        <v>-242.94</v>
      </c>
      <c r="F14058">
        <v>-0.05</v>
      </c>
      <c r="G14058" t="s">
        <v>12</v>
      </c>
      <c r="I14058" t="s">
        <v>1050</v>
      </c>
    </row>
    <row r="14059" spans="1:9" hidden="1" x14ac:dyDescent="0.25">
      <c r="A14059" t="s">
        <v>11702</v>
      </c>
      <c r="B14059" t="s">
        <v>846</v>
      </c>
      <c r="C14059" s="2">
        <f>HYPERLINK("https://cao.dolgi.msk.ru/account/1080259956/", 1080259956)</f>
        <v>1080259956</v>
      </c>
      <c r="D14059" t="s">
        <v>11751</v>
      </c>
      <c r="E14059">
        <v>-5884.32</v>
      </c>
      <c r="F14059">
        <v>-1.19</v>
      </c>
      <c r="G14059" t="s">
        <v>12</v>
      </c>
      <c r="I14059" t="s">
        <v>1050</v>
      </c>
    </row>
    <row r="14060" spans="1:9" hidden="1" x14ac:dyDescent="0.25">
      <c r="A14060" t="s">
        <v>11702</v>
      </c>
      <c r="B14060" t="s">
        <v>848</v>
      </c>
      <c r="C14060" s="2">
        <f>HYPERLINK("https://cao.dolgi.msk.ru/account/1080259964/", 1080259964)</f>
        <v>1080259964</v>
      </c>
      <c r="D14060" t="s">
        <v>11752</v>
      </c>
      <c r="E14060">
        <v>-3663.52</v>
      </c>
      <c r="F14060">
        <v>-0.67</v>
      </c>
      <c r="G14060" t="s">
        <v>12</v>
      </c>
      <c r="I14060" t="s">
        <v>1050</v>
      </c>
    </row>
    <row r="14061" spans="1:9" hidden="1" x14ac:dyDescent="0.25">
      <c r="A14061" t="s">
        <v>11702</v>
      </c>
      <c r="B14061" t="s">
        <v>850</v>
      </c>
      <c r="C14061" s="2">
        <f>HYPERLINK("https://cao.dolgi.msk.ru/account/1080259972/", 1080259972)</f>
        <v>1080259972</v>
      </c>
      <c r="D14061" t="s">
        <v>11753</v>
      </c>
      <c r="E14061">
        <v>-5146.4399999999996</v>
      </c>
      <c r="F14061">
        <v>-0.73</v>
      </c>
      <c r="G14061" t="s">
        <v>12</v>
      </c>
      <c r="I14061" t="s">
        <v>1050</v>
      </c>
    </row>
    <row r="14062" spans="1:9" hidden="1" x14ac:dyDescent="0.25">
      <c r="A14062" t="s">
        <v>11702</v>
      </c>
      <c r="B14062" t="s">
        <v>852</v>
      </c>
      <c r="C14062" s="2">
        <f>HYPERLINK("https://cao.dolgi.msk.ru/account/1080259999/", 1080259999)</f>
        <v>1080259999</v>
      </c>
      <c r="D14062" t="s">
        <v>11754</v>
      </c>
      <c r="E14062">
        <v>1744.96</v>
      </c>
      <c r="F14062">
        <v>0.41</v>
      </c>
      <c r="G14062" t="s">
        <v>12</v>
      </c>
      <c r="I14062" t="s">
        <v>1050</v>
      </c>
    </row>
    <row r="14063" spans="1:9" hidden="1" x14ac:dyDescent="0.25">
      <c r="A14063" t="s">
        <v>11702</v>
      </c>
      <c r="B14063" t="s">
        <v>854</v>
      </c>
      <c r="C14063" s="2">
        <f>HYPERLINK("https://cao.dolgi.msk.ru/account/1080260009/", 1080260009)</f>
        <v>1080260009</v>
      </c>
      <c r="D14063" t="s">
        <v>11755</v>
      </c>
      <c r="E14063">
        <v>-5970.01</v>
      </c>
      <c r="F14063">
        <v>-1.1599999999999999</v>
      </c>
      <c r="G14063" t="s">
        <v>12</v>
      </c>
      <c r="I14063" t="s">
        <v>1050</v>
      </c>
    </row>
    <row r="14064" spans="1:9" hidden="1" x14ac:dyDescent="0.25">
      <c r="A14064" t="s">
        <v>11702</v>
      </c>
      <c r="B14064" t="s">
        <v>856</v>
      </c>
      <c r="C14064" s="2">
        <f>HYPERLINK("https://cao.dolgi.msk.ru/account/1080260017/", 1080260017)</f>
        <v>1080260017</v>
      </c>
      <c r="D14064" t="s">
        <v>11756</v>
      </c>
      <c r="E14064">
        <v>2813.09</v>
      </c>
      <c r="F14064">
        <v>0.61</v>
      </c>
      <c r="G14064" t="s">
        <v>12</v>
      </c>
      <c r="I14064" t="s">
        <v>1050</v>
      </c>
    </row>
    <row r="14065" spans="1:9" x14ac:dyDescent="0.25">
      <c r="A14065" t="s">
        <v>11702</v>
      </c>
      <c r="B14065" t="s">
        <v>858</v>
      </c>
      <c r="C14065" s="2">
        <f>HYPERLINK("https://cao.dolgi.msk.ru/account/1080260025/", 1080260025)</f>
        <v>1080260025</v>
      </c>
      <c r="D14065" t="s">
        <v>11757</v>
      </c>
      <c r="E14065">
        <v>24381.200000000001</v>
      </c>
      <c r="F14065">
        <v>2.8</v>
      </c>
      <c r="G14065" t="s">
        <v>12</v>
      </c>
      <c r="H14065" t="s">
        <v>7</v>
      </c>
      <c r="I14065" t="s">
        <v>1050</v>
      </c>
    </row>
    <row r="14066" spans="1:9" hidden="1" x14ac:dyDescent="0.25">
      <c r="A14066" t="s">
        <v>11702</v>
      </c>
      <c r="B14066" t="s">
        <v>858</v>
      </c>
      <c r="C14066" s="2">
        <f>HYPERLINK("https://cao.dolgi.msk.ru/account/1089130075/", 1089130075)</f>
        <v>1089130075</v>
      </c>
      <c r="D14066" t="s">
        <v>15</v>
      </c>
      <c r="E14066">
        <v>-846.53</v>
      </c>
      <c r="G14066" t="s">
        <v>12</v>
      </c>
      <c r="H14066" t="s">
        <v>7</v>
      </c>
      <c r="I14066" t="s">
        <v>1050</v>
      </c>
    </row>
    <row r="14067" spans="1:9" hidden="1" x14ac:dyDescent="0.25">
      <c r="A14067" t="s">
        <v>11702</v>
      </c>
      <c r="B14067" t="s">
        <v>860</v>
      </c>
      <c r="C14067" s="2">
        <f>HYPERLINK("https://cao.dolgi.msk.ru/account/1080260033/", 1080260033)</f>
        <v>1080260033</v>
      </c>
      <c r="D14067" t="s">
        <v>11758</v>
      </c>
      <c r="E14067">
        <v>-8709.06</v>
      </c>
      <c r="F14067">
        <v>-1.68</v>
      </c>
      <c r="G14067" t="s">
        <v>12</v>
      </c>
      <c r="I14067" t="s">
        <v>1050</v>
      </c>
    </row>
    <row r="14068" spans="1:9" hidden="1" x14ac:dyDescent="0.25">
      <c r="A14068" t="s">
        <v>11702</v>
      </c>
      <c r="B14068" t="s">
        <v>862</v>
      </c>
      <c r="C14068" s="2">
        <f>HYPERLINK("https://cao.dolgi.msk.ru/account/1080260041/", 1080260041)</f>
        <v>1080260041</v>
      </c>
      <c r="D14068" t="s">
        <v>11759</v>
      </c>
      <c r="E14068">
        <v>4436.8900000000003</v>
      </c>
      <c r="F14068">
        <v>0.81</v>
      </c>
      <c r="G14068" t="s">
        <v>12</v>
      </c>
      <c r="I14068" t="s">
        <v>1050</v>
      </c>
    </row>
    <row r="14069" spans="1:9" hidden="1" x14ac:dyDescent="0.25">
      <c r="A14069" t="s">
        <v>11702</v>
      </c>
      <c r="B14069" t="s">
        <v>864</v>
      </c>
      <c r="C14069" s="2">
        <f>HYPERLINK("https://cao.dolgi.msk.ru/account/1080260068/", 1080260068)</f>
        <v>1080260068</v>
      </c>
      <c r="D14069" t="s">
        <v>11760</v>
      </c>
      <c r="E14069">
        <v>-391.05</v>
      </c>
      <c r="F14069">
        <v>-7.0000000000000007E-2</v>
      </c>
      <c r="G14069" t="s">
        <v>12</v>
      </c>
      <c r="I14069" t="s">
        <v>1050</v>
      </c>
    </row>
    <row r="14070" spans="1:9" hidden="1" x14ac:dyDescent="0.25">
      <c r="A14070" t="s">
        <v>11702</v>
      </c>
      <c r="B14070" t="s">
        <v>866</v>
      </c>
      <c r="C14070" s="2">
        <f>HYPERLINK("https://cao.dolgi.msk.ru/account/1080260076/", 1080260076)</f>
        <v>1080260076</v>
      </c>
      <c r="D14070" t="s">
        <v>11761</v>
      </c>
      <c r="G14070" t="s">
        <v>14</v>
      </c>
      <c r="I14070" t="s">
        <v>1050</v>
      </c>
    </row>
    <row r="14071" spans="1:9" hidden="1" x14ac:dyDescent="0.25">
      <c r="A14071" t="s">
        <v>11702</v>
      </c>
      <c r="B14071" t="s">
        <v>866</v>
      </c>
      <c r="C14071" s="2">
        <f>HYPERLINK("https://cao.dolgi.msk.ru/account/1080260084/", 1080260084)</f>
        <v>1080260084</v>
      </c>
      <c r="D14071" t="s">
        <v>11762</v>
      </c>
      <c r="E14071">
        <v>-9034.64</v>
      </c>
      <c r="F14071">
        <v>-0.95</v>
      </c>
      <c r="G14071" t="s">
        <v>12</v>
      </c>
      <c r="I14071" t="s">
        <v>1050</v>
      </c>
    </row>
    <row r="14072" spans="1:9" x14ac:dyDescent="0.25">
      <c r="A14072" t="s">
        <v>11763</v>
      </c>
      <c r="B14072" t="s">
        <v>21</v>
      </c>
      <c r="C14072" s="2">
        <f>HYPERLINK("https://cao.dolgi.msk.ru/account/1080268801/", 1080268801)</f>
        <v>1080268801</v>
      </c>
      <c r="D14072" t="s">
        <v>11764</v>
      </c>
      <c r="E14072">
        <v>19271.84</v>
      </c>
      <c r="F14072">
        <v>7.12</v>
      </c>
      <c r="G14072" t="s">
        <v>12</v>
      </c>
      <c r="I14072" t="s">
        <v>1050</v>
      </c>
    </row>
    <row r="14073" spans="1:9" hidden="1" x14ac:dyDescent="0.25">
      <c r="A14073" t="s">
        <v>11763</v>
      </c>
      <c r="B14073" t="s">
        <v>22</v>
      </c>
      <c r="C14073" s="2">
        <f>HYPERLINK("https://cao.dolgi.msk.ru/account/1080268828/", 1080268828)</f>
        <v>1080268828</v>
      </c>
      <c r="D14073" t="s">
        <v>11765</v>
      </c>
      <c r="E14073">
        <v>-2891.37</v>
      </c>
      <c r="F14073">
        <v>-1.1000000000000001</v>
      </c>
      <c r="G14073" t="s">
        <v>12</v>
      </c>
      <c r="I14073" t="s">
        <v>1050</v>
      </c>
    </row>
    <row r="14074" spans="1:9" hidden="1" x14ac:dyDescent="0.25">
      <c r="A14074" t="s">
        <v>11763</v>
      </c>
      <c r="B14074" t="s">
        <v>23</v>
      </c>
      <c r="C14074" s="2">
        <f>HYPERLINK("https://cao.dolgi.msk.ru/account/1080268836/", 1080268836)</f>
        <v>1080268836</v>
      </c>
      <c r="D14074" t="s">
        <v>62</v>
      </c>
      <c r="E14074">
        <v>0.9</v>
      </c>
      <c r="F14074">
        <v>0</v>
      </c>
      <c r="G14074" t="s">
        <v>12</v>
      </c>
      <c r="I14074" t="s">
        <v>1050</v>
      </c>
    </row>
    <row r="14075" spans="1:9" hidden="1" x14ac:dyDescent="0.25">
      <c r="A14075" t="s">
        <v>11763</v>
      </c>
      <c r="B14075" t="s">
        <v>24</v>
      </c>
      <c r="C14075" s="2">
        <f>HYPERLINK("https://cao.dolgi.msk.ru/account/1080268844/", 1080268844)</f>
        <v>1080268844</v>
      </c>
      <c r="D14075" t="s">
        <v>11766</v>
      </c>
      <c r="E14075">
        <v>-4682.54</v>
      </c>
      <c r="F14075">
        <v>-1.51</v>
      </c>
      <c r="G14075" t="s">
        <v>12</v>
      </c>
      <c r="I14075" t="s">
        <v>1050</v>
      </c>
    </row>
    <row r="14076" spans="1:9" hidden="1" x14ac:dyDescent="0.25">
      <c r="A14076" t="s">
        <v>11763</v>
      </c>
      <c r="B14076" t="s">
        <v>27</v>
      </c>
      <c r="C14076" s="2">
        <f>HYPERLINK("https://cao.dolgi.msk.ru/account/1080268852/", 1080268852)</f>
        <v>1080268852</v>
      </c>
      <c r="D14076" t="s">
        <v>11767</v>
      </c>
      <c r="E14076">
        <v>-3161.56</v>
      </c>
      <c r="F14076">
        <v>-1.18</v>
      </c>
      <c r="G14076" t="s">
        <v>12</v>
      </c>
      <c r="I14076" t="s">
        <v>1050</v>
      </c>
    </row>
    <row r="14077" spans="1:9" hidden="1" x14ac:dyDescent="0.25">
      <c r="A14077" t="s">
        <v>11763</v>
      </c>
      <c r="B14077" t="s">
        <v>29</v>
      </c>
      <c r="C14077" s="2">
        <f>HYPERLINK("https://cao.dolgi.msk.ru/account/1080268879/", 1080268879)</f>
        <v>1080268879</v>
      </c>
      <c r="D14077" t="s">
        <v>11768</v>
      </c>
      <c r="E14077">
        <v>-3874.17</v>
      </c>
      <c r="F14077">
        <v>-1.1599999999999999</v>
      </c>
      <c r="G14077" t="s">
        <v>12</v>
      </c>
      <c r="I14077" t="s">
        <v>1050</v>
      </c>
    </row>
    <row r="14078" spans="1:9" hidden="1" x14ac:dyDescent="0.25">
      <c r="A14078" t="s">
        <v>11763</v>
      </c>
      <c r="B14078" t="s">
        <v>31</v>
      </c>
      <c r="C14078" s="2">
        <f>HYPERLINK("https://cao.dolgi.msk.ru/account/1080268887/", 1080268887)</f>
        <v>1080268887</v>
      </c>
      <c r="D14078" t="s">
        <v>11769</v>
      </c>
      <c r="E14078">
        <v>-4519.3</v>
      </c>
      <c r="F14078">
        <v>-1.43</v>
      </c>
      <c r="G14078" t="s">
        <v>12</v>
      </c>
      <c r="I14078" t="s">
        <v>1050</v>
      </c>
    </row>
    <row r="14079" spans="1:9" hidden="1" x14ac:dyDescent="0.25">
      <c r="A14079" t="s">
        <v>11763</v>
      </c>
      <c r="B14079" t="s">
        <v>33</v>
      </c>
      <c r="C14079" s="2">
        <f>HYPERLINK("https://cao.dolgi.msk.ru/account/1080268895/", 1080268895)</f>
        <v>1080268895</v>
      </c>
      <c r="D14079" t="s">
        <v>11770</v>
      </c>
      <c r="E14079">
        <v>-4856.03</v>
      </c>
      <c r="F14079">
        <v>-1.1000000000000001</v>
      </c>
      <c r="G14079" t="s">
        <v>12</v>
      </c>
      <c r="I14079" t="s">
        <v>1050</v>
      </c>
    </row>
    <row r="14080" spans="1:9" x14ac:dyDescent="0.25">
      <c r="A14080" t="s">
        <v>11763</v>
      </c>
      <c r="B14080" t="s">
        <v>34</v>
      </c>
      <c r="C14080" s="2">
        <f>HYPERLINK("https://cao.dolgi.msk.ru/account/1080268908/", 1080268908)</f>
        <v>1080268908</v>
      </c>
      <c r="D14080" t="s">
        <v>11771</v>
      </c>
      <c r="E14080">
        <v>5754.58</v>
      </c>
      <c r="F14080">
        <v>1.29</v>
      </c>
      <c r="G14080" t="s">
        <v>12</v>
      </c>
      <c r="I14080" t="s">
        <v>1050</v>
      </c>
    </row>
    <row r="14081" spans="1:9" hidden="1" x14ac:dyDescent="0.25">
      <c r="A14081" t="s">
        <v>11763</v>
      </c>
      <c r="B14081" t="s">
        <v>36</v>
      </c>
      <c r="C14081" s="2">
        <f>HYPERLINK("https://cao.dolgi.msk.ru/account/1080268916/", 1080268916)</f>
        <v>1080268916</v>
      </c>
      <c r="D14081" t="s">
        <v>11772</v>
      </c>
      <c r="E14081">
        <v>-2567.06</v>
      </c>
      <c r="F14081">
        <v>-1.17</v>
      </c>
      <c r="G14081" t="s">
        <v>12</v>
      </c>
      <c r="I14081" t="s">
        <v>1050</v>
      </c>
    </row>
    <row r="14082" spans="1:9" hidden="1" x14ac:dyDescent="0.25">
      <c r="A14082" t="s">
        <v>11763</v>
      </c>
      <c r="B14082" t="s">
        <v>38</v>
      </c>
      <c r="C14082" s="2">
        <f>HYPERLINK("https://cao.dolgi.msk.ru/account/1080268924/", 1080268924)</f>
        <v>1080268924</v>
      </c>
      <c r="D14082" t="s">
        <v>11773</v>
      </c>
      <c r="E14082">
        <v>-4197.75</v>
      </c>
      <c r="F14082">
        <v>-1.1599999999999999</v>
      </c>
      <c r="G14082" t="s">
        <v>12</v>
      </c>
      <c r="I14082" t="s">
        <v>1050</v>
      </c>
    </row>
    <row r="14083" spans="1:9" hidden="1" x14ac:dyDescent="0.25">
      <c r="A14083" t="s">
        <v>11763</v>
      </c>
      <c r="B14083" t="s">
        <v>39</v>
      </c>
      <c r="C14083" s="2">
        <f>HYPERLINK("https://cao.dolgi.msk.ru/account/1080268932/", 1080268932)</f>
        <v>1080268932</v>
      </c>
      <c r="D14083" t="s">
        <v>11774</v>
      </c>
      <c r="E14083">
        <v>-4132.1499999999996</v>
      </c>
      <c r="F14083">
        <v>-0.91</v>
      </c>
      <c r="G14083" t="s">
        <v>12</v>
      </c>
      <c r="I14083" t="s">
        <v>1050</v>
      </c>
    </row>
    <row r="14084" spans="1:9" hidden="1" x14ac:dyDescent="0.25">
      <c r="A14084" t="s">
        <v>11763</v>
      </c>
      <c r="B14084" t="s">
        <v>40</v>
      </c>
      <c r="C14084" s="2">
        <f>HYPERLINK("https://cao.dolgi.msk.ru/account/1080268959/", 1080268959)</f>
        <v>1080268959</v>
      </c>
      <c r="D14084" t="s">
        <v>11775</v>
      </c>
      <c r="E14084">
        <v>-1444.39</v>
      </c>
      <c r="F14084">
        <v>-0.72</v>
      </c>
      <c r="G14084" t="s">
        <v>12</v>
      </c>
      <c r="I14084" t="s">
        <v>1050</v>
      </c>
    </row>
    <row r="14085" spans="1:9" hidden="1" x14ac:dyDescent="0.25">
      <c r="A14085" t="s">
        <v>11763</v>
      </c>
      <c r="B14085" t="s">
        <v>41</v>
      </c>
      <c r="C14085" s="2">
        <f>HYPERLINK("https://cao.dolgi.msk.ru/account/1080268967/", 1080268967)</f>
        <v>1080268967</v>
      </c>
      <c r="D14085" t="s">
        <v>11776</v>
      </c>
      <c r="E14085">
        <v>-1673.87</v>
      </c>
      <c r="F14085">
        <v>-1.1399999999999999</v>
      </c>
      <c r="G14085" t="s">
        <v>12</v>
      </c>
      <c r="I14085" t="s">
        <v>1050</v>
      </c>
    </row>
    <row r="14086" spans="1:9" hidden="1" x14ac:dyDescent="0.25">
      <c r="A14086" t="s">
        <v>11763</v>
      </c>
      <c r="B14086" t="s">
        <v>41</v>
      </c>
      <c r="C14086" s="2">
        <f>HYPERLINK("https://cao.dolgi.msk.ru/account/1083274289/", 1083274289)</f>
        <v>1083274289</v>
      </c>
      <c r="D14086" t="s">
        <v>15</v>
      </c>
      <c r="E14086">
        <v>-3135.95</v>
      </c>
      <c r="F14086">
        <v>-1.1100000000000001</v>
      </c>
      <c r="G14086" t="s">
        <v>12</v>
      </c>
      <c r="I14086" t="s">
        <v>1050</v>
      </c>
    </row>
    <row r="14087" spans="1:9" hidden="1" x14ac:dyDescent="0.25">
      <c r="A14087" t="s">
        <v>11763</v>
      </c>
      <c r="B14087" t="s">
        <v>42</v>
      </c>
      <c r="C14087" s="2">
        <f>HYPERLINK("https://cao.dolgi.msk.ru/account/1080268975/", 1080268975)</f>
        <v>1080268975</v>
      </c>
      <c r="D14087" t="s">
        <v>11777</v>
      </c>
      <c r="E14087">
        <v>14.05</v>
      </c>
      <c r="F14087">
        <v>0</v>
      </c>
      <c r="G14087" t="s">
        <v>12</v>
      </c>
      <c r="I14087" t="s">
        <v>1050</v>
      </c>
    </row>
    <row r="14088" spans="1:9" hidden="1" x14ac:dyDescent="0.25">
      <c r="A14088" t="s">
        <v>11763</v>
      </c>
      <c r="B14088" t="s">
        <v>44</v>
      </c>
      <c r="C14088" s="2">
        <f>HYPERLINK("https://cao.dolgi.msk.ru/account/1080268983/", 1080268983)</f>
        <v>1080268983</v>
      </c>
      <c r="D14088" t="s">
        <v>15</v>
      </c>
      <c r="E14088">
        <v>-3069.75</v>
      </c>
      <c r="F14088">
        <v>-0.96</v>
      </c>
      <c r="G14088" t="s">
        <v>12</v>
      </c>
      <c r="I14088" t="s">
        <v>1050</v>
      </c>
    </row>
    <row r="14089" spans="1:9" hidden="1" x14ac:dyDescent="0.25">
      <c r="A14089" t="s">
        <v>11763</v>
      </c>
      <c r="B14089" t="s">
        <v>66</v>
      </c>
      <c r="C14089" s="2">
        <f>HYPERLINK("https://cao.dolgi.msk.ru/account/1080268991/", 1080268991)</f>
        <v>1080268991</v>
      </c>
      <c r="D14089" t="s">
        <v>11778</v>
      </c>
      <c r="E14089">
        <v>-6530.06</v>
      </c>
      <c r="F14089">
        <v>-1</v>
      </c>
      <c r="G14089" t="s">
        <v>12</v>
      </c>
      <c r="I14089" t="s">
        <v>1050</v>
      </c>
    </row>
    <row r="14090" spans="1:9" hidden="1" x14ac:dyDescent="0.25">
      <c r="A14090" t="s">
        <v>11763</v>
      </c>
      <c r="B14090" t="s">
        <v>68</v>
      </c>
      <c r="C14090" s="2">
        <f>HYPERLINK("https://cao.dolgi.msk.ru/account/1080269003/", 1080269003)</f>
        <v>1080269003</v>
      </c>
      <c r="D14090" t="s">
        <v>11779</v>
      </c>
      <c r="E14090">
        <v>-562.52</v>
      </c>
      <c r="F14090">
        <v>-0.12</v>
      </c>
      <c r="G14090" t="s">
        <v>12</v>
      </c>
      <c r="I14090" t="s">
        <v>1050</v>
      </c>
    </row>
    <row r="14091" spans="1:9" hidden="1" x14ac:dyDescent="0.25">
      <c r="A14091" t="s">
        <v>11763</v>
      </c>
      <c r="B14091" t="s">
        <v>70</v>
      </c>
      <c r="C14091" s="2">
        <f>HYPERLINK("https://cao.dolgi.msk.ru/account/1080269011/", 1080269011)</f>
        <v>1080269011</v>
      </c>
      <c r="D14091" t="s">
        <v>15</v>
      </c>
      <c r="E14091">
        <v>-2931.01</v>
      </c>
      <c r="F14091">
        <v>-1.1499999999999999</v>
      </c>
      <c r="G14091" t="s">
        <v>12</v>
      </c>
      <c r="I14091" t="s">
        <v>1050</v>
      </c>
    </row>
    <row r="14092" spans="1:9" hidden="1" x14ac:dyDescent="0.25">
      <c r="A14092" t="s">
        <v>11763</v>
      </c>
      <c r="B14092" t="s">
        <v>70</v>
      </c>
      <c r="C14092" s="2">
        <f>HYPERLINK("https://cao.dolgi.msk.ru/account/1080321609/", 1080321609)</f>
        <v>1080321609</v>
      </c>
      <c r="D14092" t="s">
        <v>15</v>
      </c>
      <c r="E14092">
        <v>0</v>
      </c>
      <c r="G14092" t="s">
        <v>14</v>
      </c>
      <c r="I14092" t="s">
        <v>1050</v>
      </c>
    </row>
    <row r="14093" spans="1:9" hidden="1" x14ac:dyDescent="0.25">
      <c r="A14093" t="s">
        <v>11763</v>
      </c>
      <c r="B14093" t="s">
        <v>72</v>
      </c>
      <c r="C14093" s="2">
        <f>HYPERLINK("https://cao.dolgi.msk.ru/account/1080269038/", 1080269038)</f>
        <v>1080269038</v>
      </c>
      <c r="D14093" t="s">
        <v>11780</v>
      </c>
      <c r="E14093">
        <v>-4435.01</v>
      </c>
      <c r="F14093">
        <v>-1.07</v>
      </c>
      <c r="G14093" t="s">
        <v>12</v>
      </c>
      <c r="I14093" t="s">
        <v>1050</v>
      </c>
    </row>
    <row r="14094" spans="1:9" hidden="1" x14ac:dyDescent="0.25">
      <c r="A14094" t="s">
        <v>11763</v>
      </c>
      <c r="B14094" t="s">
        <v>74</v>
      </c>
      <c r="C14094" s="2">
        <f>HYPERLINK("https://cao.dolgi.msk.ru/account/1080269046/", 1080269046)</f>
        <v>1080269046</v>
      </c>
      <c r="D14094" t="s">
        <v>11781</v>
      </c>
      <c r="E14094">
        <v>0</v>
      </c>
      <c r="F14094">
        <v>0</v>
      </c>
      <c r="G14094" t="s">
        <v>12</v>
      </c>
      <c r="I14094" t="s">
        <v>1050</v>
      </c>
    </row>
    <row r="14095" spans="1:9" hidden="1" x14ac:dyDescent="0.25">
      <c r="A14095" t="s">
        <v>11763</v>
      </c>
      <c r="B14095" t="s">
        <v>76</v>
      </c>
      <c r="C14095" s="2">
        <f>HYPERLINK("https://cao.dolgi.msk.ru/account/1080269054/", 1080269054)</f>
        <v>1080269054</v>
      </c>
      <c r="D14095" t="s">
        <v>11782</v>
      </c>
      <c r="E14095">
        <v>-4226.18</v>
      </c>
      <c r="F14095">
        <v>-1.25</v>
      </c>
      <c r="G14095" t="s">
        <v>12</v>
      </c>
      <c r="I14095" t="s">
        <v>1050</v>
      </c>
    </row>
    <row r="14096" spans="1:9" hidden="1" x14ac:dyDescent="0.25">
      <c r="A14096" t="s">
        <v>11763</v>
      </c>
      <c r="B14096" t="s">
        <v>78</v>
      </c>
      <c r="C14096" s="2">
        <f>HYPERLINK("https://cao.dolgi.msk.ru/account/1080269062/", 1080269062)</f>
        <v>1080269062</v>
      </c>
      <c r="D14096" t="s">
        <v>11783</v>
      </c>
      <c r="E14096">
        <v>-2919.15</v>
      </c>
      <c r="F14096">
        <v>-0.97</v>
      </c>
      <c r="G14096" t="s">
        <v>12</v>
      </c>
      <c r="I14096" t="s">
        <v>1050</v>
      </c>
    </row>
    <row r="14097" spans="1:9" hidden="1" x14ac:dyDescent="0.25">
      <c r="A14097" t="s">
        <v>11763</v>
      </c>
      <c r="B14097" t="s">
        <v>80</v>
      </c>
      <c r="C14097" s="2">
        <f>HYPERLINK("https://cao.dolgi.msk.ru/account/1080269089/", 1080269089)</f>
        <v>1080269089</v>
      </c>
      <c r="D14097" t="s">
        <v>11784</v>
      </c>
      <c r="E14097">
        <v>-2097.12</v>
      </c>
      <c r="F14097">
        <v>-1.1299999999999999</v>
      </c>
      <c r="G14097" t="s">
        <v>12</v>
      </c>
      <c r="I14097" t="s">
        <v>1050</v>
      </c>
    </row>
    <row r="14098" spans="1:9" hidden="1" x14ac:dyDescent="0.25">
      <c r="A14098" t="s">
        <v>11763</v>
      </c>
      <c r="B14098" t="s">
        <v>82</v>
      </c>
      <c r="C14098" s="2">
        <f>HYPERLINK("https://cao.dolgi.msk.ru/account/1080269097/", 1080269097)</f>
        <v>1080269097</v>
      </c>
      <c r="D14098" t="s">
        <v>11785</v>
      </c>
      <c r="E14098">
        <v>-3580.57</v>
      </c>
      <c r="F14098">
        <v>-1.1100000000000001</v>
      </c>
      <c r="G14098" t="s">
        <v>12</v>
      </c>
      <c r="I14098" t="s">
        <v>1050</v>
      </c>
    </row>
    <row r="14099" spans="1:9" hidden="1" x14ac:dyDescent="0.25">
      <c r="A14099" t="s">
        <v>11763</v>
      </c>
      <c r="B14099" t="s">
        <v>84</v>
      </c>
      <c r="C14099" s="2">
        <f>HYPERLINK("https://cao.dolgi.msk.ru/account/1080269118/", 1080269118)</f>
        <v>1080269118</v>
      </c>
      <c r="D14099" t="s">
        <v>11786</v>
      </c>
      <c r="E14099">
        <v>-5457.71</v>
      </c>
      <c r="F14099">
        <v>-1.1299999999999999</v>
      </c>
      <c r="G14099" t="s">
        <v>12</v>
      </c>
      <c r="I14099" t="s">
        <v>1050</v>
      </c>
    </row>
    <row r="14100" spans="1:9" hidden="1" x14ac:dyDescent="0.25">
      <c r="A14100" t="s">
        <v>11763</v>
      </c>
      <c r="B14100" t="s">
        <v>86</v>
      </c>
      <c r="C14100" s="2">
        <f>HYPERLINK("https://cao.dolgi.msk.ru/account/1080269126/", 1080269126)</f>
        <v>1080269126</v>
      </c>
      <c r="D14100" t="s">
        <v>11787</v>
      </c>
      <c r="E14100">
        <v>0</v>
      </c>
      <c r="F14100">
        <v>0</v>
      </c>
      <c r="G14100" t="s">
        <v>12</v>
      </c>
      <c r="I14100" t="s">
        <v>1050</v>
      </c>
    </row>
    <row r="14101" spans="1:9" hidden="1" x14ac:dyDescent="0.25">
      <c r="A14101" t="s">
        <v>11763</v>
      </c>
      <c r="B14101" t="s">
        <v>88</v>
      </c>
      <c r="C14101" s="2">
        <f>HYPERLINK("https://cao.dolgi.msk.ru/account/1080269134/", 1080269134)</f>
        <v>1080269134</v>
      </c>
      <c r="D14101" t="s">
        <v>11788</v>
      </c>
      <c r="E14101">
        <v>-5194.3599999999997</v>
      </c>
      <c r="F14101">
        <v>-1.41</v>
      </c>
      <c r="G14101" t="s">
        <v>12</v>
      </c>
      <c r="I14101" t="s">
        <v>1050</v>
      </c>
    </row>
    <row r="14102" spans="1:9" hidden="1" x14ac:dyDescent="0.25">
      <c r="A14102" t="s">
        <v>11763</v>
      </c>
      <c r="B14102" t="s">
        <v>90</v>
      </c>
      <c r="C14102" s="2">
        <f>HYPERLINK("https://cao.dolgi.msk.ru/account/1080269142/", 1080269142)</f>
        <v>1080269142</v>
      </c>
      <c r="D14102" t="s">
        <v>11789</v>
      </c>
      <c r="E14102">
        <v>-2205.69</v>
      </c>
      <c r="F14102">
        <v>-1.1299999999999999</v>
      </c>
      <c r="G14102" t="s">
        <v>12</v>
      </c>
      <c r="I14102" t="s">
        <v>1050</v>
      </c>
    </row>
    <row r="14103" spans="1:9" hidden="1" x14ac:dyDescent="0.25">
      <c r="A14103" t="s">
        <v>11763</v>
      </c>
      <c r="B14103" t="s">
        <v>92</v>
      </c>
      <c r="C14103" s="2">
        <f>HYPERLINK("https://cao.dolgi.msk.ru/account/1080269169/", 1080269169)</f>
        <v>1080269169</v>
      </c>
      <c r="D14103" t="s">
        <v>11790</v>
      </c>
      <c r="E14103">
        <v>-4214.16</v>
      </c>
      <c r="F14103">
        <v>-1.44</v>
      </c>
      <c r="G14103" t="s">
        <v>12</v>
      </c>
      <c r="I14103" t="s">
        <v>1050</v>
      </c>
    </row>
    <row r="14104" spans="1:9" hidden="1" x14ac:dyDescent="0.25">
      <c r="A14104" t="s">
        <v>11763</v>
      </c>
      <c r="B14104" t="s">
        <v>94</v>
      </c>
      <c r="C14104" s="2">
        <f>HYPERLINK("https://cao.dolgi.msk.ru/account/1080269177/", 1080269177)</f>
        <v>1080269177</v>
      </c>
      <c r="D14104" t="s">
        <v>11791</v>
      </c>
      <c r="E14104">
        <v>-2575.04</v>
      </c>
      <c r="F14104">
        <v>-0.76</v>
      </c>
      <c r="G14104" t="s">
        <v>12</v>
      </c>
      <c r="I14104" t="s">
        <v>1050</v>
      </c>
    </row>
    <row r="14105" spans="1:9" hidden="1" x14ac:dyDescent="0.25">
      <c r="A14105" t="s">
        <v>11763</v>
      </c>
      <c r="B14105" t="s">
        <v>96</v>
      </c>
      <c r="C14105" s="2">
        <f>HYPERLINK("https://cao.dolgi.msk.ru/account/1080269185/", 1080269185)</f>
        <v>1080269185</v>
      </c>
      <c r="D14105" t="s">
        <v>15</v>
      </c>
      <c r="E14105">
        <v>-3923.42</v>
      </c>
      <c r="F14105">
        <v>-1.1399999999999999</v>
      </c>
      <c r="G14105" t="s">
        <v>12</v>
      </c>
      <c r="I14105" t="s">
        <v>1050</v>
      </c>
    </row>
    <row r="14106" spans="1:9" hidden="1" x14ac:dyDescent="0.25">
      <c r="A14106" t="s">
        <v>11763</v>
      </c>
      <c r="B14106" t="s">
        <v>98</v>
      </c>
      <c r="C14106" s="2">
        <f>HYPERLINK("https://cao.dolgi.msk.ru/account/1080269193/", 1080269193)</f>
        <v>1080269193</v>
      </c>
      <c r="D14106" t="s">
        <v>11792</v>
      </c>
      <c r="E14106">
        <v>-3995.35</v>
      </c>
      <c r="F14106">
        <v>-1.06</v>
      </c>
      <c r="G14106" t="s">
        <v>12</v>
      </c>
      <c r="I14106" t="s">
        <v>1050</v>
      </c>
    </row>
    <row r="14107" spans="1:9" hidden="1" x14ac:dyDescent="0.25">
      <c r="A14107" t="s">
        <v>11763</v>
      </c>
      <c r="B14107" t="s">
        <v>100</v>
      </c>
      <c r="C14107" s="2">
        <f>HYPERLINK("https://cao.dolgi.msk.ru/account/1080269206/", 1080269206)</f>
        <v>1080269206</v>
      </c>
      <c r="D14107" t="s">
        <v>11793</v>
      </c>
      <c r="E14107">
        <v>-4995.6000000000004</v>
      </c>
      <c r="F14107">
        <v>-1.1299999999999999</v>
      </c>
      <c r="G14107" t="s">
        <v>12</v>
      </c>
      <c r="I14107" t="s">
        <v>1050</v>
      </c>
    </row>
    <row r="14108" spans="1:9" hidden="1" x14ac:dyDescent="0.25">
      <c r="A14108" t="s">
        <v>11763</v>
      </c>
      <c r="B14108" t="s">
        <v>102</v>
      </c>
      <c r="C14108" s="2">
        <f>HYPERLINK("https://cao.dolgi.msk.ru/account/1080269214/", 1080269214)</f>
        <v>1080269214</v>
      </c>
      <c r="D14108" t="s">
        <v>11794</v>
      </c>
      <c r="E14108">
        <v>-4410.45</v>
      </c>
      <c r="F14108">
        <v>-1.3</v>
      </c>
      <c r="G14108" t="s">
        <v>12</v>
      </c>
      <c r="I14108" t="s">
        <v>1050</v>
      </c>
    </row>
    <row r="14109" spans="1:9" hidden="1" x14ac:dyDescent="0.25">
      <c r="A14109" t="s">
        <v>11763</v>
      </c>
      <c r="B14109" t="s">
        <v>104</v>
      </c>
      <c r="C14109" s="2">
        <f>HYPERLINK("https://cao.dolgi.msk.ru/account/1080269222/", 1080269222)</f>
        <v>1080269222</v>
      </c>
      <c r="D14109" t="s">
        <v>11795</v>
      </c>
      <c r="E14109">
        <v>-5903.66</v>
      </c>
      <c r="F14109">
        <v>-1.7</v>
      </c>
      <c r="G14109" t="s">
        <v>12</v>
      </c>
      <c r="I14109" t="s">
        <v>1050</v>
      </c>
    </row>
    <row r="14110" spans="1:9" hidden="1" x14ac:dyDescent="0.25">
      <c r="A14110" t="s">
        <v>11763</v>
      </c>
      <c r="B14110" t="s">
        <v>106</v>
      </c>
      <c r="C14110" s="2">
        <f>HYPERLINK("https://cao.dolgi.msk.ru/account/1080269249/", 1080269249)</f>
        <v>1080269249</v>
      </c>
      <c r="D14110" t="s">
        <v>11796</v>
      </c>
      <c r="E14110">
        <v>545.79999999999995</v>
      </c>
      <c r="F14110">
        <v>0.19</v>
      </c>
      <c r="G14110" t="s">
        <v>12</v>
      </c>
      <c r="I14110" t="s">
        <v>1050</v>
      </c>
    </row>
    <row r="14111" spans="1:9" hidden="1" x14ac:dyDescent="0.25">
      <c r="A14111" t="s">
        <v>11763</v>
      </c>
      <c r="B14111" t="s">
        <v>108</v>
      </c>
      <c r="C14111" s="2">
        <f>HYPERLINK("https://cao.dolgi.msk.ru/account/1080269257/", 1080269257)</f>
        <v>1080269257</v>
      </c>
      <c r="D14111" t="s">
        <v>15</v>
      </c>
      <c r="E14111">
        <v>-724.05</v>
      </c>
      <c r="F14111">
        <v>-0.27</v>
      </c>
      <c r="G14111" t="s">
        <v>12</v>
      </c>
      <c r="I14111" t="s">
        <v>1050</v>
      </c>
    </row>
    <row r="14112" spans="1:9" hidden="1" x14ac:dyDescent="0.25">
      <c r="A14112" t="s">
        <v>11763</v>
      </c>
      <c r="B14112" t="s">
        <v>110</v>
      </c>
      <c r="C14112" s="2">
        <f>HYPERLINK("https://cao.dolgi.msk.ru/account/1080269265/", 1080269265)</f>
        <v>1080269265</v>
      </c>
      <c r="D14112" t="s">
        <v>11797</v>
      </c>
      <c r="E14112">
        <v>-9.31</v>
      </c>
      <c r="F14112">
        <v>0</v>
      </c>
      <c r="G14112" t="s">
        <v>12</v>
      </c>
      <c r="I14112" t="s">
        <v>1050</v>
      </c>
    </row>
    <row r="14113" spans="1:9" hidden="1" x14ac:dyDescent="0.25">
      <c r="A14113" t="s">
        <v>11763</v>
      </c>
      <c r="B14113" t="s">
        <v>112</v>
      </c>
      <c r="C14113" s="2">
        <f>HYPERLINK("https://cao.dolgi.msk.ru/account/1080269273/", 1080269273)</f>
        <v>1080269273</v>
      </c>
      <c r="D14113" t="s">
        <v>11798</v>
      </c>
      <c r="E14113">
        <v>-2373.66</v>
      </c>
      <c r="F14113">
        <v>-0.88</v>
      </c>
      <c r="G14113" t="s">
        <v>12</v>
      </c>
      <c r="I14113" t="s">
        <v>1050</v>
      </c>
    </row>
    <row r="14114" spans="1:9" hidden="1" x14ac:dyDescent="0.25">
      <c r="A14114" t="s">
        <v>11763</v>
      </c>
      <c r="B14114" t="s">
        <v>114</v>
      </c>
      <c r="C14114" s="2">
        <f>HYPERLINK("https://cao.dolgi.msk.ru/account/1080269281/", 1080269281)</f>
        <v>1080269281</v>
      </c>
      <c r="D14114" t="s">
        <v>11799</v>
      </c>
      <c r="E14114">
        <v>-7864.5</v>
      </c>
      <c r="F14114">
        <v>-1.0900000000000001</v>
      </c>
      <c r="G14114" t="s">
        <v>12</v>
      </c>
      <c r="I14114" t="s">
        <v>1050</v>
      </c>
    </row>
    <row r="14115" spans="1:9" hidden="1" x14ac:dyDescent="0.25">
      <c r="A14115" t="s">
        <v>11763</v>
      </c>
      <c r="B14115" t="s">
        <v>114</v>
      </c>
      <c r="C14115" s="2">
        <f>HYPERLINK("https://cao.dolgi.msk.ru/account/1089122251/", 1089122251)</f>
        <v>1089122251</v>
      </c>
      <c r="D14115" t="s">
        <v>11800</v>
      </c>
      <c r="E14115">
        <v>155.31</v>
      </c>
      <c r="G14115" t="s">
        <v>14</v>
      </c>
      <c r="I14115" t="s">
        <v>1050</v>
      </c>
    </row>
    <row r="14116" spans="1:9" x14ac:dyDescent="0.25">
      <c r="A14116" t="s">
        <v>11763</v>
      </c>
      <c r="B14116" t="s">
        <v>116</v>
      </c>
      <c r="C14116" s="2">
        <f>HYPERLINK("https://cao.dolgi.msk.ru/account/1080269302/", 1080269302)</f>
        <v>1080269302</v>
      </c>
      <c r="D14116" t="s">
        <v>11801</v>
      </c>
      <c r="E14116">
        <v>245494.09</v>
      </c>
      <c r="F14116">
        <v>43.45</v>
      </c>
      <c r="G14116" t="s">
        <v>12</v>
      </c>
      <c r="I14116" t="s">
        <v>1050</v>
      </c>
    </row>
    <row r="14117" spans="1:9" hidden="1" x14ac:dyDescent="0.25">
      <c r="A14117" t="s">
        <v>11763</v>
      </c>
      <c r="B14117" t="s">
        <v>118</v>
      </c>
      <c r="C14117" s="2">
        <f>HYPERLINK("https://cao.dolgi.msk.ru/account/1080269329/", 1080269329)</f>
        <v>1080269329</v>
      </c>
      <c r="D14117" t="s">
        <v>11802</v>
      </c>
      <c r="E14117">
        <v>-3292.09</v>
      </c>
      <c r="F14117">
        <v>-1.1499999999999999</v>
      </c>
      <c r="G14117" t="s">
        <v>12</v>
      </c>
      <c r="I14117" t="s">
        <v>1050</v>
      </c>
    </row>
    <row r="14118" spans="1:9" hidden="1" x14ac:dyDescent="0.25">
      <c r="A14118" t="s">
        <v>11763</v>
      </c>
      <c r="B14118" t="s">
        <v>120</v>
      </c>
      <c r="C14118" s="2">
        <f>HYPERLINK("https://cao.dolgi.msk.ru/account/1080269337/", 1080269337)</f>
        <v>1080269337</v>
      </c>
      <c r="D14118" t="s">
        <v>11803</v>
      </c>
      <c r="E14118">
        <v>-5061.58</v>
      </c>
      <c r="F14118">
        <v>-0.96</v>
      </c>
      <c r="G14118" t="s">
        <v>12</v>
      </c>
      <c r="I14118" t="s">
        <v>1050</v>
      </c>
    </row>
    <row r="14119" spans="1:9" hidden="1" x14ac:dyDescent="0.25">
      <c r="A14119" t="s">
        <v>11763</v>
      </c>
      <c r="B14119" t="s">
        <v>122</v>
      </c>
      <c r="C14119" s="2">
        <f>HYPERLINK("https://cao.dolgi.msk.ru/account/1080269345/", 1080269345)</f>
        <v>1080269345</v>
      </c>
      <c r="D14119" t="s">
        <v>11804</v>
      </c>
      <c r="E14119">
        <v>-3495.84</v>
      </c>
      <c r="F14119">
        <v>-1.24</v>
      </c>
      <c r="G14119" t="s">
        <v>12</v>
      </c>
      <c r="I14119" t="s">
        <v>1050</v>
      </c>
    </row>
    <row r="14120" spans="1:9" hidden="1" x14ac:dyDescent="0.25">
      <c r="A14120" t="s">
        <v>11763</v>
      </c>
      <c r="B14120" t="s">
        <v>124</v>
      </c>
      <c r="C14120" s="2">
        <f>HYPERLINK("https://cao.dolgi.msk.ru/account/1080269353/", 1080269353)</f>
        <v>1080269353</v>
      </c>
      <c r="D14120" t="s">
        <v>11805</v>
      </c>
      <c r="E14120">
        <v>-5989.55</v>
      </c>
      <c r="F14120">
        <v>-1.21</v>
      </c>
      <c r="G14120" t="s">
        <v>12</v>
      </c>
      <c r="I14120" t="s">
        <v>1050</v>
      </c>
    </row>
    <row r="14121" spans="1:9" hidden="1" x14ac:dyDescent="0.25">
      <c r="A14121" t="s">
        <v>11763</v>
      </c>
      <c r="B14121" t="s">
        <v>126</v>
      </c>
      <c r="C14121" s="2">
        <f>HYPERLINK("https://cao.dolgi.msk.ru/account/1080269361/", 1080269361)</f>
        <v>1080269361</v>
      </c>
      <c r="D14121" t="s">
        <v>11806</v>
      </c>
      <c r="E14121">
        <v>-7940.75</v>
      </c>
      <c r="F14121">
        <v>-1.38</v>
      </c>
      <c r="G14121" t="s">
        <v>12</v>
      </c>
      <c r="I14121" t="s">
        <v>1050</v>
      </c>
    </row>
    <row r="14122" spans="1:9" hidden="1" x14ac:dyDescent="0.25">
      <c r="A14122" t="s">
        <v>11763</v>
      </c>
      <c r="B14122" t="s">
        <v>128</v>
      </c>
      <c r="C14122" s="2">
        <f>HYPERLINK("https://cao.dolgi.msk.ru/account/1080269388/", 1080269388)</f>
        <v>1080269388</v>
      </c>
      <c r="D14122" t="s">
        <v>11807</v>
      </c>
      <c r="E14122">
        <v>-8893.82</v>
      </c>
      <c r="F14122">
        <v>-0.88</v>
      </c>
      <c r="G14122" t="s">
        <v>12</v>
      </c>
      <c r="I14122" t="s">
        <v>1050</v>
      </c>
    </row>
    <row r="14123" spans="1:9" hidden="1" x14ac:dyDescent="0.25">
      <c r="A14123" t="s">
        <v>11763</v>
      </c>
      <c r="B14123" t="s">
        <v>130</v>
      </c>
      <c r="C14123" s="2">
        <f>HYPERLINK("https://cao.dolgi.msk.ru/account/1080269396/", 1080269396)</f>
        <v>1080269396</v>
      </c>
      <c r="D14123" t="s">
        <v>11808</v>
      </c>
      <c r="E14123">
        <v>92.28</v>
      </c>
      <c r="F14123">
        <v>0.02</v>
      </c>
      <c r="G14123" t="s">
        <v>12</v>
      </c>
      <c r="I14123" t="s">
        <v>1050</v>
      </c>
    </row>
    <row r="14124" spans="1:9" hidden="1" x14ac:dyDescent="0.25">
      <c r="A14124" t="s">
        <v>11763</v>
      </c>
      <c r="B14124" t="s">
        <v>132</v>
      </c>
      <c r="C14124" s="2">
        <f>HYPERLINK("https://cao.dolgi.msk.ru/account/1080269409/", 1080269409)</f>
        <v>1080269409</v>
      </c>
      <c r="D14124" t="s">
        <v>11809</v>
      </c>
      <c r="E14124">
        <v>-3664.27</v>
      </c>
      <c r="F14124">
        <v>-1</v>
      </c>
      <c r="G14124" t="s">
        <v>12</v>
      </c>
      <c r="I14124" t="s">
        <v>1050</v>
      </c>
    </row>
    <row r="14125" spans="1:9" hidden="1" x14ac:dyDescent="0.25">
      <c r="A14125" t="s">
        <v>11763</v>
      </c>
      <c r="B14125" t="s">
        <v>133</v>
      </c>
      <c r="C14125" s="2">
        <f>HYPERLINK("https://cao.dolgi.msk.ru/account/1080269417/", 1080269417)</f>
        <v>1080269417</v>
      </c>
      <c r="D14125" t="s">
        <v>11684</v>
      </c>
      <c r="E14125">
        <v>-6199.69</v>
      </c>
      <c r="F14125">
        <v>-1.18</v>
      </c>
      <c r="G14125" t="s">
        <v>12</v>
      </c>
      <c r="I14125" t="s">
        <v>1050</v>
      </c>
    </row>
    <row r="14126" spans="1:9" hidden="1" x14ac:dyDescent="0.25">
      <c r="A14126" t="s">
        <v>11763</v>
      </c>
      <c r="B14126" t="s">
        <v>135</v>
      </c>
      <c r="C14126" s="2">
        <f>HYPERLINK("https://cao.dolgi.msk.ru/account/1080269425/", 1080269425)</f>
        <v>1080269425</v>
      </c>
      <c r="D14126" t="s">
        <v>11810</v>
      </c>
      <c r="E14126">
        <v>-4949.0600000000004</v>
      </c>
      <c r="F14126">
        <v>-1.52</v>
      </c>
      <c r="G14126" t="s">
        <v>12</v>
      </c>
      <c r="I14126" t="s">
        <v>1050</v>
      </c>
    </row>
    <row r="14127" spans="1:9" hidden="1" x14ac:dyDescent="0.25">
      <c r="A14127" t="s">
        <v>11763</v>
      </c>
      <c r="B14127" t="s">
        <v>137</v>
      </c>
      <c r="C14127" s="2">
        <f>HYPERLINK("https://cao.dolgi.msk.ru/account/1080269433/", 1080269433)</f>
        <v>1080269433</v>
      </c>
      <c r="D14127" t="s">
        <v>11811</v>
      </c>
      <c r="E14127">
        <v>-2631.99</v>
      </c>
      <c r="F14127">
        <v>-1.0900000000000001</v>
      </c>
      <c r="G14127" t="s">
        <v>12</v>
      </c>
      <c r="I14127" t="s">
        <v>1050</v>
      </c>
    </row>
    <row r="14128" spans="1:9" hidden="1" x14ac:dyDescent="0.25">
      <c r="A14128" t="s">
        <v>11763</v>
      </c>
      <c r="B14128" t="s">
        <v>139</v>
      </c>
      <c r="C14128" s="2">
        <f>HYPERLINK("https://cao.dolgi.msk.ru/account/1080269441/", 1080269441)</f>
        <v>1080269441</v>
      </c>
      <c r="D14128" t="s">
        <v>11812</v>
      </c>
      <c r="E14128">
        <v>-135.63999999999999</v>
      </c>
      <c r="F14128">
        <v>-0.02</v>
      </c>
      <c r="G14128" t="s">
        <v>12</v>
      </c>
      <c r="I14128" t="s">
        <v>1050</v>
      </c>
    </row>
    <row r="14129" spans="1:9" hidden="1" x14ac:dyDescent="0.25">
      <c r="A14129" t="s">
        <v>11763</v>
      </c>
      <c r="B14129" t="s">
        <v>141</v>
      </c>
      <c r="C14129" s="2">
        <f>HYPERLINK("https://cao.dolgi.msk.ru/account/1080269468/", 1080269468)</f>
        <v>1080269468</v>
      </c>
      <c r="D14129" t="s">
        <v>11813</v>
      </c>
      <c r="E14129">
        <v>-8100.42</v>
      </c>
      <c r="F14129">
        <v>-1.3</v>
      </c>
      <c r="G14129" t="s">
        <v>12</v>
      </c>
      <c r="I14129" t="s">
        <v>1050</v>
      </c>
    </row>
    <row r="14130" spans="1:9" hidden="1" x14ac:dyDescent="0.25">
      <c r="A14130" t="s">
        <v>11763</v>
      </c>
      <c r="B14130" t="s">
        <v>143</v>
      </c>
      <c r="C14130" s="2">
        <f>HYPERLINK("https://cao.dolgi.msk.ru/account/1080269476/", 1080269476)</f>
        <v>1080269476</v>
      </c>
      <c r="D14130" t="s">
        <v>11814</v>
      </c>
      <c r="E14130">
        <v>-3590.15</v>
      </c>
      <c r="F14130">
        <v>-1.38</v>
      </c>
      <c r="G14130" t="s">
        <v>12</v>
      </c>
      <c r="I14130" t="s">
        <v>1050</v>
      </c>
    </row>
    <row r="14131" spans="1:9" hidden="1" x14ac:dyDescent="0.25">
      <c r="A14131" t="s">
        <v>11763</v>
      </c>
      <c r="B14131" t="s">
        <v>145</v>
      </c>
      <c r="C14131" s="2">
        <f>HYPERLINK("https://cao.dolgi.msk.ru/account/1080269484/", 1080269484)</f>
        <v>1080269484</v>
      </c>
      <c r="D14131" t="s">
        <v>11815</v>
      </c>
      <c r="E14131">
        <v>-4933.95</v>
      </c>
      <c r="F14131">
        <v>-1.21</v>
      </c>
      <c r="G14131" t="s">
        <v>12</v>
      </c>
      <c r="I14131" t="s">
        <v>1050</v>
      </c>
    </row>
    <row r="14132" spans="1:9" hidden="1" x14ac:dyDescent="0.25">
      <c r="A14132" t="s">
        <v>11763</v>
      </c>
      <c r="B14132" t="s">
        <v>147</v>
      </c>
      <c r="C14132" s="2">
        <f>HYPERLINK("https://cao.dolgi.msk.ru/account/1080269492/", 1080269492)</f>
        <v>1080269492</v>
      </c>
      <c r="D14132" t="s">
        <v>11816</v>
      </c>
      <c r="E14132">
        <v>-2198.85</v>
      </c>
      <c r="F14132">
        <v>-1.1599999999999999</v>
      </c>
      <c r="G14132" t="s">
        <v>12</v>
      </c>
      <c r="I14132" t="s">
        <v>1050</v>
      </c>
    </row>
    <row r="14133" spans="1:9" hidden="1" x14ac:dyDescent="0.25">
      <c r="A14133" t="s">
        <v>11763</v>
      </c>
      <c r="B14133" t="s">
        <v>149</v>
      </c>
      <c r="C14133" s="2">
        <f>HYPERLINK("https://cao.dolgi.msk.ru/account/1080269505/", 1080269505)</f>
        <v>1080269505</v>
      </c>
      <c r="D14133" t="s">
        <v>11817</v>
      </c>
      <c r="E14133">
        <v>-4826.01</v>
      </c>
      <c r="F14133">
        <v>-1.4</v>
      </c>
      <c r="G14133" t="s">
        <v>12</v>
      </c>
      <c r="I14133" t="s">
        <v>1050</v>
      </c>
    </row>
    <row r="14134" spans="1:9" hidden="1" x14ac:dyDescent="0.25">
      <c r="A14134" t="s">
        <v>11763</v>
      </c>
      <c r="B14134" t="s">
        <v>151</v>
      </c>
      <c r="C14134" s="2">
        <f>HYPERLINK("https://cao.dolgi.msk.ru/account/1080269513/", 1080269513)</f>
        <v>1080269513</v>
      </c>
      <c r="D14134" t="s">
        <v>11818</v>
      </c>
      <c r="E14134">
        <v>-6006.62</v>
      </c>
      <c r="F14134">
        <v>-2.17</v>
      </c>
      <c r="G14134" t="s">
        <v>12</v>
      </c>
      <c r="I14134" t="s">
        <v>1050</v>
      </c>
    </row>
    <row r="14135" spans="1:9" hidden="1" x14ac:dyDescent="0.25">
      <c r="A14135" t="s">
        <v>11763</v>
      </c>
      <c r="B14135" t="s">
        <v>153</v>
      </c>
      <c r="C14135" s="2">
        <f>HYPERLINK("https://cao.dolgi.msk.ru/account/1080269521/", 1080269521)</f>
        <v>1080269521</v>
      </c>
      <c r="D14135" t="s">
        <v>11819</v>
      </c>
      <c r="E14135">
        <v>-3761.41</v>
      </c>
      <c r="F14135">
        <v>-1.1100000000000001</v>
      </c>
      <c r="G14135" t="s">
        <v>12</v>
      </c>
      <c r="I14135" t="s">
        <v>1050</v>
      </c>
    </row>
    <row r="14136" spans="1:9" hidden="1" x14ac:dyDescent="0.25">
      <c r="A14136" t="s">
        <v>11763</v>
      </c>
      <c r="B14136" t="s">
        <v>155</v>
      </c>
      <c r="C14136" s="2">
        <f>HYPERLINK("https://cao.dolgi.msk.ru/account/1080269548/", 1080269548)</f>
        <v>1080269548</v>
      </c>
      <c r="D14136" t="s">
        <v>11820</v>
      </c>
      <c r="E14136">
        <v>-3859.4</v>
      </c>
      <c r="F14136">
        <v>-1.22</v>
      </c>
      <c r="G14136" t="s">
        <v>12</v>
      </c>
      <c r="I14136" t="s">
        <v>1050</v>
      </c>
    </row>
    <row r="14137" spans="1:9" hidden="1" x14ac:dyDescent="0.25">
      <c r="A14137" t="s">
        <v>11763</v>
      </c>
      <c r="B14137" t="s">
        <v>157</v>
      </c>
      <c r="C14137" s="2">
        <f>HYPERLINK("https://cao.dolgi.msk.ru/account/1080269556/", 1080269556)</f>
        <v>1080269556</v>
      </c>
      <c r="D14137" t="s">
        <v>11821</v>
      </c>
      <c r="E14137">
        <v>-6194.6</v>
      </c>
      <c r="F14137">
        <v>-1.17</v>
      </c>
      <c r="G14137" t="s">
        <v>12</v>
      </c>
      <c r="I14137" t="s">
        <v>1050</v>
      </c>
    </row>
    <row r="14138" spans="1:9" hidden="1" x14ac:dyDescent="0.25">
      <c r="A14138" t="s">
        <v>11763</v>
      </c>
      <c r="B14138" t="s">
        <v>159</v>
      </c>
      <c r="C14138" s="2">
        <f>HYPERLINK("https://cao.dolgi.msk.ru/account/1080269564/", 1080269564)</f>
        <v>1080269564</v>
      </c>
      <c r="D14138" t="s">
        <v>11822</v>
      </c>
      <c r="E14138">
        <v>-2051.64</v>
      </c>
      <c r="F14138">
        <v>-1.1599999999999999</v>
      </c>
      <c r="G14138" t="s">
        <v>12</v>
      </c>
      <c r="I14138" t="s">
        <v>1050</v>
      </c>
    </row>
    <row r="14139" spans="1:9" hidden="1" x14ac:dyDescent="0.25">
      <c r="A14139" t="s">
        <v>11763</v>
      </c>
      <c r="B14139" t="s">
        <v>161</v>
      </c>
      <c r="C14139" s="2">
        <f>HYPERLINK("https://cao.dolgi.msk.ru/account/1080269572/", 1080269572)</f>
        <v>1080269572</v>
      </c>
      <c r="D14139" t="s">
        <v>11823</v>
      </c>
      <c r="E14139">
        <v>-3858.66</v>
      </c>
      <c r="F14139">
        <v>-1.1499999999999999</v>
      </c>
      <c r="G14139" t="s">
        <v>12</v>
      </c>
      <c r="I14139" t="s">
        <v>1050</v>
      </c>
    </row>
    <row r="14140" spans="1:9" hidden="1" x14ac:dyDescent="0.25">
      <c r="A14140" t="s">
        <v>11763</v>
      </c>
      <c r="B14140" t="s">
        <v>163</v>
      </c>
      <c r="C14140" s="2">
        <f>HYPERLINK("https://cao.dolgi.msk.ru/account/1080269599/", 1080269599)</f>
        <v>1080269599</v>
      </c>
      <c r="D14140" t="s">
        <v>11824</v>
      </c>
      <c r="E14140">
        <v>-3822.42</v>
      </c>
      <c r="F14140">
        <v>-1.08</v>
      </c>
      <c r="G14140" t="s">
        <v>12</v>
      </c>
      <c r="I14140" t="s">
        <v>1050</v>
      </c>
    </row>
    <row r="14141" spans="1:9" hidden="1" x14ac:dyDescent="0.25">
      <c r="A14141" t="s">
        <v>11763</v>
      </c>
      <c r="B14141" t="s">
        <v>571</v>
      </c>
      <c r="C14141" s="2">
        <f>HYPERLINK("https://cao.dolgi.msk.ru/account/1080269601/", 1080269601)</f>
        <v>1080269601</v>
      </c>
      <c r="D14141" t="s">
        <v>11825</v>
      </c>
      <c r="E14141">
        <v>-77.37</v>
      </c>
      <c r="F14141">
        <v>-0.02</v>
      </c>
      <c r="G14141" t="s">
        <v>12</v>
      </c>
      <c r="I14141" t="s">
        <v>1050</v>
      </c>
    </row>
    <row r="14142" spans="1:9" hidden="1" x14ac:dyDescent="0.25">
      <c r="A14142" t="s">
        <v>11763</v>
      </c>
      <c r="B14142" t="s">
        <v>571</v>
      </c>
      <c r="C14142" s="2">
        <f>HYPERLINK("https://cao.dolgi.msk.ru/account/1080320112/", 1080320112)</f>
        <v>1080320112</v>
      </c>
      <c r="D14142" t="s">
        <v>15</v>
      </c>
      <c r="G14142" t="s">
        <v>14</v>
      </c>
      <c r="I14142" t="s">
        <v>1050</v>
      </c>
    </row>
    <row r="14143" spans="1:9" hidden="1" x14ac:dyDescent="0.25">
      <c r="A14143" t="s">
        <v>11763</v>
      </c>
      <c r="B14143" t="s">
        <v>682</v>
      </c>
      <c r="C14143" s="2">
        <f>HYPERLINK("https://cao.dolgi.msk.ru/account/1080269628/", 1080269628)</f>
        <v>1080269628</v>
      </c>
      <c r="D14143" t="s">
        <v>11826</v>
      </c>
      <c r="E14143">
        <v>-535.1</v>
      </c>
      <c r="F14143">
        <v>-0.14000000000000001</v>
      </c>
      <c r="G14143" t="s">
        <v>12</v>
      </c>
      <c r="I14143" t="s">
        <v>1050</v>
      </c>
    </row>
    <row r="14144" spans="1:9" hidden="1" x14ac:dyDescent="0.25">
      <c r="A14144" t="s">
        <v>11827</v>
      </c>
      <c r="B14144" t="s">
        <v>10</v>
      </c>
      <c r="C14144" s="2">
        <f>HYPERLINK("https://cao.dolgi.msk.ru/account/1080269636/", 1080269636)</f>
        <v>1080269636</v>
      </c>
      <c r="D14144" t="s">
        <v>11828</v>
      </c>
      <c r="E14144">
        <v>-6468.74</v>
      </c>
      <c r="F14144">
        <v>-1.23</v>
      </c>
      <c r="G14144" t="s">
        <v>12</v>
      </c>
      <c r="I14144" t="s">
        <v>1050</v>
      </c>
    </row>
    <row r="14145" spans="1:9" hidden="1" x14ac:dyDescent="0.25">
      <c r="A14145" t="s">
        <v>11827</v>
      </c>
      <c r="B14145" t="s">
        <v>16</v>
      </c>
      <c r="C14145" s="2">
        <f>HYPERLINK("https://cao.dolgi.msk.ru/account/1080269644/", 1080269644)</f>
        <v>1080269644</v>
      </c>
      <c r="D14145" t="s">
        <v>11829</v>
      </c>
      <c r="E14145">
        <v>-5360.43</v>
      </c>
      <c r="F14145">
        <v>-1.1100000000000001</v>
      </c>
      <c r="G14145" t="s">
        <v>12</v>
      </c>
      <c r="I14145" t="s">
        <v>1050</v>
      </c>
    </row>
    <row r="14146" spans="1:9" hidden="1" x14ac:dyDescent="0.25">
      <c r="A14146" t="s">
        <v>11827</v>
      </c>
      <c r="B14146" t="s">
        <v>18</v>
      </c>
      <c r="C14146" s="2">
        <f>HYPERLINK("https://cao.dolgi.msk.ru/account/1080269652/", 1080269652)</f>
        <v>1080269652</v>
      </c>
      <c r="D14146" t="s">
        <v>11830</v>
      </c>
      <c r="E14146">
        <v>-1619.29</v>
      </c>
      <c r="F14146">
        <v>-0.28000000000000003</v>
      </c>
      <c r="G14146" t="s">
        <v>12</v>
      </c>
      <c r="I14146" t="s">
        <v>1050</v>
      </c>
    </row>
    <row r="14147" spans="1:9" hidden="1" x14ac:dyDescent="0.25">
      <c r="A14147" t="s">
        <v>11827</v>
      </c>
      <c r="B14147" t="s">
        <v>20</v>
      </c>
      <c r="C14147" s="2">
        <f>HYPERLINK("https://cao.dolgi.msk.ru/account/1080269679/", 1080269679)</f>
        <v>1080269679</v>
      </c>
      <c r="D14147" t="s">
        <v>11831</v>
      </c>
      <c r="E14147">
        <v>-4655.33</v>
      </c>
      <c r="F14147">
        <v>-1.19</v>
      </c>
      <c r="G14147" t="s">
        <v>12</v>
      </c>
      <c r="I14147" t="s">
        <v>1050</v>
      </c>
    </row>
    <row r="14148" spans="1:9" hidden="1" x14ac:dyDescent="0.25">
      <c r="A14148" t="s">
        <v>11827</v>
      </c>
      <c r="B14148" t="s">
        <v>21</v>
      </c>
      <c r="C14148" s="2">
        <f>HYPERLINK("https://cao.dolgi.msk.ru/account/1080269687/", 1080269687)</f>
        <v>1080269687</v>
      </c>
      <c r="D14148" t="s">
        <v>11832</v>
      </c>
      <c r="E14148">
        <v>-2358.44</v>
      </c>
      <c r="F14148">
        <v>-1.18</v>
      </c>
      <c r="G14148" t="s">
        <v>12</v>
      </c>
      <c r="I14148" t="s">
        <v>1050</v>
      </c>
    </row>
    <row r="14149" spans="1:9" hidden="1" x14ac:dyDescent="0.25">
      <c r="A14149" t="s">
        <v>11827</v>
      </c>
      <c r="B14149" t="s">
        <v>22</v>
      </c>
      <c r="C14149" s="2">
        <f>HYPERLINK("https://cao.dolgi.msk.ru/account/1080269695/", 1080269695)</f>
        <v>1080269695</v>
      </c>
      <c r="D14149" t="s">
        <v>11833</v>
      </c>
      <c r="E14149">
        <v>-2157.2800000000002</v>
      </c>
      <c r="F14149">
        <v>-0.7</v>
      </c>
      <c r="G14149" t="s">
        <v>12</v>
      </c>
      <c r="I14149" t="s">
        <v>1050</v>
      </c>
    </row>
    <row r="14150" spans="1:9" hidden="1" x14ac:dyDescent="0.25">
      <c r="A14150" t="s">
        <v>11827</v>
      </c>
      <c r="B14150" t="s">
        <v>22</v>
      </c>
      <c r="C14150" s="2">
        <f>HYPERLINK("https://cao.dolgi.msk.ru/account/1080324308/", 1080324308)</f>
        <v>1080324308</v>
      </c>
      <c r="D14150" t="s">
        <v>15</v>
      </c>
      <c r="E14150">
        <v>-6320.17</v>
      </c>
      <c r="F14150">
        <v>-1.32</v>
      </c>
      <c r="G14150" t="s">
        <v>12</v>
      </c>
      <c r="I14150" t="s">
        <v>1050</v>
      </c>
    </row>
    <row r="14151" spans="1:9" x14ac:dyDescent="0.25">
      <c r="A14151" t="s">
        <v>11827</v>
      </c>
      <c r="B14151" t="s">
        <v>23</v>
      </c>
      <c r="C14151" s="2">
        <f>HYPERLINK("https://cao.dolgi.msk.ru/account/1080269708/", 1080269708)</f>
        <v>1080269708</v>
      </c>
      <c r="D14151" t="s">
        <v>11834</v>
      </c>
      <c r="E14151">
        <v>4135.93</v>
      </c>
      <c r="F14151">
        <v>1.22</v>
      </c>
      <c r="G14151" t="s">
        <v>12</v>
      </c>
      <c r="I14151" t="s">
        <v>1050</v>
      </c>
    </row>
    <row r="14152" spans="1:9" hidden="1" x14ac:dyDescent="0.25">
      <c r="A14152" t="s">
        <v>11827</v>
      </c>
      <c r="B14152" t="s">
        <v>24</v>
      </c>
      <c r="C14152" s="2">
        <f>HYPERLINK("https://cao.dolgi.msk.ru/account/1080269716/", 1080269716)</f>
        <v>1080269716</v>
      </c>
      <c r="D14152" t="s">
        <v>11835</v>
      </c>
      <c r="E14152">
        <v>-4131.5600000000004</v>
      </c>
      <c r="F14152">
        <v>-1.0900000000000001</v>
      </c>
      <c r="G14152" t="s">
        <v>12</v>
      </c>
      <c r="I14152" t="s">
        <v>1050</v>
      </c>
    </row>
    <row r="14153" spans="1:9" x14ac:dyDescent="0.25">
      <c r="A14153" t="s">
        <v>11827</v>
      </c>
      <c r="B14153" t="s">
        <v>27</v>
      </c>
      <c r="C14153" s="2">
        <f>HYPERLINK("https://cao.dolgi.msk.ru/account/1080269724/", 1080269724)</f>
        <v>1080269724</v>
      </c>
      <c r="D14153" t="s">
        <v>11836</v>
      </c>
      <c r="E14153">
        <v>6692.29</v>
      </c>
      <c r="F14153">
        <v>4.0999999999999996</v>
      </c>
      <c r="G14153" t="s">
        <v>12</v>
      </c>
      <c r="I14153" t="s">
        <v>1050</v>
      </c>
    </row>
    <row r="14154" spans="1:9" hidden="1" x14ac:dyDescent="0.25">
      <c r="A14154" t="s">
        <v>11827</v>
      </c>
      <c r="B14154" t="s">
        <v>29</v>
      </c>
      <c r="C14154" s="2">
        <f>HYPERLINK("https://cao.dolgi.msk.ru/account/1080269732/", 1080269732)</f>
        <v>1080269732</v>
      </c>
      <c r="D14154" t="s">
        <v>11837</v>
      </c>
      <c r="E14154">
        <v>4589.1000000000004</v>
      </c>
      <c r="F14154">
        <v>0.9</v>
      </c>
      <c r="G14154" t="s">
        <v>12</v>
      </c>
      <c r="I14154" t="s">
        <v>1050</v>
      </c>
    </row>
    <row r="14155" spans="1:9" hidden="1" x14ac:dyDescent="0.25">
      <c r="A14155" t="s">
        <v>11827</v>
      </c>
      <c r="B14155" t="s">
        <v>31</v>
      </c>
      <c r="C14155" s="2">
        <f>HYPERLINK("https://cao.dolgi.msk.ru/account/1080269759/", 1080269759)</f>
        <v>1080269759</v>
      </c>
      <c r="D14155" t="s">
        <v>11838</v>
      </c>
      <c r="E14155">
        <v>-13269.53</v>
      </c>
      <c r="F14155">
        <v>-3.3</v>
      </c>
      <c r="G14155" t="s">
        <v>12</v>
      </c>
      <c r="I14155" t="s">
        <v>1050</v>
      </c>
    </row>
    <row r="14156" spans="1:9" hidden="1" x14ac:dyDescent="0.25">
      <c r="A14156" t="s">
        <v>11827</v>
      </c>
      <c r="B14156" t="s">
        <v>33</v>
      </c>
      <c r="C14156" s="2">
        <f>HYPERLINK("https://cao.dolgi.msk.ru/account/1080269767/", 1080269767)</f>
        <v>1080269767</v>
      </c>
      <c r="D14156" t="s">
        <v>11839</v>
      </c>
      <c r="E14156">
        <v>-3531.03</v>
      </c>
      <c r="F14156">
        <v>-1.1000000000000001</v>
      </c>
      <c r="G14156" t="s">
        <v>12</v>
      </c>
      <c r="I14156" t="s">
        <v>1050</v>
      </c>
    </row>
    <row r="14157" spans="1:9" hidden="1" x14ac:dyDescent="0.25">
      <c r="A14157" t="s">
        <v>11827</v>
      </c>
      <c r="B14157" t="s">
        <v>34</v>
      </c>
      <c r="C14157" s="2">
        <f>HYPERLINK("https://cao.dolgi.msk.ru/account/1080269775/", 1080269775)</f>
        <v>1080269775</v>
      </c>
      <c r="D14157" t="s">
        <v>11840</v>
      </c>
      <c r="E14157">
        <v>-1854.4</v>
      </c>
      <c r="F14157">
        <v>-1.19</v>
      </c>
      <c r="G14157" t="s">
        <v>12</v>
      </c>
      <c r="I14157" t="s">
        <v>1050</v>
      </c>
    </row>
    <row r="14158" spans="1:9" hidden="1" x14ac:dyDescent="0.25">
      <c r="A14158" t="s">
        <v>11827</v>
      </c>
      <c r="B14158" t="s">
        <v>36</v>
      </c>
      <c r="C14158" s="2">
        <f>HYPERLINK("https://cao.dolgi.msk.ru/account/1080269783/", 1080269783)</f>
        <v>1080269783</v>
      </c>
      <c r="D14158" t="s">
        <v>11841</v>
      </c>
      <c r="E14158">
        <v>0</v>
      </c>
      <c r="F14158">
        <v>0</v>
      </c>
      <c r="G14158" t="s">
        <v>12</v>
      </c>
      <c r="I14158" t="s">
        <v>1050</v>
      </c>
    </row>
    <row r="14159" spans="1:9" hidden="1" x14ac:dyDescent="0.25">
      <c r="A14159" t="s">
        <v>11827</v>
      </c>
      <c r="B14159" t="s">
        <v>38</v>
      </c>
      <c r="C14159" s="2">
        <f>HYPERLINK("https://cao.dolgi.msk.ru/account/1080269791/", 1080269791)</f>
        <v>1080269791</v>
      </c>
      <c r="D14159" t="s">
        <v>11842</v>
      </c>
      <c r="E14159">
        <v>-4168.1499999999996</v>
      </c>
      <c r="F14159">
        <v>-1.03</v>
      </c>
      <c r="G14159" t="s">
        <v>12</v>
      </c>
      <c r="I14159" t="s">
        <v>1050</v>
      </c>
    </row>
    <row r="14160" spans="1:9" hidden="1" x14ac:dyDescent="0.25">
      <c r="A14160" t="s">
        <v>11827</v>
      </c>
      <c r="B14160" t="s">
        <v>39</v>
      </c>
      <c r="C14160" s="2">
        <f>HYPERLINK("https://cao.dolgi.msk.ru/account/1080269804/", 1080269804)</f>
        <v>1080269804</v>
      </c>
      <c r="D14160" t="s">
        <v>11843</v>
      </c>
      <c r="E14160">
        <v>-3023.53</v>
      </c>
      <c r="F14160">
        <v>-1.03</v>
      </c>
      <c r="G14160" t="s">
        <v>12</v>
      </c>
      <c r="I14160" t="s">
        <v>1050</v>
      </c>
    </row>
    <row r="14161" spans="1:9" hidden="1" x14ac:dyDescent="0.25">
      <c r="A14161" t="s">
        <v>11827</v>
      </c>
      <c r="B14161" t="s">
        <v>40</v>
      </c>
      <c r="C14161" s="2">
        <f>HYPERLINK("https://cao.dolgi.msk.ru/account/1080269812/", 1080269812)</f>
        <v>1080269812</v>
      </c>
      <c r="D14161" t="s">
        <v>11844</v>
      </c>
      <c r="E14161">
        <v>-2686.1</v>
      </c>
      <c r="F14161">
        <v>-0.95</v>
      </c>
      <c r="G14161" t="s">
        <v>12</v>
      </c>
      <c r="I14161" t="s">
        <v>1050</v>
      </c>
    </row>
    <row r="14162" spans="1:9" hidden="1" x14ac:dyDescent="0.25">
      <c r="A14162" t="s">
        <v>11827</v>
      </c>
      <c r="B14162" t="s">
        <v>41</v>
      </c>
      <c r="C14162" s="2">
        <f>HYPERLINK("https://cao.dolgi.msk.ru/account/1080269839/", 1080269839)</f>
        <v>1080269839</v>
      </c>
      <c r="D14162" t="s">
        <v>11845</v>
      </c>
      <c r="E14162">
        <v>-2114</v>
      </c>
      <c r="F14162">
        <v>-0.57999999999999996</v>
      </c>
      <c r="G14162" t="s">
        <v>12</v>
      </c>
      <c r="I14162" t="s">
        <v>1050</v>
      </c>
    </row>
    <row r="14163" spans="1:9" x14ac:dyDescent="0.25">
      <c r="A14163" t="s">
        <v>11827</v>
      </c>
      <c r="B14163" t="s">
        <v>42</v>
      </c>
      <c r="C14163" s="2">
        <f>HYPERLINK("https://cao.dolgi.msk.ru/account/1080269847/", 1080269847)</f>
        <v>1080269847</v>
      </c>
      <c r="D14163" t="s">
        <v>15</v>
      </c>
      <c r="E14163">
        <v>4046.98</v>
      </c>
      <c r="F14163">
        <v>1.01</v>
      </c>
      <c r="G14163" t="s">
        <v>12</v>
      </c>
      <c r="I14163" t="s">
        <v>1050</v>
      </c>
    </row>
    <row r="14164" spans="1:9" hidden="1" x14ac:dyDescent="0.25">
      <c r="A14164" t="s">
        <v>11827</v>
      </c>
      <c r="B14164" t="s">
        <v>44</v>
      </c>
      <c r="C14164" s="2">
        <f>HYPERLINK("https://cao.dolgi.msk.ru/account/1080269855/", 1080269855)</f>
        <v>1080269855</v>
      </c>
      <c r="D14164" t="s">
        <v>11846</v>
      </c>
      <c r="E14164">
        <v>-2213.85</v>
      </c>
      <c r="F14164">
        <v>-1.24</v>
      </c>
      <c r="G14164" t="s">
        <v>12</v>
      </c>
      <c r="I14164" t="s">
        <v>1050</v>
      </c>
    </row>
    <row r="14165" spans="1:9" hidden="1" x14ac:dyDescent="0.25">
      <c r="A14165" t="s">
        <v>11827</v>
      </c>
      <c r="B14165" t="s">
        <v>66</v>
      </c>
      <c r="C14165" s="2">
        <f>HYPERLINK("https://cao.dolgi.msk.ru/account/1080269863/", 1080269863)</f>
        <v>1080269863</v>
      </c>
      <c r="D14165" t="s">
        <v>11847</v>
      </c>
      <c r="E14165">
        <v>8.9499999999999993</v>
      </c>
      <c r="F14165">
        <v>0</v>
      </c>
      <c r="G14165" t="s">
        <v>12</v>
      </c>
      <c r="I14165" t="s">
        <v>1050</v>
      </c>
    </row>
    <row r="14166" spans="1:9" hidden="1" x14ac:dyDescent="0.25">
      <c r="A14166" t="s">
        <v>11827</v>
      </c>
      <c r="B14166" t="s">
        <v>68</v>
      </c>
      <c r="C14166" s="2">
        <f>HYPERLINK("https://cao.dolgi.msk.ru/account/1080269871/", 1080269871)</f>
        <v>1080269871</v>
      </c>
      <c r="D14166" t="s">
        <v>62</v>
      </c>
      <c r="E14166">
        <v>-7440.12</v>
      </c>
      <c r="F14166">
        <v>-1.27</v>
      </c>
      <c r="G14166" t="s">
        <v>12</v>
      </c>
      <c r="I14166" t="s">
        <v>1050</v>
      </c>
    </row>
    <row r="14167" spans="1:9" hidden="1" x14ac:dyDescent="0.25">
      <c r="A14167" t="s">
        <v>11827</v>
      </c>
      <c r="B14167" t="s">
        <v>70</v>
      </c>
      <c r="C14167" s="2">
        <f>HYPERLINK("https://cao.dolgi.msk.ru/account/1080269898/", 1080269898)</f>
        <v>1080269898</v>
      </c>
      <c r="D14167" t="s">
        <v>11848</v>
      </c>
      <c r="E14167">
        <v>-94.97</v>
      </c>
      <c r="F14167">
        <v>-0.02</v>
      </c>
      <c r="G14167" t="s">
        <v>12</v>
      </c>
      <c r="I14167" t="s">
        <v>1050</v>
      </c>
    </row>
    <row r="14168" spans="1:9" hidden="1" x14ac:dyDescent="0.25">
      <c r="A14168" t="s">
        <v>11827</v>
      </c>
      <c r="B14168" t="s">
        <v>72</v>
      </c>
      <c r="C14168" s="2">
        <f>HYPERLINK("https://cao.dolgi.msk.ru/account/1080269919/", 1080269919)</f>
        <v>1080269919</v>
      </c>
      <c r="D14168" t="s">
        <v>11849</v>
      </c>
      <c r="E14168">
        <v>-3848.76</v>
      </c>
      <c r="F14168">
        <v>-1.18</v>
      </c>
      <c r="G14168" t="s">
        <v>12</v>
      </c>
      <c r="I14168" t="s">
        <v>1050</v>
      </c>
    </row>
    <row r="14169" spans="1:9" hidden="1" x14ac:dyDescent="0.25">
      <c r="A14169" t="s">
        <v>11827</v>
      </c>
      <c r="B14169" t="s">
        <v>74</v>
      </c>
      <c r="C14169" s="2">
        <f>HYPERLINK("https://cao.dolgi.msk.ru/account/1080269927/", 1080269927)</f>
        <v>1080269927</v>
      </c>
      <c r="D14169" t="s">
        <v>11850</v>
      </c>
      <c r="E14169">
        <v>-88.5</v>
      </c>
      <c r="F14169">
        <v>-0.02</v>
      </c>
      <c r="G14169" t="s">
        <v>12</v>
      </c>
      <c r="I14169" t="s">
        <v>1050</v>
      </c>
    </row>
    <row r="14170" spans="1:9" hidden="1" x14ac:dyDescent="0.25">
      <c r="A14170" t="s">
        <v>11827</v>
      </c>
      <c r="B14170" t="s">
        <v>76</v>
      </c>
      <c r="C14170" s="2">
        <f>HYPERLINK("https://cao.dolgi.msk.ru/account/1080269935/", 1080269935)</f>
        <v>1080269935</v>
      </c>
      <c r="D14170" t="s">
        <v>11851</v>
      </c>
      <c r="E14170">
        <v>-3678.94</v>
      </c>
      <c r="F14170">
        <v>-1.1000000000000001</v>
      </c>
      <c r="G14170" t="s">
        <v>12</v>
      </c>
      <c r="I14170" t="s">
        <v>1050</v>
      </c>
    </row>
    <row r="14171" spans="1:9" hidden="1" x14ac:dyDescent="0.25">
      <c r="A14171" t="s">
        <v>11827</v>
      </c>
      <c r="B14171" t="s">
        <v>78</v>
      </c>
      <c r="C14171" s="2">
        <f>HYPERLINK("https://cao.dolgi.msk.ru/account/1080269943/", 1080269943)</f>
        <v>1080269943</v>
      </c>
      <c r="D14171" t="s">
        <v>11852</v>
      </c>
      <c r="E14171">
        <v>32.44</v>
      </c>
      <c r="F14171">
        <v>0.01</v>
      </c>
      <c r="G14171" t="s">
        <v>12</v>
      </c>
      <c r="I14171" t="s">
        <v>1050</v>
      </c>
    </row>
    <row r="14172" spans="1:9" x14ac:dyDescent="0.25">
      <c r="A14172" t="s">
        <v>11827</v>
      </c>
      <c r="B14172" t="s">
        <v>80</v>
      </c>
      <c r="C14172" s="2">
        <f>HYPERLINK("https://cao.dolgi.msk.ru/account/1080269951/", 1080269951)</f>
        <v>1080269951</v>
      </c>
      <c r="D14172" t="s">
        <v>11853</v>
      </c>
      <c r="E14172">
        <v>12144.21</v>
      </c>
      <c r="F14172">
        <v>1.97</v>
      </c>
      <c r="G14172" t="s">
        <v>12</v>
      </c>
      <c r="I14172" t="s">
        <v>1050</v>
      </c>
    </row>
    <row r="14173" spans="1:9" hidden="1" x14ac:dyDescent="0.25">
      <c r="A14173" t="s">
        <v>11827</v>
      </c>
      <c r="B14173" t="s">
        <v>82</v>
      </c>
      <c r="C14173" s="2">
        <f>HYPERLINK("https://cao.dolgi.msk.ru/account/1080269978/", 1080269978)</f>
        <v>1080269978</v>
      </c>
      <c r="D14173" t="s">
        <v>11854</v>
      </c>
      <c r="E14173">
        <v>-5240.3100000000004</v>
      </c>
      <c r="F14173">
        <v>-1.42</v>
      </c>
      <c r="G14173" t="s">
        <v>12</v>
      </c>
      <c r="I14173" t="s">
        <v>1050</v>
      </c>
    </row>
    <row r="14174" spans="1:9" hidden="1" x14ac:dyDescent="0.25">
      <c r="A14174" t="s">
        <v>11827</v>
      </c>
      <c r="B14174" t="s">
        <v>84</v>
      </c>
      <c r="C14174" s="2">
        <f>HYPERLINK("https://cao.dolgi.msk.ru/account/1080269986/", 1080269986)</f>
        <v>1080269986</v>
      </c>
      <c r="D14174" t="s">
        <v>11855</v>
      </c>
      <c r="E14174">
        <v>-6337.2</v>
      </c>
      <c r="F14174">
        <v>-1.33</v>
      </c>
      <c r="G14174" t="s">
        <v>12</v>
      </c>
      <c r="I14174" t="s">
        <v>1050</v>
      </c>
    </row>
    <row r="14175" spans="1:9" hidden="1" x14ac:dyDescent="0.25">
      <c r="A14175" t="s">
        <v>11827</v>
      </c>
      <c r="B14175" t="s">
        <v>86</v>
      </c>
      <c r="C14175" s="2">
        <f>HYPERLINK("https://cao.dolgi.msk.ru/account/1080269994/", 1080269994)</f>
        <v>1080269994</v>
      </c>
      <c r="D14175" t="s">
        <v>11856</v>
      </c>
      <c r="E14175">
        <v>-3996.9</v>
      </c>
      <c r="F14175">
        <v>-1.04</v>
      </c>
      <c r="G14175" t="s">
        <v>12</v>
      </c>
      <c r="I14175" t="s">
        <v>1050</v>
      </c>
    </row>
    <row r="14176" spans="1:9" hidden="1" x14ac:dyDescent="0.25">
      <c r="A14176" t="s">
        <v>11827</v>
      </c>
      <c r="B14176" t="s">
        <v>88</v>
      </c>
      <c r="C14176" s="2">
        <f>HYPERLINK("https://cao.dolgi.msk.ru/account/1080270004/", 1080270004)</f>
        <v>1080270004</v>
      </c>
      <c r="D14176" t="s">
        <v>11857</v>
      </c>
      <c r="E14176">
        <v>-4007.37</v>
      </c>
      <c r="F14176">
        <v>-1.27</v>
      </c>
      <c r="G14176" t="s">
        <v>12</v>
      </c>
      <c r="I14176" t="s">
        <v>1050</v>
      </c>
    </row>
    <row r="14177" spans="1:9" hidden="1" x14ac:dyDescent="0.25">
      <c r="A14177" t="s">
        <v>11827</v>
      </c>
      <c r="B14177" t="s">
        <v>90</v>
      </c>
      <c r="C14177" s="2">
        <f>HYPERLINK("https://cao.dolgi.msk.ru/account/1080270012/", 1080270012)</f>
        <v>1080270012</v>
      </c>
      <c r="D14177" t="s">
        <v>11858</v>
      </c>
      <c r="E14177">
        <v>-5151.8500000000004</v>
      </c>
      <c r="F14177">
        <v>-1.46</v>
      </c>
      <c r="G14177" t="s">
        <v>12</v>
      </c>
      <c r="I14177" t="s">
        <v>1050</v>
      </c>
    </row>
    <row r="14178" spans="1:9" hidden="1" x14ac:dyDescent="0.25">
      <c r="A14178" t="s">
        <v>11827</v>
      </c>
      <c r="B14178" t="s">
        <v>92</v>
      </c>
      <c r="C14178" s="2">
        <f>HYPERLINK("https://cao.dolgi.msk.ru/account/1080270039/", 1080270039)</f>
        <v>1080270039</v>
      </c>
      <c r="D14178" t="s">
        <v>11859</v>
      </c>
      <c r="E14178">
        <v>-4716.53</v>
      </c>
      <c r="F14178">
        <v>-0.95</v>
      </c>
      <c r="G14178" t="s">
        <v>12</v>
      </c>
      <c r="I14178" t="s">
        <v>1050</v>
      </c>
    </row>
    <row r="14179" spans="1:9" hidden="1" x14ac:dyDescent="0.25">
      <c r="A14179" t="s">
        <v>11827</v>
      </c>
      <c r="B14179" t="s">
        <v>94</v>
      </c>
      <c r="C14179" s="2">
        <f>HYPERLINK("https://cao.dolgi.msk.ru/account/1080270047/", 1080270047)</f>
        <v>1080270047</v>
      </c>
      <c r="D14179" t="s">
        <v>11860</v>
      </c>
      <c r="E14179">
        <v>-3380.29</v>
      </c>
      <c r="F14179">
        <v>-0.8</v>
      </c>
      <c r="G14179" t="s">
        <v>12</v>
      </c>
      <c r="I14179" t="s">
        <v>1050</v>
      </c>
    </row>
    <row r="14180" spans="1:9" hidden="1" x14ac:dyDescent="0.25">
      <c r="A14180" t="s">
        <v>11827</v>
      </c>
      <c r="B14180" t="s">
        <v>96</v>
      </c>
      <c r="C14180" s="2">
        <f>HYPERLINK("https://cao.dolgi.msk.ru/account/1080270055/", 1080270055)</f>
        <v>1080270055</v>
      </c>
      <c r="D14180" t="s">
        <v>11861</v>
      </c>
      <c r="E14180">
        <v>11.42</v>
      </c>
      <c r="F14180">
        <v>0</v>
      </c>
      <c r="G14180" t="s">
        <v>12</v>
      </c>
      <c r="I14180" t="s">
        <v>1050</v>
      </c>
    </row>
    <row r="14181" spans="1:9" hidden="1" x14ac:dyDescent="0.25">
      <c r="A14181" t="s">
        <v>11827</v>
      </c>
      <c r="B14181" t="s">
        <v>98</v>
      </c>
      <c r="C14181" s="2">
        <f>HYPERLINK("https://cao.dolgi.msk.ru/account/1080270063/", 1080270063)</f>
        <v>1080270063</v>
      </c>
      <c r="D14181" t="s">
        <v>11862</v>
      </c>
      <c r="E14181">
        <v>-3758.86</v>
      </c>
      <c r="F14181">
        <v>-1.1200000000000001</v>
      </c>
      <c r="G14181" t="s">
        <v>12</v>
      </c>
      <c r="I14181" t="s">
        <v>1050</v>
      </c>
    </row>
    <row r="14182" spans="1:9" hidden="1" x14ac:dyDescent="0.25">
      <c r="A14182" t="s">
        <v>11827</v>
      </c>
      <c r="B14182" t="s">
        <v>100</v>
      </c>
      <c r="C14182" s="2">
        <f>HYPERLINK("https://cao.dolgi.msk.ru/account/1080270071/", 1080270071)</f>
        <v>1080270071</v>
      </c>
      <c r="D14182" t="s">
        <v>11863</v>
      </c>
      <c r="E14182">
        <v>26.85</v>
      </c>
      <c r="F14182">
        <v>0</v>
      </c>
      <c r="G14182" t="s">
        <v>12</v>
      </c>
      <c r="I14182" t="s">
        <v>1050</v>
      </c>
    </row>
    <row r="14183" spans="1:9" hidden="1" x14ac:dyDescent="0.25">
      <c r="A14183" t="s">
        <v>11827</v>
      </c>
      <c r="B14183" t="s">
        <v>102</v>
      </c>
      <c r="C14183" s="2">
        <f>HYPERLINK("https://cao.dolgi.msk.ru/account/1080270098/", 1080270098)</f>
        <v>1080270098</v>
      </c>
      <c r="D14183" t="s">
        <v>11864</v>
      </c>
      <c r="E14183">
        <v>-3633.37</v>
      </c>
      <c r="F14183">
        <v>-1.1299999999999999</v>
      </c>
      <c r="G14183" t="s">
        <v>12</v>
      </c>
      <c r="I14183" t="s">
        <v>1050</v>
      </c>
    </row>
    <row r="14184" spans="1:9" hidden="1" x14ac:dyDescent="0.25">
      <c r="A14184" t="s">
        <v>11827</v>
      </c>
      <c r="B14184" t="s">
        <v>104</v>
      </c>
      <c r="C14184" s="2">
        <f>HYPERLINK("https://cao.dolgi.msk.ru/account/1080270119/", 1080270119)</f>
        <v>1080270119</v>
      </c>
      <c r="D14184" t="s">
        <v>11865</v>
      </c>
      <c r="E14184">
        <v>-69.569999999999993</v>
      </c>
      <c r="F14184">
        <v>-0.02</v>
      </c>
      <c r="G14184" t="s">
        <v>12</v>
      </c>
      <c r="I14184" t="s">
        <v>1050</v>
      </c>
    </row>
    <row r="14185" spans="1:9" hidden="1" x14ac:dyDescent="0.25">
      <c r="A14185" t="s">
        <v>11827</v>
      </c>
      <c r="B14185" t="s">
        <v>106</v>
      </c>
      <c r="C14185" s="2">
        <f>HYPERLINK("https://cao.dolgi.msk.ru/account/1080270127/", 1080270127)</f>
        <v>1080270127</v>
      </c>
      <c r="D14185" t="s">
        <v>11866</v>
      </c>
      <c r="E14185">
        <v>385.2</v>
      </c>
      <c r="F14185">
        <v>0.06</v>
      </c>
      <c r="G14185" t="s">
        <v>12</v>
      </c>
      <c r="I14185" t="s">
        <v>1050</v>
      </c>
    </row>
    <row r="14186" spans="1:9" hidden="1" x14ac:dyDescent="0.25">
      <c r="A14186" t="s">
        <v>11827</v>
      </c>
      <c r="B14186" t="s">
        <v>108</v>
      </c>
      <c r="C14186" s="2">
        <f>HYPERLINK("https://cao.dolgi.msk.ru/account/1080270135/", 1080270135)</f>
        <v>1080270135</v>
      </c>
      <c r="D14186" t="s">
        <v>11867</v>
      </c>
      <c r="E14186">
        <v>-4016.43</v>
      </c>
      <c r="F14186">
        <v>-1.23</v>
      </c>
      <c r="G14186" t="s">
        <v>12</v>
      </c>
      <c r="I14186" t="s">
        <v>1050</v>
      </c>
    </row>
    <row r="14187" spans="1:9" hidden="1" x14ac:dyDescent="0.25">
      <c r="A14187" t="s">
        <v>11827</v>
      </c>
      <c r="B14187" t="s">
        <v>110</v>
      </c>
      <c r="C14187" s="2">
        <f>HYPERLINK("https://cao.dolgi.msk.ru/account/1080270143/", 1080270143)</f>
        <v>1080270143</v>
      </c>
      <c r="D14187" t="s">
        <v>11868</v>
      </c>
      <c r="E14187">
        <v>-8337.76</v>
      </c>
      <c r="F14187">
        <v>-1.56</v>
      </c>
      <c r="G14187" t="s">
        <v>12</v>
      </c>
      <c r="I14187" t="s">
        <v>1050</v>
      </c>
    </row>
    <row r="14188" spans="1:9" hidden="1" x14ac:dyDescent="0.25">
      <c r="A14188" t="s">
        <v>11827</v>
      </c>
      <c r="B14188" t="s">
        <v>112</v>
      </c>
      <c r="C14188" s="2">
        <f>HYPERLINK("https://cao.dolgi.msk.ru/account/1080270151/", 1080270151)</f>
        <v>1080270151</v>
      </c>
      <c r="D14188" t="s">
        <v>11869</v>
      </c>
      <c r="E14188">
        <v>-6785.97</v>
      </c>
      <c r="F14188">
        <v>-2.1</v>
      </c>
      <c r="G14188" t="s">
        <v>12</v>
      </c>
      <c r="I14188" t="s">
        <v>1050</v>
      </c>
    </row>
    <row r="14189" spans="1:9" hidden="1" x14ac:dyDescent="0.25">
      <c r="A14189" t="s">
        <v>11827</v>
      </c>
      <c r="B14189" t="s">
        <v>114</v>
      </c>
      <c r="C14189" s="2">
        <f>HYPERLINK("https://cao.dolgi.msk.ru/account/1080270178/", 1080270178)</f>
        <v>1080270178</v>
      </c>
      <c r="D14189" t="s">
        <v>11870</v>
      </c>
      <c r="E14189">
        <v>-2369.11</v>
      </c>
      <c r="F14189">
        <v>-1.06</v>
      </c>
      <c r="G14189" t="s">
        <v>12</v>
      </c>
      <c r="I14189" t="s">
        <v>1050</v>
      </c>
    </row>
    <row r="14190" spans="1:9" hidden="1" x14ac:dyDescent="0.25">
      <c r="A14190" t="s">
        <v>11827</v>
      </c>
      <c r="B14190" t="s">
        <v>116</v>
      </c>
      <c r="C14190" s="2">
        <f>HYPERLINK("https://cao.dolgi.msk.ru/account/1080270186/", 1080270186)</f>
        <v>1080270186</v>
      </c>
      <c r="D14190" t="s">
        <v>11871</v>
      </c>
      <c r="E14190">
        <v>-8071.94</v>
      </c>
      <c r="F14190">
        <v>-1.37</v>
      </c>
      <c r="G14190" t="s">
        <v>12</v>
      </c>
      <c r="I14190" t="s">
        <v>1050</v>
      </c>
    </row>
    <row r="14191" spans="1:9" hidden="1" x14ac:dyDescent="0.25">
      <c r="A14191" t="s">
        <v>11827</v>
      </c>
      <c r="B14191" t="s">
        <v>118</v>
      </c>
      <c r="C14191" s="2">
        <f>HYPERLINK("https://cao.dolgi.msk.ru/account/1080270194/", 1080270194)</f>
        <v>1080270194</v>
      </c>
      <c r="D14191" t="s">
        <v>11872</v>
      </c>
      <c r="E14191">
        <v>-4749.75</v>
      </c>
      <c r="F14191">
        <v>-1.05</v>
      </c>
      <c r="G14191" t="s">
        <v>12</v>
      </c>
      <c r="I14191" t="s">
        <v>1050</v>
      </c>
    </row>
    <row r="14192" spans="1:9" hidden="1" x14ac:dyDescent="0.25">
      <c r="A14192" t="s">
        <v>11827</v>
      </c>
      <c r="B14192" t="s">
        <v>120</v>
      </c>
      <c r="C14192" s="2">
        <f>HYPERLINK("https://cao.dolgi.msk.ru/account/1080270215/", 1080270215)</f>
        <v>1080270215</v>
      </c>
      <c r="D14192" t="s">
        <v>62</v>
      </c>
      <c r="E14192">
        <v>-4699.12</v>
      </c>
      <c r="F14192">
        <v>-0.47</v>
      </c>
      <c r="G14192" t="s">
        <v>12</v>
      </c>
      <c r="I14192" t="s">
        <v>1050</v>
      </c>
    </row>
    <row r="14193" spans="1:9" hidden="1" x14ac:dyDescent="0.25">
      <c r="A14193" t="s">
        <v>11827</v>
      </c>
      <c r="B14193" t="s">
        <v>122</v>
      </c>
      <c r="C14193" s="2">
        <f>HYPERLINK("https://cao.dolgi.msk.ru/account/1080270207/", 1080270207)</f>
        <v>1080270207</v>
      </c>
      <c r="D14193" t="s">
        <v>11873</v>
      </c>
      <c r="E14193">
        <v>-2669.78</v>
      </c>
      <c r="F14193">
        <v>-1.08</v>
      </c>
      <c r="G14193" t="s">
        <v>12</v>
      </c>
      <c r="I14193" t="s">
        <v>1050</v>
      </c>
    </row>
    <row r="14194" spans="1:9" hidden="1" x14ac:dyDescent="0.25">
      <c r="A14194" t="s">
        <v>11827</v>
      </c>
      <c r="B14194" t="s">
        <v>124</v>
      </c>
      <c r="C14194" s="2">
        <f>HYPERLINK("https://cao.dolgi.msk.ru/account/1080270223/", 1080270223)</f>
        <v>1080270223</v>
      </c>
      <c r="D14194" t="s">
        <v>11874</v>
      </c>
      <c r="E14194">
        <v>-8138.8</v>
      </c>
      <c r="F14194">
        <v>-1.03</v>
      </c>
      <c r="G14194" t="s">
        <v>12</v>
      </c>
      <c r="I14194" t="s">
        <v>1050</v>
      </c>
    </row>
    <row r="14195" spans="1:9" hidden="1" x14ac:dyDescent="0.25">
      <c r="A14195" t="s">
        <v>11827</v>
      </c>
      <c r="B14195" t="s">
        <v>126</v>
      </c>
      <c r="C14195" s="2">
        <f>HYPERLINK("https://cao.dolgi.msk.ru/account/1080270231/", 1080270231)</f>
        <v>1080270231</v>
      </c>
      <c r="D14195" t="s">
        <v>11875</v>
      </c>
      <c r="E14195">
        <v>-7839.93</v>
      </c>
      <c r="F14195">
        <v>-1.08</v>
      </c>
      <c r="G14195" t="s">
        <v>12</v>
      </c>
      <c r="I14195" t="s">
        <v>1050</v>
      </c>
    </row>
    <row r="14196" spans="1:9" hidden="1" x14ac:dyDescent="0.25">
      <c r="A14196" t="s">
        <v>11827</v>
      </c>
      <c r="B14196" t="s">
        <v>128</v>
      </c>
      <c r="C14196" s="2">
        <f>HYPERLINK("https://cao.dolgi.msk.ru/account/1080270258/", 1080270258)</f>
        <v>1080270258</v>
      </c>
      <c r="D14196" t="s">
        <v>11876</v>
      </c>
      <c r="E14196">
        <v>-6549.18</v>
      </c>
      <c r="F14196">
        <v>-1.95</v>
      </c>
      <c r="G14196" t="s">
        <v>12</v>
      </c>
      <c r="I14196" t="s">
        <v>1050</v>
      </c>
    </row>
    <row r="14197" spans="1:9" hidden="1" x14ac:dyDescent="0.25">
      <c r="A14197" t="s">
        <v>11827</v>
      </c>
      <c r="B14197" t="s">
        <v>130</v>
      </c>
      <c r="C14197" s="2">
        <f>HYPERLINK("https://cao.dolgi.msk.ru/account/1080270266/", 1080270266)</f>
        <v>1080270266</v>
      </c>
      <c r="D14197" t="s">
        <v>11877</v>
      </c>
      <c r="E14197">
        <v>-729.8</v>
      </c>
      <c r="F14197">
        <v>-0.21</v>
      </c>
      <c r="G14197" t="s">
        <v>12</v>
      </c>
      <c r="I14197" t="s">
        <v>1050</v>
      </c>
    </row>
    <row r="14198" spans="1:9" hidden="1" x14ac:dyDescent="0.25">
      <c r="A14198" t="s">
        <v>11827</v>
      </c>
      <c r="B14198" t="s">
        <v>132</v>
      </c>
      <c r="C14198" s="2">
        <f>HYPERLINK("https://cao.dolgi.msk.ru/account/1080270274/", 1080270274)</f>
        <v>1080270274</v>
      </c>
      <c r="D14198" t="s">
        <v>11179</v>
      </c>
      <c r="E14198">
        <v>-9348.11</v>
      </c>
      <c r="F14198">
        <v>-1.1100000000000001</v>
      </c>
      <c r="G14198" t="s">
        <v>12</v>
      </c>
      <c r="I14198" t="s">
        <v>1050</v>
      </c>
    </row>
    <row r="14199" spans="1:9" hidden="1" x14ac:dyDescent="0.25">
      <c r="A14199" t="s">
        <v>11827</v>
      </c>
      <c r="B14199" t="s">
        <v>133</v>
      </c>
      <c r="C14199" s="2">
        <f>HYPERLINK("https://cao.dolgi.msk.ru/account/1080270282/", 1080270282)</f>
        <v>1080270282</v>
      </c>
      <c r="D14199" t="s">
        <v>11878</v>
      </c>
      <c r="E14199">
        <v>-603.94000000000005</v>
      </c>
      <c r="F14199">
        <v>-0.16</v>
      </c>
      <c r="G14199" t="s">
        <v>12</v>
      </c>
      <c r="I14199" t="s">
        <v>1050</v>
      </c>
    </row>
    <row r="14200" spans="1:9" hidden="1" x14ac:dyDescent="0.25">
      <c r="A14200" t="s">
        <v>11827</v>
      </c>
      <c r="B14200" t="s">
        <v>135</v>
      </c>
      <c r="C14200" s="2">
        <f>HYPERLINK("https://cao.dolgi.msk.ru/account/1080270303/", 1080270303)</f>
        <v>1080270303</v>
      </c>
      <c r="D14200" t="s">
        <v>11879</v>
      </c>
      <c r="E14200">
        <v>-3611.49</v>
      </c>
      <c r="F14200">
        <v>-0.8</v>
      </c>
      <c r="G14200" t="s">
        <v>12</v>
      </c>
      <c r="I14200" t="s">
        <v>1050</v>
      </c>
    </row>
    <row r="14201" spans="1:9" hidden="1" x14ac:dyDescent="0.25">
      <c r="A14201" t="s">
        <v>11827</v>
      </c>
      <c r="B14201" t="s">
        <v>137</v>
      </c>
      <c r="C14201" s="2">
        <f>HYPERLINK("https://cao.dolgi.msk.ru/account/1080270311/", 1080270311)</f>
        <v>1080270311</v>
      </c>
      <c r="D14201" t="s">
        <v>11880</v>
      </c>
      <c r="E14201">
        <v>-13174.45</v>
      </c>
      <c r="F14201">
        <v>-3.86</v>
      </c>
      <c r="G14201" t="s">
        <v>12</v>
      </c>
      <c r="I14201" t="s">
        <v>1050</v>
      </c>
    </row>
    <row r="14202" spans="1:9" hidden="1" x14ac:dyDescent="0.25">
      <c r="A14202" t="s">
        <v>11827</v>
      </c>
      <c r="B14202" t="s">
        <v>139</v>
      </c>
      <c r="C14202" s="2">
        <f>HYPERLINK("https://cao.dolgi.msk.ru/account/1080270338/", 1080270338)</f>
        <v>1080270338</v>
      </c>
      <c r="D14202" t="s">
        <v>11881</v>
      </c>
      <c r="E14202">
        <v>-4350.28</v>
      </c>
      <c r="F14202">
        <v>-1.79</v>
      </c>
      <c r="G14202" t="s">
        <v>12</v>
      </c>
      <c r="I14202" t="s">
        <v>1050</v>
      </c>
    </row>
    <row r="14203" spans="1:9" hidden="1" x14ac:dyDescent="0.25">
      <c r="A14203" t="s">
        <v>11827</v>
      </c>
      <c r="B14203" t="s">
        <v>141</v>
      </c>
      <c r="C14203" s="2">
        <f>HYPERLINK("https://cao.dolgi.msk.ru/account/1080270346/", 1080270346)</f>
        <v>1080270346</v>
      </c>
      <c r="D14203" t="s">
        <v>11882</v>
      </c>
      <c r="E14203">
        <v>-8789.2199999999993</v>
      </c>
      <c r="F14203">
        <v>-3.12</v>
      </c>
      <c r="G14203" t="s">
        <v>12</v>
      </c>
      <c r="I14203" t="s">
        <v>1050</v>
      </c>
    </row>
    <row r="14204" spans="1:9" hidden="1" x14ac:dyDescent="0.25">
      <c r="A14204" t="s">
        <v>11827</v>
      </c>
      <c r="B14204" t="s">
        <v>143</v>
      </c>
      <c r="C14204" s="2">
        <f>HYPERLINK("https://cao.dolgi.msk.ru/account/1080270354/", 1080270354)</f>
        <v>1080270354</v>
      </c>
      <c r="D14204" t="s">
        <v>11883</v>
      </c>
      <c r="E14204">
        <v>-2356.85</v>
      </c>
      <c r="F14204">
        <v>-1.28</v>
      </c>
      <c r="G14204" t="s">
        <v>12</v>
      </c>
      <c r="I14204" t="s">
        <v>1050</v>
      </c>
    </row>
    <row r="14205" spans="1:9" hidden="1" x14ac:dyDescent="0.25">
      <c r="A14205" t="s">
        <v>11827</v>
      </c>
      <c r="B14205" t="s">
        <v>145</v>
      </c>
      <c r="C14205" s="2">
        <f>HYPERLINK("https://cao.dolgi.msk.ru/account/1080270362/", 1080270362)</f>
        <v>1080270362</v>
      </c>
      <c r="D14205" t="s">
        <v>11884</v>
      </c>
      <c r="E14205">
        <v>889.96</v>
      </c>
      <c r="F14205">
        <v>0.25</v>
      </c>
      <c r="G14205" t="s">
        <v>12</v>
      </c>
      <c r="I14205" t="s">
        <v>1050</v>
      </c>
    </row>
    <row r="14206" spans="1:9" hidden="1" x14ac:dyDescent="0.25">
      <c r="A14206" t="s">
        <v>11827</v>
      </c>
      <c r="B14206" t="s">
        <v>147</v>
      </c>
      <c r="C14206" s="2">
        <f>HYPERLINK("https://cao.dolgi.msk.ru/account/1080270389/", 1080270389)</f>
        <v>1080270389</v>
      </c>
      <c r="D14206" t="s">
        <v>11885</v>
      </c>
      <c r="E14206">
        <v>0</v>
      </c>
      <c r="F14206">
        <v>0</v>
      </c>
      <c r="G14206" t="s">
        <v>12</v>
      </c>
      <c r="I14206" t="s">
        <v>1050</v>
      </c>
    </row>
    <row r="14207" spans="1:9" hidden="1" x14ac:dyDescent="0.25">
      <c r="A14207" t="s">
        <v>11827</v>
      </c>
      <c r="B14207" t="s">
        <v>149</v>
      </c>
      <c r="C14207" s="2">
        <f>HYPERLINK("https://cao.dolgi.msk.ru/account/1080270397/", 1080270397)</f>
        <v>1080270397</v>
      </c>
      <c r="D14207" t="s">
        <v>11886</v>
      </c>
      <c r="E14207">
        <v>183.87</v>
      </c>
      <c r="G14207" t="s">
        <v>14</v>
      </c>
      <c r="I14207" t="s">
        <v>1050</v>
      </c>
    </row>
    <row r="14208" spans="1:9" hidden="1" x14ac:dyDescent="0.25">
      <c r="A14208" t="s">
        <v>11827</v>
      </c>
      <c r="B14208" t="s">
        <v>149</v>
      </c>
      <c r="C14208" s="2">
        <f>HYPERLINK("https://cao.dolgi.msk.ru/account/1089127044/", 1089127044)</f>
        <v>1089127044</v>
      </c>
      <c r="D14208" t="s">
        <v>15</v>
      </c>
      <c r="E14208">
        <v>-3521.34</v>
      </c>
      <c r="F14208">
        <v>-0.75</v>
      </c>
      <c r="G14208" t="s">
        <v>12</v>
      </c>
      <c r="I14208" t="s">
        <v>1050</v>
      </c>
    </row>
    <row r="14209" spans="1:9" hidden="1" x14ac:dyDescent="0.25">
      <c r="A14209" t="s">
        <v>11827</v>
      </c>
      <c r="B14209" t="s">
        <v>151</v>
      </c>
      <c r="C14209" s="2">
        <f>HYPERLINK("https://cao.dolgi.msk.ru/account/1080270418/", 1080270418)</f>
        <v>1080270418</v>
      </c>
      <c r="D14209" t="s">
        <v>11887</v>
      </c>
      <c r="E14209">
        <v>-9612.39</v>
      </c>
      <c r="F14209">
        <v>-2.91</v>
      </c>
      <c r="G14209" t="s">
        <v>12</v>
      </c>
      <c r="I14209" t="s">
        <v>1050</v>
      </c>
    </row>
    <row r="14210" spans="1:9" hidden="1" x14ac:dyDescent="0.25">
      <c r="A14210" t="s">
        <v>11827</v>
      </c>
      <c r="B14210" t="s">
        <v>153</v>
      </c>
      <c r="C14210" s="2">
        <f>HYPERLINK("https://cao.dolgi.msk.ru/account/1080270426/", 1080270426)</f>
        <v>1080270426</v>
      </c>
      <c r="D14210" t="s">
        <v>11888</v>
      </c>
      <c r="E14210">
        <v>-5508.23</v>
      </c>
      <c r="F14210">
        <v>-1.1299999999999999</v>
      </c>
      <c r="G14210" t="s">
        <v>12</v>
      </c>
      <c r="I14210" t="s">
        <v>1050</v>
      </c>
    </row>
    <row r="14211" spans="1:9" hidden="1" x14ac:dyDescent="0.25">
      <c r="A14211" t="s">
        <v>11827</v>
      </c>
      <c r="B14211" t="s">
        <v>155</v>
      </c>
      <c r="C14211" s="2">
        <f>HYPERLINK("https://cao.dolgi.msk.ru/account/1080270434/", 1080270434)</f>
        <v>1080270434</v>
      </c>
      <c r="D14211" t="s">
        <v>11889</v>
      </c>
      <c r="E14211">
        <v>-4437.3999999999996</v>
      </c>
      <c r="F14211">
        <v>-1.06</v>
      </c>
      <c r="G14211" t="s">
        <v>12</v>
      </c>
      <c r="I14211" t="s">
        <v>1050</v>
      </c>
    </row>
    <row r="14212" spans="1:9" hidden="1" x14ac:dyDescent="0.25">
      <c r="A14212" t="s">
        <v>11827</v>
      </c>
      <c r="B14212" t="s">
        <v>157</v>
      </c>
      <c r="C14212" s="2">
        <f>HYPERLINK("https://cao.dolgi.msk.ru/account/1080270442/", 1080270442)</f>
        <v>1080270442</v>
      </c>
      <c r="D14212" t="s">
        <v>11890</v>
      </c>
      <c r="E14212">
        <v>-6541.6</v>
      </c>
      <c r="F14212">
        <v>-0.89</v>
      </c>
      <c r="G14212" t="s">
        <v>12</v>
      </c>
      <c r="I14212" t="s">
        <v>1050</v>
      </c>
    </row>
    <row r="14213" spans="1:9" hidden="1" x14ac:dyDescent="0.25">
      <c r="A14213" t="s">
        <v>11827</v>
      </c>
      <c r="B14213" t="s">
        <v>159</v>
      </c>
      <c r="C14213" s="2">
        <f>HYPERLINK("https://cao.dolgi.msk.ru/account/1080270469/", 1080270469)</f>
        <v>1080270469</v>
      </c>
      <c r="D14213" t="s">
        <v>11891</v>
      </c>
      <c r="E14213">
        <v>-4158.7299999999996</v>
      </c>
      <c r="F14213">
        <v>-1.18</v>
      </c>
      <c r="G14213" t="s">
        <v>12</v>
      </c>
      <c r="I14213" t="s">
        <v>1050</v>
      </c>
    </row>
    <row r="14214" spans="1:9" hidden="1" x14ac:dyDescent="0.25">
      <c r="A14214" t="s">
        <v>11827</v>
      </c>
      <c r="B14214" t="s">
        <v>161</v>
      </c>
      <c r="C14214" s="2">
        <f>HYPERLINK("https://cao.dolgi.msk.ru/account/1080270477/", 1080270477)</f>
        <v>1080270477</v>
      </c>
      <c r="D14214" t="s">
        <v>11892</v>
      </c>
      <c r="E14214">
        <v>5.58</v>
      </c>
      <c r="F14214">
        <v>0</v>
      </c>
      <c r="G14214" t="s">
        <v>12</v>
      </c>
      <c r="I14214" t="s">
        <v>1050</v>
      </c>
    </row>
    <row r="14215" spans="1:9" hidden="1" x14ac:dyDescent="0.25">
      <c r="A14215" t="s">
        <v>11827</v>
      </c>
      <c r="B14215" t="s">
        <v>163</v>
      </c>
      <c r="C14215" s="2">
        <f>HYPERLINK("https://cao.dolgi.msk.ru/account/1080270485/", 1080270485)</f>
        <v>1080270485</v>
      </c>
      <c r="D14215" t="s">
        <v>11893</v>
      </c>
      <c r="E14215">
        <v>-5400.03</v>
      </c>
      <c r="F14215">
        <v>-0.98</v>
      </c>
      <c r="G14215" t="s">
        <v>12</v>
      </c>
      <c r="I14215" t="s">
        <v>1050</v>
      </c>
    </row>
    <row r="14216" spans="1:9" hidden="1" x14ac:dyDescent="0.25">
      <c r="A14216" t="s">
        <v>11827</v>
      </c>
      <c r="B14216" t="s">
        <v>571</v>
      </c>
      <c r="C14216" s="2">
        <f>HYPERLINK("https://cao.dolgi.msk.ru/account/1080270493/", 1080270493)</f>
        <v>1080270493</v>
      </c>
      <c r="D14216" t="s">
        <v>11894</v>
      </c>
      <c r="E14216">
        <v>-1227.2</v>
      </c>
      <c r="F14216">
        <v>-0.56000000000000005</v>
      </c>
      <c r="G14216" t="s">
        <v>12</v>
      </c>
      <c r="I14216" t="s">
        <v>1050</v>
      </c>
    </row>
    <row r="14217" spans="1:9" x14ac:dyDescent="0.25">
      <c r="A14217" t="s">
        <v>11827</v>
      </c>
      <c r="B14217" t="s">
        <v>682</v>
      </c>
      <c r="C14217" s="2">
        <f>HYPERLINK("https://cao.dolgi.msk.ru/account/1080270506/", 1080270506)</f>
        <v>1080270506</v>
      </c>
      <c r="D14217" t="s">
        <v>11895</v>
      </c>
      <c r="E14217">
        <v>17745.560000000001</v>
      </c>
      <c r="F14217">
        <v>5.94</v>
      </c>
      <c r="G14217" t="s">
        <v>12</v>
      </c>
      <c r="I14217" t="s">
        <v>1050</v>
      </c>
    </row>
    <row r="14218" spans="1:9" hidden="1" x14ac:dyDescent="0.25">
      <c r="A14218" t="s">
        <v>11827</v>
      </c>
      <c r="B14218" t="s">
        <v>578</v>
      </c>
      <c r="C14218" s="2">
        <f>HYPERLINK("https://cao.dolgi.msk.ru/account/1080270514/", 1080270514)</f>
        <v>1080270514</v>
      </c>
      <c r="D14218" t="s">
        <v>11896</v>
      </c>
      <c r="E14218">
        <v>2.25</v>
      </c>
      <c r="F14218">
        <v>0</v>
      </c>
      <c r="G14218" t="s">
        <v>12</v>
      </c>
      <c r="I14218" t="s">
        <v>1050</v>
      </c>
    </row>
    <row r="14219" spans="1:9" hidden="1" x14ac:dyDescent="0.25">
      <c r="A14219" t="s">
        <v>11827</v>
      </c>
      <c r="B14219" t="s">
        <v>580</v>
      </c>
      <c r="C14219" s="2">
        <f>HYPERLINK("https://cao.dolgi.msk.ru/account/1080270522/", 1080270522)</f>
        <v>1080270522</v>
      </c>
      <c r="D14219" t="s">
        <v>11897</v>
      </c>
      <c r="E14219">
        <v>-13.24</v>
      </c>
      <c r="F14219">
        <v>0</v>
      </c>
      <c r="G14219" t="s">
        <v>12</v>
      </c>
      <c r="I14219" t="s">
        <v>1050</v>
      </c>
    </row>
    <row r="14220" spans="1:9" hidden="1" x14ac:dyDescent="0.25">
      <c r="A14220" t="s">
        <v>11827</v>
      </c>
      <c r="B14220" t="s">
        <v>686</v>
      </c>
      <c r="C14220" s="2">
        <f>HYPERLINK("https://cao.dolgi.msk.ru/account/1080270549/", 1080270549)</f>
        <v>1080270549</v>
      </c>
      <c r="D14220" t="s">
        <v>11898</v>
      </c>
      <c r="E14220">
        <v>-3498.23</v>
      </c>
      <c r="F14220">
        <v>-1.1100000000000001</v>
      </c>
      <c r="G14220" t="s">
        <v>12</v>
      </c>
      <c r="I14220" t="s">
        <v>1050</v>
      </c>
    </row>
    <row r="14221" spans="1:9" hidden="1" x14ac:dyDescent="0.25">
      <c r="A14221" t="s">
        <v>11827</v>
      </c>
      <c r="B14221" t="s">
        <v>582</v>
      </c>
      <c r="C14221" s="2">
        <f>HYPERLINK("https://cao.dolgi.msk.ru/account/1080270557/", 1080270557)</f>
        <v>1080270557</v>
      </c>
      <c r="D14221" t="s">
        <v>11899</v>
      </c>
      <c r="E14221">
        <v>-3410.01</v>
      </c>
      <c r="F14221">
        <v>-1.08</v>
      </c>
      <c r="G14221" t="s">
        <v>12</v>
      </c>
      <c r="I14221" t="s">
        <v>1050</v>
      </c>
    </row>
    <row r="14222" spans="1:9" hidden="1" x14ac:dyDescent="0.25">
      <c r="A14222" t="s">
        <v>11827</v>
      </c>
      <c r="B14222" t="s">
        <v>584</v>
      </c>
      <c r="C14222" s="2">
        <f>HYPERLINK("https://cao.dolgi.msk.ru/account/1080270565/", 1080270565)</f>
        <v>1080270565</v>
      </c>
      <c r="D14222" t="s">
        <v>11900</v>
      </c>
      <c r="E14222">
        <v>-2611.3200000000002</v>
      </c>
      <c r="F14222">
        <v>-0.39</v>
      </c>
      <c r="G14222" t="s">
        <v>12</v>
      </c>
      <c r="I14222" t="s">
        <v>1050</v>
      </c>
    </row>
    <row r="14223" spans="1:9" hidden="1" x14ac:dyDescent="0.25">
      <c r="A14223" t="s">
        <v>11827</v>
      </c>
      <c r="B14223" t="s">
        <v>586</v>
      </c>
      <c r="C14223" s="2">
        <f>HYPERLINK("https://cao.dolgi.msk.ru/account/1080270573/", 1080270573)</f>
        <v>1080270573</v>
      </c>
      <c r="D14223" t="s">
        <v>11901</v>
      </c>
      <c r="E14223">
        <v>8.58</v>
      </c>
      <c r="F14223">
        <v>0</v>
      </c>
      <c r="G14223" t="s">
        <v>12</v>
      </c>
      <c r="I14223" t="s">
        <v>1050</v>
      </c>
    </row>
    <row r="14224" spans="1:9" hidden="1" x14ac:dyDescent="0.25">
      <c r="A14224" t="s">
        <v>11827</v>
      </c>
      <c r="B14224" t="s">
        <v>588</v>
      </c>
      <c r="C14224" s="2">
        <f>HYPERLINK("https://cao.dolgi.msk.ru/account/1080270581/", 1080270581)</f>
        <v>1080270581</v>
      </c>
      <c r="D14224" t="s">
        <v>11902</v>
      </c>
      <c r="E14224">
        <v>-5040.87</v>
      </c>
      <c r="F14224">
        <v>-1.04</v>
      </c>
      <c r="G14224" t="s">
        <v>12</v>
      </c>
      <c r="I14224" t="s">
        <v>1050</v>
      </c>
    </row>
    <row r="14225" spans="1:9" hidden="1" x14ac:dyDescent="0.25">
      <c r="A14225" t="s">
        <v>11827</v>
      </c>
      <c r="B14225" t="s">
        <v>590</v>
      </c>
      <c r="C14225" s="2">
        <f>HYPERLINK("https://cao.dolgi.msk.ru/account/1080270602/", 1080270602)</f>
        <v>1080270602</v>
      </c>
      <c r="D14225" t="s">
        <v>11903</v>
      </c>
      <c r="E14225">
        <v>-56.05</v>
      </c>
      <c r="F14225">
        <v>-0.01</v>
      </c>
      <c r="G14225" t="s">
        <v>12</v>
      </c>
      <c r="I14225" t="s">
        <v>1050</v>
      </c>
    </row>
    <row r="14226" spans="1:9" hidden="1" x14ac:dyDescent="0.25">
      <c r="A14226" t="s">
        <v>11827</v>
      </c>
      <c r="B14226" t="s">
        <v>693</v>
      </c>
      <c r="C14226" s="2">
        <f>HYPERLINK("https://cao.dolgi.msk.ru/account/1080270629/", 1080270629)</f>
        <v>1080270629</v>
      </c>
      <c r="D14226" t="s">
        <v>11904</v>
      </c>
      <c r="E14226">
        <v>-5276.16</v>
      </c>
      <c r="F14226">
        <v>-1.03</v>
      </c>
      <c r="G14226" t="s">
        <v>12</v>
      </c>
      <c r="I14226" t="s">
        <v>1050</v>
      </c>
    </row>
    <row r="14227" spans="1:9" hidden="1" x14ac:dyDescent="0.25">
      <c r="A14227" t="s">
        <v>11827</v>
      </c>
      <c r="B14227" t="s">
        <v>694</v>
      </c>
      <c r="C14227" s="2">
        <f>HYPERLINK("https://cao.dolgi.msk.ru/account/1080270637/", 1080270637)</f>
        <v>1080270637</v>
      </c>
      <c r="D14227" t="s">
        <v>11905</v>
      </c>
      <c r="E14227">
        <v>-3816.75</v>
      </c>
      <c r="F14227">
        <v>-1.1499999999999999</v>
      </c>
      <c r="G14227" t="s">
        <v>12</v>
      </c>
      <c r="I14227" t="s">
        <v>1050</v>
      </c>
    </row>
    <row r="14228" spans="1:9" hidden="1" x14ac:dyDescent="0.25">
      <c r="A14228" t="s">
        <v>11827</v>
      </c>
      <c r="B14228" t="s">
        <v>696</v>
      </c>
      <c r="C14228" s="2">
        <f>HYPERLINK("https://cao.dolgi.msk.ru/account/1080270645/", 1080270645)</f>
        <v>1080270645</v>
      </c>
      <c r="D14228" t="s">
        <v>11906</v>
      </c>
      <c r="E14228">
        <v>-4809.7</v>
      </c>
      <c r="F14228">
        <v>-1.06</v>
      </c>
      <c r="G14228" t="s">
        <v>12</v>
      </c>
      <c r="I14228" t="s">
        <v>1050</v>
      </c>
    </row>
    <row r="14229" spans="1:9" hidden="1" x14ac:dyDescent="0.25">
      <c r="A14229" t="s">
        <v>11827</v>
      </c>
      <c r="B14229" t="s">
        <v>698</v>
      </c>
      <c r="C14229" s="2">
        <f>HYPERLINK("https://cao.dolgi.msk.ru/account/1080270653/", 1080270653)</f>
        <v>1080270653</v>
      </c>
      <c r="D14229" t="s">
        <v>11907</v>
      </c>
      <c r="E14229">
        <v>-4292.72</v>
      </c>
      <c r="F14229">
        <v>-1.07</v>
      </c>
      <c r="G14229" t="s">
        <v>12</v>
      </c>
      <c r="I14229" t="s">
        <v>1050</v>
      </c>
    </row>
    <row r="14230" spans="1:9" hidden="1" x14ac:dyDescent="0.25">
      <c r="A14230" t="s">
        <v>11827</v>
      </c>
      <c r="B14230" t="s">
        <v>700</v>
      </c>
      <c r="C14230" s="2">
        <f>HYPERLINK("https://cao.dolgi.msk.ru/account/1080270661/", 1080270661)</f>
        <v>1080270661</v>
      </c>
      <c r="D14230" t="s">
        <v>11908</v>
      </c>
      <c r="E14230">
        <v>-2092.34</v>
      </c>
      <c r="F14230">
        <v>-0.89</v>
      </c>
      <c r="G14230" t="s">
        <v>12</v>
      </c>
      <c r="I14230" t="s">
        <v>1050</v>
      </c>
    </row>
    <row r="14231" spans="1:9" hidden="1" x14ac:dyDescent="0.25">
      <c r="A14231" t="s">
        <v>11827</v>
      </c>
      <c r="B14231" t="s">
        <v>702</v>
      </c>
      <c r="C14231" s="2">
        <f>HYPERLINK("https://cao.dolgi.msk.ru/account/1080270688/", 1080270688)</f>
        <v>1080270688</v>
      </c>
      <c r="D14231" t="s">
        <v>11909</v>
      </c>
      <c r="E14231">
        <v>-5692.05</v>
      </c>
      <c r="F14231">
        <v>-1.07</v>
      </c>
      <c r="G14231" t="s">
        <v>12</v>
      </c>
      <c r="I14231" t="s">
        <v>1050</v>
      </c>
    </row>
    <row r="14232" spans="1:9" hidden="1" x14ac:dyDescent="0.25">
      <c r="A14232" t="s">
        <v>11827</v>
      </c>
      <c r="B14232" t="s">
        <v>703</v>
      </c>
      <c r="C14232" s="2">
        <f>HYPERLINK("https://cao.dolgi.msk.ru/account/1080270696/", 1080270696)</f>
        <v>1080270696</v>
      </c>
      <c r="D14232" t="s">
        <v>11910</v>
      </c>
      <c r="E14232">
        <v>-2297.34</v>
      </c>
      <c r="F14232">
        <v>-1.1000000000000001</v>
      </c>
      <c r="G14232" t="s">
        <v>12</v>
      </c>
      <c r="I14232" t="s">
        <v>1050</v>
      </c>
    </row>
    <row r="14233" spans="1:9" x14ac:dyDescent="0.25">
      <c r="A14233" t="s">
        <v>11827</v>
      </c>
      <c r="B14233" t="s">
        <v>705</v>
      </c>
      <c r="C14233" s="2">
        <f>HYPERLINK("https://cao.dolgi.msk.ru/account/1080270709/", 1080270709)</f>
        <v>1080270709</v>
      </c>
      <c r="D14233" t="s">
        <v>11911</v>
      </c>
      <c r="E14233">
        <v>9555.2800000000007</v>
      </c>
      <c r="F14233">
        <v>2.41</v>
      </c>
      <c r="G14233" t="s">
        <v>12</v>
      </c>
      <c r="I14233" t="s">
        <v>1050</v>
      </c>
    </row>
    <row r="14234" spans="1:9" hidden="1" x14ac:dyDescent="0.25">
      <c r="A14234" t="s">
        <v>11827</v>
      </c>
      <c r="B14234" t="s">
        <v>707</v>
      </c>
      <c r="C14234" s="2">
        <f>HYPERLINK("https://cao.dolgi.msk.ru/account/1080270717/", 1080270717)</f>
        <v>1080270717</v>
      </c>
      <c r="D14234" t="s">
        <v>11912</v>
      </c>
      <c r="E14234">
        <v>-7891.79</v>
      </c>
      <c r="F14234">
        <v>-1.1100000000000001</v>
      </c>
      <c r="G14234" t="s">
        <v>12</v>
      </c>
      <c r="I14234" t="s">
        <v>1050</v>
      </c>
    </row>
    <row r="14235" spans="1:9" hidden="1" x14ac:dyDescent="0.25">
      <c r="A14235" t="s">
        <v>11827</v>
      </c>
      <c r="B14235" t="s">
        <v>709</v>
      </c>
      <c r="C14235" s="2">
        <f>HYPERLINK("https://cao.dolgi.msk.ru/account/1080270725/", 1080270725)</f>
        <v>1080270725</v>
      </c>
      <c r="D14235" t="s">
        <v>11913</v>
      </c>
      <c r="E14235">
        <v>0</v>
      </c>
      <c r="F14235">
        <v>0</v>
      </c>
      <c r="G14235" t="s">
        <v>12</v>
      </c>
      <c r="I14235" t="s">
        <v>1050</v>
      </c>
    </row>
    <row r="14236" spans="1:9" hidden="1" x14ac:dyDescent="0.25">
      <c r="A14236" t="s">
        <v>11827</v>
      </c>
      <c r="B14236" t="s">
        <v>711</v>
      </c>
      <c r="C14236" s="2">
        <f>HYPERLINK("https://cao.dolgi.msk.ru/account/1080270733/", 1080270733)</f>
        <v>1080270733</v>
      </c>
      <c r="D14236" t="s">
        <v>11914</v>
      </c>
      <c r="E14236">
        <v>-3329.67</v>
      </c>
      <c r="F14236">
        <v>-1.07</v>
      </c>
      <c r="G14236" t="s">
        <v>12</v>
      </c>
      <c r="I14236" t="s">
        <v>1050</v>
      </c>
    </row>
    <row r="14237" spans="1:9" hidden="1" x14ac:dyDescent="0.25">
      <c r="A14237" t="s">
        <v>11827</v>
      </c>
      <c r="B14237" t="s">
        <v>713</v>
      </c>
      <c r="C14237" s="2">
        <f>HYPERLINK("https://cao.dolgi.msk.ru/account/1080270741/", 1080270741)</f>
        <v>1080270741</v>
      </c>
      <c r="D14237" t="s">
        <v>11915</v>
      </c>
      <c r="E14237">
        <v>-3174.42</v>
      </c>
      <c r="F14237">
        <v>-1.1499999999999999</v>
      </c>
      <c r="G14237" t="s">
        <v>12</v>
      </c>
      <c r="I14237" t="s">
        <v>1050</v>
      </c>
    </row>
    <row r="14238" spans="1:9" hidden="1" x14ac:dyDescent="0.25">
      <c r="A14238" t="s">
        <v>11827</v>
      </c>
      <c r="B14238" t="s">
        <v>528</v>
      </c>
      <c r="C14238" s="2">
        <f>HYPERLINK("https://cao.dolgi.msk.ru/account/1080270768/", 1080270768)</f>
        <v>1080270768</v>
      </c>
      <c r="D14238" t="s">
        <v>62</v>
      </c>
      <c r="E14238">
        <v>-3471.82</v>
      </c>
      <c r="F14238">
        <v>-1.05</v>
      </c>
      <c r="G14238" t="s">
        <v>12</v>
      </c>
      <c r="I14238" t="s">
        <v>1050</v>
      </c>
    </row>
    <row r="14239" spans="1:9" hidden="1" x14ac:dyDescent="0.25">
      <c r="A14239" t="s">
        <v>11827</v>
      </c>
      <c r="B14239" t="s">
        <v>530</v>
      </c>
      <c r="C14239" s="2">
        <f>HYPERLINK("https://cao.dolgi.msk.ru/account/1080270776/", 1080270776)</f>
        <v>1080270776</v>
      </c>
      <c r="D14239" t="s">
        <v>11916</v>
      </c>
      <c r="E14239">
        <v>-8773.8700000000008</v>
      </c>
      <c r="F14239">
        <v>-1.08</v>
      </c>
      <c r="G14239" t="s">
        <v>12</v>
      </c>
      <c r="I14239" t="s">
        <v>1050</v>
      </c>
    </row>
    <row r="14240" spans="1:9" hidden="1" x14ac:dyDescent="0.25">
      <c r="A14240" t="s">
        <v>11827</v>
      </c>
      <c r="B14240" t="s">
        <v>532</v>
      </c>
      <c r="C14240" s="2">
        <f>HYPERLINK("https://cao.dolgi.msk.ru/account/1080270784/", 1080270784)</f>
        <v>1080270784</v>
      </c>
      <c r="D14240" t="s">
        <v>11917</v>
      </c>
      <c r="E14240">
        <v>-2790.98</v>
      </c>
      <c r="F14240">
        <v>-0.97</v>
      </c>
      <c r="G14240" t="s">
        <v>12</v>
      </c>
      <c r="I14240" t="s">
        <v>1050</v>
      </c>
    </row>
    <row r="14241" spans="1:9" hidden="1" x14ac:dyDescent="0.25">
      <c r="A14241" t="s">
        <v>11827</v>
      </c>
      <c r="B14241" t="s">
        <v>534</v>
      </c>
      <c r="C14241" s="2">
        <f>HYPERLINK("https://cao.dolgi.msk.ru/account/1080270792/", 1080270792)</f>
        <v>1080270792</v>
      </c>
      <c r="D14241" t="s">
        <v>11918</v>
      </c>
      <c r="E14241">
        <v>0</v>
      </c>
      <c r="F14241">
        <v>0</v>
      </c>
      <c r="G14241" t="s">
        <v>12</v>
      </c>
      <c r="I14241" t="s">
        <v>1050</v>
      </c>
    </row>
    <row r="14242" spans="1:9" hidden="1" x14ac:dyDescent="0.25">
      <c r="A14242" t="s">
        <v>11827</v>
      </c>
      <c r="B14242" t="s">
        <v>536</v>
      </c>
      <c r="C14242" s="2">
        <f>HYPERLINK("https://cao.dolgi.msk.ru/account/1080270805/", 1080270805)</f>
        <v>1080270805</v>
      </c>
      <c r="D14242" t="s">
        <v>11919</v>
      </c>
      <c r="E14242">
        <v>-5868.17</v>
      </c>
      <c r="F14242">
        <v>-1.22</v>
      </c>
      <c r="G14242" t="s">
        <v>12</v>
      </c>
      <c r="I14242" t="s">
        <v>1050</v>
      </c>
    </row>
    <row r="14243" spans="1:9" hidden="1" x14ac:dyDescent="0.25">
      <c r="A14243" t="s">
        <v>11827</v>
      </c>
      <c r="B14243" t="s">
        <v>538</v>
      </c>
      <c r="C14243" s="2">
        <f>HYPERLINK("https://cao.dolgi.msk.ru/account/1080270813/", 1080270813)</f>
        <v>1080270813</v>
      </c>
      <c r="D14243" t="s">
        <v>11920</v>
      </c>
      <c r="E14243">
        <v>-2052.04</v>
      </c>
      <c r="F14243">
        <v>-1.48</v>
      </c>
      <c r="G14243" t="s">
        <v>12</v>
      </c>
      <c r="I14243" t="s">
        <v>1050</v>
      </c>
    </row>
    <row r="14244" spans="1:9" hidden="1" x14ac:dyDescent="0.25">
      <c r="A14244" t="s">
        <v>11827</v>
      </c>
      <c r="B14244" t="s">
        <v>539</v>
      </c>
      <c r="C14244" s="2">
        <f>HYPERLINK("https://cao.dolgi.msk.ru/account/1080270821/", 1080270821)</f>
        <v>1080270821</v>
      </c>
      <c r="D14244" t="s">
        <v>11921</v>
      </c>
      <c r="E14244">
        <v>-8300.35</v>
      </c>
      <c r="F14244">
        <v>-2.0699999999999998</v>
      </c>
      <c r="G14244" t="s">
        <v>12</v>
      </c>
      <c r="I14244" t="s">
        <v>1050</v>
      </c>
    </row>
    <row r="14245" spans="1:9" hidden="1" x14ac:dyDescent="0.25">
      <c r="A14245" t="s">
        <v>11827</v>
      </c>
      <c r="B14245" t="s">
        <v>541</v>
      </c>
      <c r="C14245" s="2">
        <f>HYPERLINK("https://cao.dolgi.msk.ru/account/1080270848/", 1080270848)</f>
        <v>1080270848</v>
      </c>
      <c r="D14245" t="s">
        <v>11922</v>
      </c>
      <c r="E14245">
        <v>-4285.6099999999997</v>
      </c>
      <c r="F14245">
        <v>-1.22</v>
      </c>
      <c r="G14245" t="s">
        <v>12</v>
      </c>
      <c r="I14245" t="s">
        <v>1050</v>
      </c>
    </row>
    <row r="14246" spans="1:9" hidden="1" x14ac:dyDescent="0.25">
      <c r="A14246" t="s">
        <v>11827</v>
      </c>
      <c r="B14246" t="s">
        <v>543</v>
      </c>
      <c r="C14246" s="2">
        <f>HYPERLINK("https://cao.dolgi.msk.ru/account/1080270856/", 1080270856)</f>
        <v>1080270856</v>
      </c>
      <c r="D14246" t="s">
        <v>11923</v>
      </c>
      <c r="E14246">
        <v>-5698.43</v>
      </c>
      <c r="F14246">
        <v>-1.19</v>
      </c>
      <c r="G14246" t="s">
        <v>12</v>
      </c>
      <c r="I14246" t="s">
        <v>1050</v>
      </c>
    </row>
    <row r="14247" spans="1:9" hidden="1" x14ac:dyDescent="0.25">
      <c r="A14247" t="s">
        <v>11827</v>
      </c>
      <c r="B14247" t="s">
        <v>545</v>
      </c>
      <c r="C14247" s="2">
        <f>HYPERLINK("https://cao.dolgi.msk.ru/account/1080270864/", 1080270864)</f>
        <v>1080270864</v>
      </c>
      <c r="D14247" t="s">
        <v>11924</v>
      </c>
      <c r="E14247">
        <v>-3676.42</v>
      </c>
      <c r="F14247">
        <v>-1.1299999999999999</v>
      </c>
      <c r="G14247" t="s">
        <v>12</v>
      </c>
      <c r="I14247" t="s">
        <v>1050</v>
      </c>
    </row>
    <row r="14248" spans="1:9" hidden="1" x14ac:dyDescent="0.25">
      <c r="A14248" t="s">
        <v>11827</v>
      </c>
      <c r="B14248" t="s">
        <v>546</v>
      </c>
      <c r="C14248" s="2">
        <f>HYPERLINK("https://cao.dolgi.msk.ru/account/1080270872/", 1080270872)</f>
        <v>1080270872</v>
      </c>
      <c r="D14248" t="s">
        <v>11925</v>
      </c>
      <c r="E14248">
        <v>-3181.02</v>
      </c>
      <c r="F14248">
        <v>-1.08</v>
      </c>
      <c r="G14248" t="s">
        <v>12</v>
      </c>
      <c r="I14248" t="s">
        <v>1050</v>
      </c>
    </row>
    <row r="14249" spans="1:9" hidden="1" x14ac:dyDescent="0.25">
      <c r="A14249" t="s">
        <v>11827</v>
      </c>
      <c r="B14249" t="s">
        <v>548</v>
      </c>
      <c r="C14249" s="2">
        <f>HYPERLINK("https://cao.dolgi.msk.ru/account/1080270899/", 1080270899)</f>
        <v>1080270899</v>
      </c>
      <c r="D14249" t="s">
        <v>11926</v>
      </c>
      <c r="E14249">
        <v>-3463.06</v>
      </c>
      <c r="F14249">
        <v>-1.18</v>
      </c>
      <c r="G14249" t="s">
        <v>12</v>
      </c>
      <c r="I14249" t="s">
        <v>1050</v>
      </c>
    </row>
    <row r="14250" spans="1:9" hidden="1" x14ac:dyDescent="0.25">
      <c r="A14250" t="s">
        <v>11827</v>
      </c>
      <c r="B14250" t="s">
        <v>727</v>
      </c>
      <c r="C14250" s="2">
        <f>HYPERLINK("https://cao.dolgi.msk.ru/account/1080270901/", 1080270901)</f>
        <v>1080270901</v>
      </c>
      <c r="D14250" t="s">
        <v>11927</v>
      </c>
      <c r="E14250">
        <v>-5803.95</v>
      </c>
      <c r="F14250">
        <v>-1.0900000000000001</v>
      </c>
      <c r="G14250" t="s">
        <v>12</v>
      </c>
      <c r="I14250" t="s">
        <v>1050</v>
      </c>
    </row>
    <row r="14251" spans="1:9" hidden="1" x14ac:dyDescent="0.25">
      <c r="A14251" t="s">
        <v>11827</v>
      </c>
      <c r="B14251" t="s">
        <v>551</v>
      </c>
      <c r="C14251" s="2">
        <f>HYPERLINK("https://cao.dolgi.msk.ru/account/1080270928/", 1080270928)</f>
        <v>1080270928</v>
      </c>
      <c r="D14251" t="s">
        <v>11928</v>
      </c>
      <c r="E14251">
        <v>4276.99</v>
      </c>
      <c r="F14251">
        <v>0.81</v>
      </c>
      <c r="G14251" t="s">
        <v>12</v>
      </c>
      <c r="I14251" t="s">
        <v>1050</v>
      </c>
    </row>
    <row r="14252" spans="1:9" hidden="1" x14ac:dyDescent="0.25">
      <c r="A14252" t="s">
        <v>11827</v>
      </c>
      <c r="B14252" t="s">
        <v>730</v>
      </c>
      <c r="C14252" s="2">
        <f>HYPERLINK("https://cao.dolgi.msk.ru/account/1080270936/", 1080270936)</f>
        <v>1080270936</v>
      </c>
      <c r="D14252" t="s">
        <v>15</v>
      </c>
      <c r="E14252">
        <v>-69.06</v>
      </c>
      <c r="F14252">
        <v>-0.02</v>
      </c>
      <c r="G14252" t="s">
        <v>12</v>
      </c>
      <c r="I14252" t="s">
        <v>1050</v>
      </c>
    </row>
    <row r="14253" spans="1:9" x14ac:dyDescent="0.25">
      <c r="A14253" t="s">
        <v>11827</v>
      </c>
      <c r="B14253" t="s">
        <v>732</v>
      </c>
      <c r="C14253" s="2">
        <f>HYPERLINK("https://cao.dolgi.msk.ru/account/1080270944/", 1080270944)</f>
        <v>1080270944</v>
      </c>
      <c r="D14253" t="s">
        <v>15</v>
      </c>
      <c r="E14253">
        <v>12978.1</v>
      </c>
      <c r="F14253">
        <v>3.05</v>
      </c>
      <c r="G14253" t="s">
        <v>12</v>
      </c>
      <c r="I14253" t="s">
        <v>1050</v>
      </c>
    </row>
    <row r="14254" spans="1:9" hidden="1" x14ac:dyDescent="0.25">
      <c r="A14254" t="s">
        <v>11827</v>
      </c>
      <c r="B14254" t="s">
        <v>553</v>
      </c>
      <c r="C14254" s="2">
        <f>HYPERLINK("https://cao.dolgi.msk.ru/account/1080270952/", 1080270952)</f>
        <v>1080270952</v>
      </c>
      <c r="D14254" t="s">
        <v>11929</v>
      </c>
      <c r="E14254">
        <v>-4595.95</v>
      </c>
      <c r="F14254">
        <v>-1.1499999999999999</v>
      </c>
      <c r="G14254" t="s">
        <v>12</v>
      </c>
      <c r="I14254" t="s">
        <v>1050</v>
      </c>
    </row>
    <row r="14255" spans="1:9" hidden="1" x14ac:dyDescent="0.25">
      <c r="A14255" t="s">
        <v>11827</v>
      </c>
      <c r="B14255" t="s">
        <v>555</v>
      </c>
      <c r="C14255" s="2">
        <f>HYPERLINK("https://cao.dolgi.msk.ru/account/1080270979/", 1080270979)</f>
        <v>1080270979</v>
      </c>
      <c r="D14255" t="s">
        <v>15</v>
      </c>
      <c r="E14255">
        <v>-4898.55</v>
      </c>
      <c r="F14255">
        <v>-1.28</v>
      </c>
      <c r="G14255" t="s">
        <v>12</v>
      </c>
      <c r="I14255" t="s">
        <v>1050</v>
      </c>
    </row>
    <row r="14256" spans="1:9" hidden="1" x14ac:dyDescent="0.25">
      <c r="A14256" t="s">
        <v>11827</v>
      </c>
      <c r="B14256" t="s">
        <v>555</v>
      </c>
      <c r="C14256" s="2">
        <f>HYPERLINK("https://cao.dolgi.msk.ru/account/1089118236/", 1089118236)</f>
        <v>1089118236</v>
      </c>
      <c r="D14256" t="s">
        <v>15</v>
      </c>
      <c r="E14256">
        <v>-198.13</v>
      </c>
      <c r="G14256" t="s">
        <v>14</v>
      </c>
      <c r="I14256" t="s">
        <v>1050</v>
      </c>
    </row>
    <row r="14257" spans="1:9" x14ac:dyDescent="0.25">
      <c r="A14257" t="s">
        <v>11827</v>
      </c>
      <c r="B14257" t="s">
        <v>736</v>
      </c>
      <c r="C14257" s="2">
        <f>HYPERLINK("https://cao.dolgi.msk.ru/account/1080270987/", 1080270987)</f>
        <v>1080270987</v>
      </c>
      <c r="D14257" t="s">
        <v>11930</v>
      </c>
      <c r="E14257">
        <v>32067.360000000001</v>
      </c>
      <c r="F14257">
        <v>5.07</v>
      </c>
      <c r="G14257" t="s">
        <v>12</v>
      </c>
      <c r="I14257" t="s">
        <v>1050</v>
      </c>
    </row>
    <row r="14258" spans="1:9" hidden="1" x14ac:dyDescent="0.25">
      <c r="A14258" t="s">
        <v>11827</v>
      </c>
      <c r="B14258" t="s">
        <v>738</v>
      </c>
      <c r="C14258" s="2">
        <f>HYPERLINK("https://cao.dolgi.msk.ru/account/1080270995/", 1080270995)</f>
        <v>1080270995</v>
      </c>
      <c r="D14258" t="s">
        <v>11931</v>
      </c>
      <c r="E14258">
        <v>-5974.12</v>
      </c>
      <c r="F14258">
        <v>-1.01</v>
      </c>
      <c r="G14258" t="s">
        <v>12</v>
      </c>
      <c r="I14258" t="s">
        <v>1050</v>
      </c>
    </row>
    <row r="14259" spans="1:9" hidden="1" x14ac:dyDescent="0.25">
      <c r="A14259" t="s">
        <v>11827</v>
      </c>
      <c r="B14259" t="s">
        <v>740</v>
      </c>
      <c r="C14259" s="2">
        <f>HYPERLINK("https://cao.dolgi.msk.ru/account/1080271007/", 1080271007)</f>
        <v>1080271007</v>
      </c>
      <c r="D14259" t="s">
        <v>11932</v>
      </c>
      <c r="E14259">
        <v>0</v>
      </c>
      <c r="F14259">
        <v>0</v>
      </c>
      <c r="G14259" t="s">
        <v>12</v>
      </c>
      <c r="I14259" t="s">
        <v>1050</v>
      </c>
    </row>
    <row r="14260" spans="1:9" hidden="1" x14ac:dyDescent="0.25">
      <c r="A14260" t="s">
        <v>11827</v>
      </c>
      <c r="B14260" t="s">
        <v>742</v>
      </c>
      <c r="C14260" s="2">
        <f>HYPERLINK("https://cao.dolgi.msk.ru/account/1080271015/", 1080271015)</f>
        <v>1080271015</v>
      </c>
      <c r="D14260" t="s">
        <v>11933</v>
      </c>
      <c r="E14260">
        <v>-232.02</v>
      </c>
      <c r="F14260">
        <v>-7.0000000000000007E-2</v>
      </c>
      <c r="G14260" t="s">
        <v>12</v>
      </c>
      <c r="I14260" t="s">
        <v>1050</v>
      </c>
    </row>
    <row r="14261" spans="1:9" hidden="1" x14ac:dyDescent="0.25">
      <c r="A14261" t="s">
        <v>11827</v>
      </c>
      <c r="B14261" t="s">
        <v>557</v>
      </c>
      <c r="C14261" s="2">
        <f>HYPERLINK("https://cao.dolgi.msk.ru/account/1080271023/", 1080271023)</f>
        <v>1080271023</v>
      </c>
      <c r="D14261" t="s">
        <v>11934</v>
      </c>
      <c r="E14261">
        <v>31.05</v>
      </c>
      <c r="F14261">
        <v>0.01</v>
      </c>
      <c r="G14261" t="s">
        <v>12</v>
      </c>
      <c r="I14261" t="s">
        <v>1050</v>
      </c>
    </row>
    <row r="14262" spans="1:9" hidden="1" x14ac:dyDescent="0.25">
      <c r="A14262" t="s">
        <v>11827</v>
      </c>
      <c r="B14262" t="s">
        <v>558</v>
      </c>
      <c r="C14262" s="2">
        <f>HYPERLINK("https://cao.dolgi.msk.ru/account/1080271031/", 1080271031)</f>
        <v>1080271031</v>
      </c>
      <c r="D14262" t="s">
        <v>11935</v>
      </c>
      <c r="E14262">
        <v>-7126.05</v>
      </c>
      <c r="F14262">
        <v>-1.05</v>
      </c>
      <c r="G14262" t="s">
        <v>12</v>
      </c>
      <c r="I14262" t="s">
        <v>1050</v>
      </c>
    </row>
    <row r="14263" spans="1:9" hidden="1" x14ac:dyDescent="0.25">
      <c r="A14263" t="s">
        <v>11827</v>
      </c>
      <c r="B14263" t="s">
        <v>746</v>
      </c>
      <c r="C14263" s="2">
        <f>HYPERLINK("https://cao.dolgi.msk.ru/account/1080271058/", 1080271058)</f>
        <v>1080271058</v>
      </c>
      <c r="D14263" t="s">
        <v>11936</v>
      </c>
      <c r="E14263">
        <v>-5067.75</v>
      </c>
      <c r="F14263">
        <v>-1</v>
      </c>
      <c r="G14263" t="s">
        <v>12</v>
      </c>
      <c r="I14263" t="s">
        <v>1050</v>
      </c>
    </row>
    <row r="14264" spans="1:9" hidden="1" x14ac:dyDescent="0.25">
      <c r="A14264" t="s">
        <v>11827</v>
      </c>
      <c r="B14264" t="s">
        <v>748</v>
      </c>
      <c r="C14264" s="2">
        <f>HYPERLINK("https://cao.dolgi.msk.ru/account/1080271066/", 1080271066)</f>
        <v>1080271066</v>
      </c>
      <c r="D14264" t="s">
        <v>11937</v>
      </c>
      <c r="E14264">
        <v>-4044.33</v>
      </c>
      <c r="F14264">
        <v>-1.34</v>
      </c>
      <c r="G14264" t="s">
        <v>12</v>
      </c>
      <c r="I14264" t="s">
        <v>1050</v>
      </c>
    </row>
    <row r="14265" spans="1:9" hidden="1" x14ac:dyDescent="0.25">
      <c r="A14265" t="s">
        <v>11827</v>
      </c>
      <c r="B14265" t="s">
        <v>750</v>
      </c>
      <c r="C14265" s="2">
        <f>HYPERLINK("https://cao.dolgi.msk.ru/account/1080271074/", 1080271074)</f>
        <v>1080271074</v>
      </c>
      <c r="D14265" t="s">
        <v>11938</v>
      </c>
      <c r="E14265">
        <v>-4695.42</v>
      </c>
      <c r="F14265">
        <v>-2.1800000000000002</v>
      </c>
      <c r="G14265" t="s">
        <v>12</v>
      </c>
      <c r="I14265" t="s">
        <v>1050</v>
      </c>
    </row>
    <row r="14266" spans="1:9" hidden="1" x14ac:dyDescent="0.25">
      <c r="A14266" t="s">
        <v>11827</v>
      </c>
      <c r="B14266" t="s">
        <v>752</v>
      </c>
      <c r="C14266" s="2">
        <f>HYPERLINK("https://cao.dolgi.msk.ru/account/1080271082/", 1080271082)</f>
        <v>1080271082</v>
      </c>
      <c r="D14266" t="s">
        <v>11939</v>
      </c>
      <c r="E14266">
        <v>-4349.68</v>
      </c>
      <c r="F14266">
        <v>-1.1200000000000001</v>
      </c>
      <c r="G14266" t="s">
        <v>12</v>
      </c>
      <c r="I14266" t="s">
        <v>1050</v>
      </c>
    </row>
    <row r="14267" spans="1:9" x14ac:dyDescent="0.25">
      <c r="A14267" t="s">
        <v>11827</v>
      </c>
      <c r="B14267" t="s">
        <v>754</v>
      </c>
      <c r="C14267" s="2">
        <f>HYPERLINK("https://cao.dolgi.msk.ru/account/1080271103/", 1080271103)</f>
        <v>1080271103</v>
      </c>
      <c r="D14267" t="s">
        <v>11940</v>
      </c>
      <c r="E14267">
        <v>8298.11</v>
      </c>
      <c r="F14267">
        <v>2.17</v>
      </c>
      <c r="G14267" t="s">
        <v>12</v>
      </c>
      <c r="I14267" t="s">
        <v>1050</v>
      </c>
    </row>
    <row r="14268" spans="1:9" hidden="1" x14ac:dyDescent="0.25">
      <c r="A14268" t="s">
        <v>11827</v>
      </c>
      <c r="B14268" t="s">
        <v>756</v>
      </c>
      <c r="C14268" s="2">
        <f>HYPERLINK("https://cao.dolgi.msk.ru/account/1080271111/", 1080271111)</f>
        <v>1080271111</v>
      </c>
      <c r="D14268" t="s">
        <v>11941</v>
      </c>
      <c r="E14268">
        <v>-26.99</v>
      </c>
      <c r="F14268">
        <v>-0.01</v>
      </c>
      <c r="G14268" t="s">
        <v>12</v>
      </c>
      <c r="I14268" t="s">
        <v>1050</v>
      </c>
    </row>
    <row r="14269" spans="1:9" hidden="1" x14ac:dyDescent="0.25">
      <c r="A14269" t="s">
        <v>11827</v>
      </c>
      <c r="B14269" t="s">
        <v>758</v>
      </c>
      <c r="C14269" s="2">
        <f>HYPERLINK("https://cao.dolgi.msk.ru/account/1080271138/", 1080271138)</f>
        <v>1080271138</v>
      </c>
      <c r="D14269" t="s">
        <v>11942</v>
      </c>
      <c r="E14269">
        <v>-5031.03</v>
      </c>
      <c r="F14269">
        <v>-1.1399999999999999</v>
      </c>
      <c r="G14269" t="s">
        <v>12</v>
      </c>
      <c r="I14269" t="s">
        <v>1050</v>
      </c>
    </row>
    <row r="14270" spans="1:9" hidden="1" x14ac:dyDescent="0.25">
      <c r="A14270" t="s">
        <v>11827</v>
      </c>
      <c r="B14270" t="s">
        <v>760</v>
      </c>
      <c r="C14270" s="2">
        <f>HYPERLINK("https://cao.dolgi.msk.ru/account/1080271146/", 1080271146)</f>
        <v>1080271146</v>
      </c>
      <c r="D14270" t="s">
        <v>11943</v>
      </c>
      <c r="E14270">
        <v>-5275.28</v>
      </c>
      <c r="F14270">
        <v>-1.1100000000000001</v>
      </c>
      <c r="G14270" t="s">
        <v>12</v>
      </c>
      <c r="I14270" t="s">
        <v>1050</v>
      </c>
    </row>
    <row r="14271" spans="1:9" hidden="1" x14ac:dyDescent="0.25">
      <c r="A14271" t="s">
        <v>11827</v>
      </c>
      <c r="B14271" t="s">
        <v>762</v>
      </c>
      <c r="C14271" s="2">
        <f>HYPERLINK("https://cao.dolgi.msk.ru/account/1080271154/", 1080271154)</f>
        <v>1080271154</v>
      </c>
      <c r="D14271" t="s">
        <v>11944</v>
      </c>
      <c r="E14271">
        <v>-3457.65</v>
      </c>
      <c r="F14271">
        <v>-1.04</v>
      </c>
      <c r="G14271" t="s">
        <v>12</v>
      </c>
      <c r="I14271" t="s">
        <v>1050</v>
      </c>
    </row>
    <row r="14272" spans="1:9" hidden="1" x14ac:dyDescent="0.25">
      <c r="A14272" t="s">
        <v>11827</v>
      </c>
      <c r="B14272" t="s">
        <v>764</v>
      </c>
      <c r="C14272" s="2">
        <f>HYPERLINK("https://cao.dolgi.msk.ru/account/1080271162/", 1080271162)</f>
        <v>1080271162</v>
      </c>
      <c r="D14272" t="s">
        <v>11945</v>
      </c>
      <c r="E14272">
        <v>-6156.05</v>
      </c>
      <c r="F14272">
        <v>-1.1200000000000001</v>
      </c>
      <c r="G14272" t="s">
        <v>12</v>
      </c>
      <c r="I14272" t="s">
        <v>1050</v>
      </c>
    </row>
    <row r="14273" spans="1:9" hidden="1" x14ac:dyDescent="0.25">
      <c r="A14273" t="s">
        <v>11827</v>
      </c>
      <c r="B14273" t="s">
        <v>766</v>
      </c>
      <c r="C14273" s="2">
        <f>HYPERLINK("https://cao.dolgi.msk.ru/account/1080271189/", 1080271189)</f>
        <v>1080271189</v>
      </c>
      <c r="D14273" t="s">
        <v>11946</v>
      </c>
      <c r="E14273">
        <v>-3855.43</v>
      </c>
      <c r="F14273">
        <v>-1.1399999999999999</v>
      </c>
      <c r="G14273" t="s">
        <v>12</v>
      </c>
      <c r="I14273" t="s">
        <v>1050</v>
      </c>
    </row>
    <row r="14274" spans="1:9" hidden="1" x14ac:dyDescent="0.25">
      <c r="A14274" t="s">
        <v>11827</v>
      </c>
      <c r="B14274" t="s">
        <v>768</v>
      </c>
      <c r="C14274" s="2">
        <f>HYPERLINK("https://cao.dolgi.msk.ru/account/1080271197/", 1080271197)</f>
        <v>1080271197</v>
      </c>
      <c r="D14274" t="s">
        <v>11947</v>
      </c>
      <c r="E14274">
        <v>-2911.45</v>
      </c>
      <c r="F14274">
        <v>-1.1399999999999999</v>
      </c>
      <c r="G14274" t="s">
        <v>12</v>
      </c>
      <c r="I14274" t="s">
        <v>1050</v>
      </c>
    </row>
    <row r="14275" spans="1:9" hidden="1" x14ac:dyDescent="0.25">
      <c r="A14275" t="s">
        <v>11827</v>
      </c>
      <c r="B14275" t="s">
        <v>770</v>
      </c>
      <c r="C14275" s="2">
        <f>HYPERLINK("https://cao.dolgi.msk.ru/account/1080271218/", 1080271218)</f>
        <v>1080271218</v>
      </c>
      <c r="D14275" t="s">
        <v>11948</v>
      </c>
      <c r="E14275">
        <v>-5303.25</v>
      </c>
      <c r="F14275">
        <v>-1.0900000000000001</v>
      </c>
      <c r="G14275" t="s">
        <v>12</v>
      </c>
      <c r="I14275" t="s">
        <v>1050</v>
      </c>
    </row>
    <row r="14276" spans="1:9" hidden="1" x14ac:dyDescent="0.25">
      <c r="A14276" t="s">
        <v>11827</v>
      </c>
      <c r="B14276" t="s">
        <v>772</v>
      </c>
      <c r="C14276" s="2">
        <f>HYPERLINK("https://cao.dolgi.msk.ru/account/1080271226/", 1080271226)</f>
        <v>1080271226</v>
      </c>
      <c r="D14276" t="s">
        <v>11949</v>
      </c>
      <c r="E14276">
        <v>-2072.11</v>
      </c>
      <c r="F14276">
        <v>-1.03</v>
      </c>
      <c r="G14276" t="s">
        <v>12</v>
      </c>
      <c r="I14276" t="s">
        <v>1050</v>
      </c>
    </row>
    <row r="14277" spans="1:9" hidden="1" x14ac:dyDescent="0.25">
      <c r="A14277" t="s">
        <v>11827</v>
      </c>
      <c r="B14277" t="s">
        <v>774</v>
      </c>
      <c r="C14277" s="2">
        <f>HYPERLINK("https://cao.dolgi.msk.ru/account/1080271234/", 1080271234)</f>
        <v>1080271234</v>
      </c>
      <c r="D14277" t="s">
        <v>11950</v>
      </c>
      <c r="E14277">
        <v>-3859.25</v>
      </c>
      <c r="F14277">
        <v>-1.1599999999999999</v>
      </c>
      <c r="G14277" t="s">
        <v>12</v>
      </c>
      <c r="I14277" t="s">
        <v>1050</v>
      </c>
    </row>
    <row r="14278" spans="1:9" hidden="1" x14ac:dyDescent="0.25">
      <c r="A14278" t="s">
        <v>11827</v>
      </c>
      <c r="B14278" t="s">
        <v>776</v>
      </c>
      <c r="C14278" s="2">
        <f>HYPERLINK("https://cao.dolgi.msk.ru/account/1080271242/", 1080271242)</f>
        <v>1080271242</v>
      </c>
      <c r="D14278" t="s">
        <v>11951</v>
      </c>
      <c r="E14278">
        <v>-3479.63</v>
      </c>
      <c r="F14278">
        <v>-1.1299999999999999</v>
      </c>
      <c r="G14278" t="s">
        <v>12</v>
      </c>
      <c r="I14278" t="s">
        <v>1050</v>
      </c>
    </row>
    <row r="14279" spans="1:9" hidden="1" x14ac:dyDescent="0.25">
      <c r="A14279" t="s">
        <v>11827</v>
      </c>
      <c r="B14279" t="s">
        <v>778</v>
      </c>
      <c r="C14279" s="2">
        <f>HYPERLINK("https://cao.dolgi.msk.ru/account/1080271269/", 1080271269)</f>
        <v>1080271269</v>
      </c>
      <c r="D14279" t="s">
        <v>11952</v>
      </c>
      <c r="E14279">
        <v>-5754.98</v>
      </c>
      <c r="F14279">
        <v>-1.1200000000000001</v>
      </c>
      <c r="G14279" t="s">
        <v>12</v>
      </c>
      <c r="I14279" t="s">
        <v>1050</v>
      </c>
    </row>
    <row r="14280" spans="1:9" hidden="1" x14ac:dyDescent="0.25">
      <c r="A14280" t="s">
        <v>11827</v>
      </c>
      <c r="B14280" t="s">
        <v>780</v>
      </c>
      <c r="C14280" s="2">
        <f>HYPERLINK("https://cao.dolgi.msk.ru/account/1080271277/", 1080271277)</f>
        <v>1080271277</v>
      </c>
      <c r="D14280" t="s">
        <v>11953</v>
      </c>
      <c r="E14280">
        <v>-3098.81</v>
      </c>
      <c r="F14280">
        <v>-1.1000000000000001</v>
      </c>
      <c r="G14280" t="s">
        <v>12</v>
      </c>
      <c r="I14280" t="s">
        <v>1050</v>
      </c>
    </row>
    <row r="14281" spans="1:9" hidden="1" x14ac:dyDescent="0.25">
      <c r="A14281" t="s">
        <v>11827</v>
      </c>
      <c r="B14281" t="s">
        <v>781</v>
      </c>
      <c r="C14281" s="2">
        <f>HYPERLINK("https://cao.dolgi.msk.ru/account/1080271285/", 1080271285)</f>
        <v>1080271285</v>
      </c>
      <c r="D14281" t="s">
        <v>11954</v>
      </c>
      <c r="E14281">
        <v>-305.95999999999998</v>
      </c>
      <c r="F14281">
        <v>-0.09</v>
      </c>
      <c r="G14281" t="s">
        <v>12</v>
      </c>
      <c r="I14281" t="s">
        <v>1050</v>
      </c>
    </row>
    <row r="14282" spans="1:9" hidden="1" x14ac:dyDescent="0.25">
      <c r="A14282" t="s">
        <v>11827</v>
      </c>
      <c r="B14282" t="s">
        <v>782</v>
      </c>
      <c r="C14282" s="2">
        <f>HYPERLINK("https://cao.dolgi.msk.ru/account/1080271293/", 1080271293)</f>
        <v>1080271293</v>
      </c>
      <c r="D14282" t="s">
        <v>11955</v>
      </c>
      <c r="E14282">
        <v>-3854.05</v>
      </c>
      <c r="F14282">
        <v>-0.96</v>
      </c>
      <c r="G14282" t="s">
        <v>12</v>
      </c>
      <c r="I14282" t="s">
        <v>1050</v>
      </c>
    </row>
    <row r="14283" spans="1:9" hidden="1" x14ac:dyDescent="0.25">
      <c r="A14283" t="s">
        <v>11827</v>
      </c>
      <c r="B14283" t="s">
        <v>784</v>
      </c>
      <c r="C14283" s="2">
        <f>HYPERLINK("https://cao.dolgi.msk.ru/account/1080271306/", 1080271306)</f>
        <v>1080271306</v>
      </c>
      <c r="D14283" t="s">
        <v>11956</v>
      </c>
      <c r="E14283">
        <v>-3987</v>
      </c>
      <c r="F14283">
        <v>-1.03</v>
      </c>
      <c r="G14283" t="s">
        <v>12</v>
      </c>
      <c r="I14283" t="s">
        <v>1050</v>
      </c>
    </row>
    <row r="14284" spans="1:9" hidden="1" x14ac:dyDescent="0.25">
      <c r="A14284" t="s">
        <v>11827</v>
      </c>
      <c r="B14284" t="s">
        <v>786</v>
      </c>
      <c r="C14284" s="2">
        <f>HYPERLINK("https://cao.dolgi.msk.ru/account/1080271314/", 1080271314)</f>
        <v>1080271314</v>
      </c>
      <c r="D14284" t="s">
        <v>11957</v>
      </c>
      <c r="E14284">
        <v>-4803.03</v>
      </c>
      <c r="F14284">
        <v>-1.1599999999999999</v>
      </c>
      <c r="G14284" t="s">
        <v>12</v>
      </c>
      <c r="I14284" t="s">
        <v>1050</v>
      </c>
    </row>
    <row r="14285" spans="1:9" hidden="1" x14ac:dyDescent="0.25">
      <c r="A14285" t="s">
        <v>11827</v>
      </c>
      <c r="B14285" t="s">
        <v>788</v>
      </c>
      <c r="C14285" s="2">
        <f>HYPERLINK("https://cao.dolgi.msk.ru/account/1080271322/", 1080271322)</f>
        <v>1080271322</v>
      </c>
      <c r="D14285" t="s">
        <v>11958</v>
      </c>
      <c r="E14285">
        <v>-4477.33</v>
      </c>
      <c r="F14285">
        <v>-0.94</v>
      </c>
      <c r="G14285" t="s">
        <v>12</v>
      </c>
      <c r="I14285" t="s">
        <v>1050</v>
      </c>
    </row>
    <row r="14286" spans="1:9" hidden="1" x14ac:dyDescent="0.25">
      <c r="A14286" t="s">
        <v>11827</v>
      </c>
      <c r="B14286" t="s">
        <v>789</v>
      </c>
      <c r="C14286" s="2">
        <f>HYPERLINK("https://cao.dolgi.msk.ru/account/1080271349/", 1080271349)</f>
        <v>1080271349</v>
      </c>
      <c r="D14286" t="s">
        <v>11959</v>
      </c>
      <c r="E14286">
        <v>-3465.32</v>
      </c>
      <c r="F14286">
        <v>-0.97</v>
      </c>
      <c r="G14286" t="s">
        <v>12</v>
      </c>
      <c r="I14286" t="s">
        <v>1050</v>
      </c>
    </row>
    <row r="14287" spans="1:9" hidden="1" x14ac:dyDescent="0.25">
      <c r="A14287" t="s">
        <v>11827</v>
      </c>
      <c r="B14287" t="s">
        <v>790</v>
      </c>
      <c r="C14287" s="2">
        <f>HYPERLINK("https://cao.dolgi.msk.ru/account/1080271357/", 1080271357)</f>
        <v>1080271357</v>
      </c>
      <c r="D14287" t="s">
        <v>11960</v>
      </c>
      <c r="E14287">
        <v>-4391.16</v>
      </c>
      <c r="F14287">
        <v>-1.1299999999999999</v>
      </c>
      <c r="G14287" t="s">
        <v>12</v>
      </c>
      <c r="I14287" t="s">
        <v>1050</v>
      </c>
    </row>
    <row r="14288" spans="1:9" hidden="1" x14ac:dyDescent="0.25">
      <c r="A14288" t="s">
        <v>11827</v>
      </c>
      <c r="B14288" t="s">
        <v>792</v>
      </c>
      <c r="C14288" s="2">
        <f>HYPERLINK("https://cao.dolgi.msk.ru/account/1080271365/", 1080271365)</f>
        <v>1080271365</v>
      </c>
      <c r="D14288" t="s">
        <v>11961</v>
      </c>
      <c r="E14288">
        <v>-3616.22</v>
      </c>
      <c r="F14288">
        <v>-1.1000000000000001</v>
      </c>
      <c r="G14288" t="s">
        <v>12</v>
      </c>
      <c r="I14288" t="s">
        <v>1050</v>
      </c>
    </row>
    <row r="14289" spans="1:9" hidden="1" x14ac:dyDescent="0.25">
      <c r="A14289" t="s">
        <v>11827</v>
      </c>
      <c r="B14289" t="s">
        <v>794</v>
      </c>
      <c r="C14289" s="2">
        <f>HYPERLINK("https://cao.dolgi.msk.ru/account/1080271373/", 1080271373)</f>
        <v>1080271373</v>
      </c>
      <c r="D14289" t="s">
        <v>11962</v>
      </c>
      <c r="E14289">
        <v>-10253.870000000001</v>
      </c>
      <c r="F14289">
        <v>-1.04</v>
      </c>
      <c r="G14289" t="s">
        <v>12</v>
      </c>
      <c r="I14289" t="s">
        <v>1050</v>
      </c>
    </row>
    <row r="14290" spans="1:9" hidden="1" x14ac:dyDescent="0.25">
      <c r="A14290" t="s">
        <v>11827</v>
      </c>
      <c r="B14290" t="s">
        <v>796</v>
      </c>
      <c r="C14290" s="2">
        <f>HYPERLINK("https://cao.dolgi.msk.ru/account/1080271381/", 1080271381)</f>
        <v>1080271381</v>
      </c>
      <c r="D14290" t="s">
        <v>11963</v>
      </c>
      <c r="E14290">
        <v>-1971.46</v>
      </c>
      <c r="F14290">
        <v>-0.83</v>
      </c>
      <c r="G14290" t="s">
        <v>12</v>
      </c>
      <c r="I14290" t="s">
        <v>1050</v>
      </c>
    </row>
    <row r="14291" spans="1:9" hidden="1" x14ac:dyDescent="0.25">
      <c r="A14291" t="s">
        <v>11827</v>
      </c>
      <c r="B14291" t="s">
        <v>798</v>
      </c>
      <c r="C14291" s="2">
        <f>HYPERLINK("https://cao.dolgi.msk.ru/account/1080271402/", 1080271402)</f>
        <v>1080271402</v>
      </c>
      <c r="D14291" t="s">
        <v>11964</v>
      </c>
      <c r="E14291">
        <v>-4300</v>
      </c>
      <c r="F14291">
        <v>-1.44</v>
      </c>
      <c r="G14291" t="s">
        <v>12</v>
      </c>
      <c r="I14291" t="s">
        <v>1050</v>
      </c>
    </row>
    <row r="14292" spans="1:9" hidden="1" x14ac:dyDescent="0.25">
      <c r="A14292" t="s">
        <v>11827</v>
      </c>
      <c r="B14292" t="s">
        <v>800</v>
      </c>
      <c r="C14292" s="2">
        <f>HYPERLINK("https://cao.dolgi.msk.ru/account/1080271429/", 1080271429)</f>
        <v>1080271429</v>
      </c>
      <c r="D14292" t="s">
        <v>11965</v>
      </c>
      <c r="E14292">
        <v>-3712.83</v>
      </c>
      <c r="F14292">
        <v>-1.1499999999999999</v>
      </c>
      <c r="G14292" t="s">
        <v>12</v>
      </c>
      <c r="I14292" t="s">
        <v>1050</v>
      </c>
    </row>
    <row r="14293" spans="1:9" hidden="1" x14ac:dyDescent="0.25">
      <c r="A14293" t="s">
        <v>11827</v>
      </c>
      <c r="B14293" t="s">
        <v>802</v>
      </c>
      <c r="C14293" s="2">
        <f>HYPERLINK("https://cao.dolgi.msk.ru/account/1080271437/", 1080271437)</f>
        <v>1080271437</v>
      </c>
      <c r="D14293" t="s">
        <v>11966</v>
      </c>
      <c r="E14293">
        <v>-2818.81</v>
      </c>
      <c r="F14293">
        <v>-0.93</v>
      </c>
      <c r="G14293" t="s">
        <v>12</v>
      </c>
      <c r="I14293" t="s">
        <v>1050</v>
      </c>
    </row>
    <row r="14294" spans="1:9" hidden="1" x14ac:dyDescent="0.25">
      <c r="A14294" t="s">
        <v>11827</v>
      </c>
      <c r="B14294" t="s">
        <v>804</v>
      </c>
      <c r="C14294" s="2">
        <f>HYPERLINK("https://cao.dolgi.msk.ru/account/1080271445/", 1080271445)</f>
        <v>1080271445</v>
      </c>
      <c r="D14294" t="s">
        <v>11967</v>
      </c>
      <c r="E14294">
        <v>-4841.53</v>
      </c>
      <c r="F14294">
        <v>-1.18</v>
      </c>
      <c r="G14294" t="s">
        <v>12</v>
      </c>
      <c r="I14294" t="s">
        <v>1050</v>
      </c>
    </row>
    <row r="14295" spans="1:9" hidden="1" x14ac:dyDescent="0.25">
      <c r="A14295" t="s">
        <v>11827</v>
      </c>
      <c r="B14295" t="s">
        <v>806</v>
      </c>
      <c r="C14295" s="2">
        <f>HYPERLINK("https://cao.dolgi.msk.ru/account/1080271453/", 1080271453)</f>
        <v>1080271453</v>
      </c>
      <c r="D14295" t="s">
        <v>11968</v>
      </c>
      <c r="E14295">
        <v>-2403.34</v>
      </c>
      <c r="F14295">
        <v>-1.1499999999999999</v>
      </c>
      <c r="G14295" t="s">
        <v>12</v>
      </c>
      <c r="I14295" t="s">
        <v>1050</v>
      </c>
    </row>
    <row r="14296" spans="1:9" x14ac:dyDescent="0.25">
      <c r="A14296" t="s">
        <v>11827</v>
      </c>
      <c r="B14296" t="s">
        <v>808</v>
      </c>
      <c r="C14296" s="2">
        <f>HYPERLINK("https://cao.dolgi.msk.ru/account/1080271461/", 1080271461)</f>
        <v>1080271461</v>
      </c>
      <c r="D14296" t="s">
        <v>62</v>
      </c>
      <c r="E14296">
        <v>109836.39</v>
      </c>
      <c r="F14296">
        <v>16.989999999999998</v>
      </c>
      <c r="G14296" t="s">
        <v>12</v>
      </c>
      <c r="I14296" t="s">
        <v>1050</v>
      </c>
    </row>
    <row r="14297" spans="1:9" hidden="1" x14ac:dyDescent="0.25">
      <c r="A14297" t="s">
        <v>11827</v>
      </c>
      <c r="B14297" t="s">
        <v>810</v>
      </c>
      <c r="C14297" s="2">
        <f>HYPERLINK("https://cao.dolgi.msk.ru/account/1080271488/", 1080271488)</f>
        <v>1080271488</v>
      </c>
      <c r="D14297" t="s">
        <v>11969</v>
      </c>
      <c r="E14297">
        <v>-4697.3100000000004</v>
      </c>
      <c r="F14297">
        <v>-1.02</v>
      </c>
      <c r="G14297" t="s">
        <v>12</v>
      </c>
      <c r="I14297" t="s">
        <v>1050</v>
      </c>
    </row>
    <row r="14298" spans="1:9" hidden="1" x14ac:dyDescent="0.25">
      <c r="A14298" t="s">
        <v>11827</v>
      </c>
      <c r="B14298" t="s">
        <v>812</v>
      </c>
      <c r="C14298" s="2">
        <f>HYPERLINK("https://cao.dolgi.msk.ru/account/1080271496/", 1080271496)</f>
        <v>1080271496</v>
      </c>
      <c r="D14298" t="s">
        <v>11970</v>
      </c>
      <c r="E14298">
        <v>-4595.93</v>
      </c>
      <c r="F14298">
        <v>-1.1399999999999999</v>
      </c>
      <c r="G14298" t="s">
        <v>12</v>
      </c>
      <c r="I14298" t="s">
        <v>1050</v>
      </c>
    </row>
    <row r="14299" spans="1:9" hidden="1" x14ac:dyDescent="0.25">
      <c r="A14299" t="s">
        <v>11827</v>
      </c>
      <c r="B14299" t="s">
        <v>814</v>
      </c>
      <c r="C14299" s="2">
        <f>HYPERLINK("https://cao.dolgi.msk.ru/account/1080271509/", 1080271509)</f>
        <v>1080271509</v>
      </c>
      <c r="D14299" t="s">
        <v>11971</v>
      </c>
      <c r="E14299">
        <v>-4453.3900000000003</v>
      </c>
      <c r="F14299">
        <v>-1.04</v>
      </c>
      <c r="G14299" t="s">
        <v>12</v>
      </c>
      <c r="I14299" t="s">
        <v>1050</v>
      </c>
    </row>
    <row r="14300" spans="1:9" hidden="1" x14ac:dyDescent="0.25">
      <c r="A14300" t="s">
        <v>11827</v>
      </c>
      <c r="B14300" t="s">
        <v>816</v>
      </c>
      <c r="C14300" s="2">
        <f>HYPERLINK("https://cao.dolgi.msk.ru/account/1080271517/", 1080271517)</f>
        <v>1080271517</v>
      </c>
      <c r="D14300" t="s">
        <v>11972</v>
      </c>
      <c r="E14300">
        <v>0</v>
      </c>
      <c r="F14300">
        <v>0</v>
      </c>
      <c r="G14300" t="s">
        <v>12</v>
      </c>
      <c r="I14300" t="s">
        <v>1050</v>
      </c>
    </row>
    <row r="14301" spans="1:9" hidden="1" x14ac:dyDescent="0.25">
      <c r="A14301" t="s">
        <v>11827</v>
      </c>
      <c r="B14301" t="s">
        <v>818</v>
      </c>
      <c r="C14301" s="2">
        <f>HYPERLINK("https://cao.dolgi.msk.ru/account/1080271525/", 1080271525)</f>
        <v>1080271525</v>
      </c>
      <c r="D14301" t="s">
        <v>11973</v>
      </c>
      <c r="E14301">
        <v>-10369.69</v>
      </c>
      <c r="F14301">
        <v>-2.64</v>
      </c>
      <c r="G14301" t="s">
        <v>12</v>
      </c>
      <c r="I14301" t="s">
        <v>1050</v>
      </c>
    </row>
    <row r="14302" spans="1:9" hidden="1" x14ac:dyDescent="0.25">
      <c r="A14302" t="s">
        <v>11827</v>
      </c>
      <c r="B14302" t="s">
        <v>820</v>
      </c>
      <c r="C14302" s="2">
        <f>HYPERLINK("https://cao.dolgi.msk.ru/account/1080271533/", 1080271533)</f>
        <v>1080271533</v>
      </c>
      <c r="D14302" t="s">
        <v>11974</v>
      </c>
      <c r="E14302">
        <v>-2296.96</v>
      </c>
      <c r="F14302">
        <v>-1.1100000000000001</v>
      </c>
      <c r="G14302" t="s">
        <v>12</v>
      </c>
      <c r="I14302" t="s">
        <v>1050</v>
      </c>
    </row>
    <row r="14303" spans="1:9" hidden="1" x14ac:dyDescent="0.25">
      <c r="A14303" t="s">
        <v>11827</v>
      </c>
      <c r="B14303" t="s">
        <v>822</v>
      </c>
      <c r="C14303" s="2">
        <f>HYPERLINK("https://cao.dolgi.msk.ru/account/1080271541/", 1080271541)</f>
        <v>1080271541</v>
      </c>
      <c r="D14303" t="s">
        <v>11975</v>
      </c>
      <c r="E14303">
        <v>853.92</v>
      </c>
      <c r="F14303">
        <v>0.11</v>
      </c>
      <c r="G14303" t="s">
        <v>12</v>
      </c>
      <c r="I14303" t="s">
        <v>1050</v>
      </c>
    </row>
    <row r="14304" spans="1:9" hidden="1" x14ac:dyDescent="0.25">
      <c r="A14304" t="s">
        <v>11827</v>
      </c>
      <c r="B14304" t="s">
        <v>824</v>
      </c>
      <c r="C14304" s="2">
        <f>HYPERLINK("https://cao.dolgi.msk.ru/account/1080271568/", 1080271568)</f>
        <v>1080271568</v>
      </c>
      <c r="D14304" t="s">
        <v>11976</v>
      </c>
      <c r="E14304">
        <v>-10241.549999999999</v>
      </c>
      <c r="F14304">
        <v>-2.1</v>
      </c>
      <c r="G14304" t="s">
        <v>12</v>
      </c>
      <c r="I14304" t="s">
        <v>1050</v>
      </c>
    </row>
    <row r="14305" spans="1:9" hidden="1" x14ac:dyDescent="0.25">
      <c r="A14305" t="s">
        <v>11827</v>
      </c>
      <c r="B14305" t="s">
        <v>826</v>
      </c>
      <c r="C14305" s="2">
        <f>HYPERLINK("https://cao.dolgi.msk.ru/account/1080271576/", 1080271576)</f>
        <v>1080271576</v>
      </c>
      <c r="D14305" t="s">
        <v>11977</v>
      </c>
      <c r="E14305">
        <v>-4127.8100000000004</v>
      </c>
      <c r="F14305">
        <v>-1.1299999999999999</v>
      </c>
      <c r="G14305" t="s">
        <v>12</v>
      </c>
      <c r="I14305" t="s">
        <v>1050</v>
      </c>
    </row>
    <row r="14306" spans="1:9" hidden="1" x14ac:dyDescent="0.25">
      <c r="A14306" t="s">
        <v>11827</v>
      </c>
      <c r="B14306" t="s">
        <v>828</v>
      </c>
      <c r="C14306" s="2">
        <f>HYPERLINK("https://cao.dolgi.msk.ru/account/1080271584/", 1080271584)</f>
        <v>1080271584</v>
      </c>
      <c r="D14306" t="s">
        <v>11978</v>
      </c>
      <c r="E14306">
        <v>0</v>
      </c>
      <c r="F14306">
        <v>0</v>
      </c>
      <c r="G14306" t="s">
        <v>12</v>
      </c>
      <c r="I14306" t="s">
        <v>1050</v>
      </c>
    </row>
    <row r="14307" spans="1:9" hidden="1" x14ac:dyDescent="0.25">
      <c r="A14307" t="s">
        <v>11827</v>
      </c>
      <c r="B14307" t="s">
        <v>830</v>
      </c>
      <c r="C14307" s="2">
        <f>HYPERLINK("https://cao.dolgi.msk.ru/account/1080271592/", 1080271592)</f>
        <v>1080271592</v>
      </c>
      <c r="D14307" t="s">
        <v>11979</v>
      </c>
      <c r="E14307">
        <v>-9.02</v>
      </c>
      <c r="G14307" t="s">
        <v>14</v>
      </c>
      <c r="I14307" t="s">
        <v>1050</v>
      </c>
    </row>
    <row r="14308" spans="1:9" hidden="1" x14ac:dyDescent="0.25">
      <c r="A14308" t="s">
        <v>11827</v>
      </c>
      <c r="B14308" t="s">
        <v>830</v>
      </c>
      <c r="C14308" s="2">
        <f>HYPERLINK("https://cao.dolgi.msk.ru/account/1083269973/", 1083269973)</f>
        <v>1083269973</v>
      </c>
      <c r="D14308" t="s">
        <v>11979</v>
      </c>
      <c r="E14308">
        <v>-5621.75</v>
      </c>
      <c r="F14308">
        <v>-1.1000000000000001</v>
      </c>
      <c r="G14308" t="s">
        <v>12</v>
      </c>
      <c r="I14308" t="s">
        <v>1050</v>
      </c>
    </row>
    <row r="14309" spans="1:9" hidden="1" x14ac:dyDescent="0.25">
      <c r="A14309" t="s">
        <v>11827</v>
      </c>
      <c r="B14309" t="s">
        <v>830</v>
      </c>
      <c r="C14309" s="2">
        <f>HYPERLINK("https://cao.dolgi.msk.ru/account/1083274211/", 1083274211)</f>
        <v>1083274211</v>
      </c>
      <c r="D14309" t="s">
        <v>11979</v>
      </c>
      <c r="E14309">
        <v>0</v>
      </c>
      <c r="G14309" t="s">
        <v>14</v>
      </c>
      <c r="I14309" t="s">
        <v>1050</v>
      </c>
    </row>
    <row r="14310" spans="1:9" hidden="1" x14ac:dyDescent="0.25">
      <c r="A14310" t="s">
        <v>11827</v>
      </c>
      <c r="B14310" t="s">
        <v>831</v>
      </c>
      <c r="C14310" s="2">
        <f>HYPERLINK("https://cao.dolgi.msk.ru/account/1080271605/", 1080271605)</f>
        <v>1080271605</v>
      </c>
      <c r="D14310" t="s">
        <v>11980</v>
      </c>
      <c r="E14310">
        <v>-6974.82</v>
      </c>
      <c r="F14310">
        <v>-1.21</v>
      </c>
      <c r="G14310" t="s">
        <v>12</v>
      </c>
      <c r="I14310" t="s">
        <v>1050</v>
      </c>
    </row>
    <row r="14311" spans="1:9" hidden="1" x14ac:dyDescent="0.25">
      <c r="A14311" t="s">
        <v>11827</v>
      </c>
      <c r="B14311" t="s">
        <v>833</v>
      </c>
      <c r="C14311" s="2">
        <f>HYPERLINK("https://cao.dolgi.msk.ru/account/1080271613/", 1080271613)</f>
        <v>1080271613</v>
      </c>
      <c r="D14311" t="s">
        <v>15</v>
      </c>
      <c r="E14311">
        <v>-6389.58</v>
      </c>
      <c r="F14311">
        <v>-1.9</v>
      </c>
      <c r="G14311" t="s">
        <v>12</v>
      </c>
      <c r="I14311" t="s">
        <v>1050</v>
      </c>
    </row>
    <row r="14312" spans="1:9" hidden="1" x14ac:dyDescent="0.25">
      <c r="A14312" t="s">
        <v>11827</v>
      </c>
      <c r="B14312" t="s">
        <v>835</v>
      </c>
      <c r="C14312" s="2">
        <f>HYPERLINK("https://cao.dolgi.msk.ru/account/1080271621/", 1080271621)</f>
        <v>1080271621</v>
      </c>
      <c r="D14312" t="s">
        <v>11981</v>
      </c>
      <c r="E14312">
        <v>-1953.6</v>
      </c>
      <c r="F14312">
        <v>-0.92</v>
      </c>
      <c r="G14312" t="s">
        <v>12</v>
      </c>
      <c r="I14312" t="s">
        <v>1050</v>
      </c>
    </row>
    <row r="14313" spans="1:9" hidden="1" x14ac:dyDescent="0.25">
      <c r="A14313" t="s">
        <v>11827</v>
      </c>
      <c r="B14313" t="s">
        <v>837</v>
      </c>
      <c r="C14313" s="2">
        <f>HYPERLINK("https://cao.dolgi.msk.ru/account/1080271648/", 1080271648)</f>
        <v>1080271648</v>
      </c>
      <c r="D14313" t="s">
        <v>11982</v>
      </c>
      <c r="E14313">
        <v>-2934.97</v>
      </c>
      <c r="F14313">
        <v>-1.04</v>
      </c>
      <c r="G14313" t="s">
        <v>12</v>
      </c>
      <c r="I14313" t="s">
        <v>1050</v>
      </c>
    </row>
    <row r="14314" spans="1:9" hidden="1" x14ac:dyDescent="0.25">
      <c r="A14314" t="s">
        <v>11827</v>
      </c>
      <c r="B14314" t="s">
        <v>838</v>
      </c>
      <c r="C14314" s="2">
        <f>HYPERLINK("https://cao.dolgi.msk.ru/account/1080271656/", 1080271656)</f>
        <v>1080271656</v>
      </c>
      <c r="D14314" t="s">
        <v>11983</v>
      </c>
      <c r="E14314">
        <v>-14594.48</v>
      </c>
      <c r="F14314">
        <v>-2.0699999999999998</v>
      </c>
      <c r="G14314" t="s">
        <v>12</v>
      </c>
      <c r="I14314" t="s">
        <v>1050</v>
      </c>
    </row>
    <row r="14315" spans="1:9" hidden="1" x14ac:dyDescent="0.25">
      <c r="A14315" t="s">
        <v>11827</v>
      </c>
      <c r="B14315" t="s">
        <v>840</v>
      </c>
      <c r="C14315" s="2">
        <f>HYPERLINK("https://cao.dolgi.msk.ru/account/1080271664/", 1080271664)</f>
        <v>1080271664</v>
      </c>
      <c r="D14315" t="s">
        <v>11984</v>
      </c>
      <c r="E14315">
        <v>-4797.07</v>
      </c>
      <c r="F14315">
        <v>-1.2</v>
      </c>
      <c r="G14315" t="s">
        <v>12</v>
      </c>
      <c r="I14315" t="s">
        <v>1050</v>
      </c>
    </row>
    <row r="14316" spans="1:9" hidden="1" x14ac:dyDescent="0.25">
      <c r="A14316" t="s">
        <v>11827</v>
      </c>
      <c r="B14316" t="s">
        <v>842</v>
      </c>
      <c r="C14316" s="2">
        <f>HYPERLINK("https://cao.dolgi.msk.ru/account/1080271672/", 1080271672)</f>
        <v>1080271672</v>
      </c>
      <c r="D14316" t="s">
        <v>11985</v>
      </c>
      <c r="E14316">
        <v>-579.97</v>
      </c>
      <c r="F14316">
        <v>-0.15</v>
      </c>
      <c r="G14316" t="s">
        <v>12</v>
      </c>
      <c r="I14316" t="s">
        <v>1050</v>
      </c>
    </row>
    <row r="14317" spans="1:9" hidden="1" x14ac:dyDescent="0.25">
      <c r="A14317" t="s">
        <v>11827</v>
      </c>
      <c r="B14317" t="s">
        <v>844</v>
      </c>
      <c r="C14317" s="2">
        <f>HYPERLINK("https://cao.dolgi.msk.ru/account/1080271699/", 1080271699)</f>
        <v>1080271699</v>
      </c>
      <c r="D14317" t="s">
        <v>11986</v>
      </c>
      <c r="E14317">
        <v>-4167.7299999999996</v>
      </c>
      <c r="F14317">
        <v>-1.1399999999999999</v>
      </c>
      <c r="G14317" t="s">
        <v>12</v>
      </c>
      <c r="I14317" t="s">
        <v>1050</v>
      </c>
    </row>
    <row r="14318" spans="1:9" hidden="1" x14ac:dyDescent="0.25">
      <c r="A14318" t="s">
        <v>11827</v>
      </c>
      <c r="B14318" t="s">
        <v>846</v>
      </c>
      <c r="C14318" s="2">
        <f>HYPERLINK("https://cao.dolgi.msk.ru/account/1080271701/", 1080271701)</f>
        <v>1080271701</v>
      </c>
      <c r="D14318" t="s">
        <v>11987</v>
      </c>
      <c r="E14318">
        <v>-5792.68</v>
      </c>
      <c r="F14318">
        <v>-1.0900000000000001</v>
      </c>
      <c r="G14318" t="s">
        <v>12</v>
      </c>
      <c r="I14318" t="s">
        <v>1050</v>
      </c>
    </row>
    <row r="14319" spans="1:9" hidden="1" x14ac:dyDescent="0.25">
      <c r="A14319" t="s">
        <v>11827</v>
      </c>
      <c r="B14319" t="s">
        <v>848</v>
      </c>
      <c r="C14319" s="2">
        <f>HYPERLINK("https://cao.dolgi.msk.ru/account/1080271728/", 1080271728)</f>
        <v>1080271728</v>
      </c>
      <c r="D14319" t="s">
        <v>11988</v>
      </c>
      <c r="E14319">
        <v>-8968.5</v>
      </c>
      <c r="F14319">
        <v>-2.2200000000000002</v>
      </c>
      <c r="G14319" t="s">
        <v>12</v>
      </c>
      <c r="I14319" t="s">
        <v>1050</v>
      </c>
    </row>
    <row r="14320" spans="1:9" hidden="1" x14ac:dyDescent="0.25">
      <c r="A14320" t="s">
        <v>11827</v>
      </c>
      <c r="B14320" t="s">
        <v>850</v>
      </c>
      <c r="C14320" s="2">
        <f>HYPERLINK("https://cao.dolgi.msk.ru/account/1080271736/", 1080271736)</f>
        <v>1080271736</v>
      </c>
      <c r="D14320" t="s">
        <v>11989</v>
      </c>
      <c r="E14320">
        <v>-4825.82</v>
      </c>
      <c r="F14320">
        <v>-1.38</v>
      </c>
      <c r="G14320" t="s">
        <v>12</v>
      </c>
      <c r="I14320" t="s">
        <v>1050</v>
      </c>
    </row>
    <row r="14321" spans="1:9" hidden="1" x14ac:dyDescent="0.25">
      <c r="A14321" t="s">
        <v>11827</v>
      </c>
      <c r="B14321" t="s">
        <v>852</v>
      </c>
      <c r="C14321" s="2">
        <f>HYPERLINK("https://cao.dolgi.msk.ru/account/1080271744/", 1080271744)</f>
        <v>1080271744</v>
      </c>
      <c r="D14321" t="s">
        <v>11990</v>
      </c>
      <c r="E14321">
        <v>-7533</v>
      </c>
      <c r="F14321">
        <v>-1.07</v>
      </c>
      <c r="G14321" t="s">
        <v>12</v>
      </c>
      <c r="I14321" t="s">
        <v>1050</v>
      </c>
    </row>
    <row r="14322" spans="1:9" hidden="1" x14ac:dyDescent="0.25">
      <c r="A14322" t="s">
        <v>11827</v>
      </c>
      <c r="B14322" t="s">
        <v>854</v>
      </c>
      <c r="C14322" s="2">
        <f>HYPERLINK("https://cao.dolgi.msk.ru/account/1080271752/", 1080271752)</f>
        <v>1080271752</v>
      </c>
      <c r="D14322" t="s">
        <v>11991</v>
      </c>
      <c r="E14322">
        <v>0</v>
      </c>
      <c r="F14322">
        <v>0</v>
      </c>
      <c r="G14322" t="s">
        <v>12</v>
      </c>
      <c r="I14322" t="s">
        <v>1050</v>
      </c>
    </row>
    <row r="14323" spans="1:9" hidden="1" x14ac:dyDescent="0.25">
      <c r="A14323" t="s">
        <v>11827</v>
      </c>
      <c r="B14323" t="s">
        <v>856</v>
      </c>
      <c r="C14323" s="2">
        <f>HYPERLINK("https://cao.dolgi.msk.ru/account/1080271779/", 1080271779)</f>
        <v>1080271779</v>
      </c>
      <c r="D14323" t="s">
        <v>11992</v>
      </c>
      <c r="E14323">
        <v>0</v>
      </c>
      <c r="F14323">
        <v>0</v>
      </c>
      <c r="G14323" t="s">
        <v>12</v>
      </c>
      <c r="I14323" t="s">
        <v>1050</v>
      </c>
    </row>
    <row r="14324" spans="1:9" hidden="1" x14ac:dyDescent="0.25">
      <c r="A14324" t="s">
        <v>11827</v>
      </c>
      <c r="B14324" t="s">
        <v>858</v>
      </c>
      <c r="C14324" s="2">
        <f>HYPERLINK("https://cao.dolgi.msk.ru/account/1080271787/", 1080271787)</f>
        <v>1080271787</v>
      </c>
      <c r="D14324" t="s">
        <v>11993</v>
      </c>
      <c r="E14324">
        <v>-4539.97</v>
      </c>
      <c r="F14324">
        <v>-1.04</v>
      </c>
      <c r="G14324" t="s">
        <v>12</v>
      </c>
      <c r="I14324" t="s">
        <v>1050</v>
      </c>
    </row>
    <row r="14325" spans="1:9" hidden="1" x14ac:dyDescent="0.25">
      <c r="A14325" t="s">
        <v>11827</v>
      </c>
      <c r="B14325" t="s">
        <v>860</v>
      </c>
      <c r="C14325" s="2">
        <f>HYPERLINK("https://cao.dolgi.msk.ru/account/1080271808/", 1080271808)</f>
        <v>1080271808</v>
      </c>
      <c r="D14325" t="s">
        <v>11994</v>
      </c>
      <c r="E14325">
        <v>-5437.61</v>
      </c>
      <c r="F14325">
        <v>-0.95</v>
      </c>
      <c r="G14325" t="s">
        <v>12</v>
      </c>
      <c r="I14325" t="s">
        <v>1050</v>
      </c>
    </row>
    <row r="14326" spans="1:9" hidden="1" x14ac:dyDescent="0.25">
      <c r="A14326" t="s">
        <v>11827</v>
      </c>
      <c r="B14326" t="s">
        <v>862</v>
      </c>
      <c r="C14326" s="2">
        <f>HYPERLINK("https://cao.dolgi.msk.ru/account/1080271795/", 1080271795)</f>
        <v>1080271795</v>
      </c>
      <c r="D14326" t="s">
        <v>11995</v>
      </c>
      <c r="E14326">
        <v>-7462.13</v>
      </c>
      <c r="F14326">
        <v>-1.46</v>
      </c>
      <c r="G14326" t="s">
        <v>12</v>
      </c>
      <c r="I14326" t="s">
        <v>1050</v>
      </c>
    </row>
    <row r="14327" spans="1:9" hidden="1" x14ac:dyDescent="0.25">
      <c r="A14327" t="s">
        <v>11996</v>
      </c>
      <c r="B14327" t="s">
        <v>18</v>
      </c>
      <c r="C14327" s="2">
        <f>HYPERLINK("https://cao.dolgi.msk.ru/account/1080223574/", 1080223574)</f>
        <v>1080223574</v>
      </c>
      <c r="D14327" t="s">
        <v>11997</v>
      </c>
      <c r="E14327">
        <v>-5804.34</v>
      </c>
      <c r="F14327">
        <v>-0.99</v>
      </c>
      <c r="G14327" t="s">
        <v>12</v>
      </c>
      <c r="I14327" t="s">
        <v>1428</v>
      </c>
    </row>
    <row r="14328" spans="1:9" hidden="1" x14ac:dyDescent="0.25">
      <c r="A14328" t="s">
        <v>11996</v>
      </c>
      <c r="B14328" t="s">
        <v>20</v>
      </c>
      <c r="C14328" s="2">
        <f>HYPERLINK("https://cao.dolgi.msk.ru/account/1080223603/", 1080223603)</f>
        <v>1080223603</v>
      </c>
      <c r="D14328" t="s">
        <v>11998</v>
      </c>
      <c r="E14328">
        <v>-5187.38</v>
      </c>
      <c r="F14328">
        <v>-1.08</v>
      </c>
      <c r="G14328" t="s">
        <v>12</v>
      </c>
      <c r="I14328" t="s">
        <v>1428</v>
      </c>
    </row>
    <row r="14329" spans="1:9" hidden="1" x14ac:dyDescent="0.25">
      <c r="A14329" t="s">
        <v>11996</v>
      </c>
      <c r="B14329" t="s">
        <v>21</v>
      </c>
      <c r="C14329" s="2">
        <f>HYPERLINK("https://cao.dolgi.msk.ru/account/1080223611/", 1080223611)</f>
        <v>1080223611</v>
      </c>
      <c r="D14329" t="s">
        <v>11999</v>
      </c>
      <c r="E14329">
        <v>-17975.63</v>
      </c>
      <c r="F14329">
        <v>-1.06</v>
      </c>
      <c r="G14329" t="s">
        <v>12</v>
      </c>
      <c r="I14329" t="s">
        <v>1428</v>
      </c>
    </row>
    <row r="14330" spans="1:9" hidden="1" x14ac:dyDescent="0.25">
      <c r="A14330" t="s">
        <v>11996</v>
      </c>
      <c r="B14330" t="s">
        <v>22</v>
      </c>
      <c r="C14330" s="2">
        <f>HYPERLINK("https://cao.dolgi.msk.ru/account/1080223638/", 1080223638)</f>
        <v>1080223638</v>
      </c>
      <c r="D14330" t="s">
        <v>12000</v>
      </c>
      <c r="E14330">
        <v>-8081.55</v>
      </c>
      <c r="F14330">
        <v>-1.07</v>
      </c>
      <c r="G14330" t="s">
        <v>12</v>
      </c>
      <c r="I14330" t="s">
        <v>1428</v>
      </c>
    </row>
    <row r="14331" spans="1:9" hidden="1" x14ac:dyDescent="0.25">
      <c r="A14331" t="s">
        <v>11996</v>
      </c>
      <c r="B14331" t="s">
        <v>23</v>
      </c>
      <c r="C14331" s="2">
        <f>HYPERLINK("https://cao.dolgi.msk.ru/account/1080223646/", 1080223646)</f>
        <v>1080223646</v>
      </c>
      <c r="D14331" t="s">
        <v>12001</v>
      </c>
      <c r="E14331">
        <v>-777.3</v>
      </c>
      <c r="G14331" t="s">
        <v>14</v>
      </c>
      <c r="I14331" t="s">
        <v>1428</v>
      </c>
    </row>
    <row r="14332" spans="1:9" hidden="1" x14ac:dyDescent="0.25">
      <c r="A14332" t="s">
        <v>11996</v>
      </c>
      <c r="B14332" t="s">
        <v>23</v>
      </c>
      <c r="C14332" s="2">
        <f>HYPERLINK("https://cao.dolgi.msk.ru/account/1080223654/", 1080223654)</f>
        <v>1080223654</v>
      </c>
      <c r="D14332" t="s">
        <v>12002</v>
      </c>
      <c r="E14332">
        <v>-6135.81</v>
      </c>
      <c r="F14332">
        <v>-0.43</v>
      </c>
      <c r="G14332" t="s">
        <v>12</v>
      </c>
      <c r="I14332" t="s">
        <v>1428</v>
      </c>
    </row>
    <row r="14333" spans="1:9" hidden="1" x14ac:dyDescent="0.25">
      <c r="A14333" t="s">
        <v>11996</v>
      </c>
      <c r="B14333" t="s">
        <v>23</v>
      </c>
      <c r="C14333" s="2">
        <f>HYPERLINK("https://cao.dolgi.msk.ru/account/1080223662/", 1080223662)</f>
        <v>1080223662</v>
      </c>
      <c r="D14333" t="s">
        <v>12002</v>
      </c>
      <c r="E14333">
        <v>0</v>
      </c>
      <c r="G14333" t="s">
        <v>14</v>
      </c>
      <c r="I14333" t="s">
        <v>1428</v>
      </c>
    </row>
    <row r="14334" spans="1:9" hidden="1" x14ac:dyDescent="0.25">
      <c r="A14334" t="s">
        <v>11996</v>
      </c>
      <c r="B14334" t="s">
        <v>24</v>
      </c>
      <c r="C14334" s="2">
        <f>HYPERLINK("https://cao.dolgi.msk.ru/account/1080223689/", 1080223689)</f>
        <v>1080223689</v>
      </c>
      <c r="D14334" t="s">
        <v>12003</v>
      </c>
      <c r="E14334">
        <v>-8051.9</v>
      </c>
      <c r="F14334">
        <v>-1.03</v>
      </c>
      <c r="G14334" t="s">
        <v>12</v>
      </c>
      <c r="I14334" t="s">
        <v>1428</v>
      </c>
    </row>
    <row r="14335" spans="1:9" hidden="1" x14ac:dyDescent="0.25">
      <c r="A14335" t="s">
        <v>11996</v>
      </c>
      <c r="B14335" t="s">
        <v>27</v>
      </c>
      <c r="C14335" s="2">
        <f>HYPERLINK("https://cao.dolgi.msk.ru/account/1080223697/", 1080223697)</f>
        <v>1080223697</v>
      </c>
      <c r="D14335" t="s">
        <v>12004</v>
      </c>
      <c r="E14335">
        <v>-4109.6400000000003</v>
      </c>
      <c r="F14335">
        <v>-1.72</v>
      </c>
      <c r="G14335" t="s">
        <v>12</v>
      </c>
      <c r="H14335" t="s">
        <v>7</v>
      </c>
      <c r="I14335" t="s">
        <v>1428</v>
      </c>
    </row>
    <row r="14336" spans="1:9" hidden="1" x14ac:dyDescent="0.25">
      <c r="A14336" t="s">
        <v>11996</v>
      </c>
      <c r="B14336" t="s">
        <v>27</v>
      </c>
      <c r="C14336" s="2">
        <f>HYPERLINK("https://cao.dolgi.msk.ru/account/1080223718/", 1080223718)</f>
        <v>1080223718</v>
      </c>
      <c r="D14336" t="s">
        <v>12004</v>
      </c>
      <c r="E14336">
        <v>-2109.89</v>
      </c>
      <c r="F14336">
        <v>-1.27</v>
      </c>
      <c r="G14336" t="s">
        <v>12</v>
      </c>
      <c r="H14336" t="s">
        <v>7</v>
      </c>
      <c r="I14336" t="s">
        <v>1428</v>
      </c>
    </row>
    <row r="14337" spans="1:9" hidden="1" x14ac:dyDescent="0.25">
      <c r="A14337" t="s">
        <v>11996</v>
      </c>
      <c r="B14337" t="s">
        <v>27</v>
      </c>
      <c r="C14337" s="2">
        <f>HYPERLINK("https://cao.dolgi.msk.ru/account/1080223726/", 1080223726)</f>
        <v>1080223726</v>
      </c>
      <c r="D14337" t="s">
        <v>12004</v>
      </c>
      <c r="E14337">
        <v>-2944.22</v>
      </c>
      <c r="F14337">
        <v>-0.88</v>
      </c>
      <c r="G14337" t="s">
        <v>12</v>
      </c>
      <c r="H14337" t="s">
        <v>7</v>
      </c>
      <c r="I14337" t="s">
        <v>1428</v>
      </c>
    </row>
    <row r="14338" spans="1:9" hidden="1" x14ac:dyDescent="0.25">
      <c r="A14338" t="s">
        <v>11996</v>
      </c>
      <c r="B14338" t="s">
        <v>29</v>
      </c>
      <c r="C14338" s="2">
        <f>HYPERLINK("https://cao.dolgi.msk.ru/account/1080223734/", 1080223734)</f>
        <v>1080223734</v>
      </c>
      <c r="D14338" t="s">
        <v>12005</v>
      </c>
      <c r="E14338">
        <v>-9173.7000000000007</v>
      </c>
      <c r="F14338">
        <v>-0.89</v>
      </c>
      <c r="G14338" t="s">
        <v>12</v>
      </c>
      <c r="I14338" t="s">
        <v>1428</v>
      </c>
    </row>
    <row r="14339" spans="1:9" hidden="1" x14ac:dyDescent="0.25">
      <c r="A14339" t="s">
        <v>11996</v>
      </c>
      <c r="B14339" t="s">
        <v>34</v>
      </c>
      <c r="C14339" s="2">
        <f>HYPERLINK("https://cao.dolgi.msk.ru/account/1080223742/", 1080223742)</f>
        <v>1080223742</v>
      </c>
      <c r="D14339" t="s">
        <v>12006</v>
      </c>
      <c r="E14339">
        <v>1350.09</v>
      </c>
      <c r="F14339">
        <v>0.22</v>
      </c>
      <c r="G14339" t="s">
        <v>12</v>
      </c>
      <c r="I14339" t="s">
        <v>1428</v>
      </c>
    </row>
    <row r="14340" spans="1:9" x14ac:dyDescent="0.25">
      <c r="A14340" t="s">
        <v>11996</v>
      </c>
      <c r="B14340" t="s">
        <v>36</v>
      </c>
      <c r="C14340" s="2">
        <f>HYPERLINK("https://cao.dolgi.msk.ru/account/1080223769/", 1080223769)</f>
        <v>1080223769</v>
      </c>
      <c r="D14340" t="s">
        <v>12007</v>
      </c>
      <c r="E14340">
        <v>7311.76</v>
      </c>
      <c r="F14340">
        <v>1.01</v>
      </c>
      <c r="G14340" t="s">
        <v>12</v>
      </c>
      <c r="I14340" t="s">
        <v>1428</v>
      </c>
    </row>
    <row r="14341" spans="1:9" hidden="1" x14ac:dyDescent="0.25">
      <c r="A14341" t="s">
        <v>11996</v>
      </c>
      <c r="B14341" t="s">
        <v>38</v>
      </c>
      <c r="C14341" s="2">
        <f>HYPERLINK("https://cao.dolgi.msk.ru/account/1080223793/", 1080223793)</f>
        <v>1080223793</v>
      </c>
      <c r="D14341" t="s">
        <v>12008</v>
      </c>
      <c r="E14341">
        <v>-6260.88</v>
      </c>
      <c r="F14341">
        <v>-1</v>
      </c>
      <c r="G14341" t="s">
        <v>12</v>
      </c>
      <c r="I14341" t="s">
        <v>1428</v>
      </c>
    </row>
    <row r="14342" spans="1:9" hidden="1" x14ac:dyDescent="0.25">
      <c r="A14342" t="s">
        <v>11996</v>
      </c>
      <c r="B14342" t="s">
        <v>39</v>
      </c>
      <c r="C14342" s="2">
        <f>HYPERLINK("https://cao.dolgi.msk.ru/account/1080223806/", 1080223806)</f>
        <v>1080223806</v>
      </c>
      <c r="D14342" t="s">
        <v>12009</v>
      </c>
      <c r="E14342">
        <v>-7582.37</v>
      </c>
      <c r="F14342">
        <v>-0.98</v>
      </c>
      <c r="G14342" t="s">
        <v>12</v>
      </c>
      <c r="I14342" t="s">
        <v>1428</v>
      </c>
    </row>
    <row r="14343" spans="1:9" hidden="1" x14ac:dyDescent="0.25">
      <c r="A14343" t="s">
        <v>11996</v>
      </c>
      <c r="B14343" t="s">
        <v>40</v>
      </c>
      <c r="C14343" s="2">
        <f>HYPERLINK("https://cao.dolgi.msk.ru/account/1080223814/", 1080223814)</f>
        <v>1080223814</v>
      </c>
      <c r="D14343" t="s">
        <v>12010</v>
      </c>
      <c r="E14343">
        <v>-4992.6400000000003</v>
      </c>
      <c r="F14343">
        <v>-0.96</v>
      </c>
      <c r="G14343" t="s">
        <v>12</v>
      </c>
      <c r="I14343" t="s">
        <v>1428</v>
      </c>
    </row>
    <row r="14344" spans="1:9" hidden="1" x14ac:dyDescent="0.25">
      <c r="A14344" t="s">
        <v>11996</v>
      </c>
      <c r="B14344" t="s">
        <v>41</v>
      </c>
      <c r="C14344" s="2">
        <f>HYPERLINK("https://cao.dolgi.msk.ru/account/1080223822/", 1080223822)</f>
        <v>1080223822</v>
      </c>
      <c r="D14344" t="s">
        <v>12011</v>
      </c>
      <c r="E14344">
        <v>-5608.21</v>
      </c>
      <c r="F14344">
        <v>-1</v>
      </c>
      <c r="G14344" t="s">
        <v>12</v>
      </c>
      <c r="I14344" t="s">
        <v>1428</v>
      </c>
    </row>
    <row r="14345" spans="1:9" hidden="1" x14ac:dyDescent="0.25">
      <c r="A14345" t="s">
        <v>11996</v>
      </c>
      <c r="B14345" t="s">
        <v>42</v>
      </c>
      <c r="C14345" s="2">
        <f>HYPERLINK("https://cao.dolgi.msk.ru/account/1080223849/", 1080223849)</f>
        <v>1080223849</v>
      </c>
      <c r="D14345" t="s">
        <v>12012</v>
      </c>
      <c r="E14345">
        <v>-7025.82</v>
      </c>
      <c r="F14345">
        <v>-0.79</v>
      </c>
      <c r="G14345" t="s">
        <v>12</v>
      </c>
      <c r="I14345" t="s">
        <v>1428</v>
      </c>
    </row>
    <row r="14346" spans="1:9" hidden="1" x14ac:dyDescent="0.25">
      <c r="A14346" t="s">
        <v>11996</v>
      </c>
      <c r="B14346" t="s">
        <v>44</v>
      </c>
      <c r="C14346" s="2">
        <f>HYPERLINK("https://cao.dolgi.msk.ru/account/1080223857/", 1080223857)</f>
        <v>1080223857</v>
      </c>
      <c r="D14346" t="s">
        <v>12013</v>
      </c>
      <c r="E14346">
        <v>-5978.36</v>
      </c>
      <c r="F14346">
        <v>-1.01</v>
      </c>
      <c r="G14346" t="s">
        <v>12</v>
      </c>
      <c r="I14346" t="s">
        <v>1428</v>
      </c>
    </row>
    <row r="14347" spans="1:9" hidden="1" x14ac:dyDescent="0.25">
      <c r="A14347" t="s">
        <v>11996</v>
      </c>
      <c r="B14347" t="s">
        <v>70</v>
      </c>
      <c r="C14347" s="2">
        <f>HYPERLINK("https://cao.dolgi.msk.ru/account/1080223873/", 1080223873)</f>
        <v>1080223873</v>
      </c>
      <c r="D14347" t="s">
        <v>12014</v>
      </c>
      <c r="E14347">
        <v>-144</v>
      </c>
      <c r="F14347">
        <v>-0.03</v>
      </c>
      <c r="G14347" t="s">
        <v>12</v>
      </c>
      <c r="I14347" t="s">
        <v>1428</v>
      </c>
    </row>
    <row r="14348" spans="1:9" hidden="1" x14ac:dyDescent="0.25">
      <c r="A14348" t="s">
        <v>11996</v>
      </c>
      <c r="B14348" t="s">
        <v>72</v>
      </c>
      <c r="C14348" s="2">
        <f>HYPERLINK("https://cao.dolgi.msk.ru/account/1080223881/", 1080223881)</f>
        <v>1080223881</v>
      </c>
      <c r="D14348" t="s">
        <v>15</v>
      </c>
      <c r="G14348" t="s">
        <v>14</v>
      </c>
      <c r="I14348" t="s">
        <v>1428</v>
      </c>
    </row>
    <row r="14349" spans="1:9" hidden="1" x14ac:dyDescent="0.25">
      <c r="A14349" t="s">
        <v>11996</v>
      </c>
      <c r="B14349" t="s">
        <v>72</v>
      </c>
      <c r="C14349" s="2">
        <f>HYPERLINK("https://cao.dolgi.msk.ru/account/1080224024/", 1080224024)</f>
        <v>1080224024</v>
      </c>
      <c r="D14349" t="s">
        <v>12015</v>
      </c>
      <c r="E14349">
        <v>6526.69</v>
      </c>
      <c r="F14349">
        <v>0.85</v>
      </c>
      <c r="G14349" t="s">
        <v>12</v>
      </c>
      <c r="I14349" t="s">
        <v>1428</v>
      </c>
    </row>
    <row r="14350" spans="1:9" hidden="1" x14ac:dyDescent="0.25">
      <c r="A14350" t="s">
        <v>11996</v>
      </c>
      <c r="B14350" t="s">
        <v>74</v>
      </c>
      <c r="C14350" s="2">
        <f>HYPERLINK("https://cao.dolgi.msk.ru/account/1080223902/", 1080223902)</f>
        <v>1080223902</v>
      </c>
      <c r="D14350" t="s">
        <v>12016</v>
      </c>
      <c r="E14350">
        <v>-6673.97</v>
      </c>
      <c r="F14350">
        <v>-0.99</v>
      </c>
      <c r="G14350" t="s">
        <v>12</v>
      </c>
      <c r="I14350" t="s">
        <v>1428</v>
      </c>
    </row>
    <row r="14351" spans="1:9" hidden="1" x14ac:dyDescent="0.25">
      <c r="A14351" t="s">
        <v>11996</v>
      </c>
      <c r="B14351" t="s">
        <v>76</v>
      </c>
      <c r="C14351" s="2">
        <f>HYPERLINK("https://cao.dolgi.msk.ru/account/1080223929/", 1080223929)</f>
        <v>1080223929</v>
      </c>
      <c r="D14351" t="s">
        <v>12017</v>
      </c>
      <c r="E14351">
        <v>-2415.44</v>
      </c>
      <c r="F14351">
        <v>-0.92</v>
      </c>
      <c r="G14351" t="s">
        <v>12</v>
      </c>
      <c r="H14351" t="s">
        <v>7</v>
      </c>
      <c r="I14351" t="s">
        <v>1428</v>
      </c>
    </row>
    <row r="14352" spans="1:9" hidden="1" x14ac:dyDescent="0.25">
      <c r="A14352" t="s">
        <v>11996</v>
      </c>
      <c r="B14352" t="s">
        <v>76</v>
      </c>
      <c r="C14352" s="2">
        <f>HYPERLINK("https://cao.dolgi.msk.ru/account/1080223937/", 1080223937)</f>
        <v>1080223937</v>
      </c>
      <c r="D14352" t="s">
        <v>12017</v>
      </c>
      <c r="E14352">
        <v>-3400.45</v>
      </c>
      <c r="F14352">
        <v>-0.79</v>
      </c>
      <c r="G14352" t="s">
        <v>12</v>
      </c>
      <c r="H14352" t="s">
        <v>7</v>
      </c>
      <c r="I14352" t="s">
        <v>1428</v>
      </c>
    </row>
    <row r="14353" spans="1:9" hidden="1" x14ac:dyDescent="0.25">
      <c r="A14353" t="s">
        <v>11996</v>
      </c>
      <c r="B14353" t="s">
        <v>78</v>
      </c>
      <c r="C14353" s="2">
        <f>HYPERLINK("https://cao.dolgi.msk.ru/account/1080223945/", 1080223945)</f>
        <v>1080223945</v>
      </c>
      <c r="D14353" t="s">
        <v>12018</v>
      </c>
      <c r="E14353">
        <v>48.33</v>
      </c>
      <c r="F14353">
        <v>0.01</v>
      </c>
      <c r="G14353" t="s">
        <v>12</v>
      </c>
      <c r="I14353" t="s">
        <v>1428</v>
      </c>
    </row>
    <row r="14354" spans="1:9" hidden="1" x14ac:dyDescent="0.25">
      <c r="A14354" t="s">
        <v>11996</v>
      </c>
      <c r="B14354" t="s">
        <v>80</v>
      </c>
      <c r="C14354" s="2">
        <f>HYPERLINK("https://cao.dolgi.msk.ru/account/1080223953/", 1080223953)</f>
        <v>1080223953</v>
      </c>
      <c r="D14354" t="s">
        <v>15</v>
      </c>
      <c r="E14354">
        <v>-12748.52</v>
      </c>
      <c r="F14354">
        <v>-1.04</v>
      </c>
      <c r="G14354" t="s">
        <v>12</v>
      </c>
      <c r="I14354" t="s">
        <v>1428</v>
      </c>
    </row>
    <row r="14355" spans="1:9" hidden="1" x14ac:dyDescent="0.25">
      <c r="A14355" t="s">
        <v>11996</v>
      </c>
      <c r="B14355" t="s">
        <v>80</v>
      </c>
      <c r="C14355" s="2">
        <f>HYPERLINK("https://cao.dolgi.msk.ru/account/1080223961/", 1080223961)</f>
        <v>1080223961</v>
      </c>
      <c r="D14355" t="s">
        <v>15</v>
      </c>
      <c r="E14355">
        <v>0</v>
      </c>
      <c r="G14355" t="s">
        <v>14</v>
      </c>
      <c r="I14355" t="s">
        <v>1428</v>
      </c>
    </row>
    <row r="14356" spans="1:9" hidden="1" x14ac:dyDescent="0.25">
      <c r="A14356" t="s">
        <v>11996</v>
      </c>
      <c r="B14356" t="s">
        <v>82</v>
      </c>
      <c r="C14356" s="2">
        <f>HYPERLINK("https://cao.dolgi.msk.ru/account/1080223988/", 1080223988)</f>
        <v>1080223988</v>
      </c>
      <c r="D14356" t="s">
        <v>12019</v>
      </c>
      <c r="E14356">
        <v>-93.17</v>
      </c>
      <c r="F14356">
        <v>-0.01</v>
      </c>
      <c r="G14356" t="s">
        <v>12</v>
      </c>
      <c r="I14356" t="s">
        <v>1428</v>
      </c>
    </row>
    <row r="14357" spans="1:9" hidden="1" x14ac:dyDescent="0.25">
      <c r="A14357" t="s">
        <v>11996</v>
      </c>
      <c r="B14357" t="s">
        <v>84</v>
      </c>
      <c r="C14357" s="2">
        <f>HYPERLINK("https://cao.dolgi.msk.ru/account/1080223996/", 1080223996)</f>
        <v>1080223996</v>
      </c>
      <c r="D14357" t="s">
        <v>12020</v>
      </c>
      <c r="E14357">
        <v>503.23</v>
      </c>
      <c r="F14357">
        <v>0.06</v>
      </c>
      <c r="G14357" t="s">
        <v>12</v>
      </c>
      <c r="I14357" t="s">
        <v>1428</v>
      </c>
    </row>
    <row r="14358" spans="1:9" hidden="1" x14ac:dyDescent="0.25">
      <c r="A14358" t="s">
        <v>11996</v>
      </c>
      <c r="B14358" t="s">
        <v>84</v>
      </c>
      <c r="C14358" s="2">
        <f>HYPERLINK("https://cao.dolgi.msk.ru/account/1080224008/", 1080224008)</f>
        <v>1080224008</v>
      </c>
      <c r="D14358" t="s">
        <v>15</v>
      </c>
      <c r="E14358">
        <v>-117.03</v>
      </c>
      <c r="G14358" t="s">
        <v>14</v>
      </c>
      <c r="I14358" t="s">
        <v>1428</v>
      </c>
    </row>
    <row r="14359" spans="1:9" hidden="1" x14ac:dyDescent="0.25">
      <c r="A14359" t="s">
        <v>11996</v>
      </c>
      <c r="B14359" t="s">
        <v>90</v>
      </c>
      <c r="C14359" s="2">
        <f>HYPERLINK("https://cao.dolgi.msk.ru/account/1080224016/", 1080224016)</f>
        <v>1080224016</v>
      </c>
      <c r="D14359" t="s">
        <v>12021</v>
      </c>
      <c r="E14359">
        <v>-6470.43</v>
      </c>
      <c r="F14359">
        <v>-0.64</v>
      </c>
      <c r="G14359" t="s">
        <v>12</v>
      </c>
      <c r="I14359" t="s">
        <v>1428</v>
      </c>
    </row>
    <row r="14360" spans="1:9" hidden="1" x14ac:dyDescent="0.25">
      <c r="A14360" t="s">
        <v>11996</v>
      </c>
      <c r="B14360" t="s">
        <v>92</v>
      </c>
      <c r="C14360" s="2">
        <f>HYPERLINK("https://cao.dolgi.msk.ru/account/1080224032/", 1080224032)</f>
        <v>1080224032</v>
      </c>
      <c r="D14360" t="s">
        <v>12022</v>
      </c>
      <c r="E14360">
        <v>-41.27</v>
      </c>
      <c r="F14360">
        <v>0</v>
      </c>
      <c r="G14360" t="s">
        <v>12</v>
      </c>
      <c r="I14360" t="s">
        <v>1428</v>
      </c>
    </row>
    <row r="14361" spans="1:9" hidden="1" x14ac:dyDescent="0.25">
      <c r="A14361" t="s">
        <v>11996</v>
      </c>
      <c r="B14361" t="s">
        <v>94</v>
      </c>
      <c r="C14361" s="2">
        <f>HYPERLINK("https://cao.dolgi.msk.ru/account/1080224059/", 1080224059)</f>
        <v>1080224059</v>
      </c>
      <c r="D14361" t="s">
        <v>12023</v>
      </c>
      <c r="E14361">
        <v>-7319.39</v>
      </c>
      <c r="F14361">
        <v>-1</v>
      </c>
      <c r="G14361" t="s">
        <v>12</v>
      </c>
      <c r="I14361" t="s">
        <v>1428</v>
      </c>
    </row>
    <row r="14362" spans="1:9" hidden="1" x14ac:dyDescent="0.25">
      <c r="A14362" t="s">
        <v>11996</v>
      </c>
      <c r="B14362" t="s">
        <v>96</v>
      </c>
      <c r="C14362" s="2">
        <f>HYPERLINK("https://cao.dolgi.msk.ru/account/1080224067/", 1080224067)</f>
        <v>1080224067</v>
      </c>
      <c r="D14362" t="s">
        <v>12024</v>
      </c>
      <c r="E14362">
        <v>-8958.65</v>
      </c>
      <c r="F14362">
        <v>-1.24</v>
      </c>
      <c r="G14362" t="s">
        <v>12</v>
      </c>
      <c r="I14362" t="s">
        <v>1428</v>
      </c>
    </row>
    <row r="14363" spans="1:9" hidden="1" x14ac:dyDescent="0.25">
      <c r="A14363" t="s">
        <v>11996</v>
      </c>
      <c r="B14363" t="s">
        <v>98</v>
      </c>
      <c r="C14363" s="2">
        <f>HYPERLINK("https://cao.dolgi.msk.ru/account/1080224075/", 1080224075)</f>
        <v>1080224075</v>
      </c>
      <c r="D14363" t="s">
        <v>12025</v>
      </c>
      <c r="E14363">
        <v>-42.4</v>
      </c>
      <c r="F14363">
        <v>-0.01</v>
      </c>
      <c r="G14363" t="s">
        <v>12</v>
      </c>
      <c r="I14363" t="s">
        <v>1428</v>
      </c>
    </row>
    <row r="14364" spans="1:9" hidden="1" x14ac:dyDescent="0.25">
      <c r="A14364" t="s">
        <v>11996</v>
      </c>
      <c r="B14364" t="s">
        <v>100</v>
      </c>
      <c r="C14364" s="2">
        <f>HYPERLINK("https://cao.dolgi.msk.ru/account/1080224083/", 1080224083)</f>
        <v>1080224083</v>
      </c>
      <c r="D14364" t="s">
        <v>12026</v>
      </c>
      <c r="E14364">
        <v>-7021.49</v>
      </c>
      <c r="F14364">
        <v>-0.99</v>
      </c>
      <c r="G14364" t="s">
        <v>12</v>
      </c>
      <c r="I14364" t="s">
        <v>1428</v>
      </c>
    </row>
    <row r="14365" spans="1:9" hidden="1" x14ac:dyDescent="0.25">
      <c r="A14365" t="s">
        <v>11996</v>
      </c>
      <c r="B14365" t="s">
        <v>102</v>
      </c>
      <c r="C14365" s="2">
        <f>HYPERLINK("https://cao.dolgi.msk.ru/account/1080224091/", 1080224091)</f>
        <v>1080224091</v>
      </c>
      <c r="D14365" t="s">
        <v>12027</v>
      </c>
      <c r="E14365">
        <v>-6629.45</v>
      </c>
      <c r="F14365">
        <v>-0.83</v>
      </c>
      <c r="G14365" t="s">
        <v>12</v>
      </c>
      <c r="I14365" t="s">
        <v>1428</v>
      </c>
    </row>
    <row r="14366" spans="1:9" hidden="1" x14ac:dyDescent="0.25">
      <c r="A14366" t="s">
        <v>11996</v>
      </c>
      <c r="B14366" t="s">
        <v>104</v>
      </c>
      <c r="C14366" s="2">
        <f>HYPERLINK("https://cao.dolgi.msk.ru/account/1080224104/", 1080224104)</f>
        <v>1080224104</v>
      </c>
      <c r="D14366" t="s">
        <v>12028</v>
      </c>
      <c r="E14366">
        <v>0</v>
      </c>
      <c r="F14366">
        <v>0</v>
      </c>
      <c r="G14366" t="s">
        <v>12</v>
      </c>
      <c r="I14366" t="s">
        <v>1428</v>
      </c>
    </row>
    <row r="14367" spans="1:9" hidden="1" x14ac:dyDescent="0.25">
      <c r="A14367" t="s">
        <v>11996</v>
      </c>
      <c r="B14367" t="s">
        <v>104</v>
      </c>
      <c r="C14367" s="2">
        <f>HYPERLINK("https://cao.dolgi.msk.ru/account/1080225019/", 1080225019)</f>
        <v>1080225019</v>
      </c>
      <c r="D14367" t="s">
        <v>15</v>
      </c>
      <c r="E14367">
        <v>-2590.09</v>
      </c>
      <c r="G14367" t="s">
        <v>14</v>
      </c>
      <c r="I14367" t="s">
        <v>1428</v>
      </c>
    </row>
    <row r="14368" spans="1:9" hidden="1" x14ac:dyDescent="0.25">
      <c r="A14368" t="s">
        <v>11996</v>
      </c>
      <c r="B14368" t="s">
        <v>110</v>
      </c>
      <c r="C14368" s="2">
        <f>HYPERLINK("https://cao.dolgi.msk.ru/account/1080224112/", 1080224112)</f>
        <v>1080224112</v>
      </c>
      <c r="D14368" t="s">
        <v>12029</v>
      </c>
      <c r="E14368">
        <v>-108.29</v>
      </c>
      <c r="F14368">
        <v>-0.02</v>
      </c>
      <c r="G14368" t="s">
        <v>12</v>
      </c>
      <c r="I14368" t="s">
        <v>1428</v>
      </c>
    </row>
    <row r="14369" spans="1:9" hidden="1" x14ac:dyDescent="0.25">
      <c r="A14369" t="s">
        <v>11996</v>
      </c>
      <c r="B14369" t="s">
        <v>112</v>
      </c>
      <c r="C14369" s="2">
        <f>HYPERLINK("https://cao.dolgi.msk.ru/account/1080224139/", 1080224139)</f>
        <v>1080224139</v>
      </c>
      <c r="D14369" t="s">
        <v>12030</v>
      </c>
      <c r="E14369">
        <v>-107.07</v>
      </c>
      <c r="F14369">
        <v>-0.02</v>
      </c>
      <c r="G14369" t="s">
        <v>12</v>
      </c>
      <c r="I14369" t="s">
        <v>1428</v>
      </c>
    </row>
    <row r="14370" spans="1:9" hidden="1" x14ac:dyDescent="0.25">
      <c r="A14370" t="s">
        <v>11996</v>
      </c>
      <c r="B14370" t="s">
        <v>114</v>
      </c>
      <c r="C14370" s="2">
        <f>HYPERLINK("https://cao.dolgi.msk.ru/account/1080224147/", 1080224147)</f>
        <v>1080224147</v>
      </c>
      <c r="D14370" t="s">
        <v>12031</v>
      </c>
      <c r="E14370">
        <v>0</v>
      </c>
      <c r="F14370">
        <v>0</v>
      </c>
      <c r="G14370" t="s">
        <v>12</v>
      </c>
      <c r="I14370" t="s">
        <v>1428</v>
      </c>
    </row>
    <row r="14371" spans="1:9" hidden="1" x14ac:dyDescent="0.25">
      <c r="A14371" t="s">
        <v>11996</v>
      </c>
      <c r="B14371" t="s">
        <v>116</v>
      </c>
      <c r="C14371" s="2">
        <f>HYPERLINK("https://cao.dolgi.msk.ru/account/1080224155/", 1080224155)</f>
        <v>1080224155</v>
      </c>
      <c r="D14371" t="s">
        <v>15</v>
      </c>
      <c r="E14371">
        <v>-5919.77</v>
      </c>
      <c r="F14371">
        <v>-2.4300000000000002</v>
      </c>
      <c r="G14371" t="s">
        <v>12</v>
      </c>
      <c r="H14371" t="s">
        <v>7</v>
      </c>
      <c r="I14371" t="s">
        <v>1428</v>
      </c>
    </row>
    <row r="14372" spans="1:9" x14ac:dyDescent="0.25">
      <c r="A14372" t="s">
        <v>11996</v>
      </c>
      <c r="B14372" t="s">
        <v>116</v>
      </c>
      <c r="C14372" s="2">
        <f>HYPERLINK("https://cao.dolgi.msk.ru/account/1080224163/", 1080224163)</f>
        <v>1080224163</v>
      </c>
      <c r="D14372" t="s">
        <v>15</v>
      </c>
      <c r="E14372">
        <v>14187.03</v>
      </c>
      <c r="F14372">
        <v>2.92</v>
      </c>
      <c r="G14372" t="s">
        <v>12</v>
      </c>
      <c r="H14372" t="s">
        <v>7</v>
      </c>
      <c r="I14372" t="s">
        <v>1428</v>
      </c>
    </row>
    <row r="14373" spans="1:9" hidden="1" x14ac:dyDescent="0.25">
      <c r="A14373" t="s">
        <v>11996</v>
      </c>
      <c r="B14373" t="s">
        <v>118</v>
      </c>
      <c r="C14373" s="2">
        <f>HYPERLINK("https://cao.dolgi.msk.ru/account/1080224171/", 1080224171)</f>
        <v>1080224171</v>
      </c>
      <c r="D14373" t="s">
        <v>12032</v>
      </c>
      <c r="E14373">
        <v>-5559.64</v>
      </c>
      <c r="F14373">
        <v>-1.02</v>
      </c>
      <c r="G14373" t="s">
        <v>12</v>
      </c>
      <c r="H14373" t="s">
        <v>7</v>
      </c>
      <c r="I14373" t="s">
        <v>1428</v>
      </c>
    </row>
    <row r="14374" spans="1:9" hidden="1" x14ac:dyDescent="0.25">
      <c r="A14374" t="s">
        <v>11996</v>
      </c>
      <c r="B14374" t="s">
        <v>118</v>
      </c>
      <c r="C14374" s="2">
        <f>HYPERLINK("https://cao.dolgi.msk.ru/account/1080224198/", 1080224198)</f>
        <v>1080224198</v>
      </c>
      <c r="D14374" t="s">
        <v>12032</v>
      </c>
      <c r="E14374">
        <v>-3094.6</v>
      </c>
      <c r="F14374">
        <v>-0.96</v>
      </c>
      <c r="G14374" t="s">
        <v>12</v>
      </c>
      <c r="H14374" t="s">
        <v>7</v>
      </c>
      <c r="I14374" t="s">
        <v>1428</v>
      </c>
    </row>
    <row r="14375" spans="1:9" hidden="1" x14ac:dyDescent="0.25">
      <c r="A14375" t="s">
        <v>11996</v>
      </c>
      <c r="B14375" t="s">
        <v>120</v>
      </c>
      <c r="C14375" s="2">
        <f>HYPERLINK("https://cao.dolgi.msk.ru/account/1080224219/", 1080224219)</f>
        <v>1080224219</v>
      </c>
      <c r="D14375" t="s">
        <v>12033</v>
      </c>
      <c r="E14375">
        <v>-10838.87</v>
      </c>
      <c r="F14375">
        <v>-1.08</v>
      </c>
      <c r="G14375" t="s">
        <v>12</v>
      </c>
      <c r="I14375" t="s">
        <v>1428</v>
      </c>
    </row>
    <row r="14376" spans="1:9" hidden="1" x14ac:dyDescent="0.25">
      <c r="A14376" t="s">
        <v>11996</v>
      </c>
      <c r="B14376" t="s">
        <v>120</v>
      </c>
      <c r="C14376" s="2">
        <f>HYPERLINK("https://cao.dolgi.msk.ru/account/1083274078/", 1083274078)</f>
        <v>1083274078</v>
      </c>
      <c r="D14376" t="s">
        <v>15</v>
      </c>
      <c r="E14376">
        <v>-2486.64</v>
      </c>
      <c r="F14376">
        <v>-1.07</v>
      </c>
      <c r="G14376" t="s">
        <v>12</v>
      </c>
      <c r="I14376" t="s">
        <v>1428</v>
      </c>
    </row>
    <row r="14377" spans="1:9" hidden="1" x14ac:dyDescent="0.25">
      <c r="A14377" t="s">
        <v>11996</v>
      </c>
      <c r="B14377" t="s">
        <v>122</v>
      </c>
      <c r="C14377" s="2">
        <f>HYPERLINK("https://cao.dolgi.msk.ru/account/1080224227/", 1080224227)</f>
        <v>1080224227</v>
      </c>
      <c r="D14377" t="s">
        <v>12034</v>
      </c>
      <c r="E14377">
        <v>14.3</v>
      </c>
      <c r="F14377">
        <v>0</v>
      </c>
      <c r="G14377" t="s">
        <v>12</v>
      </c>
      <c r="I14377" t="s">
        <v>1428</v>
      </c>
    </row>
    <row r="14378" spans="1:9" hidden="1" x14ac:dyDescent="0.25">
      <c r="A14378" t="s">
        <v>11996</v>
      </c>
      <c r="B14378" t="s">
        <v>124</v>
      </c>
      <c r="C14378" s="2">
        <f>HYPERLINK("https://cao.dolgi.msk.ru/account/1080224235/", 1080224235)</f>
        <v>1080224235</v>
      </c>
      <c r="D14378" t="s">
        <v>12035</v>
      </c>
      <c r="E14378">
        <v>-66.45</v>
      </c>
      <c r="F14378">
        <v>-0.01</v>
      </c>
      <c r="G14378" t="s">
        <v>12</v>
      </c>
      <c r="I14378" t="s">
        <v>1428</v>
      </c>
    </row>
    <row r="14379" spans="1:9" hidden="1" x14ac:dyDescent="0.25">
      <c r="A14379" t="s">
        <v>11996</v>
      </c>
      <c r="B14379" t="s">
        <v>130</v>
      </c>
      <c r="C14379" s="2">
        <f>HYPERLINK("https://cao.dolgi.msk.ru/account/1080224243/", 1080224243)</f>
        <v>1080224243</v>
      </c>
      <c r="D14379" t="s">
        <v>12036</v>
      </c>
      <c r="E14379">
        <v>-5112.1400000000003</v>
      </c>
      <c r="F14379">
        <v>-0.98</v>
      </c>
      <c r="G14379" t="s">
        <v>12</v>
      </c>
      <c r="I14379" t="s">
        <v>1428</v>
      </c>
    </row>
    <row r="14380" spans="1:9" hidden="1" x14ac:dyDescent="0.25">
      <c r="A14380" t="s">
        <v>11996</v>
      </c>
      <c r="B14380" t="s">
        <v>132</v>
      </c>
      <c r="C14380" s="2">
        <f>HYPERLINK("https://cao.dolgi.msk.ru/account/1080224251/", 1080224251)</f>
        <v>1080224251</v>
      </c>
      <c r="D14380" t="s">
        <v>12037</v>
      </c>
      <c r="G14380" t="s">
        <v>14</v>
      </c>
      <c r="I14380" t="s">
        <v>1428</v>
      </c>
    </row>
    <row r="14381" spans="1:9" hidden="1" x14ac:dyDescent="0.25">
      <c r="A14381" t="s">
        <v>11996</v>
      </c>
      <c r="B14381" t="s">
        <v>132</v>
      </c>
      <c r="C14381" s="2">
        <f>HYPERLINK("https://cao.dolgi.msk.ru/account/1080224278/", 1080224278)</f>
        <v>1080224278</v>
      </c>
      <c r="D14381" t="s">
        <v>12038</v>
      </c>
      <c r="E14381">
        <v>207.07</v>
      </c>
      <c r="F14381">
        <v>0.06</v>
      </c>
      <c r="G14381" t="s">
        <v>12</v>
      </c>
      <c r="I14381" t="s">
        <v>1428</v>
      </c>
    </row>
    <row r="14382" spans="1:9" hidden="1" x14ac:dyDescent="0.25">
      <c r="A14382" t="s">
        <v>11996</v>
      </c>
      <c r="B14382" t="s">
        <v>133</v>
      </c>
      <c r="C14382" s="2">
        <f>HYPERLINK("https://cao.dolgi.msk.ru/account/1080224286/", 1080224286)</f>
        <v>1080224286</v>
      </c>
      <c r="D14382" t="s">
        <v>12039</v>
      </c>
      <c r="E14382">
        <v>0</v>
      </c>
      <c r="F14382">
        <v>0</v>
      </c>
      <c r="G14382" t="s">
        <v>12</v>
      </c>
      <c r="I14382" t="s">
        <v>1428</v>
      </c>
    </row>
    <row r="14383" spans="1:9" hidden="1" x14ac:dyDescent="0.25">
      <c r="A14383" t="s">
        <v>11996</v>
      </c>
      <c r="B14383" t="s">
        <v>135</v>
      </c>
      <c r="C14383" s="2">
        <f>HYPERLINK("https://cao.dolgi.msk.ru/account/1080224294/", 1080224294)</f>
        <v>1080224294</v>
      </c>
      <c r="D14383" t="s">
        <v>12040</v>
      </c>
      <c r="E14383">
        <v>-739.35</v>
      </c>
      <c r="F14383">
        <v>-0.49</v>
      </c>
      <c r="G14383" t="s">
        <v>12</v>
      </c>
      <c r="H14383" t="s">
        <v>7</v>
      </c>
      <c r="I14383" t="s">
        <v>1428</v>
      </c>
    </row>
    <row r="14384" spans="1:9" hidden="1" x14ac:dyDescent="0.25">
      <c r="A14384" t="s">
        <v>11996</v>
      </c>
      <c r="B14384" t="s">
        <v>135</v>
      </c>
      <c r="C14384" s="2">
        <f>HYPERLINK("https://cao.dolgi.msk.ru/account/1080224307/", 1080224307)</f>
        <v>1080224307</v>
      </c>
      <c r="D14384" t="s">
        <v>12041</v>
      </c>
      <c r="E14384">
        <v>-6394.84</v>
      </c>
      <c r="F14384">
        <v>-1.23</v>
      </c>
      <c r="G14384" t="s">
        <v>12</v>
      </c>
      <c r="H14384" t="s">
        <v>7</v>
      </c>
      <c r="I14384" t="s">
        <v>1428</v>
      </c>
    </row>
    <row r="14385" spans="1:9" hidden="1" x14ac:dyDescent="0.25">
      <c r="A14385" t="s">
        <v>11996</v>
      </c>
      <c r="B14385" t="s">
        <v>137</v>
      </c>
      <c r="C14385" s="2">
        <f>HYPERLINK("https://cao.dolgi.msk.ru/account/1080224315/", 1080224315)</f>
        <v>1080224315</v>
      </c>
      <c r="D14385" t="s">
        <v>12042</v>
      </c>
      <c r="E14385">
        <v>-3075.85</v>
      </c>
      <c r="F14385">
        <v>-0.55000000000000004</v>
      </c>
      <c r="G14385" t="s">
        <v>12</v>
      </c>
      <c r="I14385" t="s">
        <v>1428</v>
      </c>
    </row>
    <row r="14386" spans="1:9" hidden="1" x14ac:dyDescent="0.25">
      <c r="A14386" t="s">
        <v>11996</v>
      </c>
      <c r="B14386" t="s">
        <v>139</v>
      </c>
      <c r="C14386" s="2">
        <f>HYPERLINK("https://cao.dolgi.msk.ru/account/1080224323/", 1080224323)</f>
        <v>1080224323</v>
      </c>
      <c r="D14386" t="s">
        <v>12043</v>
      </c>
      <c r="E14386">
        <v>0</v>
      </c>
      <c r="F14386">
        <v>0</v>
      </c>
      <c r="G14386" t="s">
        <v>12</v>
      </c>
      <c r="I14386" t="s">
        <v>1428</v>
      </c>
    </row>
    <row r="14387" spans="1:9" hidden="1" x14ac:dyDescent="0.25">
      <c r="A14387" t="s">
        <v>11996</v>
      </c>
      <c r="B14387" t="s">
        <v>141</v>
      </c>
      <c r="C14387" s="2">
        <f>HYPERLINK("https://cao.dolgi.msk.ru/account/1080224358/", 1080224358)</f>
        <v>1080224358</v>
      </c>
      <c r="D14387" t="s">
        <v>12044</v>
      </c>
      <c r="E14387">
        <v>-7336.02</v>
      </c>
      <c r="F14387">
        <v>-1.2</v>
      </c>
      <c r="G14387" t="s">
        <v>12</v>
      </c>
      <c r="I14387" t="s">
        <v>1428</v>
      </c>
    </row>
    <row r="14388" spans="1:9" hidden="1" x14ac:dyDescent="0.25">
      <c r="A14388" t="s">
        <v>11996</v>
      </c>
      <c r="B14388" t="s">
        <v>143</v>
      </c>
      <c r="C14388" s="2">
        <f>HYPERLINK("https://cao.dolgi.msk.ru/account/1080224366/", 1080224366)</f>
        <v>1080224366</v>
      </c>
      <c r="D14388" t="s">
        <v>12045</v>
      </c>
      <c r="E14388">
        <v>1627.6</v>
      </c>
      <c r="F14388">
        <v>0.22</v>
      </c>
      <c r="G14388" t="s">
        <v>12</v>
      </c>
      <c r="I14388" t="s">
        <v>1428</v>
      </c>
    </row>
    <row r="14389" spans="1:9" hidden="1" x14ac:dyDescent="0.25">
      <c r="A14389" t="s">
        <v>11996</v>
      </c>
      <c r="B14389" t="s">
        <v>149</v>
      </c>
      <c r="C14389" s="2">
        <f>HYPERLINK("https://cao.dolgi.msk.ru/account/1080224374/", 1080224374)</f>
        <v>1080224374</v>
      </c>
      <c r="D14389" t="s">
        <v>12046</v>
      </c>
      <c r="E14389">
        <v>-38.799999999999997</v>
      </c>
      <c r="F14389">
        <v>-0.01</v>
      </c>
      <c r="G14389" t="s">
        <v>12</v>
      </c>
      <c r="I14389" t="s">
        <v>1428</v>
      </c>
    </row>
    <row r="14390" spans="1:9" hidden="1" x14ac:dyDescent="0.25">
      <c r="A14390" t="s">
        <v>11996</v>
      </c>
      <c r="B14390" t="s">
        <v>149</v>
      </c>
      <c r="C14390" s="2">
        <f>HYPERLINK("https://cao.dolgi.msk.ru/account/1080224382/", 1080224382)</f>
        <v>1080224382</v>
      </c>
      <c r="D14390" t="s">
        <v>12046</v>
      </c>
      <c r="E14390">
        <v>-19.399999999999999</v>
      </c>
      <c r="G14390" t="s">
        <v>14</v>
      </c>
      <c r="I14390" t="s">
        <v>1428</v>
      </c>
    </row>
    <row r="14391" spans="1:9" hidden="1" x14ac:dyDescent="0.25">
      <c r="A14391" t="s">
        <v>11996</v>
      </c>
      <c r="B14391" t="s">
        <v>151</v>
      </c>
      <c r="C14391" s="2">
        <f>HYPERLINK("https://cao.dolgi.msk.ru/account/1080224403/", 1080224403)</f>
        <v>1080224403</v>
      </c>
      <c r="D14391" t="s">
        <v>12047</v>
      </c>
      <c r="E14391">
        <v>-9.07</v>
      </c>
      <c r="F14391">
        <v>0</v>
      </c>
      <c r="G14391" t="s">
        <v>12</v>
      </c>
      <c r="I14391" t="s">
        <v>1428</v>
      </c>
    </row>
    <row r="14392" spans="1:9" hidden="1" x14ac:dyDescent="0.25">
      <c r="A14392" t="s">
        <v>11996</v>
      </c>
      <c r="B14392" t="s">
        <v>153</v>
      </c>
      <c r="C14392" s="2">
        <f>HYPERLINK("https://cao.dolgi.msk.ru/account/1080224411/", 1080224411)</f>
        <v>1080224411</v>
      </c>
      <c r="D14392" t="s">
        <v>12048</v>
      </c>
      <c r="E14392">
        <v>0</v>
      </c>
      <c r="F14392">
        <v>0</v>
      </c>
      <c r="G14392" t="s">
        <v>12</v>
      </c>
      <c r="I14392" t="s">
        <v>1428</v>
      </c>
    </row>
    <row r="14393" spans="1:9" hidden="1" x14ac:dyDescent="0.25">
      <c r="A14393" t="s">
        <v>11996</v>
      </c>
      <c r="B14393" t="s">
        <v>155</v>
      </c>
      <c r="C14393" s="2">
        <f>HYPERLINK("https://cao.dolgi.msk.ru/account/1080224438/", 1080224438)</f>
        <v>1080224438</v>
      </c>
      <c r="D14393" t="s">
        <v>12049</v>
      </c>
      <c r="E14393">
        <v>0</v>
      </c>
      <c r="F14393">
        <v>0</v>
      </c>
      <c r="G14393" t="s">
        <v>12</v>
      </c>
      <c r="I14393" t="s">
        <v>1428</v>
      </c>
    </row>
    <row r="14394" spans="1:9" hidden="1" x14ac:dyDescent="0.25">
      <c r="A14394" t="s">
        <v>11996</v>
      </c>
      <c r="B14394" t="s">
        <v>157</v>
      </c>
      <c r="C14394" s="2">
        <f>HYPERLINK("https://cao.dolgi.msk.ru/account/1080224446/", 1080224446)</f>
        <v>1080224446</v>
      </c>
      <c r="D14394" t="s">
        <v>12050</v>
      </c>
      <c r="E14394">
        <v>-369.02</v>
      </c>
      <c r="F14394">
        <v>-0.19</v>
      </c>
      <c r="G14394" t="s">
        <v>12</v>
      </c>
      <c r="H14394" t="s">
        <v>7</v>
      </c>
      <c r="I14394" t="s">
        <v>1428</v>
      </c>
    </row>
    <row r="14395" spans="1:9" hidden="1" x14ac:dyDescent="0.25">
      <c r="A14395" t="s">
        <v>11996</v>
      </c>
      <c r="B14395" t="s">
        <v>157</v>
      </c>
      <c r="C14395" s="2">
        <f>HYPERLINK("https://cao.dolgi.msk.ru/account/1080224454/", 1080224454)</f>
        <v>1080224454</v>
      </c>
      <c r="D14395" t="s">
        <v>12050</v>
      </c>
      <c r="E14395">
        <v>-2889.16</v>
      </c>
      <c r="F14395">
        <v>-0.91</v>
      </c>
      <c r="G14395" t="s">
        <v>12</v>
      </c>
      <c r="H14395" t="s">
        <v>7</v>
      </c>
      <c r="I14395" t="s">
        <v>1428</v>
      </c>
    </row>
    <row r="14396" spans="1:9" x14ac:dyDescent="0.25">
      <c r="A14396" t="s">
        <v>11996</v>
      </c>
      <c r="B14396" t="s">
        <v>159</v>
      </c>
      <c r="C14396" s="2">
        <f>HYPERLINK("https://cao.dolgi.msk.ru/account/1080224462/", 1080224462)</f>
        <v>1080224462</v>
      </c>
      <c r="D14396" t="s">
        <v>15</v>
      </c>
      <c r="E14396">
        <v>5746.77</v>
      </c>
      <c r="F14396">
        <v>2.75</v>
      </c>
      <c r="G14396" t="s">
        <v>12</v>
      </c>
      <c r="H14396" t="s">
        <v>7</v>
      </c>
      <c r="I14396" t="s">
        <v>1428</v>
      </c>
    </row>
    <row r="14397" spans="1:9" hidden="1" x14ac:dyDescent="0.25">
      <c r="A14397" t="s">
        <v>11996</v>
      </c>
      <c r="B14397" t="s">
        <v>159</v>
      </c>
      <c r="C14397" s="2">
        <f>HYPERLINK("https://cao.dolgi.msk.ru/account/1080224489/", 1080224489)</f>
        <v>1080224489</v>
      </c>
      <c r="D14397" t="s">
        <v>12051</v>
      </c>
      <c r="E14397">
        <v>-2800</v>
      </c>
      <c r="F14397">
        <v>-1.4</v>
      </c>
      <c r="G14397" t="s">
        <v>12</v>
      </c>
      <c r="H14397" t="s">
        <v>7</v>
      </c>
      <c r="I14397" t="s">
        <v>1428</v>
      </c>
    </row>
    <row r="14398" spans="1:9" hidden="1" x14ac:dyDescent="0.25">
      <c r="A14398" t="s">
        <v>11996</v>
      </c>
      <c r="B14398" t="s">
        <v>159</v>
      </c>
      <c r="C14398" s="2">
        <f>HYPERLINK("https://cao.dolgi.msk.ru/account/1080324463/", 1080324463)</f>
        <v>1080324463</v>
      </c>
      <c r="D14398" t="s">
        <v>15</v>
      </c>
      <c r="E14398">
        <v>-1416.21</v>
      </c>
      <c r="F14398">
        <v>-1.01</v>
      </c>
      <c r="G14398" t="s">
        <v>12</v>
      </c>
      <c r="H14398" t="s">
        <v>7</v>
      </c>
      <c r="I14398" t="s">
        <v>1428</v>
      </c>
    </row>
    <row r="14399" spans="1:9" hidden="1" x14ac:dyDescent="0.25">
      <c r="A14399" t="s">
        <v>11996</v>
      </c>
      <c r="B14399" t="s">
        <v>161</v>
      </c>
      <c r="C14399" s="2">
        <f>HYPERLINK("https://cao.dolgi.msk.ru/account/1080224497/", 1080224497)</f>
        <v>1080224497</v>
      </c>
      <c r="D14399" t="s">
        <v>12052</v>
      </c>
      <c r="E14399">
        <v>-4805.88</v>
      </c>
      <c r="F14399">
        <v>-1.07</v>
      </c>
      <c r="G14399" t="s">
        <v>12</v>
      </c>
      <c r="I14399" t="s">
        <v>1428</v>
      </c>
    </row>
    <row r="14400" spans="1:9" hidden="1" x14ac:dyDescent="0.25">
      <c r="A14400" t="s">
        <v>11996</v>
      </c>
      <c r="B14400" t="s">
        <v>163</v>
      </c>
      <c r="C14400" s="2">
        <f>HYPERLINK("https://cao.dolgi.msk.ru/account/1080224518/", 1080224518)</f>
        <v>1080224518</v>
      </c>
      <c r="D14400" t="s">
        <v>12053</v>
      </c>
      <c r="E14400">
        <v>-6.58</v>
      </c>
      <c r="F14400">
        <v>0</v>
      </c>
      <c r="G14400" t="s">
        <v>12</v>
      </c>
      <c r="I14400" t="s">
        <v>1428</v>
      </c>
    </row>
    <row r="14401" spans="1:9" hidden="1" x14ac:dyDescent="0.25">
      <c r="A14401" t="s">
        <v>11996</v>
      </c>
      <c r="B14401" t="s">
        <v>571</v>
      </c>
      <c r="C14401" s="2">
        <f>HYPERLINK("https://cao.dolgi.msk.ru/account/1080224526/", 1080224526)</f>
        <v>1080224526</v>
      </c>
      <c r="D14401" t="s">
        <v>12054</v>
      </c>
      <c r="E14401">
        <v>-1690.38</v>
      </c>
      <c r="F14401">
        <v>-0.25</v>
      </c>
      <c r="G14401" t="s">
        <v>12</v>
      </c>
      <c r="I14401" t="s">
        <v>1428</v>
      </c>
    </row>
    <row r="14402" spans="1:9" hidden="1" x14ac:dyDescent="0.25">
      <c r="A14402" t="s">
        <v>11996</v>
      </c>
      <c r="B14402" t="s">
        <v>682</v>
      </c>
      <c r="C14402" s="2">
        <f>HYPERLINK("https://cao.dolgi.msk.ru/account/1080224534/", 1080224534)</f>
        <v>1080224534</v>
      </c>
      <c r="D14402" t="s">
        <v>12055</v>
      </c>
      <c r="E14402">
        <v>-5802.46</v>
      </c>
      <c r="F14402">
        <v>-1</v>
      </c>
      <c r="G14402" t="s">
        <v>12</v>
      </c>
      <c r="I14402" t="s">
        <v>1428</v>
      </c>
    </row>
    <row r="14403" spans="1:9" hidden="1" x14ac:dyDescent="0.25">
      <c r="A14403" t="s">
        <v>11996</v>
      </c>
      <c r="B14403" t="s">
        <v>578</v>
      </c>
      <c r="C14403" s="2">
        <f>HYPERLINK("https://cao.dolgi.msk.ru/account/1080224542/", 1080224542)</f>
        <v>1080224542</v>
      </c>
      <c r="D14403" t="s">
        <v>12056</v>
      </c>
      <c r="E14403">
        <v>6.42</v>
      </c>
      <c r="F14403">
        <v>0</v>
      </c>
      <c r="G14403" t="s">
        <v>12</v>
      </c>
      <c r="I14403" t="s">
        <v>1428</v>
      </c>
    </row>
    <row r="14404" spans="1:9" hidden="1" x14ac:dyDescent="0.25">
      <c r="A14404" t="s">
        <v>11996</v>
      </c>
      <c r="B14404" t="s">
        <v>580</v>
      </c>
      <c r="C14404" s="2">
        <f>HYPERLINK("https://cao.dolgi.msk.ru/account/1080224569/", 1080224569)</f>
        <v>1080224569</v>
      </c>
      <c r="D14404" t="s">
        <v>12057</v>
      </c>
      <c r="E14404">
        <v>6899.88</v>
      </c>
      <c r="F14404">
        <v>0.59</v>
      </c>
      <c r="G14404" t="s">
        <v>12</v>
      </c>
      <c r="I14404" t="s">
        <v>1428</v>
      </c>
    </row>
    <row r="14405" spans="1:9" hidden="1" x14ac:dyDescent="0.25">
      <c r="A14405" t="s">
        <v>12058</v>
      </c>
      <c r="B14405" t="s">
        <v>686</v>
      </c>
      <c r="C14405" s="2">
        <f>HYPERLINK("https://cao.dolgi.msk.ru/account/1080224577/", 1080224577)</f>
        <v>1080224577</v>
      </c>
      <c r="D14405" t="s">
        <v>12059</v>
      </c>
      <c r="E14405">
        <v>6036.74</v>
      </c>
      <c r="F14405">
        <v>0.5</v>
      </c>
      <c r="G14405" t="s">
        <v>12</v>
      </c>
      <c r="I14405" t="s">
        <v>1428</v>
      </c>
    </row>
    <row r="14406" spans="1:9" hidden="1" x14ac:dyDescent="0.25">
      <c r="A14406" t="s">
        <v>12058</v>
      </c>
      <c r="B14406" t="s">
        <v>584</v>
      </c>
      <c r="C14406" s="2">
        <f>HYPERLINK("https://cao.dolgi.msk.ru/account/1080224585/", 1080224585)</f>
        <v>1080224585</v>
      </c>
      <c r="D14406" t="s">
        <v>12060</v>
      </c>
      <c r="E14406">
        <v>-160.81</v>
      </c>
      <c r="F14406">
        <v>-0.02</v>
      </c>
      <c r="G14406" t="s">
        <v>12</v>
      </c>
      <c r="I14406" t="s">
        <v>1428</v>
      </c>
    </row>
    <row r="14407" spans="1:9" hidden="1" x14ac:dyDescent="0.25">
      <c r="A14407" t="s">
        <v>12058</v>
      </c>
      <c r="B14407" t="s">
        <v>586</v>
      </c>
      <c r="C14407" s="2">
        <f>HYPERLINK("https://cao.dolgi.msk.ru/account/1080224593/", 1080224593)</f>
        <v>1080224593</v>
      </c>
      <c r="D14407" t="s">
        <v>12061</v>
      </c>
      <c r="E14407">
        <v>-112.32</v>
      </c>
      <c r="F14407">
        <v>-0.02</v>
      </c>
      <c r="G14407" t="s">
        <v>12</v>
      </c>
      <c r="I14407" t="s">
        <v>1428</v>
      </c>
    </row>
    <row r="14408" spans="1:9" hidden="1" x14ac:dyDescent="0.25">
      <c r="A14408" t="s">
        <v>12058</v>
      </c>
      <c r="B14408" t="s">
        <v>588</v>
      </c>
      <c r="C14408" s="2">
        <f>HYPERLINK("https://cao.dolgi.msk.ru/account/1080224606/", 1080224606)</f>
        <v>1080224606</v>
      </c>
      <c r="D14408" t="s">
        <v>12062</v>
      </c>
      <c r="E14408">
        <v>-51.7</v>
      </c>
      <c r="F14408">
        <v>-0.01</v>
      </c>
      <c r="G14408" t="s">
        <v>12</v>
      </c>
      <c r="I14408" t="s">
        <v>1428</v>
      </c>
    </row>
    <row r="14409" spans="1:9" hidden="1" x14ac:dyDescent="0.25">
      <c r="A14409" t="s">
        <v>12058</v>
      </c>
      <c r="B14409" t="s">
        <v>590</v>
      </c>
      <c r="C14409" s="2">
        <f>HYPERLINK("https://cao.dolgi.msk.ru/account/1080224614/", 1080224614)</f>
        <v>1080224614</v>
      </c>
      <c r="D14409" t="s">
        <v>12063</v>
      </c>
      <c r="E14409">
        <v>-15102.25</v>
      </c>
      <c r="F14409">
        <v>-0.9</v>
      </c>
      <c r="G14409" t="s">
        <v>12</v>
      </c>
      <c r="I14409" t="s">
        <v>1428</v>
      </c>
    </row>
    <row r="14410" spans="1:9" hidden="1" x14ac:dyDescent="0.25">
      <c r="A14410" t="s">
        <v>12058</v>
      </c>
      <c r="B14410" t="s">
        <v>693</v>
      </c>
      <c r="C14410" s="2">
        <f>HYPERLINK("https://cao.dolgi.msk.ru/account/1080224622/", 1080224622)</f>
        <v>1080224622</v>
      </c>
      <c r="D14410" t="s">
        <v>12064</v>
      </c>
      <c r="E14410">
        <v>-9233.81</v>
      </c>
      <c r="F14410">
        <v>-1.29</v>
      </c>
      <c r="G14410" t="s">
        <v>12</v>
      </c>
      <c r="I14410" t="s">
        <v>1428</v>
      </c>
    </row>
    <row r="14411" spans="1:9" hidden="1" x14ac:dyDescent="0.25">
      <c r="A14411" t="s">
        <v>12058</v>
      </c>
      <c r="B14411" t="s">
        <v>694</v>
      </c>
      <c r="C14411" s="2">
        <f>HYPERLINK("https://cao.dolgi.msk.ru/account/1080224649/", 1080224649)</f>
        <v>1080224649</v>
      </c>
      <c r="D14411" t="s">
        <v>12065</v>
      </c>
      <c r="E14411">
        <v>-7042.78</v>
      </c>
      <c r="F14411">
        <v>-1.06</v>
      </c>
      <c r="G14411" t="s">
        <v>12</v>
      </c>
      <c r="I14411" t="s">
        <v>1428</v>
      </c>
    </row>
    <row r="14412" spans="1:9" hidden="1" x14ac:dyDescent="0.25">
      <c r="A14412" t="s">
        <v>12058</v>
      </c>
      <c r="B14412" t="s">
        <v>696</v>
      </c>
      <c r="C14412" s="2">
        <f>HYPERLINK("https://cao.dolgi.msk.ru/account/1080224657/", 1080224657)</f>
        <v>1080224657</v>
      </c>
      <c r="D14412" t="s">
        <v>12066</v>
      </c>
      <c r="E14412">
        <v>-170.52</v>
      </c>
      <c r="F14412">
        <v>-0.02</v>
      </c>
      <c r="G14412" t="s">
        <v>12</v>
      </c>
      <c r="I14412" t="s">
        <v>1428</v>
      </c>
    </row>
    <row r="14413" spans="1:9" hidden="1" x14ac:dyDescent="0.25">
      <c r="A14413" t="s">
        <v>12058</v>
      </c>
      <c r="B14413" t="s">
        <v>698</v>
      </c>
      <c r="C14413" s="2">
        <f>HYPERLINK("https://cao.dolgi.msk.ru/account/1080224665/", 1080224665)</f>
        <v>1080224665</v>
      </c>
      <c r="D14413" t="s">
        <v>12067</v>
      </c>
      <c r="E14413">
        <v>-5442.04</v>
      </c>
      <c r="F14413">
        <v>-1</v>
      </c>
      <c r="G14413" t="s">
        <v>12</v>
      </c>
      <c r="I14413" t="s">
        <v>1428</v>
      </c>
    </row>
    <row r="14414" spans="1:9" hidden="1" x14ac:dyDescent="0.25">
      <c r="A14414" t="s">
        <v>12058</v>
      </c>
      <c r="B14414" t="s">
        <v>700</v>
      </c>
      <c r="C14414" s="2">
        <f>HYPERLINK("https://cao.dolgi.msk.ru/account/1080224673/", 1080224673)</f>
        <v>1080224673</v>
      </c>
      <c r="D14414" t="s">
        <v>12068</v>
      </c>
      <c r="E14414">
        <v>-484.48</v>
      </c>
      <c r="F14414">
        <v>-7.0000000000000007E-2</v>
      </c>
      <c r="G14414" t="s">
        <v>12</v>
      </c>
      <c r="I14414" t="s">
        <v>1428</v>
      </c>
    </row>
    <row r="14415" spans="1:9" hidden="1" x14ac:dyDescent="0.25">
      <c r="A14415" t="s">
        <v>12058</v>
      </c>
      <c r="B14415" t="s">
        <v>702</v>
      </c>
      <c r="C14415" s="2">
        <f>HYPERLINK("https://cao.dolgi.msk.ru/account/1080224681/", 1080224681)</f>
        <v>1080224681</v>
      </c>
      <c r="D14415" t="s">
        <v>12069</v>
      </c>
      <c r="E14415">
        <v>-4536.75</v>
      </c>
      <c r="F14415">
        <v>-1.1299999999999999</v>
      </c>
      <c r="G14415" t="s">
        <v>12</v>
      </c>
      <c r="I14415" t="s">
        <v>1428</v>
      </c>
    </row>
    <row r="14416" spans="1:9" hidden="1" x14ac:dyDescent="0.25">
      <c r="A14416" t="s">
        <v>12058</v>
      </c>
      <c r="B14416" t="s">
        <v>703</v>
      </c>
      <c r="C14416" s="2">
        <f>HYPERLINK("https://cao.dolgi.msk.ru/account/1080224702/", 1080224702)</f>
        <v>1080224702</v>
      </c>
      <c r="D14416" t="s">
        <v>12070</v>
      </c>
      <c r="E14416">
        <v>-5823.18</v>
      </c>
      <c r="F14416">
        <v>-1.03</v>
      </c>
      <c r="G14416" t="s">
        <v>12</v>
      </c>
      <c r="I14416" t="s">
        <v>1428</v>
      </c>
    </row>
    <row r="14417" spans="1:9" hidden="1" x14ac:dyDescent="0.25">
      <c r="A14417" t="s">
        <v>12058</v>
      </c>
      <c r="B14417" t="s">
        <v>705</v>
      </c>
      <c r="C14417" s="2">
        <f>HYPERLINK("https://cao.dolgi.msk.ru/account/1080224729/", 1080224729)</f>
        <v>1080224729</v>
      </c>
      <c r="D14417" t="s">
        <v>12071</v>
      </c>
      <c r="E14417">
        <v>-20997.24</v>
      </c>
      <c r="F14417">
        <v>-2.98</v>
      </c>
      <c r="G14417" t="s">
        <v>12</v>
      </c>
      <c r="I14417" t="s">
        <v>1428</v>
      </c>
    </row>
    <row r="14418" spans="1:9" hidden="1" x14ac:dyDescent="0.25">
      <c r="A14418" t="s">
        <v>12058</v>
      </c>
      <c r="B14418" t="s">
        <v>707</v>
      </c>
      <c r="C14418" s="2">
        <f>HYPERLINK("https://cao.dolgi.msk.ru/account/1080224745/", 1080224745)</f>
        <v>1080224745</v>
      </c>
      <c r="D14418" t="s">
        <v>12072</v>
      </c>
      <c r="E14418">
        <v>-7686.7</v>
      </c>
      <c r="F14418">
        <v>-1.1000000000000001</v>
      </c>
      <c r="G14418" t="s">
        <v>12</v>
      </c>
      <c r="I14418" t="s">
        <v>1428</v>
      </c>
    </row>
    <row r="14419" spans="1:9" hidden="1" x14ac:dyDescent="0.25">
      <c r="A14419" t="s">
        <v>12058</v>
      </c>
      <c r="B14419" t="s">
        <v>709</v>
      </c>
      <c r="C14419" s="2">
        <f>HYPERLINK("https://cao.dolgi.msk.ru/account/1080224753/", 1080224753)</f>
        <v>1080224753</v>
      </c>
      <c r="D14419" t="s">
        <v>12073</v>
      </c>
      <c r="E14419">
        <v>-7283.26</v>
      </c>
      <c r="F14419">
        <v>-1.1000000000000001</v>
      </c>
      <c r="G14419" t="s">
        <v>12</v>
      </c>
      <c r="I14419" t="s">
        <v>1428</v>
      </c>
    </row>
    <row r="14420" spans="1:9" hidden="1" x14ac:dyDescent="0.25">
      <c r="A14420" t="s">
        <v>12058</v>
      </c>
      <c r="B14420" t="s">
        <v>711</v>
      </c>
      <c r="C14420" s="2">
        <f>HYPERLINK("https://cao.dolgi.msk.ru/account/1080224761/", 1080224761)</f>
        <v>1080224761</v>
      </c>
      <c r="D14420" t="s">
        <v>12074</v>
      </c>
      <c r="E14420">
        <v>-144.94999999999999</v>
      </c>
      <c r="F14420">
        <v>-0.02</v>
      </c>
      <c r="G14420" t="s">
        <v>12</v>
      </c>
      <c r="I14420" t="s">
        <v>1428</v>
      </c>
    </row>
    <row r="14421" spans="1:9" hidden="1" x14ac:dyDescent="0.25">
      <c r="A14421" t="s">
        <v>12058</v>
      </c>
      <c r="B14421" t="s">
        <v>713</v>
      </c>
      <c r="C14421" s="2">
        <f>HYPERLINK("https://cao.dolgi.msk.ru/account/1080224788/", 1080224788)</f>
        <v>1080224788</v>
      </c>
      <c r="D14421" t="s">
        <v>12075</v>
      </c>
      <c r="E14421">
        <v>-8215.35</v>
      </c>
      <c r="F14421">
        <v>-1.1100000000000001</v>
      </c>
      <c r="G14421" t="s">
        <v>12</v>
      </c>
      <c r="I14421" t="s">
        <v>1428</v>
      </c>
    </row>
    <row r="14422" spans="1:9" hidden="1" x14ac:dyDescent="0.25">
      <c r="A14422" t="s">
        <v>12058</v>
      </c>
      <c r="B14422" t="s">
        <v>528</v>
      </c>
      <c r="C14422" s="2">
        <f>HYPERLINK("https://cao.dolgi.msk.ru/account/1080224796/", 1080224796)</f>
        <v>1080224796</v>
      </c>
      <c r="D14422" t="s">
        <v>12076</v>
      </c>
      <c r="E14422">
        <v>-5035.8900000000003</v>
      </c>
      <c r="F14422">
        <v>-1.0900000000000001</v>
      </c>
      <c r="G14422" t="s">
        <v>12</v>
      </c>
      <c r="I14422" t="s">
        <v>1428</v>
      </c>
    </row>
    <row r="14423" spans="1:9" hidden="1" x14ac:dyDescent="0.25">
      <c r="A14423" t="s">
        <v>12058</v>
      </c>
      <c r="B14423" t="s">
        <v>530</v>
      </c>
      <c r="C14423" s="2">
        <f>HYPERLINK("https://cao.dolgi.msk.ru/account/1080224809/", 1080224809)</f>
        <v>1080224809</v>
      </c>
      <c r="D14423" t="s">
        <v>12077</v>
      </c>
      <c r="E14423">
        <v>-5983.45</v>
      </c>
      <c r="F14423">
        <v>-1.03</v>
      </c>
      <c r="G14423" t="s">
        <v>12</v>
      </c>
      <c r="I14423" t="s">
        <v>1428</v>
      </c>
    </row>
    <row r="14424" spans="1:9" x14ac:dyDescent="0.25">
      <c r="A14424" t="s">
        <v>12058</v>
      </c>
      <c r="B14424" t="s">
        <v>532</v>
      </c>
      <c r="C14424" s="2">
        <f>HYPERLINK("https://cao.dolgi.msk.ru/account/1080224817/", 1080224817)</f>
        <v>1080224817</v>
      </c>
      <c r="D14424" t="s">
        <v>12078</v>
      </c>
      <c r="E14424">
        <v>13552.49</v>
      </c>
      <c r="F14424">
        <v>4.25</v>
      </c>
      <c r="G14424" t="s">
        <v>12</v>
      </c>
      <c r="H14424" t="s">
        <v>7</v>
      </c>
      <c r="I14424" t="s">
        <v>1428</v>
      </c>
    </row>
    <row r="14425" spans="1:9" hidden="1" x14ac:dyDescent="0.25">
      <c r="A14425" t="s">
        <v>12058</v>
      </c>
      <c r="B14425" t="s">
        <v>532</v>
      </c>
      <c r="C14425" s="2">
        <f>HYPERLINK("https://cao.dolgi.msk.ru/account/1080224825/", 1080224825)</f>
        <v>1080224825</v>
      </c>
      <c r="D14425" t="s">
        <v>12078</v>
      </c>
      <c r="E14425">
        <v>-129.47</v>
      </c>
      <c r="F14425">
        <v>-0.03</v>
      </c>
      <c r="G14425" t="s">
        <v>12</v>
      </c>
      <c r="H14425" t="s">
        <v>7</v>
      </c>
      <c r="I14425" t="s">
        <v>1428</v>
      </c>
    </row>
    <row r="14426" spans="1:9" hidden="1" x14ac:dyDescent="0.25">
      <c r="A14426" t="s">
        <v>12058</v>
      </c>
      <c r="B14426" t="s">
        <v>534</v>
      </c>
      <c r="C14426" s="2">
        <f>HYPERLINK("https://cao.dolgi.msk.ru/account/1080224841/", 1080224841)</f>
        <v>1080224841</v>
      </c>
      <c r="D14426" t="s">
        <v>12079</v>
      </c>
      <c r="E14426">
        <v>-4083.25</v>
      </c>
      <c r="F14426">
        <v>-1.08</v>
      </c>
      <c r="G14426" t="s">
        <v>12</v>
      </c>
      <c r="H14426" t="s">
        <v>7</v>
      </c>
      <c r="I14426" t="s">
        <v>1428</v>
      </c>
    </row>
    <row r="14427" spans="1:9" hidden="1" x14ac:dyDescent="0.25">
      <c r="A14427" t="s">
        <v>12058</v>
      </c>
      <c r="B14427" t="s">
        <v>534</v>
      </c>
      <c r="C14427" s="2">
        <f>HYPERLINK("https://cao.dolgi.msk.ru/account/1080224868/", 1080224868)</f>
        <v>1080224868</v>
      </c>
      <c r="D14427" t="s">
        <v>12080</v>
      </c>
      <c r="E14427">
        <v>-2991.31</v>
      </c>
      <c r="F14427">
        <v>-1.43</v>
      </c>
      <c r="G14427" t="s">
        <v>12</v>
      </c>
      <c r="H14427" t="s">
        <v>7</v>
      </c>
      <c r="I14427" t="s">
        <v>1428</v>
      </c>
    </row>
    <row r="14428" spans="1:9" hidden="1" x14ac:dyDescent="0.25">
      <c r="A14428" t="s">
        <v>12058</v>
      </c>
      <c r="B14428" t="s">
        <v>536</v>
      </c>
      <c r="C14428" s="2">
        <f>HYPERLINK("https://cao.dolgi.msk.ru/account/1080224876/", 1080224876)</f>
        <v>1080224876</v>
      </c>
      <c r="D14428" t="s">
        <v>12081</v>
      </c>
      <c r="E14428">
        <v>-8808.84</v>
      </c>
      <c r="F14428">
        <v>-1.18</v>
      </c>
      <c r="G14428" t="s">
        <v>12</v>
      </c>
      <c r="I14428" t="s">
        <v>1428</v>
      </c>
    </row>
    <row r="14429" spans="1:9" hidden="1" x14ac:dyDescent="0.25">
      <c r="A14429" t="s">
        <v>12058</v>
      </c>
      <c r="B14429" t="s">
        <v>538</v>
      </c>
      <c r="C14429" s="2">
        <f>HYPERLINK("https://cao.dolgi.msk.ru/account/1080224884/", 1080224884)</f>
        <v>1080224884</v>
      </c>
      <c r="D14429" t="s">
        <v>12082</v>
      </c>
      <c r="E14429">
        <v>-7372.54</v>
      </c>
      <c r="F14429">
        <v>-1.1200000000000001</v>
      </c>
      <c r="G14429" t="s">
        <v>12</v>
      </c>
      <c r="I14429" t="s">
        <v>1428</v>
      </c>
    </row>
    <row r="14430" spans="1:9" hidden="1" x14ac:dyDescent="0.25">
      <c r="A14430" t="s">
        <v>12058</v>
      </c>
      <c r="B14430" t="s">
        <v>539</v>
      </c>
      <c r="C14430" s="2">
        <f>HYPERLINK("https://cao.dolgi.msk.ru/account/1080224892/", 1080224892)</f>
        <v>1080224892</v>
      </c>
      <c r="D14430" t="s">
        <v>12083</v>
      </c>
      <c r="E14430">
        <v>-9435.4</v>
      </c>
      <c r="F14430">
        <v>-1.03</v>
      </c>
      <c r="G14430" t="s">
        <v>12</v>
      </c>
      <c r="I14430" t="s">
        <v>1428</v>
      </c>
    </row>
    <row r="14431" spans="1:9" hidden="1" x14ac:dyDescent="0.25">
      <c r="A14431" t="s">
        <v>12058</v>
      </c>
      <c r="B14431" t="s">
        <v>539</v>
      </c>
      <c r="C14431" s="2">
        <f>HYPERLINK("https://cao.dolgi.msk.ru/account/1080224905/", 1080224905)</f>
        <v>1080224905</v>
      </c>
      <c r="D14431" t="s">
        <v>12084</v>
      </c>
      <c r="E14431">
        <v>0</v>
      </c>
      <c r="G14431" t="s">
        <v>14</v>
      </c>
      <c r="I14431" t="s">
        <v>1428</v>
      </c>
    </row>
    <row r="14432" spans="1:9" hidden="1" x14ac:dyDescent="0.25">
      <c r="A14432" t="s">
        <v>12058</v>
      </c>
      <c r="B14432" t="s">
        <v>541</v>
      </c>
      <c r="C14432" s="2">
        <f>HYPERLINK("https://cao.dolgi.msk.ru/account/1080224913/", 1080224913)</f>
        <v>1080224913</v>
      </c>
      <c r="D14432" t="s">
        <v>15</v>
      </c>
      <c r="E14432">
        <v>0</v>
      </c>
      <c r="G14432" t="s">
        <v>14</v>
      </c>
      <c r="I14432" t="s">
        <v>1428</v>
      </c>
    </row>
    <row r="14433" spans="1:9" hidden="1" x14ac:dyDescent="0.25">
      <c r="A14433" t="s">
        <v>12058</v>
      </c>
      <c r="B14433" t="s">
        <v>541</v>
      </c>
      <c r="C14433" s="2">
        <f>HYPERLINK("https://cao.dolgi.msk.ru/account/1080224921/", 1080224921)</f>
        <v>1080224921</v>
      </c>
      <c r="D14433" t="s">
        <v>12085</v>
      </c>
      <c r="E14433">
        <v>3755.66</v>
      </c>
      <c r="F14433">
        <v>2.3199999999999998</v>
      </c>
      <c r="G14433" t="s">
        <v>14</v>
      </c>
      <c r="I14433" t="s">
        <v>1428</v>
      </c>
    </row>
    <row r="14434" spans="1:9" hidden="1" x14ac:dyDescent="0.25">
      <c r="A14434" t="s">
        <v>12058</v>
      </c>
      <c r="B14434" t="s">
        <v>541</v>
      </c>
      <c r="C14434" s="2">
        <f>HYPERLINK("https://cao.dolgi.msk.ru/account/1083383485/", 1083383485)</f>
        <v>1083383485</v>
      </c>
      <c r="D14434" t="s">
        <v>15</v>
      </c>
      <c r="E14434">
        <v>0</v>
      </c>
      <c r="F14434">
        <v>0</v>
      </c>
      <c r="G14434" t="s">
        <v>12</v>
      </c>
      <c r="I14434" t="s">
        <v>1428</v>
      </c>
    </row>
    <row r="14435" spans="1:9" hidden="1" x14ac:dyDescent="0.25">
      <c r="A14435" t="s">
        <v>12058</v>
      </c>
      <c r="B14435" t="s">
        <v>543</v>
      </c>
      <c r="C14435" s="2">
        <f>HYPERLINK("https://cao.dolgi.msk.ru/account/1080224948/", 1080224948)</f>
        <v>1080224948</v>
      </c>
      <c r="D14435" t="s">
        <v>12086</v>
      </c>
      <c r="E14435">
        <v>7203.28</v>
      </c>
      <c r="F14435">
        <v>1</v>
      </c>
      <c r="G14435" t="s">
        <v>12</v>
      </c>
      <c r="I14435" t="s">
        <v>1428</v>
      </c>
    </row>
    <row r="14436" spans="1:9" hidden="1" x14ac:dyDescent="0.25">
      <c r="A14436" t="s">
        <v>12058</v>
      </c>
      <c r="B14436" t="s">
        <v>545</v>
      </c>
      <c r="C14436" s="2">
        <f>HYPERLINK("https://cao.dolgi.msk.ru/account/1080224956/", 1080224956)</f>
        <v>1080224956</v>
      </c>
      <c r="D14436" t="s">
        <v>12087</v>
      </c>
      <c r="E14436">
        <v>12627.79</v>
      </c>
      <c r="F14436">
        <v>1</v>
      </c>
      <c r="G14436" t="s">
        <v>12</v>
      </c>
      <c r="I14436" t="s">
        <v>1428</v>
      </c>
    </row>
    <row r="14437" spans="1:9" hidden="1" x14ac:dyDescent="0.25">
      <c r="A14437" t="s">
        <v>12058</v>
      </c>
      <c r="B14437" t="s">
        <v>546</v>
      </c>
      <c r="C14437" s="2">
        <f>HYPERLINK("https://cao.dolgi.msk.ru/account/1080224964/", 1080224964)</f>
        <v>1080224964</v>
      </c>
      <c r="D14437" t="s">
        <v>12088</v>
      </c>
      <c r="E14437">
        <v>-5137.41</v>
      </c>
      <c r="F14437">
        <v>-0.92</v>
      </c>
      <c r="G14437" t="s">
        <v>12</v>
      </c>
      <c r="I14437" t="s">
        <v>1428</v>
      </c>
    </row>
    <row r="14438" spans="1:9" hidden="1" x14ac:dyDescent="0.25">
      <c r="A14438" t="s">
        <v>12058</v>
      </c>
      <c r="B14438" t="s">
        <v>548</v>
      </c>
      <c r="C14438" s="2">
        <f>HYPERLINK("https://cao.dolgi.msk.ru/account/1080224972/", 1080224972)</f>
        <v>1080224972</v>
      </c>
      <c r="D14438" t="s">
        <v>12089</v>
      </c>
      <c r="E14438">
        <v>-5348.99</v>
      </c>
      <c r="F14438">
        <v>-1.04</v>
      </c>
      <c r="G14438" t="s">
        <v>12</v>
      </c>
      <c r="I14438" t="s">
        <v>1428</v>
      </c>
    </row>
    <row r="14439" spans="1:9" hidden="1" x14ac:dyDescent="0.25">
      <c r="A14439" t="s">
        <v>12058</v>
      </c>
      <c r="B14439" t="s">
        <v>727</v>
      </c>
      <c r="C14439" s="2">
        <f>HYPERLINK("https://cao.dolgi.msk.ru/account/1080224999/", 1080224999)</f>
        <v>1080224999</v>
      </c>
      <c r="D14439" t="s">
        <v>12090</v>
      </c>
      <c r="E14439">
        <v>-7281.56</v>
      </c>
      <c r="F14439">
        <v>-1.02</v>
      </c>
      <c r="G14439" t="s">
        <v>12</v>
      </c>
      <c r="I14439" t="s">
        <v>1428</v>
      </c>
    </row>
    <row r="14440" spans="1:9" x14ac:dyDescent="0.25">
      <c r="A14440" t="s">
        <v>12058</v>
      </c>
      <c r="B14440" t="s">
        <v>551</v>
      </c>
      <c r="C14440" s="2">
        <f>HYPERLINK("https://cao.dolgi.msk.ru/account/1080225027/", 1080225027)</f>
        <v>1080225027</v>
      </c>
      <c r="D14440" t="s">
        <v>10653</v>
      </c>
      <c r="E14440">
        <v>22067.01</v>
      </c>
      <c r="F14440">
        <v>2.9</v>
      </c>
      <c r="G14440" t="s">
        <v>12</v>
      </c>
      <c r="I14440" t="s">
        <v>1428</v>
      </c>
    </row>
    <row r="14441" spans="1:9" hidden="1" x14ac:dyDescent="0.25">
      <c r="A14441" t="s">
        <v>12058</v>
      </c>
      <c r="B14441" t="s">
        <v>730</v>
      </c>
      <c r="C14441" s="2">
        <f>HYPERLINK("https://cao.dolgi.msk.ru/account/1080225035/", 1080225035)</f>
        <v>1080225035</v>
      </c>
      <c r="D14441" t="s">
        <v>12091</v>
      </c>
      <c r="E14441">
        <v>-249.32</v>
      </c>
      <c r="G14441" t="s">
        <v>14</v>
      </c>
      <c r="I14441" t="s">
        <v>1428</v>
      </c>
    </row>
    <row r="14442" spans="1:9" hidden="1" x14ac:dyDescent="0.25">
      <c r="A14442" t="s">
        <v>12058</v>
      </c>
      <c r="B14442" t="s">
        <v>730</v>
      </c>
      <c r="C14442" s="2">
        <f>HYPERLINK("https://cao.dolgi.msk.ru/account/1089129429/", 1089129429)</f>
        <v>1089129429</v>
      </c>
      <c r="D14442" t="s">
        <v>15</v>
      </c>
      <c r="E14442">
        <v>0</v>
      </c>
      <c r="F14442">
        <v>0</v>
      </c>
      <c r="G14442" t="s">
        <v>12</v>
      </c>
      <c r="I14442" t="s">
        <v>1428</v>
      </c>
    </row>
    <row r="14443" spans="1:9" hidden="1" x14ac:dyDescent="0.25">
      <c r="A14443" t="s">
        <v>12058</v>
      </c>
      <c r="B14443" t="s">
        <v>732</v>
      </c>
      <c r="C14443" s="2">
        <f>HYPERLINK("https://cao.dolgi.msk.ru/account/1080225043/", 1080225043)</f>
        <v>1080225043</v>
      </c>
      <c r="D14443" t="s">
        <v>12092</v>
      </c>
      <c r="E14443">
        <v>-1298.8800000000001</v>
      </c>
      <c r="F14443">
        <v>-1.05</v>
      </c>
      <c r="G14443" t="s">
        <v>12</v>
      </c>
      <c r="H14443" t="s">
        <v>7</v>
      </c>
      <c r="I14443" t="s">
        <v>1428</v>
      </c>
    </row>
    <row r="14444" spans="1:9" hidden="1" x14ac:dyDescent="0.25">
      <c r="A14444" t="s">
        <v>12058</v>
      </c>
      <c r="B14444" t="s">
        <v>732</v>
      </c>
      <c r="C14444" s="2">
        <f>HYPERLINK("https://cao.dolgi.msk.ru/account/1080225051/", 1080225051)</f>
        <v>1080225051</v>
      </c>
      <c r="D14444" t="s">
        <v>12092</v>
      </c>
      <c r="E14444">
        <v>-2591.35</v>
      </c>
      <c r="F14444">
        <v>-1.27</v>
      </c>
      <c r="G14444" t="s">
        <v>12</v>
      </c>
      <c r="H14444" t="s">
        <v>7</v>
      </c>
      <c r="I14444" t="s">
        <v>1428</v>
      </c>
    </row>
    <row r="14445" spans="1:9" hidden="1" x14ac:dyDescent="0.25">
      <c r="A14445" t="s">
        <v>12058</v>
      </c>
      <c r="B14445" t="s">
        <v>732</v>
      </c>
      <c r="C14445" s="2">
        <f>HYPERLINK("https://cao.dolgi.msk.ru/account/1080225078/", 1080225078)</f>
        <v>1080225078</v>
      </c>
      <c r="D14445" t="s">
        <v>12093</v>
      </c>
      <c r="E14445">
        <v>-3991.8</v>
      </c>
      <c r="F14445">
        <v>-1.01</v>
      </c>
      <c r="G14445" t="s">
        <v>12</v>
      </c>
      <c r="H14445" t="s">
        <v>7</v>
      </c>
      <c r="I14445" t="s">
        <v>1428</v>
      </c>
    </row>
    <row r="14446" spans="1:9" hidden="1" x14ac:dyDescent="0.25">
      <c r="A14446" t="s">
        <v>12058</v>
      </c>
      <c r="B14446" t="s">
        <v>553</v>
      </c>
      <c r="C14446" s="2">
        <f>HYPERLINK("https://cao.dolgi.msk.ru/account/1080225086/", 1080225086)</f>
        <v>1080225086</v>
      </c>
      <c r="D14446" t="s">
        <v>12094</v>
      </c>
      <c r="E14446">
        <v>-65.489999999999995</v>
      </c>
      <c r="F14446">
        <v>-0.01</v>
      </c>
      <c r="G14446" t="s">
        <v>12</v>
      </c>
      <c r="I14446" t="s">
        <v>1428</v>
      </c>
    </row>
    <row r="14447" spans="1:9" x14ac:dyDescent="0.25">
      <c r="A14447" t="s">
        <v>12058</v>
      </c>
      <c r="B14447" t="s">
        <v>555</v>
      </c>
      <c r="C14447" s="2">
        <f>HYPERLINK("https://cao.dolgi.msk.ru/account/1080225094/", 1080225094)</f>
        <v>1080225094</v>
      </c>
      <c r="D14447" t="s">
        <v>12095</v>
      </c>
      <c r="E14447">
        <v>8983</v>
      </c>
      <c r="F14447">
        <v>1.02</v>
      </c>
      <c r="G14447" t="s">
        <v>12</v>
      </c>
      <c r="I14447" t="s">
        <v>1428</v>
      </c>
    </row>
    <row r="14448" spans="1:9" hidden="1" x14ac:dyDescent="0.25">
      <c r="A14448" t="s">
        <v>12058</v>
      </c>
      <c r="B14448" t="s">
        <v>736</v>
      </c>
      <c r="C14448" s="2">
        <f>HYPERLINK("https://cao.dolgi.msk.ru/account/1080225107/", 1080225107)</f>
        <v>1080225107</v>
      </c>
      <c r="D14448" t="s">
        <v>12096</v>
      </c>
      <c r="E14448">
        <v>-4194.51</v>
      </c>
      <c r="F14448">
        <v>-1.05</v>
      </c>
      <c r="G14448" t="s">
        <v>12</v>
      </c>
      <c r="I14448" t="s">
        <v>1428</v>
      </c>
    </row>
    <row r="14449" spans="1:9" x14ac:dyDescent="0.25">
      <c r="A14449" t="s">
        <v>12058</v>
      </c>
      <c r="B14449" t="s">
        <v>738</v>
      </c>
      <c r="C14449" s="2">
        <f>HYPERLINK("https://cao.dolgi.msk.ru/account/1080225115/", 1080225115)</f>
        <v>1080225115</v>
      </c>
      <c r="D14449" t="s">
        <v>12097</v>
      </c>
      <c r="E14449">
        <v>14330.12</v>
      </c>
      <c r="F14449">
        <v>2.67</v>
      </c>
      <c r="G14449" t="s">
        <v>12</v>
      </c>
      <c r="I14449" t="s">
        <v>1428</v>
      </c>
    </row>
    <row r="14450" spans="1:9" x14ac:dyDescent="0.25">
      <c r="A14450" t="s">
        <v>12058</v>
      </c>
      <c r="B14450" t="s">
        <v>740</v>
      </c>
      <c r="C14450" s="2">
        <f>HYPERLINK("https://cao.dolgi.msk.ru/account/1080225131/", 1080225131)</f>
        <v>1080225131</v>
      </c>
      <c r="D14450" t="s">
        <v>12098</v>
      </c>
      <c r="E14450">
        <v>8774.65</v>
      </c>
      <c r="F14450">
        <v>1.08</v>
      </c>
      <c r="G14450" t="s">
        <v>12</v>
      </c>
      <c r="I14450" t="s">
        <v>1428</v>
      </c>
    </row>
    <row r="14451" spans="1:9" hidden="1" x14ac:dyDescent="0.25">
      <c r="A14451" t="s">
        <v>12058</v>
      </c>
      <c r="B14451" t="s">
        <v>742</v>
      </c>
      <c r="C14451" s="2">
        <f>HYPERLINK("https://cao.dolgi.msk.ru/account/1080225158/", 1080225158)</f>
        <v>1080225158</v>
      </c>
      <c r="D14451" t="s">
        <v>12099</v>
      </c>
      <c r="E14451">
        <v>-5188.1499999999996</v>
      </c>
      <c r="F14451">
        <v>-1.02</v>
      </c>
      <c r="G14451" t="s">
        <v>12</v>
      </c>
      <c r="H14451" t="s">
        <v>7</v>
      </c>
      <c r="I14451" t="s">
        <v>1428</v>
      </c>
    </row>
    <row r="14452" spans="1:9" hidden="1" x14ac:dyDescent="0.25">
      <c r="A14452" t="s">
        <v>12058</v>
      </c>
      <c r="B14452" t="s">
        <v>742</v>
      </c>
      <c r="C14452" s="2">
        <f>HYPERLINK("https://cao.dolgi.msk.ru/account/1080225166/", 1080225166)</f>
        <v>1080225166</v>
      </c>
      <c r="D14452" t="s">
        <v>12099</v>
      </c>
      <c r="E14452">
        <v>-15645.4</v>
      </c>
      <c r="F14452">
        <v>-3.81</v>
      </c>
      <c r="G14452" t="s">
        <v>12</v>
      </c>
      <c r="H14452" t="s">
        <v>7</v>
      </c>
      <c r="I14452" t="s">
        <v>1428</v>
      </c>
    </row>
    <row r="14453" spans="1:9" hidden="1" x14ac:dyDescent="0.25">
      <c r="A14453" t="s">
        <v>12058</v>
      </c>
      <c r="B14453" t="s">
        <v>557</v>
      </c>
      <c r="C14453" s="2">
        <f>HYPERLINK("https://cao.dolgi.msk.ru/account/1080225174/", 1080225174)</f>
        <v>1080225174</v>
      </c>
      <c r="D14453" t="s">
        <v>1082</v>
      </c>
      <c r="E14453">
        <v>-3919.05</v>
      </c>
      <c r="F14453">
        <v>-0.93</v>
      </c>
      <c r="G14453" t="s">
        <v>12</v>
      </c>
      <c r="H14453" t="s">
        <v>7</v>
      </c>
      <c r="I14453" t="s">
        <v>1428</v>
      </c>
    </row>
    <row r="14454" spans="1:9" hidden="1" x14ac:dyDescent="0.25">
      <c r="A14454" t="s">
        <v>12058</v>
      </c>
      <c r="B14454" t="s">
        <v>557</v>
      </c>
      <c r="C14454" s="2">
        <f>HYPERLINK("https://cao.dolgi.msk.ru/account/1080225182/", 1080225182)</f>
        <v>1080225182</v>
      </c>
      <c r="D14454" t="s">
        <v>15</v>
      </c>
      <c r="E14454">
        <v>-3011.37</v>
      </c>
      <c r="F14454">
        <v>-0.84</v>
      </c>
      <c r="G14454" t="s">
        <v>12</v>
      </c>
      <c r="H14454" t="s">
        <v>7</v>
      </c>
      <c r="I14454" t="s">
        <v>1428</v>
      </c>
    </row>
    <row r="14455" spans="1:9" x14ac:dyDescent="0.25">
      <c r="A14455" t="s">
        <v>12058</v>
      </c>
      <c r="B14455" t="s">
        <v>557</v>
      </c>
      <c r="C14455" s="2">
        <f>HYPERLINK("https://cao.dolgi.msk.ru/account/1080225203/", 1080225203)</f>
        <v>1080225203</v>
      </c>
      <c r="D14455" t="s">
        <v>1082</v>
      </c>
      <c r="E14455">
        <v>12200.66</v>
      </c>
      <c r="F14455">
        <v>4.09</v>
      </c>
      <c r="G14455" t="s">
        <v>12</v>
      </c>
      <c r="H14455" t="s">
        <v>7</v>
      </c>
      <c r="I14455" t="s">
        <v>1428</v>
      </c>
    </row>
    <row r="14456" spans="1:9" hidden="1" x14ac:dyDescent="0.25">
      <c r="A14456" t="s">
        <v>12058</v>
      </c>
      <c r="B14456" t="s">
        <v>558</v>
      </c>
      <c r="C14456" s="2">
        <f>HYPERLINK("https://cao.dolgi.msk.ru/account/1080225211/", 1080225211)</f>
        <v>1080225211</v>
      </c>
      <c r="D14456" t="s">
        <v>12100</v>
      </c>
      <c r="E14456">
        <v>-4638.79</v>
      </c>
      <c r="F14456">
        <v>-0.98</v>
      </c>
      <c r="G14456" t="s">
        <v>12</v>
      </c>
      <c r="I14456" t="s">
        <v>1428</v>
      </c>
    </row>
    <row r="14457" spans="1:9" hidden="1" x14ac:dyDescent="0.25">
      <c r="A14457" t="s">
        <v>12058</v>
      </c>
      <c r="B14457" t="s">
        <v>558</v>
      </c>
      <c r="C14457" s="2">
        <f>HYPERLINK("https://cao.dolgi.msk.ru/account/1080225238/", 1080225238)</f>
        <v>1080225238</v>
      </c>
      <c r="D14457" t="s">
        <v>12101</v>
      </c>
      <c r="G14457" t="s">
        <v>14</v>
      </c>
      <c r="I14457" t="s">
        <v>1428</v>
      </c>
    </row>
    <row r="14458" spans="1:9" hidden="1" x14ac:dyDescent="0.25">
      <c r="A14458" t="s">
        <v>12058</v>
      </c>
      <c r="B14458" t="s">
        <v>746</v>
      </c>
      <c r="C14458" s="2">
        <f>HYPERLINK("https://cao.dolgi.msk.ru/account/1080225254/", 1080225254)</f>
        <v>1080225254</v>
      </c>
      <c r="D14458" t="s">
        <v>15</v>
      </c>
      <c r="E14458">
        <v>-16.14</v>
      </c>
      <c r="F14458">
        <v>0</v>
      </c>
      <c r="G14458" t="s">
        <v>12</v>
      </c>
      <c r="I14458" t="s">
        <v>1428</v>
      </c>
    </row>
    <row r="14459" spans="1:9" hidden="1" x14ac:dyDescent="0.25">
      <c r="A14459" t="s">
        <v>12058</v>
      </c>
      <c r="B14459" t="s">
        <v>748</v>
      </c>
      <c r="C14459" s="2">
        <f>HYPERLINK("https://cao.dolgi.msk.ru/account/1080225262/", 1080225262)</f>
        <v>1080225262</v>
      </c>
      <c r="D14459" t="s">
        <v>12102</v>
      </c>
      <c r="E14459">
        <v>-7662.93</v>
      </c>
      <c r="F14459">
        <v>-1.08</v>
      </c>
      <c r="G14459" t="s">
        <v>12</v>
      </c>
      <c r="I14459" t="s">
        <v>1428</v>
      </c>
    </row>
    <row r="14460" spans="1:9" hidden="1" x14ac:dyDescent="0.25">
      <c r="A14460" t="s">
        <v>12058</v>
      </c>
      <c r="B14460" t="s">
        <v>750</v>
      </c>
      <c r="C14460" s="2">
        <f>HYPERLINK("https://cao.dolgi.msk.ru/account/1080225289/", 1080225289)</f>
        <v>1080225289</v>
      </c>
      <c r="D14460" t="s">
        <v>12103</v>
      </c>
      <c r="E14460">
        <v>-2467.36</v>
      </c>
      <c r="F14460">
        <v>-0.4</v>
      </c>
      <c r="G14460" t="s">
        <v>12</v>
      </c>
      <c r="I14460" t="s">
        <v>1428</v>
      </c>
    </row>
    <row r="14461" spans="1:9" hidden="1" x14ac:dyDescent="0.25">
      <c r="A14461" t="s">
        <v>12058</v>
      </c>
      <c r="B14461" t="s">
        <v>752</v>
      </c>
      <c r="C14461" s="2">
        <f>HYPERLINK("https://cao.dolgi.msk.ru/account/1080225297/", 1080225297)</f>
        <v>1080225297</v>
      </c>
      <c r="D14461" t="s">
        <v>12104</v>
      </c>
      <c r="E14461">
        <v>-5917.08</v>
      </c>
      <c r="F14461">
        <v>-0.9</v>
      </c>
      <c r="G14461" t="s">
        <v>12</v>
      </c>
      <c r="I14461" t="s">
        <v>1428</v>
      </c>
    </row>
    <row r="14462" spans="1:9" x14ac:dyDescent="0.25">
      <c r="A14462" t="s">
        <v>12058</v>
      </c>
      <c r="B14462" t="s">
        <v>754</v>
      </c>
      <c r="C14462" s="2">
        <f>HYPERLINK("https://cao.dolgi.msk.ru/account/1080225318/", 1080225318)</f>
        <v>1080225318</v>
      </c>
      <c r="D14462" t="s">
        <v>12105</v>
      </c>
      <c r="E14462">
        <v>98821.79</v>
      </c>
      <c r="F14462">
        <v>5.63</v>
      </c>
      <c r="G14462" t="s">
        <v>12</v>
      </c>
      <c r="H14462" t="s">
        <v>7</v>
      </c>
      <c r="I14462" t="s">
        <v>1428</v>
      </c>
    </row>
    <row r="14463" spans="1:9" hidden="1" x14ac:dyDescent="0.25">
      <c r="A14463" t="s">
        <v>12058</v>
      </c>
      <c r="B14463" t="s">
        <v>754</v>
      </c>
      <c r="C14463" s="2">
        <f>HYPERLINK("https://cao.dolgi.msk.ru/account/1089131748/", 1089131748)</f>
        <v>1089131748</v>
      </c>
      <c r="D14463" t="s">
        <v>15</v>
      </c>
      <c r="G14463" t="s">
        <v>14</v>
      </c>
      <c r="H14463" t="s">
        <v>7</v>
      </c>
      <c r="I14463" t="s">
        <v>1428</v>
      </c>
    </row>
    <row r="14464" spans="1:9" x14ac:dyDescent="0.25">
      <c r="A14464" t="s">
        <v>12058</v>
      </c>
      <c r="B14464" t="s">
        <v>754</v>
      </c>
      <c r="C14464" s="2">
        <f>HYPERLINK("https://cao.dolgi.msk.ru/account/1089133436/", 1089133436)</f>
        <v>1089133436</v>
      </c>
      <c r="D14464" t="s">
        <v>12105</v>
      </c>
      <c r="E14464">
        <v>19172.54</v>
      </c>
      <c r="F14464">
        <v>6.76</v>
      </c>
      <c r="G14464" t="s">
        <v>12</v>
      </c>
      <c r="H14464" t="s">
        <v>7</v>
      </c>
      <c r="I14464" t="s">
        <v>1428</v>
      </c>
    </row>
    <row r="14465" spans="1:9" hidden="1" x14ac:dyDescent="0.25">
      <c r="A14465" t="s">
        <v>12058</v>
      </c>
      <c r="B14465" t="s">
        <v>756</v>
      </c>
      <c r="C14465" s="2">
        <f>HYPERLINK("https://cao.dolgi.msk.ru/account/1080225326/", 1080225326)</f>
        <v>1080225326</v>
      </c>
      <c r="D14465" t="s">
        <v>12106</v>
      </c>
      <c r="E14465">
        <v>-7883.98</v>
      </c>
      <c r="F14465">
        <v>-1.06</v>
      </c>
      <c r="G14465" t="s">
        <v>12</v>
      </c>
      <c r="I14465" t="s">
        <v>1428</v>
      </c>
    </row>
    <row r="14466" spans="1:9" hidden="1" x14ac:dyDescent="0.25">
      <c r="A14466" t="s">
        <v>12058</v>
      </c>
      <c r="B14466" t="s">
        <v>758</v>
      </c>
      <c r="C14466" s="2">
        <f>HYPERLINK("https://cao.dolgi.msk.ru/account/1080225334/", 1080225334)</f>
        <v>1080225334</v>
      </c>
      <c r="D14466" t="s">
        <v>12107</v>
      </c>
      <c r="E14466">
        <v>18.55</v>
      </c>
      <c r="F14466">
        <v>0</v>
      </c>
      <c r="G14466" t="s">
        <v>12</v>
      </c>
      <c r="I14466" t="s">
        <v>1428</v>
      </c>
    </row>
    <row r="14467" spans="1:9" hidden="1" x14ac:dyDescent="0.25">
      <c r="A14467" t="s">
        <v>12058</v>
      </c>
      <c r="B14467" t="s">
        <v>760</v>
      </c>
      <c r="C14467" s="2">
        <f>HYPERLINK("https://cao.dolgi.msk.ru/account/1080225342/", 1080225342)</f>
        <v>1080225342</v>
      </c>
      <c r="D14467" t="s">
        <v>12108</v>
      </c>
      <c r="E14467">
        <v>-143.56</v>
      </c>
      <c r="F14467">
        <v>-0.02</v>
      </c>
      <c r="G14467" t="s">
        <v>12</v>
      </c>
      <c r="I14467" t="s">
        <v>1428</v>
      </c>
    </row>
    <row r="14468" spans="1:9" hidden="1" x14ac:dyDescent="0.25">
      <c r="A14468" t="s">
        <v>12058</v>
      </c>
      <c r="B14468" t="s">
        <v>762</v>
      </c>
      <c r="C14468" s="2">
        <f>HYPERLINK("https://cao.dolgi.msk.ru/account/1080224737/", 1080224737)</f>
        <v>1080224737</v>
      </c>
      <c r="D14468" t="s">
        <v>12109</v>
      </c>
      <c r="E14468">
        <v>0</v>
      </c>
      <c r="F14468">
        <v>0</v>
      </c>
      <c r="G14468" t="s">
        <v>12</v>
      </c>
      <c r="H14468" t="s">
        <v>7</v>
      </c>
      <c r="I14468" t="s">
        <v>1428</v>
      </c>
    </row>
    <row r="14469" spans="1:9" hidden="1" x14ac:dyDescent="0.25">
      <c r="A14469" t="s">
        <v>12058</v>
      </c>
      <c r="B14469" t="s">
        <v>762</v>
      </c>
      <c r="C14469" s="2">
        <f>HYPERLINK("https://cao.dolgi.msk.ru/account/1080225369/", 1080225369)</f>
        <v>1080225369</v>
      </c>
      <c r="D14469" t="s">
        <v>1082</v>
      </c>
      <c r="E14469">
        <v>0</v>
      </c>
      <c r="F14469">
        <v>0</v>
      </c>
      <c r="G14469" t="s">
        <v>12</v>
      </c>
      <c r="H14469" t="s">
        <v>7</v>
      </c>
      <c r="I14469" t="s">
        <v>1428</v>
      </c>
    </row>
    <row r="14470" spans="1:9" hidden="1" x14ac:dyDescent="0.25">
      <c r="A14470" t="s">
        <v>12058</v>
      </c>
      <c r="B14470" t="s">
        <v>762</v>
      </c>
      <c r="C14470" s="2">
        <f>HYPERLINK("https://cao.dolgi.msk.ru/account/1080225377/", 1080225377)</f>
        <v>1080225377</v>
      </c>
      <c r="D14470" t="s">
        <v>12109</v>
      </c>
      <c r="E14470">
        <v>0</v>
      </c>
      <c r="F14470">
        <v>0</v>
      </c>
      <c r="G14470" t="s">
        <v>12</v>
      </c>
      <c r="H14470" t="s">
        <v>7</v>
      </c>
      <c r="I14470" t="s">
        <v>1428</v>
      </c>
    </row>
    <row r="14471" spans="1:9" hidden="1" x14ac:dyDescent="0.25">
      <c r="A14471" t="s">
        <v>12058</v>
      </c>
      <c r="B14471" t="s">
        <v>764</v>
      </c>
      <c r="C14471" s="2">
        <f>HYPERLINK("https://cao.dolgi.msk.ru/account/1080225385/", 1080225385)</f>
        <v>1080225385</v>
      </c>
      <c r="D14471" t="s">
        <v>12110</v>
      </c>
      <c r="E14471">
        <v>-1291.8900000000001</v>
      </c>
      <c r="F14471">
        <v>-0.43</v>
      </c>
      <c r="G14471" t="s">
        <v>12</v>
      </c>
      <c r="H14471" t="s">
        <v>7</v>
      </c>
      <c r="I14471" t="s">
        <v>1428</v>
      </c>
    </row>
    <row r="14472" spans="1:9" x14ac:dyDescent="0.25">
      <c r="A14472" t="s">
        <v>12058</v>
      </c>
      <c r="B14472" t="s">
        <v>764</v>
      </c>
      <c r="C14472" s="2">
        <f>HYPERLINK("https://cao.dolgi.msk.ru/account/1080225393/", 1080225393)</f>
        <v>1080225393</v>
      </c>
      <c r="D14472" t="s">
        <v>12110</v>
      </c>
      <c r="E14472">
        <v>6189.23</v>
      </c>
      <c r="F14472">
        <v>1.84</v>
      </c>
      <c r="G14472" t="s">
        <v>12</v>
      </c>
      <c r="H14472" t="s">
        <v>7</v>
      </c>
      <c r="I14472" t="s">
        <v>1428</v>
      </c>
    </row>
    <row r="14473" spans="1:9" hidden="1" x14ac:dyDescent="0.25">
      <c r="A14473" t="s">
        <v>12058</v>
      </c>
      <c r="B14473" t="s">
        <v>764</v>
      </c>
      <c r="C14473" s="2">
        <f>HYPERLINK("https://cao.dolgi.msk.ru/account/1080321617/", 1080321617)</f>
        <v>1080321617</v>
      </c>
      <c r="D14473" t="s">
        <v>12110</v>
      </c>
      <c r="E14473">
        <v>-1768.33</v>
      </c>
      <c r="F14473">
        <v>-1.1200000000000001</v>
      </c>
      <c r="G14473" t="s">
        <v>12</v>
      </c>
      <c r="H14473" t="s">
        <v>7</v>
      </c>
      <c r="I14473" t="s">
        <v>1428</v>
      </c>
    </row>
    <row r="14474" spans="1:9" hidden="1" x14ac:dyDescent="0.25">
      <c r="A14474" t="s">
        <v>12058</v>
      </c>
      <c r="B14474" t="s">
        <v>766</v>
      </c>
      <c r="C14474" s="2">
        <f>HYPERLINK("https://cao.dolgi.msk.ru/account/1080225406/", 1080225406)</f>
        <v>1080225406</v>
      </c>
      <c r="D14474" t="s">
        <v>12111</v>
      </c>
      <c r="E14474">
        <v>-63.2</v>
      </c>
      <c r="F14474">
        <v>-0.01</v>
      </c>
      <c r="G14474" t="s">
        <v>12</v>
      </c>
      <c r="I14474" t="s">
        <v>1428</v>
      </c>
    </row>
    <row r="14475" spans="1:9" hidden="1" x14ac:dyDescent="0.25">
      <c r="A14475" t="s">
        <v>12058</v>
      </c>
      <c r="B14475" t="s">
        <v>768</v>
      </c>
      <c r="C14475" s="2">
        <f>HYPERLINK("https://cao.dolgi.msk.ru/account/1080225414/", 1080225414)</f>
        <v>1080225414</v>
      </c>
      <c r="D14475" t="s">
        <v>12112</v>
      </c>
      <c r="E14475">
        <v>0</v>
      </c>
      <c r="G14475" t="s">
        <v>14</v>
      </c>
      <c r="I14475" t="s">
        <v>1428</v>
      </c>
    </row>
    <row r="14476" spans="1:9" hidden="1" x14ac:dyDescent="0.25">
      <c r="A14476" t="s">
        <v>12058</v>
      </c>
      <c r="B14476" t="s">
        <v>768</v>
      </c>
      <c r="C14476" s="2">
        <f>HYPERLINK("https://cao.dolgi.msk.ru/account/1080225422/", 1080225422)</f>
        <v>1080225422</v>
      </c>
      <c r="D14476" t="s">
        <v>12112</v>
      </c>
      <c r="E14476">
        <v>0</v>
      </c>
      <c r="G14476" t="s">
        <v>14</v>
      </c>
      <c r="I14476" t="s">
        <v>1428</v>
      </c>
    </row>
    <row r="14477" spans="1:9" hidden="1" x14ac:dyDescent="0.25">
      <c r="A14477" t="s">
        <v>12058</v>
      </c>
      <c r="B14477" t="s">
        <v>768</v>
      </c>
      <c r="C14477" s="2">
        <f>HYPERLINK("https://cao.dolgi.msk.ru/account/1080320649/", 1080320649)</f>
        <v>1080320649</v>
      </c>
      <c r="D14477" t="s">
        <v>15</v>
      </c>
      <c r="E14477">
        <v>-8145.07</v>
      </c>
      <c r="F14477">
        <v>-1.06</v>
      </c>
      <c r="G14477" t="s">
        <v>12</v>
      </c>
      <c r="I14477" t="s">
        <v>1428</v>
      </c>
    </row>
    <row r="14478" spans="1:9" hidden="1" x14ac:dyDescent="0.25">
      <c r="A14478" t="s">
        <v>12058</v>
      </c>
      <c r="B14478" t="s">
        <v>770</v>
      </c>
      <c r="C14478" s="2">
        <f>HYPERLINK("https://cao.dolgi.msk.ru/account/1080225449/", 1080225449)</f>
        <v>1080225449</v>
      </c>
      <c r="D14478" t="s">
        <v>12113</v>
      </c>
      <c r="E14478">
        <v>-10936.61</v>
      </c>
      <c r="F14478">
        <v>-1.56</v>
      </c>
      <c r="G14478" t="s">
        <v>12</v>
      </c>
      <c r="I14478" t="s">
        <v>1428</v>
      </c>
    </row>
    <row r="14479" spans="1:9" hidden="1" x14ac:dyDescent="0.25">
      <c r="A14479" t="s">
        <v>12058</v>
      </c>
      <c r="B14479" t="s">
        <v>772</v>
      </c>
      <c r="C14479" s="2">
        <f>HYPERLINK("https://cao.dolgi.msk.ru/account/1080225457/", 1080225457)</f>
        <v>1080225457</v>
      </c>
      <c r="D14479" t="s">
        <v>12114</v>
      </c>
      <c r="E14479">
        <v>-12130.6</v>
      </c>
      <c r="F14479">
        <v>-1.01</v>
      </c>
      <c r="G14479" t="s">
        <v>12</v>
      </c>
      <c r="I14479" t="s">
        <v>1428</v>
      </c>
    </row>
    <row r="14480" spans="1:9" hidden="1" x14ac:dyDescent="0.25">
      <c r="A14480" t="s">
        <v>12058</v>
      </c>
      <c r="B14480" t="s">
        <v>774</v>
      </c>
      <c r="C14480" s="2">
        <f>HYPERLINK("https://cao.dolgi.msk.ru/account/1080225465/", 1080225465)</f>
        <v>1080225465</v>
      </c>
      <c r="D14480" t="s">
        <v>12115</v>
      </c>
      <c r="E14480">
        <v>-7957.41</v>
      </c>
      <c r="F14480">
        <v>-1.07</v>
      </c>
      <c r="G14480" t="s">
        <v>12</v>
      </c>
      <c r="I14480" t="s">
        <v>1428</v>
      </c>
    </row>
    <row r="14481" spans="1:9" hidden="1" x14ac:dyDescent="0.25">
      <c r="A14481" t="s">
        <v>12058</v>
      </c>
      <c r="B14481" t="s">
        <v>776</v>
      </c>
      <c r="C14481" s="2">
        <f>HYPERLINK("https://cao.dolgi.msk.ru/account/1080225473/", 1080225473)</f>
        <v>1080225473</v>
      </c>
      <c r="D14481" t="s">
        <v>12116</v>
      </c>
      <c r="E14481">
        <v>-7880.79</v>
      </c>
      <c r="F14481">
        <v>-1.1200000000000001</v>
      </c>
      <c r="G14481" t="s">
        <v>12</v>
      </c>
      <c r="I14481" t="s">
        <v>1428</v>
      </c>
    </row>
    <row r="14482" spans="1:9" hidden="1" x14ac:dyDescent="0.25">
      <c r="A14482" t="s">
        <v>12058</v>
      </c>
      <c r="B14482" t="s">
        <v>780</v>
      </c>
      <c r="C14482" s="2">
        <f>HYPERLINK("https://cao.dolgi.msk.ru/account/1080225502/", 1080225502)</f>
        <v>1080225502</v>
      </c>
      <c r="D14482" t="s">
        <v>12117</v>
      </c>
      <c r="E14482">
        <v>-6672.82</v>
      </c>
      <c r="F14482">
        <v>-1.0900000000000001</v>
      </c>
      <c r="G14482" t="s">
        <v>12</v>
      </c>
      <c r="I14482" t="s">
        <v>1428</v>
      </c>
    </row>
    <row r="14483" spans="1:9" hidden="1" x14ac:dyDescent="0.25">
      <c r="A14483" t="s">
        <v>12058</v>
      </c>
      <c r="B14483" t="s">
        <v>780</v>
      </c>
      <c r="C14483" s="2">
        <f>HYPERLINK("https://cao.dolgi.msk.ru/account/1080225529/", 1080225529)</f>
        <v>1080225529</v>
      </c>
      <c r="D14483" t="s">
        <v>12117</v>
      </c>
      <c r="E14483">
        <v>-433.76</v>
      </c>
      <c r="G14483" t="s">
        <v>14</v>
      </c>
      <c r="I14483" t="s">
        <v>1428</v>
      </c>
    </row>
    <row r="14484" spans="1:9" hidden="1" x14ac:dyDescent="0.25">
      <c r="A14484" t="s">
        <v>12118</v>
      </c>
      <c r="B14484" t="s">
        <v>781</v>
      </c>
      <c r="C14484" s="2">
        <f>HYPERLINK("https://cao.dolgi.msk.ru/account/1080225537/", 1080225537)</f>
        <v>1080225537</v>
      </c>
      <c r="D14484" t="s">
        <v>12119</v>
      </c>
      <c r="E14484">
        <v>-1472.03</v>
      </c>
      <c r="F14484">
        <v>-0.16</v>
      </c>
      <c r="G14484" t="s">
        <v>12</v>
      </c>
      <c r="I14484" t="s">
        <v>1428</v>
      </c>
    </row>
    <row r="14485" spans="1:9" hidden="1" x14ac:dyDescent="0.25">
      <c r="A14485" t="s">
        <v>12118</v>
      </c>
      <c r="B14485" t="s">
        <v>784</v>
      </c>
      <c r="C14485" s="2">
        <f>HYPERLINK("https://cao.dolgi.msk.ru/account/1080225553/", 1080225553)</f>
        <v>1080225553</v>
      </c>
      <c r="D14485" t="s">
        <v>12120</v>
      </c>
      <c r="E14485">
        <v>22.38</v>
      </c>
      <c r="F14485">
        <v>0</v>
      </c>
      <c r="G14485" t="s">
        <v>12</v>
      </c>
      <c r="I14485" t="s">
        <v>1428</v>
      </c>
    </row>
    <row r="14486" spans="1:9" hidden="1" x14ac:dyDescent="0.25">
      <c r="A14486" t="s">
        <v>12118</v>
      </c>
      <c r="B14486" t="s">
        <v>786</v>
      </c>
      <c r="C14486" s="2">
        <f>HYPERLINK("https://cao.dolgi.msk.ru/account/1080225561/", 1080225561)</f>
        <v>1080225561</v>
      </c>
      <c r="D14486" t="s">
        <v>12121</v>
      </c>
      <c r="E14486">
        <v>-6971.03</v>
      </c>
      <c r="F14486">
        <v>-1.07</v>
      </c>
      <c r="G14486" t="s">
        <v>12</v>
      </c>
      <c r="I14486" t="s">
        <v>1428</v>
      </c>
    </row>
    <row r="14487" spans="1:9" hidden="1" x14ac:dyDescent="0.25">
      <c r="A14487" t="s">
        <v>12118</v>
      </c>
      <c r="B14487" t="s">
        <v>788</v>
      </c>
      <c r="C14487" s="2">
        <f>HYPERLINK("https://cao.dolgi.msk.ru/account/1080225588/", 1080225588)</f>
        <v>1080225588</v>
      </c>
      <c r="D14487" t="s">
        <v>12122</v>
      </c>
      <c r="E14487">
        <v>5132.37</v>
      </c>
      <c r="F14487">
        <v>0.71</v>
      </c>
      <c r="G14487" t="s">
        <v>12</v>
      </c>
      <c r="I14487" t="s">
        <v>1428</v>
      </c>
    </row>
    <row r="14488" spans="1:9" hidden="1" x14ac:dyDescent="0.25">
      <c r="A14488" t="s">
        <v>12118</v>
      </c>
      <c r="B14488" t="s">
        <v>789</v>
      </c>
      <c r="C14488" s="2">
        <f>HYPERLINK("https://cao.dolgi.msk.ru/account/1080225596/", 1080225596)</f>
        <v>1080225596</v>
      </c>
      <c r="D14488" t="s">
        <v>12123</v>
      </c>
      <c r="E14488">
        <v>-5976.36</v>
      </c>
      <c r="F14488">
        <v>-1.07</v>
      </c>
      <c r="G14488" t="s">
        <v>12</v>
      </c>
      <c r="I14488" t="s">
        <v>1428</v>
      </c>
    </row>
    <row r="14489" spans="1:9" hidden="1" x14ac:dyDescent="0.25">
      <c r="A14489" t="s">
        <v>12118</v>
      </c>
      <c r="B14489" t="s">
        <v>790</v>
      </c>
      <c r="C14489" s="2">
        <f>HYPERLINK("https://cao.dolgi.msk.ru/account/1080225609/", 1080225609)</f>
        <v>1080225609</v>
      </c>
      <c r="D14489" t="s">
        <v>12124</v>
      </c>
      <c r="E14489">
        <v>0</v>
      </c>
      <c r="F14489">
        <v>0</v>
      </c>
      <c r="G14489" t="s">
        <v>12</v>
      </c>
      <c r="I14489" t="s">
        <v>1428</v>
      </c>
    </row>
    <row r="14490" spans="1:9" hidden="1" x14ac:dyDescent="0.25">
      <c r="A14490" t="s">
        <v>12118</v>
      </c>
      <c r="B14490" t="s">
        <v>792</v>
      </c>
      <c r="C14490" s="2">
        <f>HYPERLINK("https://cao.dolgi.msk.ru/account/1080225617/", 1080225617)</f>
        <v>1080225617</v>
      </c>
      <c r="D14490" t="s">
        <v>15</v>
      </c>
      <c r="E14490">
        <v>-7661.58</v>
      </c>
      <c r="F14490">
        <v>-1.58</v>
      </c>
      <c r="G14490" t="s">
        <v>12</v>
      </c>
      <c r="I14490" t="s">
        <v>1428</v>
      </c>
    </row>
    <row r="14491" spans="1:9" hidden="1" x14ac:dyDescent="0.25">
      <c r="A14491" t="s">
        <v>12118</v>
      </c>
      <c r="B14491" t="s">
        <v>794</v>
      </c>
      <c r="C14491" s="2">
        <f>HYPERLINK("https://cao.dolgi.msk.ru/account/1080225625/", 1080225625)</f>
        <v>1080225625</v>
      </c>
      <c r="D14491" t="s">
        <v>12125</v>
      </c>
      <c r="E14491">
        <v>-3949.05</v>
      </c>
      <c r="F14491">
        <v>-1.1000000000000001</v>
      </c>
      <c r="G14491" t="s">
        <v>12</v>
      </c>
      <c r="I14491" t="s">
        <v>1428</v>
      </c>
    </row>
    <row r="14492" spans="1:9" hidden="1" x14ac:dyDescent="0.25">
      <c r="A14492" t="s">
        <v>12118</v>
      </c>
      <c r="B14492" t="s">
        <v>796</v>
      </c>
      <c r="C14492" s="2">
        <f>HYPERLINK("https://cao.dolgi.msk.ru/account/1080225633/", 1080225633)</f>
        <v>1080225633</v>
      </c>
      <c r="D14492" t="s">
        <v>12126</v>
      </c>
      <c r="E14492">
        <v>-8642.1</v>
      </c>
      <c r="F14492">
        <v>-1.76</v>
      </c>
      <c r="G14492" t="s">
        <v>12</v>
      </c>
      <c r="I14492" t="s">
        <v>1428</v>
      </c>
    </row>
    <row r="14493" spans="1:9" hidden="1" x14ac:dyDescent="0.25">
      <c r="A14493" t="s">
        <v>12118</v>
      </c>
      <c r="B14493" t="s">
        <v>798</v>
      </c>
      <c r="C14493" s="2">
        <f>HYPERLINK("https://cao.dolgi.msk.ru/account/1080225641/", 1080225641)</f>
        <v>1080225641</v>
      </c>
      <c r="D14493" t="s">
        <v>12127</v>
      </c>
      <c r="E14493">
        <v>29.98</v>
      </c>
      <c r="F14493">
        <v>0.01</v>
      </c>
      <c r="G14493" t="s">
        <v>12</v>
      </c>
      <c r="I14493" t="s">
        <v>1428</v>
      </c>
    </row>
    <row r="14494" spans="1:9" hidden="1" x14ac:dyDescent="0.25">
      <c r="A14494" t="s">
        <v>12118</v>
      </c>
      <c r="B14494" t="s">
        <v>800</v>
      </c>
      <c r="C14494" s="2">
        <f>HYPERLINK("https://cao.dolgi.msk.ru/account/1080225668/", 1080225668)</f>
        <v>1080225668</v>
      </c>
      <c r="D14494" t="s">
        <v>12128</v>
      </c>
      <c r="E14494">
        <v>-6948.73</v>
      </c>
      <c r="F14494">
        <v>-2.63</v>
      </c>
      <c r="G14494" t="s">
        <v>12</v>
      </c>
      <c r="I14494" t="s">
        <v>1428</v>
      </c>
    </row>
    <row r="14495" spans="1:9" hidden="1" x14ac:dyDescent="0.25">
      <c r="A14495" t="s">
        <v>12118</v>
      </c>
      <c r="B14495" t="s">
        <v>802</v>
      </c>
      <c r="C14495" s="2">
        <f>HYPERLINK("https://cao.dolgi.msk.ru/account/1080225676/", 1080225676)</f>
        <v>1080225676</v>
      </c>
      <c r="D14495" t="s">
        <v>12129</v>
      </c>
      <c r="E14495">
        <v>-2536.84</v>
      </c>
      <c r="F14495">
        <v>-1.0900000000000001</v>
      </c>
      <c r="G14495" t="s">
        <v>12</v>
      </c>
      <c r="I14495" t="s">
        <v>1428</v>
      </c>
    </row>
    <row r="14496" spans="1:9" hidden="1" x14ac:dyDescent="0.25">
      <c r="A14496" t="s">
        <v>12118</v>
      </c>
      <c r="B14496" t="s">
        <v>804</v>
      </c>
      <c r="C14496" s="2">
        <f>HYPERLINK("https://cao.dolgi.msk.ru/account/1080225684/", 1080225684)</f>
        <v>1080225684</v>
      </c>
      <c r="D14496" t="s">
        <v>12130</v>
      </c>
      <c r="E14496">
        <v>-5087.6099999999997</v>
      </c>
      <c r="F14496">
        <v>-1.05</v>
      </c>
      <c r="G14496" t="s">
        <v>12</v>
      </c>
      <c r="I14496" t="s">
        <v>1428</v>
      </c>
    </row>
    <row r="14497" spans="1:9" hidden="1" x14ac:dyDescent="0.25">
      <c r="A14497" t="s">
        <v>12118</v>
      </c>
      <c r="B14497" t="s">
        <v>806</v>
      </c>
      <c r="C14497" s="2">
        <f>HYPERLINK("https://cao.dolgi.msk.ru/account/1080225692/", 1080225692)</f>
        <v>1080225692</v>
      </c>
      <c r="D14497" t="s">
        <v>15</v>
      </c>
      <c r="E14497">
        <v>0</v>
      </c>
      <c r="G14497" t="s">
        <v>14</v>
      </c>
      <c r="I14497" t="s">
        <v>1428</v>
      </c>
    </row>
    <row r="14498" spans="1:9" hidden="1" x14ac:dyDescent="0.25">
      <c r="A14498" t="s">
        <v>12118</v>
      </c>
      <c r="B14498" t="s">
        <v>808</v>
      </c>
      <c r="C14498" s="2">
        <f>HYPERLINK("https://cao.dolgi.msk.ru/account/1080225705/", 1080225705)</f>
        <v>1080225705</v>
      </c>
      <c r="D14498" t="s">
        <v>15</v>
      </c>
      <c r="E14498">
        <v>0</v>
      </c>
      <c r="G14498" t="s">
        <v>14</v>
      </c>
      <c r="I14498" t="s">
        <v>1428</v>
      </c>
    </row>
    <row r="14499" spans="1:9" hidden="1" x14ac:dyDescent="0.25">
      <c r="A14499" t="s">
        <v>12118</v>
      </c>
      <c r="B14499" t="s">
        <v>810</v>
      </c>
      <c r="C14499" s="2">
        <f>HYPERLINK("https://cao.dolgi.msk.ru/account/1080225713/", 1080225713)</f>
        <v>1080225713</v>
      </c>
      <c r="D14499" t="s">
        <v>12131</v>
      </c>
      <c r="E14499">
        <v>-6562.56</v>
      </c>
      <c r="F14499">
        <v>-1.05</v>
      </c>
      <c r="G14499" t="s">
        <v>12</v>
      </c>
      <c r="I14499" t="s">
        <v>1428</v>
      </c>
    </row>
    <row r="14500" spans="1:9" hidden="1" x14ac:dyDescent="0.25">
      <c r="A14500" t="s">
        <v>12118</v>
      </c>
      <c r="B14500" t="s">
        <v>812</v>
      </c>
      <c r="C14500" s="2">
        <f>HYPERLINK("https://cao.dolgi.msk.ru/account/1080225721/", 1080225721)</f>
        <v>1080225721</v>
      </c>
      <c r="D14500" t="s">
        <v>12132</v>
      </c>
      <c r="E14500">
        <v>-5143.53</v>
      </c>
      <c r="F14500">
        <v>-1.07</v>
      </c>
      <c r="G14500" t="s">
        <v>12</v>
      </c>
      <c r="I14500" t="s">
        <v>1428</v>
      </c>
    </row>
    <row r="14501" spans="1:9" hidden="1" x14ac:dyDescent="0.25">
      <c r="A14501" t="s">
        <v>12118</v>
      </c>
      <c r="B14501" t="s">
        <v>814</v>
      </c>
      <c r="C14501" s="2">
        <f>HYPERLINK("https://cao.dolgi.msk.ru/account/1080225748/", 1080225748)</f>
        <v>1080225748</v>
      </c>
      <c r="D14501" t="s">
        <v>12133</v>
      </c>
      <c r="E14501">
        <v>-5437.01</v>
      </c>
      <c r="F14501">
        <v>-1.07</v>
      </c>
      <c r="G14501" t="s">
        <v>12</v>
      </c>
      <c r="I14501" t="s">
        <v>1428</v>
      </c>
    </row>
    <row r="14502" spans="1:9" hidden="1" x14ac:dyDescent="0.25">
      <c r="A14502" t="s">
        <v>12118</v>
      </c>
      <c r="B14502" t="s">
        <v>816</v>
      </c>
      <c r="C14502" s="2">
        <f>HYPERLINK("https://cao.dolgi.msk.ru/account/1080225756/", 1080225756)</f>
        <v>1080225756</v>
      </c>
      <c r="D14502" t="s">
        <v>12134</v>
      </c>
      <c r="E14502">
        <v>-4945.8999999999996</v>
      </c>
      <c r="F14502">
        <v>-1.82</v>
      </c>
      <c r="G14502" t="s">
        <v>12</v>
      </c>
      <c r="H14502" t="s">
        <v>7</v>
      </c>
      <c r="I14502" t="s">
        <v>1428</v>
      </c>
    </row>
    <row r="14503" spans="1:9" hidden="1" x14ac:dyDescent="0.25">
      <c r="A14503" t="s">
        <v>12118</v>
      </c>
      <c r="B14503" t="s">
        <v>816</v>
      </c>
      <c r="C14503" s="2">
        <f>HYPERLINK("https://cao.dolgi.msk.ru/account/1080225764/", 1080225764)</f>
        <v>1080225764</v>
      </c>
      <c r="D14503" t="s">
        <v>1082</v>
      </c>
      <c r="E14503">
        <v>619.16999999999996</v>
      </c>
      <c r="F14503">
        <v>0.28999999999999998</v>
      </c>
      <c r="G14503" t="s">
        <v>12</v>
      </c>
      <c r="H14503" t="s">
        <v>7</v>
      </c>
      <c r="I14503" t="s">
        <v>1428</v>
      </c>
    </row>
    <row r="14504" spans="1:9" hidden="1" x14ac:dyDescent="0.25">
      <c r="A14504" t="s">
        <v>12118</v>
      </c>
      <c r="B14504" t="s">
        <v>816</v>
      </c>
      <c r="C14504" s="2">
        <f>HYPERLINK("https://cao.dolgi.msk.ru/account/1080225772/", 1080225772)</f>
        <v>1080225772</v>
      </c>
      <c r="D14504" t="s">
        <v>12135</v>
      </c>
      <c r="E14504">
        <v>0</v>
      </c>
      <c r="F14504">
        <v>0</v>
      </c>
      <c r="G14504" t="s">
        <v>12</v>
      </c>
      <c r="H14504" t="s">
        <v>7</v>
      </c>
      <c r="I14504" t="s">
        <v>1428</v>
      </c>
    </row>
    <row r="14505" spans="1:9" hidden="1" x14ac:dyDescent="0.25">
      <c r="A14505" t="s">
        <v>12118</v>
      </c>
      <c r="B14505" t="s">
        <v>818</v>
      </c>
      <c r="C14505" s="2">
        <f>HYPERLINK("https://cao.dolgi.msk.ru/account/1080225799/", 1080225799)</f>
        <v>1080225799</v>
      </c>
      <c r="D14505" t="s">
        <v>12136</v>
      </c>
      <c r="E14505">
        <v>-2378.19</v>
      </c>
      <c r="F14505">
        <v>-1.03</v>
      </c>
      <c r="G14505" t="s">
        <v>12</v>
      </c>
      <c r="H14505" t="s">
        <v>7</v>
      </c>
      <c r="I14505" t="s">
        <v>1428</v>
      </c>
    </row>
    <row r="14506" spans="1:9" hidden="1" x14ac:dyDescent="0.25">
      <c r="A14506" t="s">
        <v>12118</v>
      </c>
      <c r="B14506" t="s">
        <v>818</v>
      </c>
      <c r="C14506" s="2">
        <f>HYPERLINK("https://cao.dolgi.msk.ru/account/1080225801/", 1080225801)</f>
        <v>1080225801</v>
      </c>
      <c r="D14506" t="s">
        <v>12136</v>
      </c>
      <c r="E14506">
        <v>-3262.97</v>
      </c>
      <c r="F14506">
        <v>-1.1100000000000001</v>
      </c>
      <c r="G14506" t="s">
        <v>12</v>
      </c>
      <c r="H14506" t="s">
        <v>7</v>
      </c>
      <c r="I14506" t="s">
        <v>1428</v>
      </c>
    </row>
    <row r="14507" spans="1:9" hidden="1" x14ac:dyDescent="0.25">
      <c r="A14507" t="s">
        <v>12118</v>
      </c>
      <c r="B14507" t="s">
        <v>820</v>
      </c>
      <c r="C14507" s="2">
        <f>HYPERLINK("https://cao.dolgi.msk.ru/account/1080225828/", 1080225828)</f>
        <v>1080225828</v>
      </c>
      <c r="D14507" t="s">
        <v>12137</v>
      </c>
      <c r="E14507">
        <v>46.48</v>
      </c>
      <c r="F14507">
        <v>0.01</v>
      </c>
      <c r="G14507" t="s">
        <v>12</v>
      </c>
      <c r="I14507" t="s">
        <v>1428</v>
      </c>
    </row>
    <row r="14508" spans="1:9" hidden="1" x14ac:dyDescent="0.25">
      <c r="A14508" t="s">
        <v>12118</v>
      </c>
      <c r="B14508" t="s">
        <v>822</v>
      </c>
      <c r="C14508" s="2">
        <f>HYPERLINK("https://cao.dolgi.msk.ru/account/1080225836/", 1080225836)</f>
        <v>1080225836</v>
      </c>
      <c r="D14508" t="s">
        <v>12138</v>
      </c>
      <c r="E14508">
        <v>-5817.88</v>
      </c>
      <c r="F14508">
        <v>-1.06</v>
      </c>
      <c r="G14508" t="s">
        <v>12</v>
      </c>
      <c r="I14508" t="s">
        <v>1428</v>
      </c>
    </row>
    <row r="14509" spans="1:9" hidden="1" x14ac:dyDescent="0.25">
      <c r="A14509" t="s">
        <v>12118</v>
      </c>
      <c r="B14509" t="s">
        <v>824</v>
      </c>
      <c r="C14509" s="2">
        <f>HYPERLINK("https://cao.dolgi.msk.ru/account/1080225844/", 1080225844)</f>
        <v>1080225844</v>
      </c>
      <c r="D14509" t="s">
        <v>12139</v>
      </c>
      <c r="E14509">
        <v>-6885.11</v>
      </c>
      <c r="F14509">
        <v>-1.08</v>
      </c>
      <c r="G14509" t="s">
        <v>12</v>
      </c>
      <c r="I14509" t="s">
        <v>1428</v>
      </c>
    </row>
    <row r="14510" spans="1:9" hidden="1" x14ac:dyDescent="0.25">
      <c r="A14510" t="s">
        <v>12118</v>
      </c>
      <c r="B14510" t="s">
        <v>826</v>
      </c>
      <c r="C14510" s="2">
        <f>HYPERLINK("https://cao.dolgi.msk.ru/account/1080225852/", 1080225852)</f>
        <v>1080225852</v>
      </c>
      <c r="D14510" t="s">
        <v>15</v>
      </c>
      <c r="G14510" t="s">
        <v>14</v>
      </c>
      <c r="I14510" t="s">
        <v>1428</v>
      </c>
    </row>
    <row r="14511" spans="1:9" hidden="1" x14ac:dyDescent="0.25">
      <c r="A14511" t="s">
        <v>12118</v>
      </c>
      <c r="B14511" t="s">
        <v>828</v>
      </c>
      <c r="C14511" s="2">
        <f>HYPERLINK("https://cao.dolgi.msk.ru/account/1080225879/", 1080225879)</f>
        <v>1080225879</v>
      </c>
      <c r="D14511" t="s">
        <v>12140</v>
      </c>
      <c r="G14511" t="s">
        <v>14</v>
      </c>
      <c r="I14511" t="s">
        <v>1428</v>
      </c>
    </row>
    <row r="14512" spans="1:9" hidden="1" x14ac:dyDescent="0.25">
      <c r="A14512" t="s">
        <v>12118</v>
      </c>
      <c r="B14512" t="s">
        <v>830</v>
      </c>
      <c r="C14512" s="2">
        <f>HYPERLINK("https://cao.dolgi.msk.ru/account/1080225887/", 1080225887)</f>
        <v>1080225887</v>
      </c>
      <c r="D14512" t="s">
        <v>12141</v>
      </c>
      <c r="E14512">
        <v>4346.46</v>
      </c>
      <c r="F14512">
        <v>0.94</v>
      </c>
      <c r="G14512" t="s">
        <v>12</v>
      </c>
      <c r="I14512" t="s">
        <v>1428</v>
      </c>
    </row>
    <row r="14513" spans="1:9" hidden="1" x14ac:dyDescent="0.25">
      <c r="A14513" t="s">
        <v>12118</v>
      </c>
      <c r="B14513" t="s">
        <v>831</v>
      </c>
      <c r="C14513" s="2">
        <f>HYPERLINK("https://cao.dolgi.msk.ru/account/1080225895/", 1080225895)</f>
        <v>1080225895</v>
      </c>
      <c r="D14513" t="s">
        <v>12142</v>
      </c>
      <c r="E14513">
        <v>-5857.59</v>
      </c>
      <c r="F14513">
        <v>-1.1000000000000001</v>
      </c>
      <c r="G14513" t="s">
        <v>12</v>
      </c>
      <c r="I14513" t="s">
        <v>1428</v>
      </c>
    </row>
    <row r="14514" spans="1:9" hidden="1" x14ac:dyDescent="0.25">
      <c r="A14514" t="s">
        <v>12118</v>
      </c>
      <c r="B14514" t="s">
        <v>833</v>
      </c>
      <c r="C14514" s="2">
        <f>HYPERLINK("https://cao.dolgi.msk.ru/account/1080225908/", 1080225908)</f>
        <v>1080225908</v>
      </c>
      <c r="D14514" t="s">
        <v>12143</v>
      </c>
      <c r="E14514">
        <v>-11107.29</v>
      </c>
      <c r="F14514">
        <v>-0.87</v>
      </c>
      <c r="G14514" t="s">
        <v>12</v>
      </c>
      <c r="I14514" t="s">
        <v>1428</v>
      </c>
    </row>
    <row r="14515" spans="1:9" hidden="1" x14ac:dyDescent="0.25">
      <c r="A14515" t="s">
        <v>12118</v>
      </c>
      <c r="B14515" t="s">
        <v>835</v>
      </c>
      <c r="C14515" s="2">
        <f>HYPERLINK("https://cao.dolgi.msk.ru/account/1080225916/", 1080225916)</f>
        <v>1080225916</v>
      </c>
      <c r="D14515" t="s">
        <v>12144</v>
      </c>
      <c r="E14515">
        <v>-2482.9299999999998</v>
      </c>
      <c r="F14515">
        <v>-1.08</v>
      </c>
      <c r="G14515" t="s">
        <v>12</v>
      </c>
      <c r="H14515" t="s">
        <v>7</v>
      </c>
      <c r="I14515" t="s">
        <v>1428</v>
      </c>
    </row>
    <row r="14516" spans="1:9" x14ac:dyDescent="0.25">
      <c r="A14516" t="s">
        <v>12118</v>
      </c>
      <c r="B14516" t="s">
        <v>835</v>
      </c>
      <c r="C14516" s="2">
        <f>HYPERLINK("https://cao.dolgi.msk.ru/account/1080225924/", 1080225924)</f>
        <v>1080225924</v>
      </c>
      <c r="D14516" t="s">
        <v>12145</v>
      </c>
      <c r="E14516">
        <v>3354.88</v>
      </c>
      <c r="F14516">
        <v>1.95</v>
      </c>
      <c r="G14516" t="s">
        <v>12</v>
      </c>
      <c r="H14516" t="s">
        <v>7</v>
      </c>
      <c r="I14516" t="s">
        <v>1428</v>
      </c>
    </row>
    <row r="14517" spans="1:9" hidden="1" x14ac:dyDescent="0.25">
      <c r="A14517" t="s">
        <v>12118</v>
      </c>
      <c r="B14517" t="s">
        <v>835</v>
      </c>
      <c r="C14517" s="2">
        <f>HYPERLINK("https://cao.dolgi.msk.ru/account/1080225932/", 1080225932)</f>
        <v>1080225932</v>
      </c>
      <c r="D14517" t="s">
        <v>12145</v>
      </c>
      <c r="E14517">
        <v>294.36</v>
      </c>
      <c r="F14517">
        <v>0.08</v>
      </c>
      <c r="G14517" t="s">
        <v>12</v>
      </c>
      <c r="H14517" t="s">
        <v>7</v>
      </c>
      <c r="I14517" t="s">
        <v>1428</v>
      </c>
    </row>
    <row r="14518" spans="1:9" hidden="1" x14ac:dyDescent="0.25">
      <c r="A14518" t="s">
        <v>12118</v>
      </c>
      <c r="B14518" t="s">
        <v>837</v>
      </c>
      <c r="C14518" s="2">
        <f>HYPERLINK("https://cao.dolgi.msk.ru/account/1080225959/", 1080225959)</f>
        <v>1080225959</v>
      </c>
      <c r="D14518" t="s">
        <v>12146</v>
      </c>
      <c r="E14518">
        <v>-4427.67</v>
      </c>
      <c r="F14518">
        <v>-1.08</v>
      </c>
      <c r="G14518" t="s">
        <v>12</v>
      </c>
      <c r="I14518" t="s">
        <v>1428</v>
      </c>
    </row>
    <row r="14519" spans="1:9" hidden="1" x14ac:dyDescent="0.25">
      <c r="A14519" t="s">
        <v>12118</v>
      </c>
      <c r="B14519" t="s">
        <v>838</v>
      </c>
      <c r="C14519" s="2">
        <f>HYPERLINK("https://cao.dolgi.msk.ru/account/1080225967/", 1080225967)</f>
        <v>1080225967</v>
      </c>
      <c r="D14519" t="s">
        <v>12147</v>
      </c>
      <c r="E14519">
        <v>-6247.73</v>
      </c>
      <c r="F14519">
        <v>-1.02</v>
      </c>
      <c r="G14519" t="s">
        <v>12</v>
      </c>
      <c r="I14519" t="s">
        <v>1428</v>
      </c>
    </row>
    <row r="14520" spans="1:9" hidden="1" x14ac:dyDescent="0.25">
      <c r="A14520" t="s">
        <v>12118</v>
      </c>
      <c r="B14520" t="s">
        <v>840</v>
      </c>
      <c r="C14520" s="2">
        <f>HYPERLINK("https://cao.dolgi.msk.ru/account/1080225975/", 1080225975)</f>
        <v>1080225975</v>
      </c>
      <c r="D14520" t="s">
        <v>12148</v>
      </c>
      <c r="E14520">
        <v>-158.33000000000001</v>
      </c>
      <c r="F14520">
        <v>-0.06</v>
      </c>
      <c r="G14520" t="s">
        <v>12</v>
      </c>
      <c r="I14520" t="s">
        <v>1428</v>
      </c>
    </row>
    <row r="14521" spans="1:9" hidden="1" x14ac:dyDescent="0.25">
      <c r="A14521" t="s">
        <v>12118</v>
      </c>
      <c r="B14521" t="s">
        <v>840</v>
      </c>
      <c r="C14521" s="2">
        <f>HYPERLINK("https://cao.dolgi.msk.ru/account/1089133735/", 1089133735)</f>
        <v>1089133735</v>
      </c>
      <c r="D14521" t="s">
        <v>12148</v>
      </c>
      <c r="E14521">
        <v>315.33</v>
      </c>
      <c r="F14521">
        <v>0.11</v>
      </c>
      <c r="G14521" t="s">
        <v>12</v>
      </c>
      <c r="I14521" t="s">
        <v>1428</v>
      </c>
    </row>
    <row r="14522" spans="1:9" hidden="1" x14ac:dyDescent="0.25">
      <c r="A14522" t="s">
        <v>12118</v>
      </c>
      <c r="B14522" t="s">
        <v>842</v>
      </c>
      <c r="C14522" s="2">
        <f>HYPERLINK("https://cao.dolgi.msk.ru/account/1080225983/", 1080225983)</f>
        <v>1080225983</v>
      </c>
      <c r="D14522" t="s">
        <v>12149</v>
      </c>
      <c r="E14522">
        <v>-3127.11</v>
      </c>
      <c r="F14522">
        <v>-0.9</v>
      </c>
      <c r="G14522" t="s">
        <v>12</v>
      </c>
      <c r="H14522" t="s">
        <v>7</v>
      </c>
      <c r="I14522" t="s">
        <v>1428</v>
      </c>
    </row>
    <row r="14523" spans="1:9" hidden="1" x14ac:dyDescent="0.25">
      <c r="A14523" t="s">
        <v>12118</v>
      </c>
      <c r="B14523" t="s">
        <v>842</v>
      </c>
      <c r="C14523" s="2">
        <f>HYPERLINK("https://cao.dolgi.msk.ru/account/1080225991/", 1080225991)</f>
        <v>1080225991</v>
      </c>
      <c r="D14523" t="s">
        <v>12149</v>
      </c>
      <c r="E14523">
        <v>-1506.3</v>
      </c>
      <c r="F14523">
        <v>-1.1000000000000001</v>
      </c>
      <c r="G14523" t="s">
        <v>12</v>
      </c>
      <c r="H14523" t="s">
        <v>7</v>
      </c>
      <c r="I14523" t="s">
        <v>1428</v>
      </c>
    </row>
    <row r="14524" spans="1:9" hidden="1" x14ac:dyDescent="0.25">
      <c r="A14524" t="s">
        <v>12118</v>
      </c>
      <c r="B14524" t="s">
        <v>842</v>
      </c>
      <c r="C14524" s="2">
        <f>HYPERLINK("https://cao.dolgi.msk.ru/account/1080226003/", 1080226003)</f>
        <v>1080226003</v>
      </c>
      <c r="D14524" t="s">
        <v>12149</v>
      </c>
      <c r="E14524">
        <v>-2469.34</v>
      </c>
      <c r="F14524">
        <v>-1.22</v>
      </c>
      <c r="G14524" t="s">
        <v>12</v>
      </c>
      <c r="H14524" t="s">
        <v>7</v>
      </c>
      <c r="I14524" t="s">
        <v>1428</v>
      </c>
    </row>
    <row r="14525" spans="1:9" hidden="1" x14ac:dyDescent="0.25">
      <c r="A14525" t="s">
        <v>12118</v>
      </c>
      <c r="B14525" t="s">
        <v>844</v>
      </c>
      <c r="C14525" s="2">
        <f>HYPERLINK("https://cao.dolgi.msk.ru/account/1080226011/", 1080226011)</f>
        <v>1080226011</v>
      </c>
      <c r="D14525" t="s">
        <v>12150</v>
      </c>
      <c r="E14525">
        <v>0</v>
      </c>
      <c r="G14525" t="s">
        <v>14</v>
      </c>
      <c r="I14525" t="s">
        <v>1428</v>
      </c>
    </row>
    <row r="14526" spans="1:9" hidden="1" x14ac:dyDescent="0.25">
      <c r="A14526" t="s">
        <v>12118</v>
      </c>
      <c r="B14526" t="s">
        <v>844</v>
      </c>
      <c r="C14526" s="2">
        <f>HYPERLINK("https://cao.dolgi.msk.ru/account/1083370895/", 1083370895)</f>
        <v>1083370895</v>
      </c>
      <c r="D14526" t="s">
        <v>15</v>
      </c>
      <c r="E14526">
        <v>0</v>
      </c>
      <c r="G14526" t="s">
        <v>14</v>
      </c>
      <c r="I14526" t="s">
        <v>1428</v>
      </c>
    </row>
    <row r="14527" spans="1:9" hidden="1" x14ac:dyDescent="0.25">
      <c r="A14527" t="s">
        <v>12118</v>
      </c>
      <c r="B14527" t="s">
        <v>846</v>
      </c>
      <c r="C14527" s="2">
        <f>HYPERLINK("https://cao.dolgi.msk.ru/account/1080226038/", 1080226038)</f>
        <v>1080226038</v>
      </c>
      <c r="D14527" t="s">
        <v>12151</v>
      </c>
      <c r="E14527">
        <v>0</v>
      </c>
      <c r="G14527" t="s">
        <v>14</v>
      </c>
      <c r="I14527" t="s">
        <v>1428</v>
      </c>
    </row>
    <row r="14528" spans="1:9" hidden="1" x14ac:dyDescent="0.25">
      <c r="A14528" t="s">
        <v>12118</v>
      </c>
      <c r="B14528" t="s">
        <v>846</v>
      </c>
      <c r="C14528" s="2">
        <f>HYPERLINK("https://cao.dolgi.msk.ru/account/1080226046/", 1080226046)</f>
        <v>1080226046</v>
      </c>
      <c r="D14528" t="s">
        <v>12151</v>
      </c>
      <c r="E14528">
        <v>0</v>
      </c>
      <c r="G14528" t="s">
        <v>14</v>
      </c>
      <c r="I14528" t="s">
        <v>1428</v>
      </c>
    </row>
    <row r="14529" spans="1:9" hidden="1" x14ac:dyDescent="0.25">
      <c r="A14529" t="s">
        <v>12118</v>
      </c>
      <c r="B14529" t="s">
        <v>846</v>
      </c>
      <c r="C14529" s="2">
        <f>HYPERLINK("https://cao.dolgi.msk.ru/account/1080226054/", 1080226054)</f>
        <v>1080226054</v>
      </c>
      <c r="D14529" t="s">
        <v>15</v>
      </c>
      <c r="E14529">
        <v>0</v>
      </c>
      <c r="G14529" t="s">
        <v>14</v>
      </c>
      <c r="I14529" t="s">
        <v>1428</v>
      </c>
    </row>
    <row r="14530" spans="1:9" hidden="1" x14ac:dyDescent="0.25">
      <c r="A14530" t="s">
        <v>12118</v>
      </c>
      <c r="B14530" t="s">
        <v>846</v>
      </c>
      <c r="C14530" s="2">
        <f>HYPERLINK("https://cao.dolgi.msk.ru/account/1083370908/", 1083370908)</f>
        <v>1083370908</v>
      </c>
      <c r="D14530" t="s">
        <v>15</v>
      </c>
      <c r="E14530">
        <v>0</v>
      </c>
      <c r="G14530" t="s">
        <v>14</v>
      </c>
      <c r="I14530" t="s">
        <v>1428</v>
      </c>
    </row>
    <row r="14531" spans="1:9" hidden="1" x14ac:dyDescent="0.25">
      <c r="A14531" t="s">
        <v>12118</v>
      </c>
      <c r="B14531" t="s">
        <v>848</v>
      </c>
      <c r="C14531" s="2">
        <f>HYPERLINK("https://cao.dolgi.msk.ru/account/1080226062/", 1080226062)</f>
        <v>1080226062</v>
      </c>
      <c r="D14531" t="s">
        <v>12152</v>
      </c>
      <c r="E14531">
        <v>-4310.49</v>
      </c>
      <c r="F14531">
        <v>-1.03</v>
      </c>
      <c r="G14531" t="s">
        <v>12</v>
      </c>
      <c r="H14531" t="s">
        <v>7</v>
      </c>
      <c r="I14531" t="s">
        <v>1428</v>
      </c>
    </row>
    <row r="14532" spans="1:9" hidden="1" x14ac:dyDescent="0.25">
      <c r="A14532" t="s">
        <v>12118</v>
      </c>
      <c r="B14532" t="s">
        <v>848</v>
      </c>
      <c r="C14532" s="2">
        <f>HYPERLINK("https://cao.dolgi.msk.ru/account/1080226089/", 1080226089)</f>
        <v>1080226089</v>
      </c>
      <c r="D14532" t="s">
        <v>12152</v>
      </c>
      <c r="E14532">
        <v>-5756.52</v>
      </c>
      <c r="F14532">
        <v>-1.2</v>
      </c>
      <c r="G14532" t="s">
        <v>12</v>
      </c>
      <c r="H14532" t="s">
        <v>7</v>
      </c>
      <c r="I14532" t="s">
        <v>1428</v>
      </c>
    </row>
    <row r="14533" spans="1:9" hidden="1" x14ac:dyDescent="0.25">
      <c r="A14533" t="s">
        <v>12118</v>
      </c>
      <c r="B14533" t="s">
        <v>850</v>
      </c>
      <c r="C14533" s="2">
        <f>HYPERLINK("https://cao.dolgi.msk.ru/account/1080226097/", 1080226097)</f>
        <v>1080226097</v>
      </c>
      <c r="D14533" t="s">
        <v>12153</v>
      </c>
      <c r="E14533">
        <v>-7306</v>
      </c>
      <c r="F14533">
        <v>-1.22</v>
      </c>
      <c r="G14533" t="s">
        <v>12</v>
      </c>
      <c r="I14533" t="s">
        <v>1428</v>
      </c>
    </row>
    <row r="14534" spans="1:9" hidden="1" x14ac:dyDescent="0.25">
      <c r="A14534" t="s">
        <v>12118</v>
      </c>
      <c r="B14534" t="s">
        <v>852</v>
      </c>
      <c r="C14534" s="2">
        <f>HYPERLINK("https://cao.dolgi.msk.ru/account/1080226118/", 1080226118)</f>
        <v>1080226118</v>
      </c>
      <c r="D14534" t="s">
        <v>12154</v>
      </c>
      <c r="E14534">
        <v>-4309.7</v>
      </c>
      <c r="F14534">
        <v>-1.07</v>
      </c>
      <c r="G14534" t="s">
        <v>12</v>
      </c>
      <c r="I14534" t="s">
        <v>1428</v>
      </c>
    </row>
    <row r="14535" spans="1:9" hidden="1" x14ac:dyDescent="0.25">
      <c r="A14535" t="s">
        <v>12118</v>
      </c>
      <c r="B14535" t="s">
        <v>854</v>
      </c>
      <c r="C14535" s="2">
        <f>HYPERLINK("https://cao.dolgi.msk.ru/account/1080226126/", 1080226126)</f>
        <v>1080226126</v>
      </c>
      <c r="D14535" t="s">
        <v>15</v>
      </c>
      <c r="E14535">
        <v>-47.42</v>
      </c>
      <c r="F14535">
        <v>-0.01</v>
      </c>
      <c r="G14535" t="s">
        <v>12</v>
      </c>
      <c r="I14535" t="s">
        <v>1428</v>
      </c>
    </row>
    <row r="14536" spans="1:9" hidden="1" x14ac:dyDescent="0.25">
      <c r="A14536" t="s">
        <v>12118</v>
      </c>
      <c r="B14536" t="s">
        <v>856</v>
      </c>
      <c r="C14536" s="2">
        <f>HYPERLINK("https://cao.dolgi.msk.ru/account/1080226134/", 1080226134)</f>
        <v>1080226134</v>
      </c>
      <c r="D14536" t="s">
        <v>12155</v>
      </c>
      <c r="E14536">
        <v>-36.64</v>
      </c>
      <c r="F14536">
        <v>-0.01</v>
      </c>
      <c r="G14536" t="s">
        <v>12</v>
      </c>
      <c r="I14536" t="s">
        <v>1428</v>
      </c>
    </row>
    <row r="14537" spans="1:9" hidden="1" x14ac:dyDescent="0.25">
      <c r="A14537" t="s">
        <v>12118</v>
      </c>
      <c r="B14537" t="s">
        <v>858</v>
      </c>
      <c r="C14537" s="2">
        <f>HYPERLINK("https://cao.dolgi.msk.ru/account/1080226142/", 1080226142)</f>
        <v>1080226142</v>
      </c>
      <c r="D14537" t="s">
        <v>12156</v>
      </c>
      <c r="E14537">
        <v>-7488.62</v>
      </c>
      <c r="F14537">
        <v>-1.1100000000000001</v>
      </c>
      <c r="G14537" t="s">
        <v>12</v>
      </c>
      <c r="I14537" t="s">
        <v>1428</v>
      </c>
    </row>
    <row r="14538" spans="1:9" hidden="1" x14ac:dyDescent="0.25">
      <c r="A14538" t="s">
        <v>12118</v>
      </c>
      <c r="B14538" t="s">
        <v>860</v>
      </c>
      <c r="C14538" s="2">
        <f>HYPERLINK("https://cao.dolgi.msk.ru/account/1080226169/", 1080226169)</f>
        <v>1080226169</v>
      </c>
      <c r="D14538" t="s">
        <v>12157</v>
      </c>
      <c r="E14538">
        <v>-1886.87</v>
      </c>
      <c r="F14538">
        <v>-1.02</v>
      </c>
      <c r="G14538" t="s">
        <v>12</v>
      </c>
      <c r="I14538" t="s">
        <v>1428</v>
      </c>
    </row>
    <row r="14539" spans="1:9" hidden="1" x14ac:dyDescent="0.25">
      <c r="A14539" t="s">
        <v>12118</v>
      </c>
      <c r="B14539" t="s">
        <v>860</v>
      </c>
      <c r="C14539" s="2">
        <f>HYPERLINK("https://cao.dolgi.msk.ru/account/1089131916/", 1089131916)</f>
        <v>1089131916</v>
      </c>
      <c r="D14539" t="s">
        <v>12157</v>
      </c>
      <c r="E14539">
        <v>-3988.51</v>
      </c>
      <c r="F14539">
        <v>-1.07</v>
      </c>
      <c r="G14539" t="s">
        <v>12</v>
      </c>
      <c r="I14539" t="s">
        <v>1428</v>
      </c>
    </row>
    <row r="14540" spans="1:9" hidden="1" x14ac:dyDescent="0.25">
      <c r="A14540" t="s">
        <v>12118</v>
      </c>
      <c r="B14540" t="s">
        <v>862</v>
      </c>
      <c r="C14540" s="2">
        <f>HYPERLINK("https://cao.dolgi.msk.ru/account/1080226177/", 1080226177)</f>
        <v>1080226177</v>
      </c>
      <c r="D14540" t="s">
        <v>12158</v>
      </c>
      <c r="E14540">
        <v>-3005.68</v>
      </c>
      <c r="F14540">
        <v>-0.49</v>
      </c>
      <c r="G14540" t="s">
        <v>12</v>
      </c>
      <c r="I14540" t="s">
        <v>1428</v>
      </c>
    </row>
    <row r="14541" spans="1:9" hidden="1" x14ac:dyDescent="0.25">
      <c r="A14541" t="s">
        <v>12118</v>
      </c>
      <c r="B14541" t="s">
        <v>864</v>
      </c>
      <c r="C14541" s="2">
        <f>HYPERLINK("https://cao.dolgi.msk.ru/account/1080226185/", 1080226185)</f>
        <v>1080226185</v>
      </c>
      <c r="D14541" t="s">
        <v>12159</v>
      </c>
      <c r="E14541">
        <v>-5954.8</v>
      </c>
      <c r="F14541">
        <v>-1.18</v>
      </c>
      <c r="G14541" t="s">
        <v>12</v>
      </c>
      <c r="I14541" t="s">
        <v>1428</v>
      </c>
    </row>
    <row r="14542" spans="1:9" hidden="1" x14ac:dyDescent="0.25">
      <c r="A14542" t="s">
        <v>12118</v>
      </c>
      <c r="B14542" t="s">
        <v>866</v>
      </c>
      <c r="C14542" s="2">
        <f>HYPERLINK("https://cao.dolgi.msk.ru/account/1080226193/", 1080226193)</f>
        <v>1080226193</v>
      </c>
      <c r="D14542" t="s">
        <v>12160</v>
      </c>
      <c r="E14542">
        <v>0</v>
      </c>
      <c r="G14542" t="s">
        <v>14</v>
      </c>
      <c r="I14542" t="s">
        <v>1428</v>
      </c>
    </row>
    <row r="14543" spans="1:9" hidden="1" x14ac:dyDescent="0.25">
      <c r="A14543" t="s">
        <v>12118</v>
      </c>
      <c r="B14543" t="s">
        <v>868</v>
      </c>
      <c r="C14543" s="2">
        <f>HYPERLINK("https://cao.dolgi.msk.ru/account/1080226206/", 1080226206)</f>
        <v>1080226206</v>
      </c>
      <c r="D14543" t="s">
        <v>15</v>
      </c>
      <c r="G14543" t="s">
        <v>14</v>
      </c>
      <c r="I14543" t="s">
        <v>1428</v>
      </c>
    </row>
    <row r="14544" spans="1:9" hidden="1" x14ac:dyDescent="0.25">
      <c r="A14544" t="s">
        <v>12118</v>
      </c>
      <c r="B14544" t="s">
        <v>870</v>
      </c>
      <c r="C14544" s="2">
        <f>HYPERLINK("https://cao.dolgi.msk.ru/account/1080226214/", 1080226214)</f>
        <v>1080226214</v>
      </c>
      <c r="D14544" t="s">
        <v>12161</v>
      </c>
      <c r="E14544">
        <v>-16688.759999999998</v>
      </c>
      <c r="F14544">
        <v>-1.07</v>
      </c>
      <c r="G14544" t="s">
        <v>12</v>
      </c>
      <c r="I14544" t="s">
        <v>1428</v>
      </c>
    </row>
    <row r="14545" spans="1:9" hidden="1" x14ac:dyDescent="0.25">
      <c r="A14545" t="s">
        <v>12118</v>
      </c>
      <c r="B14545" t="s">
        <v>872</v>
      </c>
      <c r="C14545" s="2">
        <f>HYPERLINK("https://cao.dolgi.msk.ru/account/1080226222/", 1080226222)</f>
        <v>1080226222</v>
      </c>
      <c r="D14545" t="s">
        <v>12162</v>
      </c>
      <c r="E14545">
        <v>-3342.97</v>
      </c>
      <c r="F14545">
        <v>-1.06</v>
      </c>
      <c r="G14545" t="s">
        <v>12</v>
      </c>
      <c r="I14545" t="s">
        <v>1428</v>
      </c>
    </row>
    <row r="14546" spans="1:9" hidden="1" x14ac:dyDescent="0.25">
      <c r="A14546" t="s">
        <v>12118</v>
      </c>
      <c r="B14546" t="s">
        <v>874</v>
      </c>
      <c r="C14546" s="2">
        <f>HYPERLINK("https://cao.dolgi.msk.ru/account/1080226249/", 1080226249)</f>
        <v>1080226249</v>
      </c>
      <c r="D14546" t="s">
        <v>12163</v>
      </c>
      <c r="E14546">
        <v>-2762.01</v>
      </c>
      <c r="F14546">
        <v>-0.41</v>
      </c>
      <c r="G14546" t="s">
        <v>12</v>
      </c>
      <c r="I14546" t="s">
        <v>1428</v>
      </c>
    </row>
    <row r="14547" spans="1:9" hidden="1" x14ac:dyDescent="0.25">
      <c r="A14547" t="s">
        <v>12118</v>
      </c>
      <c r="B14547" t="s">
        <v>875</v>
      </c>
      <c r="C14547" s="2">
        <f>HYPERLINK("https://cao.dolgi.msk.ru/account/1080226257/", 1080226257)</f>
        <v>1080226257</v>
      </c>
      <c r="D14547" t="s">
        <v>12164</v>
      </c>
      <c r="E14547">
        <v>-117.96</v>
      </c>
      <c r="F14547">
        <v>-0.03</v>
      </c>
      <c r="G14547" t="s">
        <v>12</v>
      </c>
      <c r="I14547" t="s">
        <v>1428</v>
      </c>
    </row>
    <row r="14548" spans="1:9" hidden="1" x14ac:dyDescent="0.25">
      <c r="A14548" t="s">
        <v>12118</v>
      </c>
      <c r="B14548" t="s">
        <v>877</v>
      </c>
      <c r="C14548" s="2">
        <f>HYPERLINK("https://cao.dolgi.msk.ru/account/1080226265/", 1080226265)</f>
        <v>1080226265</v>
      </c>
      <c r="D14548" t="s">
        <v>15</v>
      </c>
      <c r="E14548">
        <v>-11354.88</v>
      </c>
      <c r="F14548">
        <v>-1.05</v>
      </c>
      <c r="G14548" t="s">
        <v>12</v>
      </c>
      <c r="I14548" t="s">
        <v>1428</v>
      </c>
    </row>
    <row r="14549" spans="1:9" hidden="1" x14ac:dyDescent="0.25">
      <c r="A14549" t="s">
        <v>12118</v>
      </c>
      <c r="B14549" t="s">
        <v>879</v>
      </c>
      <c r="C14549" s="2">
        <f>HYPERLINK("https://cao.dolgi.msk.ru/account/1080226273/", 1080226273)</f>
        <v>1080226273</v>
      </c>
      <c r="D14549" t="s">
        <v>12165</v>
      </c>
      <c r="E14549">
        <v>-2221.63</v>
      </c>
      <c r="F14549">
        <v>-1.1599999999999999</v>
      </c>
      <c r="G14549" t="s">
        <v>12</v>
      </c>
      <c r="I14549" t="s">
        <v>1428</v>
      </c>
    </row>
    <row r="14550" spans="1:9" hidden="1" x14ac:dyDescent="0.25">
      <c r="A14550" t="s">
        <v>12118</v>
      </c>
      <c r="B14550" t="s">
        <v>879</v>
      </c>
      <c r="C14550" s="2">
        <f>HYPERLINK("https://cao.dolgi.msk.ru/account/1080324965/", 1080324965)</f>
        <v>1080324965</v>
      </c>
      <c r="D14550" t="s">
        <v>12165</v>
      </c>
      <c r="E14550">
        <v>-3427.7</v>
      </c>
      <c r="F14550">
        <v>-1.2</v>
      </c>
      <c r="G14550" t="s">
        <v>12</v>
      </c>
      <c r="I14550" t="s">
        <v>1428</v>
      </c>
    </row>
    <row r="14551" spans="1:9" hidden="1" x14ac:dyDescent="0.25">
      <c r="A14551" t="s">
        <v>12118</v>
      </c>
      <c r="B14551" t="s">
        <v>881</v>
      </c>
      <c r="C14551" s="2">
        <f>HYPERLINK("https://cao.dolgi.msk.ru/account/1080226281/", 1080226281)</f>
        <v>1080226281</v>
      </c>
      <c r="D14551" t="s">
        <v>12166</v>
      </c>
      <c r="E14551">
        <v>-1348.66</v>
      </c>
      <c r="F14551">
        <v>-0.34</v>
      </c>
      <c r="G14551" t="s">
        <v>12</v>
      </c>
      <c r="I14551" t="s">
        <v>1428</v>
      </c>
    </row>
    <row r="14552" spans="1:9" hidden="1" x14ac:dyDescent="0.25">
      <c r="A14552" t="s">
        <v>12118</v>
      </c>
      <c r="B14552" t="s">
        <v>883</v>
      </c>
      <c r="C14552" s="2">
        <f>HYPERLINK("https://cao.dolgi.msk.ru/account/1080226302/", 1080226302)</f>
        <v>1080226302</v>
      </c>
      <c r="D14552" t="s">
        <v>12167</v>
      </c>
      <c r="E14552">
        <v>-9105.19</v>
      </c>
      <c r="F14552">
        <v>-1.04</v>
      </c>
      <c r="G14552" t="s">
        <v>12</v>
      </c>
      <c r="I14552" t="s">
        <v>1428</v>
      </c>
    </row>
    <row r="14553" spans="1:9" hidden="1" x14ac:dyDescent="0.25">
      <c r="A14553" t="s">
        <v>12118</v>
      </c>
      <c r="B14553" t="s">
        <v>3443</v>
      </c>
      <c r="C14553" s="2">
        <f>HYPERLINK("https://cao.dolgi.msk.ru/account/1080226329/", 1080226329)</f>
        <v>1080226329</v>
      </c>
      <c r="D14553" t="s">
        <v>12168</v>
      </c>
      <c r="E14553">
        <v>-7137.84</v>
      </c>
      <c r="F14553">
        <v>-1.06</v>
      </c>
      <c r="G14553" t="s">
        <v>12</v>
      </c>
      <c r="I14553" t="s">
        <v>1428</v>
      </c>
    </row>
    <row r="14554" spans="1:9" hidden="1" x14ac:dyDescent="0.25">
      <c r="A14554" t="s">
        <v>12118</v>
      </c>
      <c r="B14554" t="s">
        <v>3445</v>
      </c>
      <c r="C14554" s="2">
        <f>HYPERLINK("https://cao.dolgi.msk.ru/account/1080226337/", 1080226337)</f>
        <v>1080226337</v>
      </c>
      <c r="D14554" t="s">
        <v>15</v>
      </c>
      <c r="G14554" t="s">
        <v>14</v>
      </c>
      <c r="I14554" t="s">
        <v>1428</v>
      </c>
    </row>
    <row r="14555" spans="1:9" hidden="1" x14ac:dyDescent="0.25">
      <c r="A14555" t="s">
        <v>12118</v>
      </c>
      <c r="B14555" t="s">
        <v>3447</v>
      </c>
      <c r="C14555" s="2">
        <f>HYPERLINK("https://cao.dolgi.msk.ru/account/1080226345/", 1080226345)</f>
        <v>1080226345</v>
      </c>
      <c r="D14555" t="s">
        <v>12169</v>
      </c>
      <c r="E14555">
        <v>-6098.41</v>
      </c>
      <c r="F14555">
        <v>-0.98</v>
      </c>
      <c r="G14555" t="s">
        <v>12</v>
      </c>
      <c r="I14555" t="s">
        <v>1428</v>
      </c>
    </row>
    <row r="14556" spans="1:9" hidden="1" x14ac:dyDescent="0.25">
      <c r="A14556" t="s">
        <v>12118</v>
      </c>
      <c r="B14556" t="s">
        <v>3449</v>
      </c>
      <c r="C14556" s="2">
        <f>HYPERLINK("https://cao.dolgi.msk.ru/account/1080226361/", 1080226361)</f>
        <v>1080226361</v>
      </c>
      <c r="D14556" t="s">
        <v>12170</v>
      </c>
      <c r="E14556">
        <v>-6234.18</v>
      </c>
      <c r="F14556">
        <v>-1.02</v>
      </c>
      <c r="G14556" t="s">
        <v>12</v>
      </c>
      <c r="I14556" t="s">
        <v>1428</v>
      </c>
    </row>
    <row r="14557" spans="1:9" hidden="1" x14ac:dyDescent="0.25">
      <c r="A14557" t="s">
        <v>12118</v>
      </c>
      <c r="B14557" t="s">
        <v>3451</v>
      </c>
      <c r="C14557" s="2">
        <f>HYPERLINK("https://cao.dolgi.msk.ru/account/1080226388/", 1080226388)</f>
        <v>1080226388</v>
      </c>
      <c r="D14557" t="s">
        <v>12171</v>
      </c>
      <c r="E14557">
        <v>-7098.65</v>
      </c>
      <c r="F14557">
        <v>-1.0900000000000001</v>
      </c>
      <c r="G14557" t="s">
        <v>12</v>
      </c>
      <c r="I14557" t="s">
        <v>1428</v>
      </c>
    </row>
    <row r="14558" spans="1:9" hidden="1" x14ac:dyDescent="0.25">
      <c r="A14558" t="s">
        <v>12118</v>
      </c>
      <c r="B14558" t="s">
        <v>3451</v>
      </c>
      <c r="C14558" s="2">
        <f>HYPERLINK("https://cao.dolgi.msk.ru/account/1080226396/", 1080226396)</f>
        <v>1080226396</v>
      </c>
      <c r="D14558" t="s">
        <v>62</v>
      </c>
      <c r="E14558">
        <v>-710.45</v>
      </c>
      <c r="G14558" t="s">
        <v>14</v>
      </c>
      <c r="I14558" t="s">
        <v>1428</v>
      </c>
    </row>
    <row r="14559" spans="1:9" hidden="1" x14ac:dyDescent="0.25">
      <c r="A14559" t="s">
        <v>12118</v>
      </c>
      <c r="B14559" t="s">
        <v>3451</v>
      </c>
      <c r="C14559" s="2">
        <f>HYPERLINK("https://cao.dolgi.msk.ru/account/1089131342/", 1089131342)</f>
        <v>1089131342</v>
      </c>
      <c r="D14559" t="s">
        <v>15</v>
      </c>
      <c r="E14559">
        <v>-1420.89</v>
      </c>
      <c r="G14559" t="s">
        <v>14</v>
      </c>
      <c r="I14559" t="s">
        <v>1428</v>
      </c>
    </row>
    <row r="14560" spans="1:9" hidden="1" x14ac:dyDescent="0.25">
      <c r="A14560" t="s">
        <v>12118</v>
      </c>
      <c r="B14560" t="s">
        <v>3452</v>
      </c>
      <c r="C14560" s="2">
        <f>HYPERLINK("https://cao.dolgi.msk.ru/account/1080226409/", 1080226409)</f>
        <v>1080226409</v>
      </c>
      <c r="D14560" t="s">
        <v>12172</v>
      </c>
      <c r="E14560">
        <v>-6701.94</v>
      </c>
      <c r="F14560">
        <v>-1.02</v>
      </c>
      <c r="G14560" t="s">
        <v>12</v>
      </c>
      <c r="I14560" t="s">
        <v>1428</v>
      </c>
    </row>
    <row r="14561" spans="1:9" hidden="1" x14ac:dyDescent="0.25">
      <c r="A14561" t="s">
        <v>12118</v>
      </c>
      <c r="B14561" t="s">
        <v>3454</v>
      </c>
      <c r="C14561" s="2">
        <f>HYPERLINK("https://cao.dolgi.msk.ru/account/1080226425/", 1080226425)</f>
        <v>1080226425</v>
      </c>
      <c r="D14561" t="s">
        <v>12173</v>
      </c>
      <c r="E14561">
        <v>-5425.19</v>
      </c>
      <c r="F14561">
        <v>-0.97</v>
      </c>
      <c r="G14561" t="s">
        <v>12</v>
      </c>
      <c r="I14561" t="s">
        <v>1428</v>
      </c>
    </row>
    <row r="14562" spans="1:9" hidden="1" x14ac:dyDescent="0.25">
      <c r="A14562" t="s">
        <v>12118</v>
      </c>
      <c r="B14562" t="s">
        <v>3456</v>
      </c>
      <c r="C14562" s="2">
        <f>HYPERLINK("https://cao.dolgi.msk.ru/account/1080226433/", 1080226433)</f>
        <v>1080226433</v>
      </c>
      <c r="D14562" t="s">
        <v>12174</v>
      </c>
      <c r="E14562">
        <v>-1590.02</v>
      </c>
      <c r="F14562">
        <v>-0.25</v>
      </c>
      <c r="G14562" t="s">
        <v>12</v>
      </c>
      <c r="I14562" t="s">
        <v>1428</v>
      </c>
    </row>
    <row r="14563" spans="1:9" hidden="1" x14ac:dyDescent="0.25">
      <c r="A14563" t="s">
        <v>12118</v>
      </c>
      <c r="B14563" t="s">
        <v>3458</v>
      </c>
      <c r="C14563" s="2">
        <f>HYPERLINK("https://cao.dolgi.msk.ru/account/1080226441/", 1080226441)</f>
        <v>1080226441</v>
      </c>
      <c r="D14563" t="s">
        <v>12175</v>
      </c>
      <c r="E14563">
        <v>-5103.13</v>
      </c>
      <c r="F14563">
        <v>-1.05</v>
      </c>
      <c r="G14563" t="s">
        <v>12</v>
      </c>
      <c r="H14563" t="s">
        <v>7</v>
      </c>
      <c r="I14563" t="s">
        <v>1428</v>
      </c>
    </row>
    <row r="14564" spans="1:9" hidden="1" x14ac:dyDescent="0.25">
      <c r="A14564" t="s">
        <v>12118</v>
      </c>
      <c r="B14564" t="s">
        <v>3458</v>
      </c>
      <c r="C14564" s="2">
        <f>HYPERLINK("https://cao.dolgi.msk.ru/account/1080226468/", 1080226468)</f>
        <v>1080226468</v>
      </c>
      <c r="D14564" t="s">
        <v>12176</v>
      </c>
      <c r="E14564">
        <v>0</v>
      </c>
      <c r="F14564">
        <v>0</v>
      </c>
      <c r="G14564" t="s">
        <v>12</v>
      </c>
      <c r="H14564" t="s">
        <v>7</v>
      </c>
      <c r="I14564" t="s">
        <v>1428</v>
      </c>
    </row>
    <row r="14565" spans="1:9" hidden="1" x14ac:dyDescent="0.25">
      <c r="A14565" t="s">
        <v>12118</v>
      </c>
      <c r="B14565" t="s">
        <v>3458</v>
      </c>
      <c r="C14565" s="2">
        <f>HYPERLINK("https://cao.dolgi.msk.ru/account/1080320956/", 1080320956)</f>
        <v>1080320956</v>
      </c>
      <c r="D14565" t="s">
        <v>1082</v>
      </c>
      <c r="E14565">
        <v>0</v>
      </c>
      <c r="F14565">
        <v>0</v>
      </c>
      <c r="G14565" t="s">
        <v>12</v>
      </c>
      <c r="H14565" t="s">
        <v>7</v>
      </c>
      <c r="I14565" t="s">
        <v>1428</v>
      </c>
    </row>
    <row r="14566" spans="1:9" hidden="1" x14ac:dyDescent="0.25">
      <c r="A14566" t="s">
        <v>12118</v>
      </c>
      <c r="B14566" t="s">
        <v>3460</v>
      </c>
      <c r="C14566" s="2">
        <f>HYPERLINK("https://cao.dolgi.msk.ru/account/1080226476/", 1080226476)</f>
        <v>1080226476</v>
      </c>
      <c r="D14566" t="s">
        <v>15</v>
      </c>
      <c r="E14566">
        <v>-7938.1</v>
      </c>
      <c r="F14566">
        <v>-1.17</v>
      </c>
      <c r="G14566" t="s">
        <v>12</v>
      </c>
      <c r="I14566" t="s">
        <v>1428</v>
      </c>
    </row>
    <row r="14567" spans="1:9" hidden="1" x14ac:dyDescent="0.25">
      <c r="A14567" t="s">
        <v>12118</v>
      </c>
      <c r="B14567" t="s">
        <v>3460</v>
      </c>
      <c r="C14567" s="2">
        <f>HYPERLINK("https://cao.dolgi.msk.ru/account/1080226484/", 1080226484)</f>
        <v>1080226484</v>
      </c>
      <c r="D14567" t="s">
        <v>12177</v>
      </c>
      <c r="G14567" t="s">
        <v>14</v>
      </c>
      <c r="I14567" t="s">
        <v>1428</v>
      </c>
    </row>
    <row r="14568" spans="1:9" hidden="1" x14ac:dyDescent="0.25">
      <c r="A14568" t="s">
        <v>12118</v>
      </c>
      <c r="B14568" t="s">
        <v>3460</v>
      </c>
      <c r="C14568" s="2">
        <f>HYPERLINK("https://cao.dolgi.msk.ru/account/1080226492/", 1080226492)</f>
        <v>1080226492</v>
      </c>
      <c r="D14568" t="s">
        <v>62</v>
      </c>
      <c r="G14568" t="s">
        <v>14</v>
      </c>
      <c r="I14568" t="s">
        <v>1428</v>
      </c>
    </row>
    <row r="14569" spans="1:9" hidden="1" x14ac:dyDescent="0.25">
      <c r="A14569" t="s">
        <v>12118</v>
      </c>
      <c r="B14569" t="s">
        <v>3462</v>
      </c>
      <c r="C14569" s="2">
        <f>HYPERLINK("https://cao.dolgi.msk.ru/account/1080226505/", 1080226505)</f>
        <v>1080226505</v>
      </c>
      <c r="D14569" t="s">
        <v>12178</v>
      </c>
      <c r="E14569">
        <v>-12718.54</v>
      </c>
      <c r="F14569">
        <v>-1.41</v>
      </c>
      <c r="G14569" t="s">
        <v>12</v>
      </c>
      <c r="I14569" t="s">
        <v>1428</v>
      </c>
    </row>
    <row r="14570" spans="1:9" hidden="1" x14ac:dyDescent="0.25">
      <c r="A14570" t="s">
        <v>12118</v>
      </c>
      <c r="B14570" t="s">
        <v>3466</v>
      </c>
      <c r="C14570" s="2">
        <f>HYPERLINK("https://cao.dolgi.msk.ru/account/1080226513/", 1080226513)</f>
        <v>1080226513</v>
      </c>
      <c r="D14570" t="s">
        <v>12179</v>
      </c>
      <c r="E14570">
        <v>31.8</v>
      </c>
      <c r="F14570">
        <v>0</v>
      </c>
      <c r="G14570" t="s">
        <v>12</v>
      </c>
      <c r="I14570" t="s">
        <v>1428</v>
      </c>
    </row>
    <row r="14571" spans="1:9" hidden="1" x14ac:dyDescent="0.25">
      <c r="A14571" t="s">
        <v>12118</v>
      </c>
      <c r="B14571" t="s">
        <v>1792</v>
      </c>
      <c r="C14571" s="2">
        <f>HYPERLINK("https://cao.dolgi.msk.ru/account/1080226521/", 1080226521)</f>
        <v>1080226521</v>
      </c>
      <c r="D14571" t="s">
        <v>15</v>
      </c>
      <c r="E14571">
        <v>0</v>
      </c>
      <c r="G14571" t="s">
        <v>14</v>
      </c>
      <c r="I14571" t="s">
        <v>1428</v>
      </c>
    </row>
    <row r="14572" spans="1:9" hidden="1" x14ac:dyDescent="0.25">
      <c r="A14572" t="s">
        <v>12118</v>
      </c>
      <c r="B14572" t="s">
        <v>1792</v>
      </c>
      <c r="C14572" s="2">
        <f>HYPERLINK("https://cao.dolgi.msk.ru/account/1080226548/", 1080226548)</f>
        <v>1080226548</v>
      </c>
      <c r="D14572" t="s">
        <v>15</v>
      </c>
      <c r="G14572" t="s">
        <v>14</v>
      </c>
      <c r="I14572" t="s">
        <v>1428</v>
      </c>
    </row>
    <row r="14573" spans="1:9" hidden="1" x14ac:dyDescent="0.25">
      <c r="A14573" t="s">
        <v>12118</v>
      </c>
      <c r="B14573" t="s">
        <v>1792</v>
      </c>
      <c r="C14573" s="2">
        <f>HYPERLINK("https://cao.dolgi.msk.ru/account/1080226556/", 1080226556)</f>
        <v>1080226556</v>
      </c>
      <c r="D14573" t="s">
        <v>15</v>
      </c>
      <c r="G14573" t="s">
        <v>14</v>
      </c>
      <c r="I14573" t="s">
        <v>1428</v>
      </c>
    </row>
    <row r="14574" spans="1:9" hidden="1" x14ac:dyDescent="0.25">
      <c r="A14574" t="s">
        <v>12118</v>
      </c>
      <c r="B14574" t="s">
        <v>3469</v>
      </c>
      <c r="C14574" s="2">
        <f>HYPERLINK("https://cao.dolgi.msk.ru/account/1080226564/", 1080226564)</f>
        <v>1080226564</v>
      </c>
      <c r="D14574" t="s">
        <v>12180</v>
      </c>
      <c r="E14574">
        <v>-3661.49</v>
      </c>
      <c r="F14574">
        <v>-1.1200000000000001</v>
      </c>
      <c r="G14574" t="s">
        <v>12</v>
      </c>
      <c r="I14574" t="s">
        <v>1428</v>
      </c>
    </row>
    <row r="14575" spans="1:9" hidden="1" x14ac:dyDescent="0.25">
      <c r="A14575" t="s">
        <v>12118</v>
      </c>
      <c r="B14575" t="s">
        <v>1793</v>
      </c>
      <c r="C14575" s="2">
        <f>HYPERLINK("https://cao.dolgi.msk.ru/account/1080226572/", 1080226572)</f>
        <v>1080226572</v>
      </c>
      <c r="D14575" t="s">
        <v>12181</v>
      </c>
      <c r="E14575">
        <v>-7038.71</v>
      </c>
      <c r="F14575">
        <v>-1.02</v>
      </c>
      <c r="G14575" t="s">
        <v>12</v>
      </c>
      <c r="I14575" t="s">
        <v>1428</v>
      </c>
    </row>
    <row r="14576" spans="1:9" hidden="1" x14ac:dyDescent="0.25">
      <c r="A14576" t="s">
        <v>12118</v>
      </c>
      <c r="B14576" t="s">
        <v>3472</v>
      </c>
      <c r="C14576" s="2">
        <f>HYPERLINK("https://cao.dolgi.msk.ru/account/1080226601/", 1080226601)</f>
        <v>1080226601</v>
      </c>
      <c r="D14576" t="s">
        <v>12182</v>
      </c>
      <c r="E14576">
        <v>-7375.93</v>
      </c>
      <c r="F14576">
        <v>-1.37</v>
      </c>
      <c r="G14576" t="s">
        <v>12</v>
      </c>
      <c r="I14576" t="s">
        <v>1428</v>
      </c>
    </row>
    <row r="14577" spans="1:9" hidden="1" x14ac:dyDescent="0.25">
      <c r="A14577" t="s">
        <v>12118</v>
      </c>
      <c r="B14577" t="s">
        <v>3474</v>
      </c>
      <c r="C14577" s="2">
        <f>HYPERLINK("https://cao.dolgi.msk.ru/account/1080226636/", 1080226636)</f>
        <v>1080226636</v>
      </c>
      <c r="D14577" t="s">
        <v>12183</v>
      </c>
      <c r="E14577">
        <v>0</v>
      </c>
      <c r="F14577">
        <v>0</v>
      </c>
      <c r="G14577" t="s">
        <v>12</v>
      </c>
      <c r="I14577" t="s">
        <v>1428</v>
      </c>
    </row>
    <row r="14578" spans="1:9" hidden="1" x14ac:dyDescent="0.25">
      <c r="A14578" t="s">
        <v>12118</v>
      </c>
      <c r="B14578" t="s">
        <v>3474</v>
      </c>
      <c r="C14578" s="2">
        <f>HYPERLINK("https://cao.dolgi.msk.ru/account/1089133567/", 1089133567)</f>
        <v>1089133567</v>
      </c>
      <c r="D14578" t="s">
        <v>15</v>
      </c>
      <c r="E14578">
        <v>0</v>
      </c>
      <c r="G14578" t="s">
        <v>14</v>
      </c>
      <c r="I14578" t="s">
        <v>1428</v>
      </c>
    </row>
    <row r="14579" spans="1:9" hidden="1" x14ac:dyDescent="0.25">
      <c r="A14579" t="s">
        <v>12118</v>
      </c>
      <c r="B14579" t="s">
        <v>1794</v>
      </c>
      <c r="C14579" s="2">
        <f>HYPERLINK("https://cao.dolgi.msk.ru/account/1080226644/", 1080226644)</f>
        <v>1080226644</v>
      </c>
      <c r="D14579" t="s">
        <v>12184</v>
      </c>
      <c r="E14579">
        <v>0</v>
      </c>
      <c r="F14579">
        <v>0</v>
      </c>
      <c r="G14579" t="s">
        <v>12</v>
      </c>
      <c r="I14579" t="s">
        <v>1428</v>
      </c>
    </row>
    <row r="14580" spans="1:9" hidden="1" x14ac:dyDescent="0.25">
      <c r="A14580" t="s">
        <v>12118</v>
      </c>
      <c r="B14580" t="s">
        <v>3477</v>
      </c>
      <c r="C14580" s="2">
        <f>HYPERLINK("https://cao.dolgi.msk.ru/account/1080226652/", 1080226652)</f>
        <v>1080226652</v>
      </c>
      <c r="D14580" t="s">
        <v>12185</v>
      </c>
      <c r="E14580">
        <v>-3309.67</v>
      </c>
      <c r="F14580">
        <v>-1.17</v>
      </c>
      <c r="G14580" t="s">
        <v>12</v>
      </c>
      <c r="I14580" t="s">
        <v>1428</v>
      </c>
    </row>
    <row r="14581" spans="1:9" hidden="1" x14ac:dyDescent="0.25">
      <c r="A14581" t="s">
        <v>12118</v>
      </c>
      <c r="B14581" t="s">
        <v>1795</v>
      </c>
      <c r="C14581" s="2">
        <f>HYPERLINK("https://cao.dolgi.msk.ru/account/1080226687/", 1080226687)</f>
        <v>1080226687</v>
      </c>
      <c r="D14581" t="s">
        <v>12186</v>
      </c>
      <c r="E14581">
        <v>-4166.71</v>
      </c>
      <c r="F14581">
        <v>-1.03</v>
      </c>
      <c r="G14581" t="s">
        <v>12</v>
      </c>
      <c r="I14581" t="s">
        <v>1428</v>
      </c>
    </row>
    <row r="14582" spans="1:9" hidden="1" x14ac:dyDescent="0.25">
      <c r="A14582" t="s">
        <v>12118</v>
      </c>
      <c r="B14582" t="s">
        <v>3480</v>
      </c>
      <c r="C14582" s="2">
        <f>HYPERLINK("https://cao.dolgi.msk.ru/account/1080226695/", 1080226695)</f>
        <v>1080226695</v>
      </c>
      <c r="D14582" t="s">
        <v>12187</v>
      </c>
      <c r="E14582">
        <v>-6711.36</v>
      </c>
      <c r="F14582">
        <v>-1.08</v>
      </c>
      <c r="G14582" t="s">
        <v>12</v>
      </c>
      <c r="I14582" t="s">
        <v>1428</v>
      </c>
    </row>
    <row r="14583" spans="1:9" hidden="1" x14ac:dyDescent="0.25">
      <c r="A14583" t="s">
        <v>12188</v>
      </c>
      <c r="B14583" t="s">
        <v>12189</v>
      </c>
      <c r="C14583" s="2">
        <f>HYPERLINK("https://cao.dolgi.msk.ru/account/1080226708/", 1080226708)</f>
        <v>1080226708</v>
      </c>
      <c r="D14583" t="s">
        <v>12190</v>
      </c>
      <c r="E14583">
        <v>-5997.46</v>
      </c>
      <c r="F14583">
        <v>-0.97</v>
      </c>
      <c r="G14583" t="s">
        <v>12</v>
      </c>
      <c r="I14583" t="s">
        <v>1428</v>
      </c>
    </row>
    <row r="14584" spans="1:9" hidden="1" x14ac:dyDescent="0.25">
      <c r="A14584" t="s">
        <v>12188</v>
      </c>
      <c r="B14584" t="s">
        <v>12191</v>
      </c>
      <c r="C14584" s="2">
        <f>HYPERLINK("https://cao.dolgi.msk.ru/account/1080226716/", 1080226716)</f>
        <v>1080226716</v>
      </c>
      <c r="D14584" t="s">
        <v>12192</v>
      </c>
      <c r="E14584">
        <v>-5701.84</v>
      </c>
      <c r="F14584">
        <v>-0.92</v>
      </c>
      <c r="G14584" t="s">
        <v>12</v>
      </c>
      <c r="I14584" t="s">
        <v>1428</v>
      </c>
    </row>
    <row r="14585" spans="1:9" hidden="1" x14ac:dyDescent="0.25">
      <c r="A14585" t="s">
        <v>12188</v>
      </c>
      <c r="B14585" t="s">
        <v>12193</v>
      </c>
      <c r="C14585" s="2">
        <f>HYPERLINK("https://cao.dolgi.msk.ru/account/1080226724/", 1080226724)</f>
        <v>1080226724</v>
      </c>
      <c r="D14585" t="s">
        <v>12194</v>
      </c>
      <c r="E14585">
        <v>-1742.25</v>
      </c>
      <c r="F14585">
        <v>-0.5</v>
      </c>
      <c r="G14585" t="s">
        <v>12</v>
      </c>
      <c r="I14585" t="s">
        <v>1428</v>
      </c>
    </row>
    <row r="14586" spans="1:9" hidden="1" x14ac:dyDescent="0.25">
      <c r="A14586" t="s">
        <v>12188</v>
      </c>
      <c r="B14586" t="s">
        <v>12195</v>
      </c>
      <c r="C14586" s="2">
        <f>HYPERLINK("https://cao.dolgi.msk.ru/account/1080226732/", 1080226732)</f>
        <v>1080226732</v>
      </c>
      <c r="D14586" t="s">
        <v>12196</v>
      </c>
      <c r="E14586">
        <v>-5929.57</v>
      </c>
      <c r="F14586">
        <v>-1.1599999999999999</v>
      </c>
      <c r="G14586" t="s">
        <v>12</v>
      </c>
      <c r="I14586" t="s">
        <v>1428</v>
      </c>
    </row>
    <row r="14587" spans="1:9" hidden="1" x14ac:dyDescent="0.25">
      <c r="A14587" t="s">
        <v>12188</v>
      </c>
      <c r="B14587" t="s">
        <v>12197</v>
      </c>
      <c r="C14587" s="2">
        <f>HYPERLINK("https://cao.dolgi.msk.ru/account/1080226759/", 1080226759)</f>
        <v>1080226759</v>
      </c>
      <c r="D14587" t="s">
        <v>12198</v>
      </c>
      <c r="E14587">
        <v>-4866.04</v>
      </c>
      <c r="F14587">
        <v>-1.01</v>
      </c>
      <c r="G14587" t="s">
        <v>12</v>
      </c>
      <c r="I14587" t="s">
        <v>1428</v>
      </c>
    </row>
    <row r="14588" spans="1:9" hidden="1" x14ac:dyDescent="0.25">
      <c r="A14588" t="s">
        <v>12188</v>
      </c>
      <c r="B14588" t="s">
        <v>12199</v>
      </c>
      <c r="C14588" s="2">
        <f>HYPERLINK("https://cao.dolgi.msk.ru/account/1080226767/", 1080226767)</f>
        <v>1080226767</v>
      </c>
      <c r="D14588" t="s">
        <v>12200</v>
      </c>
      <c r="E14588">
        <v>-5889.06</v>
      </c>
      <c r="F14588">
        <v>-1.04</v>
      </c>
      <c r="G14588" t="s">
        <v>12</v>
      </c>
      <c r="I14588" t="s">
        <v>1428</v>
      </c>
    </row>
    <row r="14589" spans="1:9" hidden="1" x14ac:dyDescent="0.25">
      <c r="A14589" t="s">
        <v>12188</v>
      </c>
      <c r="B14589" t="s">
        <v>12201</v>
      </c>
      <c r="C14589" s="2">
        <f>HYPERLINK("https://cao.dolgi.msk.ru/account/1080226775/", 1080226775)</f>
        <v>1080226775</v>
      </c>
      <c r="D14589" t="s">
        <v>12202</v>
      </c>
      <c r="E14589">
        <v>0</v>
      </c>
      <c r="F14589">
        <v>0</v>
      </c>
      <c r="G14589" t="s">
        <v>12</v>
      </c>
      <c r="I14589" t="s">
        <v>1428</v>
      </c>
    </row>
    <row r="14590" spans="1:9" hidden="1" x14ac:dyDescent="0.25">
      <c r="A14590" t="s">
        <v>12188</v>
      </c>
      <c r="B14590" t="s">
        <v>12203</v>
      </c>
      <c r="C14590" s="2">
        <f>HYPERLINK("https://cao.dolgi.msk.ru/account/1080226783/", 1080226783)</f>
        <v>1080226783</v>
      </c>
      <c r="D14590" t="s">
        <v>12204</v>
      </c>
      <c r="E14590">
        <v>-8609.07</v>
      </c>
      <c r="F14590">
        <v>-1.38</v>
      </c>
      <c r="G14590" t="s">
        <v>12</v>
      </c>
      <c r="I14590" t="s">
        <v>1428</v>
      </c>
    </row>
    <row r="14591" spans="1:9" hidden="1" x14ac:dyDescent="0.25">
      <c r="A14591" t="s">
        <v>12188</v>
      </c>
      <c r="B14591" t="s">
        <v>12205</v>
      </c>
      <c r="C14591" s="2">
        <f>HYPERLINK("https://cao.dolgi.msk.ru/account/1080226791/", 1080226791)</f>
        <v>1080226791</v>
      </c>
      <c r="D14591" t="s">
        <v>12206</v>
      </c>
      <c r="E14591">
        <v>5898.48</v>
      </c>
      <c r="F14591">
        <v>1</v>
      </c>
      <c r="G14591" t="s">
        <v>12</v>
      </c>
      <c r="I14591" t="s">
        <v>1428</v>
      </c>
    </row>
    <row r="14592" spans="1:9" hidden="1" x14ac:dyDescent="0.25">
      <c r="A14592" t="s">
        <v>12188</v>
      </c>
      <c r="B14592" t="s">
        <v>12207</v>
      </c>
      <c r="C14592" s="2">
        <f>HYPERLINK("https://cao.dolgi.msk.ru/account/1080226804/", 1080226804)</f>
        <v>1080226804</v>
      </c>
      <c r="D14592" t="s">
        <v>1082</v>
      </c>
      <c r="E14592">
        <v>-6026.86</v>
      </c>
      <c r="F14592">
        <v>-1</v>
      </c>
      <c r="G14592" t="s">
        <v>12</v>
      </c>
      <c r="I14592" t="s">
        <v>1428</v>
      </c>
    </row>
    <row r="14593" spans="1:9" hidden="1" x14ac:dyDescent="0.25">
      <c r="A14593" t="s">
        <v>12188</v>
      </c>
      <c r="B14593" t="s">
        <v>12208</v>
      </c>
      <c r="C14593" s="2">
        <f>HYPERLINK("https://cao.dolgi.msk.ru/account/1080226812/", 1080226812)</f>
        <v>1080226812</v>
      </c>
      <c r="D14593" t="s">
        <v>12209</v>
      </c>
      <c r="E14593">
        <v>5367.86</v>
      </c>
      <c r="F14593">
        <v>0.9</v>
      </c>
      <c r="G14593" t="s">
        <v>12</v>
      </c>
      <c r="I14593" t="s">
        <v>1428</v>
      </c>
    </row>
    <row r="14594" spans="1:9" hidden="1" x14ac:dyDescent="0.25">
      <c r="A14594" t="s">
        <v>12188</v>
      </c>
      <c r="B14594" t="s">
        <v>12210</v>
      </c>
      <c r="C14594" s="2">
        <f>HYPERLINK("https://cao.dolgi.msk.ru/account/1080226839/", 1080226839)</f>
        <v>1080226839</v>
      </c>
      <c r="D14594" t="s">
        <v>12211</v>
      </c>
      <c r="G14594" t="s">
        <v>14</v>
      </c>
      <c r="I14594" t="s">
        <v>1428</v>
      </c>
    </row>
    <row r="14595" spans="1:9" hidden="1" x14ac:dyDescent="0.25">
      <c r="A14595" t="s">
        <v>12188</v>
      </c>
      <c r="B14595" t="s">
        <v>12210</v>
      </c>
      <c r="C14595" s="2">
        <f>HYPERLINK("https://cao.dolgi.msk.ru/account/1080226847/", 1080226847)</f>
        <v>1080226847</v>
      </c>
      <c r="D14595" t="s">
        <v>12212</v>
      </c>
      <c r="E14595">
        <v>-9362.51</v>
      </c>
      <c r="F14595">
        <v>-1.8</v>
      </c>
      <c r="G14595" t="s">
        <v>12</v>
      </c>
      <c r="I14595" t="s">
        <v>1428</v>
      </c>
    </row>
    <row r="14596" spans="1:9" hidden="1" x14ac:dyDescent="0.25">
      <c r="A14596" t="s">
        <v>12188</v>
      </c>
      <c r="B14596" t="s">
        <v>12213</v>
      </c>
      <c r="C14596" s="2">
        <f>HYPERLINK("https://cao.dolgi.msk.ru/account/1080226855/", 1080226855)</f>
        <v>1080226855</v>
      </c>
      <c r="D14596" t="s">
        <v>12214</v>
      </c>
      <c r="E14596">
        <v>119.4</v>
      </c>
      <c r="F14596">
        <v>0.01</v>
      </c>
      <c r="G14596" t="s">
        <v>12</v>
      </c>
      <c r="I14596" t="s">
        <v>1428</v>
      </c>
    </row>
    <row r="14597" spans="1:9" hidden="1" x14ac:dyDescent="0.25">
      <c r="A14597" t="s">
        <v>12188</v>
      </c>
      <c r="B14597" t="s">
        <v>12215</v>
      </c>
      <c r="C14597" s="2">
        <f>HYPERLINK("https://cao.dolgi.msk.ru/account/1080226863/", 1080226863)</f>
        <v>1080226863</v>
      </c>
      <c r="D14597" t="s">
        <v>12216</v>
      </c>
      <c r="E14597">
        <v>-5278.81</v>
      </c>
      <c r="F14597">
        <v>-0.97</v>
      </c>
      <c r="G14597" t="s">
        <v>12</v>
      </c>
      <c r="I14597" t="s">
        <v>1428</v>
      </c>
    </row>
    <row r="14598" spans="1:9" x14ac:dyDescent="0.25">
      <c r="A14598" t="s">
        <v>12188</v>
      </c>
      <c r="B14598" t="s">
        <v>12217</v>
      </c>
      <c r="C14598" s="2">
        <f>HYPERLINK("https://cao.dolgi.msk.ru/account/1080226871/", 1080226871)</f>
        <v>1080226871</v>
      </c>
      <c r="D14598" t="s">
        <v>12218</v>
      </c>
      <c r="E14598">
        <v>7605.29</v>
      </c>
      <c r="F14598">
        <v>1.1599999999999999</v>
      </c>
      <c r="G14598" t="s">
        <v>12</v>
      </c>
      <c r="I14598" t="s">
        <v>1428</v>
      </c>
    </row>
    <row r="14599" spans="1:9" x14ac:dyDescent="0.25">
      <c r="A14599" t="s">
        <v>12188</v>
      </c>
      <c r="B14599" t="s">
        <v>12219</v>
      </c>
      <c r="C14599" s="2">
        <f>HYPERLINK("https://cao.dolgi.msk.ru/account/1080226898/", 1080226898)</f>
        <v>1080226898</v>
      </c>
      <c r="D14599" t="s">
        <v>12220</v>
      </c>
      <c r="E14599">
        <v>11084.07</v>
      </c>
      <c r="F14599">
        <v>1.98</v>
      </c>
      <c r="G14599" t="s">
        <v>12</v>
      </c>
      <c r="H14599" t="s">
        <v>7</v>
      </c>
      <c r="I14599" t="s">
        <v>1428</v>
      </c>
    </row>
    <row r="14600" spans="1:9" hidden="1" x14ac:dyDescent="0.25">
      <c r="A14600" t="s">
        <v>12188</v>
      </c>
      <c r="B14600" t="s">
        <v>12219</v>
      </c>
      <c r="C14600" s="2">
        <f>HYPERLINK("https://cao.dolgi.msk.ru/account/1080226919/", 1080226919)</f>
        <v>1080226919</v>
      </c>
      <c r="D14600" t="s">
        <v>12220</v>
      </c>
      <c r="E14600">
        <v>47.98</v>
      </c>
      <c r="F14600">
        <v>0.01</v>
      </c>
      <c r="G14600" t="s">
        <v>12</v>
      </c>
      <c r="H14600" t="s">
        <v>7</v>
      </c>
      <c r="I14600" t="s">
        <v>1428</v>
      </c>
    </row>
    <row r="14601" spans="1:9" hidden="1" x14ac:dyDescent="0.25">
      <c r="A14601" t="s">
        <v>12188</v>
      </c>
      <c r="B14601" t="s">
        <v>12221</v>
      </c>
      <c r="C14601" s="2">
        <f>HYPERLINK("https://cao.dolgi.msk.ru/account/1080226927/", 1080226927)</f>
        <v>1080226927</v>
      </c>
      <c r="D14601" t="s">
        <v>12222</v>
      </c>
      <c r="E14601">
        <v>-6382.06</v>
      </c>
      <c r="F14601">
        <v>-0.74</v>
      </c>
      <c r="G14601" t="s">
        <v>12</v>
      </c>
      <c r="I14601" t="s">
        <v>1428</v>
      </c>
    </row>
    <row r="14602" spans="1:9" hidden="1" x14ac:dyDescent="0.25">
      <c r="A14602" t="s">
        <v>12188</v>
      </c>
      <c r="B14602" t="s">
        <v>12223</v>
      </c>
      <c r="C14602" s="2">
        <f>HYPERLINK("https://cao.dolgi.msk.ru/account/1080226935/", 1080226935)</f>
        <v>1080226935</v>
      </c>
      <c r="D14602" t="s">
        <v>12224</v>
      </c>
      <c r="E14602">
        <v>-6661.7</v>
      </c>
      <c r="F14602">
        <v>-0.98</v>
      </c>
      <c r="G14602" t="s">
        <v>12</v>
      </c>
      <c r="I14602" t="s">
        <v>1428</v>
      </c>
    </row>
    <row r="14603" spans="1:9" hidden="1" x14ac:dyDescent="0.25">
      <c r="A14603" t="s">
        <v>12188</v>
      </c>
      <c r="B14603" t="s">
        <v>12225</v>
      </c>
      <c r="C14603" s="2">
        <f>HYPERLINK("https://cao.dolgi.msk.ru/account/1080226943/", 1080226943)</f>
        <v>1080226943</v>
      </c>
      <c r="D14603" t="s">
        <v>12226</v>
      </c>
      <c r="E14603">
        <v>48.7</v>
      </c>
      <c r="F14603">
        <v>0.01</v>
      </c>
      <c r="G14603" t="s">
        <v>12</v>
      </c>
      <c r="I14603" t="s">
        <v>1428</v>
      </c>
    </row>
    <row r="14604" spans="1:9" hidden="1" x14ac:dyDescent="0.25">
      <c r="A14604" t="s">
        <v>12188</v>
      </c>
      <c r="B14604" t="s">
        <v>12227</v>
      </c>
      <c r="C14604" s="2">
        <f>HYPERLINK("https://cao.dolgi.msk.ru/account/1080226951/", 1080226951)</f>
        <v>1080226951</v>
      </c>
      <c r="D14604" t="s">
        <v>12228</v>
      </c>
      <c r="E14604">
        <v>-8504.15</v>
      </c>
      <c r="F14604">
        <v>-0.98</v>
      </c>
      <c r="G14604" t="s">
        <v>12</v>
      </c>
      <c r="I14604" t="s">
        <v>1428</v>
      </c>
    </row>
    <row r="14605" spans="1:9" hidden="1" x14ac:dyDescent="0.25">
      <c r="A14605" t="s">
        <v>12188</v>
      </c>
      <c r="B14605" t="s">
        <v>12229</v>
      </c>
      <c r="C14605" s="2">
        <f>HYPERLINK("https://cao.dolgi.msk.ru/account/1080226978/", 1080226978)</f>
        <v>1080226978</v>
      </c>
      <c r="D14605" t="s">
        <v>12230</v>
      </c>
      <c r="E14605">
        <v>-6629.58</v>
      </c>
      <c r="F14605">
        <v>-1.06</v>
      </c>
      <c r="G14605" t="s">
        <v>12</v>
      </c>
      <c r="I14605" t="s">
        <v>1428</v>
      </c>
    </row>
    <row r="14606" spans="1:9" hidden="1" x14ac:dyDescent="0.25">
      <c r="A14606" t="s">
        <v>12188</v>
      </c>
      <c r="B14606" t="s">
        <v>12231</v>
      </c>
      <c r="C14606" s="2">
        <f>HYPERLINK("https://cao.dolgi.msk.ru/account/1080226986/", 1080226986)</f>
        <v>1080226986</v>
      </c>
      <c r="D14606" t="s">
        <v>12232</v>
      </c>
      <c r="E14606">
        <v>-3384.08</v>
      </c>
      <c r="F14606">
        <v>-0.5</v>
      </c>
      <c r="G14606" t="s">
        <v>12</v>
      </c>
      <c r="I14606" t="s">
        <v>1428</v>
      </c>
    </row>
    <row r="14607" spans="1:9" hidden="1" x14ac:dyDescent="0.25">
      <c r="A14607" t="s">
        <v>12188</v>
      </c>
      <c r="B14607" t="s">
        <v>12233</v>
      </c>
      <c r="C14607" s="2">
        <f>HYPERLINK("https://cao.dolgi.msk.ru/account/1080226994/", 1080226994)</f>
        <v>1080226994</v>
      </c>
      <c r="D14607" t="s">
        <v>12234</v>
      </c>
      <c r="E14607">
        <v>-12081.85</v>
      </c>
      <c r="F14607">
        <v>-1.68</v>
      </c>
      <c r="G14607" t="s">
        <v>12</v>
      </c>
      <c r="I14607" t="s">
        <v>1428</v>
      </c>
    </row>
    <row r="14608" spans="1:9" hidden="1" x14ac:dyDescent="0.25">
      <c r="A14608" t="s">
        <v>12188</v>
      </c>
      <c r="B14608" t="s">
        <v>12235</v>
      </c>
      <c r="C14608" s="2">
        <f>HYPERLINK("https://cao.dolgi.msk.ru/account/1080227006/", 1080227006)</f>
        <v>1080227006</v>
      </c>
      <c r="D14608" t="s">
        <v>1082</v>
      </c>
      <c r="E14608">
        <v>0</v>
      </c>
      <c r="F14608">
        <v>0</v>
      </c>
      <c r="G14608" t="s">
        <v>12</v>
      </c>
      <c r="H14608" t="s">
        <v>7</v>
      </c>
      <c r="I14608" t="s">
        <v>1428</v>
      </c>
    </row>
    <row r="14609" spans="1:9" hidden="1" x14ac:dyDescent="0.25">
      <c r="A14609" t="s">
        <v>12188</v>
      </c>
      <c r="B14609" t="s">
        <v>12235</v>
      </c>
      <c r="C14609" s="2">
        <f>HYPERLINK("https://cao.dolgi.msk.ru/account/1080227014/", 1080227014)</f>
        <v>1080227014</v>
      </c>
      <c r="D14609" t="s">
        <v>12236</v>
      </c>
      <c r="E14609">
        <v>-2713.79</v>
      </c>
      <c r="F14609">
        <v>-1.06</v>
      </c>
      <c r="G14609" t="s">
        <v>12</v>
      </c>
      <c r="H14609" t="s">
        <v>7</v>
      </c>
      <c r="I14609" t="s">
        <v>1428</v>
      </c>
    </row>
    <row r="14610" spans="1:9" hidden="1" x14ac:dyDescent="0.25">
      <c r="A14610" t="s">
        <v>12188</v>
      </c>
      <c r="B14610" t="s">
        <v>12235</v>
      </c>
      <c r="C14610" s="2">
        <f>HYPERLINK("https://cao.dolgi.msk.ru/account/1080227022/", 1080227022)</f>
        <v>1080227022</v>
      </c>
      <c r="D14610" t="s">
        <v>12236</v>
      </c>
      <c r="E14610">
        <v>-103.88</v>
      </c>
      <c r="F14610">
        <v>-0.04</v>
      </c>
      <c r="G14610" t="s">
        <v>12</v>
      </c>
      <c r="H14610" t="s">
        <v>7</v>
      </c>
      <c r="I14610" t="s">
        <v>1428</v>
      </c>
    </row>
    <row r="14611" spans="1:9" hidden="1" x14ac:dyDescent="0.25">
      <c r="A14611" t="s">
        <v>12188</v>
      </c>
      <c r="B14611" t="s">
        <v>12237</v>
      </c>
      <c r="C14611" s="2">
        <f>HYPERLINK("https://cao.dolgi.msk.ru/account/1080227049/", 1080227049)</f>
        <v>1080227049</v>
      </c>
      <c r="D14611" t="s">
        <v>12238</v>
      </c>
      <c r="E14611">
        <v>-3034.6</v>
      </c>
      <c r="F14611">
        <v>-0.93</v>
      </c>
      <c r="G14611" t="s">
        <v>12</v>
      </c>
      <c r="I14611" t="s">
        <v>1428</v>
      </c>
    </row>
    <row r="14612" spans="1:9" hidden="1" x14ac:dyDescent="0.25">
      <c r="A14612" t="s">
        <v>12188</v>
      </c>
      <c r="B14612" t="s">
        <v>12239</v>
      </c>
      <c r="C14612" s="2">
        <f>HYPERLINK("https://cao.dolgi.msk.ru/account/1080227057/", 1080227057)</f>
        <v>1080227057</v>
      </c>
      <c r="D14612" t="s">
        <v>12240</v>
      </c>
      <c r="E14612">
        <v>-8611.7000000000007</v>
      </c>
      <c r="F14612">
        <v>-1.01</v>
      </c>
      <c r="G14612" t="s">
        <v>12</v>
      </c>
      <c r="I14612" t="s">
        <v>1428</v>
      </c>
    </row>
    <row r="14613" spans="1:9" hidden="1" x14ac:dyDescent="0.25">
      <c r="A14613" t="s">
        <v>12188</v>
      </c>
      <c r="B14613" t="s">
        <v>12241</v>
      </c>
      <c r="C14613" s="2">
        <f>HYPERLINK("https://cao.dolgi.msk.ru/account/1080227065/", 1080227065)</f>
        <v>1080227065</v>
      </c>
      <c r="D14613" t="s">
        <v>15</v>
      </c>
      <c r="E14613">
        <v>-11841.47</v>
      </c>
      <c r="F14613">
        <v>-1.22</v>
      </c>
      <c r="G14613" t="s">
        <v>12</v>
      </c>
      <c r="I14613" t="s">
        <v>1428</v>
      </c>
    </row>
    <row r="14614" spans="1:9" hidden="1" x14ac:dyDescent="0.25">
      <c r="A14614" t="s">
        <v>12188</v>
      </c>
      <c r="B14614" t="s">
        <v>12242</v>
      </c>
      <c r="C14614" s="2">
        <f>HYPERLINK("https://cao.dolgi.msk.ru/account/1080227073/", 1080227073)</f>
        <v>1080227073</v>
      </c>
      <c r="D14614" t="s">
        <v>12243</v>
      </c>
      <c r="E14614">
        <v>-3940.78</v>
      </c>
      <c r="F14614">
        <v>-1.01</v>
      </c>
      <c r="G14614" t="s">
        <v>12</v>
      </c>
      <c r="I14614" t="s">
        <v>1428</v>
      </c>
    </row>
    <row r="14615" spans="1:9" hidden="1" x14ac:dyDescent="0.25">
      <c r="A14615" t="s">
        <v>12188</v>
      </c>
      <c r="B14615" t="s">
        <v>12242</v>
      </c>
      <c r="C14615" s="2">
        <f>HYPERLINK("https://cao.dolgi.msk.ru/account/1080227081/", 1080227081)</f>
        <v>1080227081</v>
      </c>
      <c r="D14615" t="s">
        <v>12243</v>
      </c>
      <c r="E14615">
        <v>0</v>
      </c>
      <c r="G14615" t="s">
        <v>14</v>
      </c>
      <c r="I14615" t="s">
        <v>1428</v>
      </c>
    </row>
    <row r="14616" spans="1:9" hidden="1" x14ac:dyDescent="0.25">
      <c r="A14616" t="s">
        <v>12188</v>
      </c>
      <c r="B14616" t="s">
        <v>12244</v>
      </c>
      <c r="C14616" s="2">
        <f>HYPERLINK("https://cao.dolgi.msk.ru/account/1080227102/", 1080227102)</f>
        <v>1080227102</v>
      </c>
      <c r="D14616" t="s">
        <v>12245</v>
      </c>
      <c r="E14616">
        <v>-159.19999999999999</v>
      </c>
      <c r="F14616">
        <v>-0.02</v>
      </c>
      <c r="G14616" t="s">
        <v>12</v>
      </c>
      <c r="I14616" t="s">
        <v>1428</v>
      </c>
    </row>
    <row r="14617" spans="1:9" hidden="1" x14ac:dyDescent="0.25">
      <c r="A14617" t="s">
        <v>12188</v>
      </c>
      <c r="B14617" t="s">
        <v>12246</v>
      </c>
      <c r="C14617" s="2">
        <f>HYPERLINK("https://cao.dolgi.msk.ru/account/1080227129/", 1080227129)</f>
        <v>1080227129</v>
      </c>
      <c r="D14617" t="s">
        <v>12247</v>
      </c>
      <c r="E14617">
        <v>-1875.98</v>
      </c>
      <c r="F14617">
        <v>-1.26</v>
      </c>
      <c r="G14617" t="s">
        <v>12</v>
      </c>
      <c r="H14617" t="s">
        <v>7</v>
      </c>
      <c r="I14617" t="s">
        <v>1428</v>
      </c>
    </row>
    <row r="14618" spans="1:9" hidden="1" x14ac:dyDescent="0.25">
      <c r="A14618" t="s">
        <v>12188</v>
      </c>
      <c r="B14618" t="s">
        <v>12246</v>
      </c>
      <c r="C14618" s="2">
        <f>HYPERLINK("https://cao.dolgi.msk.ru/account/1080227137/", 1080227137)</f>
        <v>1080227137</v>
      </c>
      <c r="D14618" t="s">
        <v>12247</v>
      </c>
      <c r="E14618">
        <v>-3681.81</v>
      </c>
      <c r="F14618">
        <v>-0.91</v>
      </c>
      <c r="G14618" t="s">
        <v>12</v>
      </c>
      <c r="H14618" t="s">
        <v>7</v>
      </c>
      <c r="I14618" t="s">
        <v>1428</v>
      </c>
    </row>
    <row r="14619" spans="1:9" x14ac:dyDescent="0.25">
      <c r="A14619" t="s">
        <v>12188</v>
      </c>
      <c r="B14619" t="s">
        <v>12246</v>
      </c>
      <c r="C14619" s="2">
        <f>HYPERLINK("https://cao.dolgi.msk.ru/account/1080227145/", 1080227145)</f>
        <v>1080227145</v>
      </c>
      <c r="D14619" t="s">
        <v>12247</v>
      </c>
      <c r="E14619">
        <v>7049.31</v>
      </c>
      <c r="F14619">
        <v>3</v>
      </c>
      <c r="G14619" t="s">
        <v>12</v>
      </c>
      <c r="H14619" t="s">
        <v>7</v>
      </c>
      <c r="I14619" t="s">
        <v>1428</v>
      </c>
    </row>
    <row r="14620" spans="1:9" hidden="1" x14ac:dyDescent="0.25">
      <c r="A14620" t="s">
        <v>12188</v>
      </c>
      <c r="B14620" t="s">
        <v>12248</v>
      </c>
      <c r="C14620" s="2">
        <f>HYPERLINK("https://cao.dolgi.msk.ru/account/1080227153/", 1080227153)</f>
        <v>1080227153</v>
      </c>
      <c r="D14620" t="s">
        <v>15</v>
      </c>
      <c r="E14620">
        <v>-2296.15</v>
      </c>
      <c r="F14620">
        <v>-0.98</v>
      </c>
      <c r="G14620" t="s">
        <v>12</v>
      </c>
      <c r="H14620" t="s">
        <v>7</v>
      </c>
      <c r="I14620" t="s">
        <v>1428</v>
      </c>
    </row>
    <row r="14621" spans="1:9" hidden="1" x14ac:dyDescent="0.25">
      <c r="A14621" t="s">
        <v>12188</v>
      </c>
      <c r="B14621" t="s">
        <v>12248</v>
      </c>
      <c r="C14621" s="2">
        <f>HYPERLINK("https://cao.dolgi.msk.ru/account/1080227161/", 1080227161)</f>
        <v>1080227161</v>
      </c>
      <c r="D14621" t="s">
        <v>12249</v>
      </c>
      <c r="E14621">
        <v>-3478.67</v>
      </c>
      <c r="F14621">
        <v>-1.06</v>
      </c>
      <c r="G14621" t="s">
        <v>12</v>
      </c>
      <c r="H14621" t="s">
        <v>7</v>
      </c>
      <c r="I14621" t="s">
        <v>1428</v>
      </c>
    </row>
    <row r="14622" spans="1:9" hidden="1" x14ac:dyDescent="0.25">
      <c r="A14622" t="s">
        <v>12188</v>
      </c>
      <c r="B14622" t="s">
        <v>12248</v>
      </c>
      <c r="C14622" s="2">
        <f>HYPERLINK("https://cao.dolgi.msk.ru/account/1080227188/", 1080227188)</f>
        <v>1080227188</v>
      </c>
      <c r="D14622" t="s">
        <v>12249</v>
      </c>
      <c r="E14622">
        <v>-1696.5</v>
      </c>
      <c r="F14622">
        <v>-0.97</v>
      </c>
      <c r="G14622" t="s">
        <v>12</v>
      </c>
      <c r="H14622" t="s">
        <v>7</v>
      </c>
      <c r="I14622" t="s">
        <v>1428</v>
      </c>
    </row>
    <row r="14623" spans="1:9" hidden="1" x14ac:dyDescent="0.25">
      <c r="A14623" t="s">
        <v>12188</v>
      </c>
      <c r="B14623" t="s">
        <v>12250</v>
      </c>
      <c r="C14623" s="2">
        <f>HYPERLINK("https://cao.dolgi.msk.ru/account/1080227196/", 1080227196)</f>
        <v>1080227196</v>
      </c>
      <c r="D14623" t="s">
        <v>12251</v>
      </c>
      <c r="E14623">
        <v>0</v>
      </c>
      <c r="F14623">
        <v>0</v>
      </c>
      <c r="G14623" t="s">
        <v>12</v>
      </c>
      <c r="I14623" t="s">
        <v>1428</v>
      </c>
    </row>
    <row r="14624" spans="1:9" hidden="1" x14ac:dyDescent="0.25">
      <c r="A14624" t="s">
        <v>12188</v>
      </c>
      <c r="B14624" t="s">
        <v>12252</v>
      </c>
      <c r="C14624" s="2">
        <f>HYPERLINK("https://cao.dolgi.msk.ru/account/1080227209/", 1080227209)</f>
        <v>1080227209</v>
      </c>
      <c r="D14624" t="s">
        <v>12253</v>
      </c>
      <c r="E14624">
        <v>-9706.65</v>
      </c>
      <c r="F14624">
        <v>-1.73</v>
      </c>
      <c r="G14624" t="s">
        <v>12</v>
      </c>
      <c r="I14624" t="s">
        <v>1428</v>
      </c>
    </row>
    <row r="14625" spans="1:9" hidden="1" x14ac:dyDescent="0.25">
      <c r="A14625" t="s">
        <v>12188</v>
      </c>
      <c r="B14625" t="s">
        <v>12252</v>
      </c>
      <c r="C14625" s="2">
        <f>HYPERLINK("https://cao.dolgi.msk.ru/account/1080227217/", 1080227217)</f>
        <v>1080227217</v>
      </c>
      <c r="D14625" t="s">
        <v>12254</v>
      </c>
      <c r="E14625">
        <v>692.46</v>
      </c>
      <c r="G14625" t="s">
        <v>14</v>
      </c>
      <c r="I14625" t="s">
        <v>1428</v>
      </c>
    </row>
    <row r="14626" spans="1:9" x14ac:dyDescent="0.25">
      <c r="A14626" t="s">
        <v>12188</v>
      </c>
      <c r="B14626" t="s">
        <v>12255</v>
      </c>
      <c r="C14626" s="2">
        <f>HYPERLINK("https://cao.dolgi.msk.ru/account/1080227225/", 1080227225)</f>
        <v>1080227225</v>
      </c>
      <c r="D14626" t="s">
        <v>12256</v>
      </c>
      <c r="E14626">
        <v>54591.25</v>
      </c>
      <c r="F14626">
        <v>7.95</v>
      </c>
      <c r="G14626" t="s">
        <v>12</v>
      </c>
      <c r="H14626" t="s">
        <v>7</v>
      </c>
      <c r="I14626" t="s">
        <v>1428</v>
      </c>
    </row>
    <row r="14627" spans="1:9" x14ac:dyDescent="0.25">
      <c r="A14627" t="s">
        <v>12188</v>
      </c>
      <c r="B14627" t="s">
        <v>12255</v>
      </c>
      <c r="C14627" s="2">
        <f>HYPERLINK("https://cao.dolgi.msk.ru/account/1080227233/", 1080227233)</f>
        <v>1080227233</v>
      </c>
      <c r="D14627" t="s">
        <v>12257</v>
      </c>
      <c r="E14627">
        <v>114208.54</v>
      </c>
      <c r="F14627">
        <v>34.03</v>
      </c>
      <c r="G14627" t="s">
        <v>12</v>
      </c>
      <c r="H14627" t="s">
        <v>7</v>
      </c>
      <c r="I14627" t="s">
        <v>1428</v>
      </c>
    </row>
    <row r="14628" spans="1:9" hidden="1" x14ac:dyDescent="0.25">
      <c r="A14628" t="s">
        <v>12188</v>
      </c>
      <c r="B14628" t="s">
        <v>12258</v>
      </c>
      <c r="C14628" s="2">
        <f>HYPERLINK("https://cao.dolgi.msk.ru/account/1080227241/", 1080227241)</f>
        <v>1080227241</v>
      </c>
      <c r="D14628" t="s">
        <v>12259</v>
      </c>
      <c r="E14628">
        <v>360.31</v>
      </c>
      <c r="F14628">
        <v>0.06</v>
      </c>
      <c r="G14628" t="s">
        <v>12</v>
      </c>
      <c r="I14628" t="s">
        <v>1428</v>
      </c>
    </row>
    <row r="14629" spans="1:9" hidden="1" x14ac:dyDescent="0.25">
      <c r="A14629" t="s">
        <v>12188</v>
      </c>
      <c r="B14629" t="s">
        <v>12260</v>
      </c>
      <c r="C14629" s="2">
        <f>HYPERLINK("https://cao.dolgi.msk.ru/account/1080227268/", 1080227268)</f>
        <v>1080227268</v>
      </c>
      <c r="D14629" t="s">
        <v>12261</v>
      </c>
      <c r="E14629">
        <v>-5064.41</v>
      </c>
      <c r="F14629">
        <v>-1</v>
      </c>
      <c r="G14629" t="s">
        <v>12</v>
      </c>
      <c r="I14629" t="s">
        <v>1428</v>
      </c>
    </row>
    <row r="14630" spans="1:9" hidden="1" x14ac:dyDescent="0.25">
      <c r="A14630" t="s">
        <v>12188</v>
      </c>
      <c r="B14630" t="s">
        <v>12262</v>
      </c>
      <c r="C14630" s="2">
        <f>HYPERLINK("https://cao.dolgi.msk.ru/account/1080227284/", 1080227284)</f>
        <v>1080227284</v>
      </c>
      <c r="D14630" t="s">
        <v>12263</v>
      </c>
      <c r="E14630">
        <v>-4991.67</v>
      </c>
      <c r="F14630">
        <v>-0.96</v>
      </c>
      <c r="G14630" t="s">
        <v>12</v>
      </c>
      <c r="I14630" t="s">
        <v>1428</v>
      </c>
    </row>
    <row r="14631" spans="1:9" hidden="1" x14ac:dyDescent="0.25">
      <c r="A14631" t="s">
        <v>12188</v>
      </c>
      <c r="B14631" t="s">
        <v>12262</v>
      </c>
      <c r="C14631" s="2">
        <f>HYPERLINK("https://cao.dolgi.msk.ru/account/1080227292/", 1080227292)</f>
        <v>1080227292</v>
      </c>
      <c r="D14631" t="s">
        <v>12264</v>
      </c>
      <c r="E14631">
        <v>0</v>
      </c>
      <c r="G14631" t="s">
        <v>14</v>
      </c>
      <c r="I14631" t="s">
        <v>1428</v>
      </c>
    </row>
    <row r="14632" spans="1:9" hidden="1" x14ac:dyDescent="0.25">
      <c r="A14632" t="s">
        <v>12188</v>
      </c>
      <c r="B14632" t="s">
        <v>12265</v>
      </c>
      <c r="C14632" s="2">
        <f>HYPERLINK("https://cao.dolgi.msk.ru/account/1080227305/", 1080227305)</f>
        <v>1080227305</v>
      </c>
      <c r="D14632" t="s">
        <v>12266</v>
      </c>
      <c r="E14632">
        <v>-9217.75</v>
      </c>
      <c r="F14632">
        <v>-1.01</v>
      </c>
      <c r="G14632" t="s">
        <v>12</v>
      </c>
      <c r="I14632" t="s">
        <v>1428</v>
      </c>
    </row>
    <row r="14633" spans="1:9" hidden="1" x14ac:dyDescent="0.25">
      <c r="A14633" t="s">
        <v>12188</v>
      </c>
      <c r="B14633" t="s">
        <v>12265</v>
      </c>
      <c r="C14633" s="2">
        <f>HYPERLINK("https://cao.dolgi.msk.ru/account/1080227313/", 1080227313)</f>
        <v>1080227313</v>
      </c>
      <c r="D14633" t="s">
        <v>15</v>
      </c>
      <c r="E14633">
        <v>5292.82</v>
      </c>
      <c r="G14633" t="s">
        <v>14</v>
      </c>
      <c r="I14633" t="s">
        <v>1428</v>
      </c>
    </row>
    <row r="14634" spans="1:9" hidden="1" x14ac:dyDescent="0.25">
      <c r="A14634" t="s">
        <v>12188</v>
      </c>
      <c r="B14634" t="s">
        <v>12265</v>
      </c>
      <c r="C14634" s="2">
        <f>HYPERLINK("https://cao.dolgi.msk.ru/account/1080227321/", 1080227321)</f>
        <v>1080227321</v>
      </c>
      <c r="D14634" t="s">
        <v>12267</v>
      </c>
      <c r="G14634" t="s">
        <v>14</v>
      </c>
      <c r="I14634" t="s">
        <v>1428</v>
      </c>
    </row>
    <row r="14635" spans="1:9" hidden="1" x14ac:dyDescent="0.25">
      <c r="A14635" t="s">
        <v>12188</v>
      </c>
      <c r="B14635" t="s">
        <v>12265</v>
      </c>
      <c r="C14635" s="2">
        <f>HYPERLINK("https://cao.dolgi.msk.ru/account/1083271512/", 1083271512)</f>
        <v>1083271512</v>
      </c>
      <c r="D14635" t="s">
        <v>12266</v>
      </c>
      <c r="E14635">
        <v>0</v>
      </c>
      <c r="G14635" t="s">
        <v>14</v>
      </c>
      <c r="I14635" t="s">
        <v>1428</v>
      </c>
    </row>
    <row r="14636" spans="1:9" hidden="1" x14ac:dyDescent="0.25">
      <c r="A14636" t="s">
        <v>12188</v>
      </c>
      <c r="B14636" t="s">
        <v>12268</v>
      </c>
      <c r="C14636" s="2">
        <f>HYPERLINK("https://cao.dolgi.msk.ru/account/1080227348/", 1080227348)</f>
        <v>1080227348</v>
      </c>
      <c r="D14636" t="s">
        <v>12269</v>
      </c>
      <c r="E14636">
        <v>-7752.63</v>
      </c>
      <c r="F14636">
        <v>-0.99</v>
      </c>
      <c r="G14636" t="s">
        <v>12</v>
      </c>
      <c r="I14636" t="s">
        <v>1428</v>
      </c>
    </row>
    <row r="14637" spans="1:9" hidden="1" x14ac:dyDescent="0.25">
      <c r="A14637" t="s">
        <v>12188</v>
      </c>
      <c r="B14637" t="s">
        <v>12270</v>
      </c>
      <c r="C14637" s="2">
        <f>HYPERLINK("https://cao.dolgi.msk.ru/account/1080227356/", 1080227356)</f>
        <v>1080227356</v>
      </c>
      <c r="D14637" t="s">
        <v>12271</v>
      </c>
      <c r="E14637">
        <v>-4257.84</v>
      </c>
      <c r="F14637">
        <v>-0.95</v>
      </c>
      <c r="G14637" t="s">
        <v>12</v>
      </c>
      <c r="I14637" t="s">
        <v>1428</v>
      </c>
    </row>
    <row r="14638" spans="1:9" hidden="1" x14ac:dyDescent="0.25">
      <c r="A14638" t="s">
        <v>12188</v>
      </c>
      <c r="B14638" t="s">
        <v>12272</v>
      </c>
      <c r="C14638" s="2">
        <f>HYPERLINK("https://cao.dolgi.msk.ru/account/1080227364/", 1080227364)</f>
        <v>1080227364</v>
      </c>
      <c r="D14638" t="s">
        <v>12273</v>
      </c>
      <c r="E14638">
        <v>-7286.65</v>
      </c>
      <c r="F14638">
        <v>-0.98</v>
      </c>
      <c r="G14638" t="s">
        <v>12</v>
      </c>
      <c r="I14638" t="s">
        <v>1428</v>
      </c>
    </row>
    <row r="14639" spans="1:9" hidden="1" x14ac:dyDescent="0.25">
      <c r="A14639" t="s">
        <v>12188</v>
      </c>
      <c r="B14639" t="s">
        <v>12272</v>
      </c>
      <c r="C14639" s="2">
        <f>HYPERLINK("https://cao.dolgi.msk.ru/account/1080227372/", 1080227372)</f>
        <v>1080227372</v>
      </c>
      <c r="D14639" t="s">
        <v>62</v>
      </c>
      <c r="E14639">
        <v>0</v>
      </c>
      <c r="G14639" t="s">
        <v>14</v>
      </c>
      <c r="I14639" t="s">
        <v>1428</v>
      </c>
    </row>
    <row r="14640" spans="1:9" hidden="1" x14ac:dyDescent="0.25">
      <c r="A14640" t="s">
        <v>12188</v>
      </c>
      <c r="B14640" t="s">
        <v>12272</v>
      </c>
      <c r="C14640" s="2">
        <f>HYPERLINK("https://cao.dolgi.msk.ru/account/1080322361/", 1080322361)</f>
        <v>1080322361</v>
      </c>
      <c r="D14640" t="s">
        <v>15</v>
      </c>
      <c r="E14640">
        <v>0</v>
      </c>
      <c r="G14640" t="s">
        <v>14</v>
      </c>
      <c r="I14640" t="s">
        <v>1428</v>
      </c>
    </row>
    <row r="14641" spans="1:9" hidden="1" x14ac:dyDescent="0.25">
      <c r="A14641" t="s">
        <v>12188</v>
      </c>
      <c r="B14641" t="s">
        <v>12274</v>
      </c>
      <c r="C14641" s="2">
        <f>HYPERLINK("https://cao.dolgi.msk.ru/account/1080227399/", 1080227399)</f>
        <v>1080227399</v>
      </c>
      <c r="D14641" t="s">
        <v>12275</v>
      </c>
      <c r="E14641">
        <v>0</v>
      </c>
      <c r="F14641">
        <v>0</v>
      </c>
      <c r="G14641" t="s">
        <v>12</v>
      </c>
      <c r="I14641" t="s">
        <v>1428</v>
      </c>
    </row>
    <row r="14642" spans="1:9" hidden="1" x14ac:dyDescent="0.25">
      <c r="A14642" t="s">
        <v>12188</v>
      </c>
      <c r="B14642" t="s">
        <v>12276</v>
      </c>
      <c r="C14642" s="2">
        <f>HYPERLINK("https://cao.dolgi.msk.ru/account/1080227401/", 1080227401)</f>
        <v>1080227401</v>
      </c>
      <c r="D14642" t="s">
        <v>12277</v>
      </c>
      <c r="E14642">
        <v>-7802.09</v>
      </c>
      <c r="F14642">
        <v>-1</v>
      </c>
      <c r="G14642" t="s">
        <v>12</v>
      </c>
      <c r="I14642" t="s">
        <v>1428</v>
      </c>
    </row>
    <row r="14643" spans="1:9" hidden="1" x14ac:dyDescent="0.25">
      <c r="A14643" t="s">
        <v>12188</v>
      </c>
      <c r="B14643" t="s">
        <v>12278</v>
      </c>
      <c r="C14643" s="2">
        <f>HYPERLINK("https://cao.dolgi.msk.ru/account/1080227428/", 1080227428)</f>
        <v>1080227428</v>
      </c>
      <c r="D14643" t="s">
        <v>12279</v>
      </c>
      <c r="E14643">
        <v>144.94999999999999</v>
      </c>
      <c r="F14643">
        <v>0.02</v>
      </c>
      <c r="G14643" t="s">
        <v>12</v>
      </c>
      <c r="I14643" t="s">
        <v>1428</v>
      </c>
    </row>
    <row r="14644" spans="1:9" hidden="1" x14ac:dyDescent="0.25">
      <c r="A14644" t="s">
        <v>12188</v>
      </c>
      <c r="B14644" t="s">
        <v>12280</v>
      </c>
      <c r="C14644" s="2">
        <f>HYPERLINK("https://cao.dolgi.msk.ru/account/1080227436/", 1080227436)</f>
        <v>1080227436</v>
      </c>
      <c r="D14644" t="s">
        <v>12281</v>
      </c>
      <c r="E14644">
        <v>-5778.84</v>
      </c>
      <c r="F14644">
        <v>-1.1000000000000001</v>
      </c>
      <c r="G14644" t="s">
        <v>12</v>
      </c>
      <c r="H14644" t="s">
        <v>7</v>
      </c>
      <c r="I14644" t="s">
        <v>1428</v>
      </c>
    </row>
    <row r="14645" spans="1:9" hidden="1" x14ac:dyDescent="0.25">
      <c r="A14645" t="s">
        <v>12188</v>
      </c>
      <c r="B14645" t="s">
        <v>12280</v>
      </c>
      <c r="C14645" s="2">
        <f>HYPERLINK("https://cao.dolgi.msk.ru/account/1080227444/", 1080227444)</f>
        <v>1080227444</v>
      </c>
      <c r="D14645" t="s">
        <v>12282</v>
      </c>
      <c r="E14645">
        <v>-4207.6499999999996</v>
      </c>
      <c r="F14645">
        <v>-1.01</v>
      </c>
      <c r="G14645" t="s">
        <v>12</v>
      </c>
      <c r="H14645" t="s">
        <v>7</v>
      </c>
      <c r="I14645" t="s">
        <v>1428</v>
      </c>
    </row>
    <row r="14646" spans="1:9" hidden="1" x14ac:dyDescent="0.25">
      <c r="A14646" t="s">
        <v>12188</v>
      </c>
      <c r="B14646" t="s">
        <v>12283</v>
      </c>
      <c r="C14646" s="2">
        <f>HYPERLINK("https://cao.dolgi.msk.ru/account/1080227452/", 1080227452)</f>
        <v>1080227452</v>
      </c>
      <c r="D14646" t="s">
        <v>12284</v>
      </c>
      <c r="E14646">
        <v>-8260.76</v>
      </c>
      <c r="F14646">
        <v>-1.18</v>
      </c>
      <c r="G14646" t="s">
        <v>12</v>
      </c>
      <c r="I14646" t="s">
        <v>1428</v>
      </c>
    </row>
    <row r="14647" spans="1:9" hidden="1" x14ac:dyDescent="0.25">
      <c r="A14647" t="s">
        <v>12188</v>
      </c>
      <c r="B14647" t="s">
        <v>12285</v>
      </c>
      <c r="C14647" s="2">
        <f>HYPERLINK("https://cao.dolgi.msk.ru/account/1080227479/", 1080227479)</f>
        <v>1080227479</v>
      </c>
      <c r="D14647" t="s">
        <v>12286</v>
      </c>
      <c r="E14647">
        <v>-16124.91</v>
      </c>
      <c r="F14647">
        <v>-2.12</v>
      </c>
      <c r="G14647" t="s">
        <v>12</v>
      </c>
      <c r="I14647" t="s">
        <v>1428</v>
      </c>
    </row>
    <row r="14648" spans="1:9" hidden="1" x14ac:dyDescent="0.25">
      <c r="A14648" t="s">
        <v>12188</v>
      </c>
      <c r="B14648" t="s">
        <v>12287</v>
      </c>
      <c r="C14648" s="2">
        <f>HYPERLINK("https://cao.dolgi.msk.ru/account/1080227487/", 1080227487)</f>
        <v>1080227487</v>
      </c>
      <c r="D14648" t="s">
        <v>12288</v>
      </c>
      <c r="E14648">
        <v>-5736.55</v>
      </c>
      <c r="F14648">
        <v>-0.96</v>
      </c>
      <c r="G14648" t="s">
        <v>12</v>
      </c>
      <c r="I14648" t="s">
        <v>1428</v>
      </c>
    </row>
    <row r="14649" spans="1:9" hidden="1" x14ac:dyDescent="0.25">
      <c r="A14649" t="s">
        <v>12188</v>
      </c>
      <c r="B14649" t="s">
        <v>12289</v>
      </c>
      <c r="C14649" s="2">
        <f>HYPERLINK("https://cao.dolgi.msk.ru/account/1080227495/", 1080227495)</f>
        <v>1080227495</v>
      </c>
      <c r="D14649" t="s">
        <v>12290</v>
      </c>
      <c r="E14649">
        <v>-4405.37</v>
      </c>
      <c r="F14649">
        <v>-0.94</v>
      </c>
      <c r="G14649" t="s">
        <v>12</v>
      </c>
      <c r="I14649" t="s">
        <v>1428</v>
      </c>
    </row>
    <row r="14650" spans="1:9" hidden="1" x14ac:dyDescent="0.25">
      <c r="A14650" t="s">
        <v>12188</v>
      </c>
      <c r="B14650" t="s">
        <v>12289</v>
      </c>
      <c r="C14650" s="2">
        <f>HYPERLINK("https://cao.dolgi.msk.ru/account/1080320403/", 1080320403)</f>
        <v>1080320403</v>
      </c>
      <c r="D14650" t="s">
        <v>12290</v>
      </c>
      <c r="E14650">
        <v>-1915.09</v>
      </c>
      <c r="F14650">
        <v>-1.02</v>
      </c>
      <c r="G14650" t="s">
        <v>12</v>
      </c>
      <c r="I14650" t="s">
        <v>1428</v>
      </c>
    </row>
    <row r="14651" spans="1:9" hidden="1" x14ac:dyDescent="0.25">
      <c r="A14651" t="s">
        <v>12188</v>
      </c>
      <c r="B14651" t="s">
        <v>12291</v>
      </c>
      <c r="C14651" s="2">
        <f>HYPERLINK("https://cao.dolgi.msk.ru/account/1080227508/", 1080227508)</f>
        <v>1080227508</v>
      </c>
      <c r="D14651" t="s">
        <v>12292</v>
      </c>
      <c r="E14651">
        <v>0</v>
      </c>
      <c r="F14651">
        <v>0</v>
      </c>
      <c r="G14651" t="s">
        <v>12</v>
      </c>
      <c r="I14651" t="s">
        <v>1428</v>
      </c>
    </row>
    <row r="14652" spans="1:9" hidden="1" x14ac:dyDescent="0.25">
      <c r="A14652" t="s">
        <v>12188</v>
      </c>
      <c r="B14652" t="s">
        <v>12293</v>
      </c>
      <c r="C14652" s="2">
        <f>HYPERLINK("https://cao.dolgi.msk.ru/account/1080227516/", 1080227516)</f>
        <v>1080227516</v>
      </c>
      <c r="D14652" t="s">
        <v>12294</v>
      </c>
      <c r="E14652">
        <v>-5042.34</v>
      </c>
      <c r="F14652">
        <v>-1.01</v>
      </c>
      <c r="G14652" t="s">
        <v>12</v>
      </c>
      <c r="I14652" t="s">
        <v>1428</v>
      </c>
    </row>
    <row r="14653" spans="1:9" hidden="1" x14ac:dyDescent="0.25">
      <c r="A14653" t="s">
        <v>12188</v>
      </c>
      <c r="B14653" t="s">
        <v>12295</v>
      </c>
      <c r="C14653" s="2">
        <f>HYPERLINK("https://cao.dolgi.msk.ru/account/1080227524/", 1080227524)</f>
        <v>1080227524</v>
      </c>
      <c r="D14653" t="s">
        <v>12296</v>
      </c>
      <c r="E14653">
        <v>-6931.99</v>
      </c>
      <c r="F14653">
        <v>-0.81</v>
      </c>
      <c r="G14653" t="s">
        <v>12</v>
      </c>
      <c r="I14653" t="s">
        <v>1428</v>
      </c>
    </row>
    <row r="14654" spans="1:9" hidden="1" x14ac:dyDescent="0.25">
      <c r="A14654" t="s">
        <v>12188</v>
      </c>
      <c r="B14654" t="s">
        <v>12297</v>
      </c>
      <c r="C14654" s="2">
        <f>HYPERLINK("https://cao.dolgi.msk.ru/account/1080227559/", 1080227559)</f>
        <v>1080227559</v>
      </c>
      <c r="D14654" t="s">
        <v>12298</v>
      </c>
      <c r="E14654">
        <v>479.2</v>
      </c>
      <c r="F14654">
        <v>0.06</v>
      </c>
      <c r="G14654" t="s">
        <v>12</v>
      </c>
      <c r="I14654" t="s">
        <v>1428</v>
      </c>
    </row>
    <row r="14655" spans="1:9" hidden="1" x14ac:dyDescent="0.25">
      <c r="A14655" t="s">
        <v>12188</v>
      </c>
      <c r="B14655" t="s">
        <v>12299</v>
      </c>
      <c r="C14655" s="2">
        <f>HYPERLINK("https://cao.dolgi.msk.ru/account/1080227567/", 1080227567)</f>
        <v>1080227567</v>
      </c>
      <c r="D14655" t="s">
        <v>12300</v>
      </c>
      <c r="E14655">
        <v>-7902.22</v>
      </c>
      <c r="F14655">
        <v>-0.89</v>
      </c>
      <c r="G14655" t="s">
        <v>12</v>
      </c>
      <c r="I14655" t="s">
        <v>1428</v>
      </c>
    </row>
    <row r="14656" spans="1:9" hidden="1" x14ac:dyDescent="0.25">
      <c r="A14656" t="s">
        <v>12188</v>
      </c>
      <c r="B14656" t="s">
        <v>12301</v>
      </c>
      <c r="C14656" s="2">
        <f>HYPERLINK("https://cao.dolgi.msk.ru/account/1080227575/", 1080227575)</f>
        <v>1080227575</v>
      </c>
      <c r="D14656" t="s">
        <v>12302</v>
      </c>
      <c r="E14656">
        <v>-7112.12</v>
      </c>
      <c r="F14656">
        <v>-0.98</v>
      </c>
      <c r="G14656" t="s">
        <v>12</v>
      </c>
      <c r="I14656" t="s">
        <v>1428</v>
      </c>
    </row>
    <row r="14657" spans="1:9" hidden="1" x14ac:dyDescent="0.25">
      <c r="A14657" t="s">
        <v>12188</v>
      </c>
      <c r="B14657" t="s">
        <v>12303</v>
      </c>
      <c r="C14657" s="2">
        <f>HYPERLINK("https://cao.dolgi.msk.ru/account/1080227583/", 1080227583)</f>
        <v>1080227583</v>
      </c>
      <c r="D14657" t="s">
        <v>12304</v>
      </c>
      <c r="E14657">
        <v>-8153.4</v>
      </c>
      <c r="F14657">
        <v>-0.96</v>
      </c>
      <c r="G14657" t="s">
        <v>12</v>
      </c>
      <c r="I14657" t="s">
        <v>1428</v>
      </c>
    </row>
    <row r="14658" spans="1:9" hidden="1" x14ac:dyDescent="0.25">
      <c r="A14658" t="s">
        <v>12188</v>
      </c>
      <c r="B14658" t="s">
        <v>12305</v>
      </c>
      <c r="C14658" s="2">
        <f>HYPERLINK("https://cao.dolgi.msk.ru/account/1089117962/", 1089117962)</f>
        <v>1089117962</v>
      </c>
      <c r="D14658" t="s">
        <v>1082</v>
      </c>
      <c r="E14658">
        <v>-7158.59</v>
      </c>
      <c r="F14658">
        <v>-0.99</v>
      </c>
      <c r="G14658" t="s">
        <v>12</v>
      </c>
      <c r="I14658" t="s">
        <v>1428</v>
      </c>
    </row>
    <row r="14659" spans="1:9" hidden="1" x14ac:dyDescent="0.25">
      <c r="A14659" t="s">
        <v>12188</v>
      </c>
      <c r="B14659" t="s">
        <v>12306</v>
      </c>
      <c r="C14659" s="2">
        <f>HYPERLINK("https://cao.dolgi.msk.ru/account/1080227591/", 1080227591)</f>
        <v>1080227591</v>
      </c>
      <c r="D14659" t="s">
        <v>12307</v>
      </c>
      <c r="E14659">
        <v>-6127.88</v>
      </c>
      <c r="F14659">
        <v>-1.01</v>
      </c>
      <c r="G14659" t="s">
        <v>12</v>
      </c>
      <c r="I14659" t="s">
        <v>1428</v>
      </c>
    </row>
    <row r="14660" spans="1:9" hidden="1" x14ac:dyDescent="0.25">
      <c r="A14660" t="s">
        <v>12188</v>
      </c>
      <c r="B14660" t="s">
        <v>12308</v>
      </c>
      <c r="C14660" s="2">
        <f>HYPERLINK("https://cao.dolgi.msk.ru/account/1080227604/", 1080227604)</f>
        <v>1080227604</v>
      </c>
      <c r="D14660" t="s">
        <v>12309</v>
      </c>
      <c r="E14660">
        <v>-594.36</v>
      </c>
      <c r="F14660">
        <v>-0.23</v>
      </c>
      <c r="G14660" t="s">
        <v>12</v>
      </c>
      <c r="H14660" t="s">
        <v>7</v>
      </c>
      <c r="I14660" t="s">
        <v>1428</v>
      </c>
    </row>
    <row r="14661" spans="1:9" hidden="1" x14ac:dyDescent="0.25">
      <c r="A14661" t="s">
        <v>12188</v>
      </c>
      <c r="B14661" t="s">
        <v>12308</v>
      </c>
      <c r="C14661" s="2">
        <f>HYPERLINK("https://cao.dolgi.msk.ru/account/1080227612/", 1080227612)</f>
        <v>1080227612</v>
      </c>
      <c r="D14661" t="s">
        <v>12309</v>
      </c>
      <c r="E14661">
        <v>-5905.63</v>
      </c>
      <c r="F14661">
        <v>-0.99</v>
      </c>
      <c r="G14661" t="s">
        <v>12</v>
      </c>
      <c r="H14661" t="s">
        <v>7</v>
      </c>
      <c r="I14661" t="s">
        <v>1428</v>
      </c>
    </row>
    <row r="14662" spans="1:9" hidden="1" x14ac:dyDescent="0.25">
      <c r="A14662" t="s">
        <v>12188</v>
      </c>
      <c r="B14662" t="s">
        <v>12310</v>
      </c>
      <c r="C14662" s="2">
        <f>HYPERLINK("https://cao.dolgi.msk.ru/account/1080227639/", 1080227639)</f>
        <v>1080227639</v>
      </c>
      <c r="D14662" t="s">
        <v>12311</v>
      </c>
      <c r="E14662">
        <v>-6806.45</v>
      </c>
      <c r="F14662">
        <v>-2.97</v>
      </c>
      <c r="G14662" t="s">
        <v>12</v>
      </c>
      <c r="H14662" t="s">
        <v>7</v>
      </c>
      <c r="I14662" t="s">
        <v>1428</v>
      </c>
    </row>
    <row r="14663" spans="1:9" hidden="1" x14ac:dyDescent="0.25">
      <c r="A14663" t="s">
        <v>12188</v>
      </c>
      <c r="B14663" t="s">
        <v>12310</v>
      </c>
      <c r="C14663" s="2">
        <f>HYPERLINK("https://cao.dolgi.msk.ru/account/1080227647/", 1080227647)</f>
        <v>1080227647</v>
      </c>
      <c r="D14663" t="s">
        <v>12312</v>
      </c>
      <c r="E14663">
        <v>-2591.54</v>
      </c>
      <c r="F14663">
        <v>-0.94</v>
      </c>
      <c r="G14663" t="s">
        <v>12</v>
      </c>
      <c r="H14663" t="s">
        <v>7</v>
      </c>
      <c r="I14663" t="s">
        <v>1428</v>
      </c>
    </row>
    <row r="14664" spans="1:9" x14ac:dyDescent="0.25">
      <c r="A14664" t="s">
        <v>12188</v>
      </c>
      <c r="B14664" t="s">
        <v>12310</v>
      </c>
      <c r="C14664" s="2">
        <f>HYPERLINK("https://cao.dolgi.msk.ru/account/1080227655/", 1080227655)</f>
        <v>1080227655</v>
      </c>
      <c r="D14664" t="s">
        <v>12311</v>
      </c>
      <c r="E14664">
        <v>41009.019999999997</v>
      </c>
      <c r="F14664">
        <v>26.96</v>
      </c>
      <c r="G14664" t="s">
        <v>12</v>
      </c>
      <c r="H14664" t="s">
        <v>7</v>
      </c>
      <c r="I14664" t="s">
        <v>1428</v>
      </c>
    </row>
    <row r="14665" spans="1:9" hidden="1" x14ac:dyDescent="0.25">
      <c r="A14665" t="s">
        <v>12188</v>
      </c>
      <c r="B14665" t="s">
        <v>12313</v>
      </c>
      <c r="C14665" s="2">
        <f>HYPERLINK("https://cao.dolgi.msk.ru/account/1080227671/", 1080227671)</f>
        <v>1080227671</v>
      </c>
      <c r="D14665" t="s">
        <v>12314</v>
      </c>
      <c r="E14665">
        <v>-7225.88</v>
      </c>
      <c r="F14665">
        <v>-0.98</v>
      </c>
      <c r="G14665" t="s">
        <v>12</v>
      </c>
      <c r="I14665" t="s">
        <v>1428</v>
      </c>
    </row>
    <row r="14666" spans="1:9" hidden="1" x14ac:dyDescent="0.25">
      <c r="A14666" t="s">
        <v>12188</v>
      </c>
      <c r="B14666" t="s">
        <v>12315</v>
      </c>
      <c r="C14666" s="2">
        <f>HYPERLINK("https://cao.dolgi.msk.ru/account/1080227698/", 1080227698)</f>
        <v>1080227698</v>
      </c>
      <c r="D14666" t="s">
        <v>12316</v>
      </c>
      <c r="E14666">
        <v>-6524.57</v>
      </c>
      <c r="F14666">
        <v>-0.98</v>
      </c>
      <c r="G14666" t="s">
        <v>12</v>
      </c>
      <c r="I14666" t="s">
        <v>1428</v>
      </c>
    </row>
    <row r="14667" spans="1:9" hidden="1" x14ac:dyDescent="0.25">
      <c r="A14667" t="s">
        <v>12188</v>
      </c>
      <c r="B14667" t="s">
        <v>12317</v>
      </c>
      <c r="C14667" s="2">
        <f>HYPERLINK("https://cao.dolgi.msk.ru/account/1080227719/", 1080227719)</f>
        <v>1080227719</v>
      </c>
      <c r="D14667" t="s">
        <v>12318</v>
      </c>
      <c r="E14667">
        <v>5613.02</v>
      </c>
      <c r="F14667">
        <v>0.62</v>
      </c>
      <c r="G14667" t="s">
        <v>12</v>
      </c>
      <c r="I14667" t="s">
        <v>1428</v>
      </c>
    </row>
    <row r="14668" spans="1:9" hidden="1" x14ac:dyDescent="0.25">
      <c r="A14668" t="s">
        <v>12188</v>
      </c>
      <c r="B14668" t="s">
        <v>12319</v>
      </c>
      <c r="C14668" s="2">
        <f>HYPERLINK("https://cao.dolgi.msk.ru/account/1080227735/", 1080227735)</f>
        <v>1080227735</v>
      </c>
      <c r="D14668" t="s">
        <v>12320</v>
      </c>
      <c r="E14668">
        <v>-4576.16</v>
      </c>
      <c r="F14668">
        <v>-0.97</v>
      </c>
      <c r="G14668" t="s">
        <v>12</v>
      </c>
      <c r="I14668" t="s">
        <v>1428</v>
      </c>
    </row>
    <row r="14669" spans="1:9" hidden="1" x14ac:dyDescent="0.25">
      <c r="A14669" t="s">
        <v>12188</v>
      </c>
      <c r="B14669" t="s">
        <v>12321</v>
      </c>
      <c r="C14669" s="2">
        <f>HYPERLINK("https://cao.dolgi.msk.ru/account/1080227743/", 1080227743)</f>
        <v>1080227743</v>
      </c>
      <c r="D14669" t="s">
        <v>12322</v>
      </c>
      <c r="E14669">
        <v>-170.45</v>
      </c>
      <c r="F14669">
        <v>-0.03</v>
      </c>
      <c r="G14669" t="s">
        <v>12</v>
      </c>
      <c r="I14669" t="s">
        <v>1428</v>
      </c>
    </row>
    <row r="14670" spans="1:9" hidden="1" x14ac:dyDescent="0.25">
      <c r="A14670" t="s">
        <v>12188</v>
      </c>
      <c r="B14670" t="s">
        <v>12323</v>
      </c>
      <c r="C14670" s="2">
        <f>HYPERLINK("https://cao.dolgi.msk.ru/account/1080227751/", 1080227751)</f>
        <v>1080227751</v>
      </c>
      <c r="D14670" t="s">
        <v>12324</v>
      </c>
      <c r="E14670">
        <v>-7462.55</v>
      </c>
      <c r="F14670">
        <v>-0.94</v>
      </c>
      <c r="G14670" t="s">
        <v>12</v>
      </c>
      <c r="I14670" t="s">
        <v>1428</v>
      </c>
    </row>
    <row r="14671" spans="1:9" hidden="1" x14ac:dyDescent="0.25">
      <c r="A14671" t="s">
        <v>12188</v>
      </c>
      <c r="B14671" t="s">
        <v>12325</v>
      </c>
      <c r="C14671" s="2">
        <f>HYPERLINK("https://cao.dolgi.msk.ru/account/1080322388/", 1080322388)</f>
        <v>1080322388</v>
      </c>
      <c r="D14671" t="s">
        <v>12326</v>
      </c>
      <c r="E14671">
        <v>-12817.84</v>
      </c>
      <c r="F14671">
        <v>-2.19</v>
      </c>
      <c r="G14671" t="s">
        <v>12</v>
      </c>
      <c r="I14671" t="s">
        <v>1428</v>
      </c>
    </row>
    <row r="14672" spans="1:9" hidden="1" x14ac:dyDescent="0.25">
      <c r="A14672" t="s">
        <v>12188</v>
      </c>
      <c r="B14672" t="s">
        <v>12327</v>
      </c>
      <c r="C14672" s="2">
        <f>HYPERLINK("https://cao.dolgi.msk.ru/account/1080227778/", 1080227778)</f>
        <v>1080227778</v>
      </c>
      <c r="D14672" t="s">
        <v>12328</v>
      </c>
      <c r="E14672">
        <v>-3711.72</v>
      </c>
      <c r="F14672">
        <v>-1.67</v>
      </c>
      <c r="G14672" t="s">
        <v>12</v>
      </c>
      <c r="H14672" t="s">
        <v>7</v>
      </c>
      <c r="I14672" t="s">
        <v>1428</v>
      </c>
    </row>
    <row r="14673" spans="1:9" hidden="1" x14ac:dyDescent="0.25">
      <c r="A14673" t="s">
        <v>12188</v>
      </c>
      <c r="B14673" t="s">
        <v>12327</v>
      </c>
      <c r="C14673" s="2">
        <f>HYPERLINK("https://cao.dolgi.msk.ru/account/1080227786/", 1080227786)</f>
        <v>1080227786</v>
      </c>
      <c r="D14673" t="s">
        <v>12328</v>
      </c>
      <c r="E14673">
        <v>-4951.51</v>
      </c>
      <c r="F14673">
        <v>-0.93</v>
      </c>
      <c r="G14673" t="s">
        <v>12</v>
      </c>
      <c r="H14673" t="s">
        <v>7</v>
      </c>
      <c r="I14673" t="s">
        <v>1428</v>
      </c>
    </row>
    <row r="14674" spans="1:9" hidden="1" x14ac:dyDescent="0.25">
      <c r="A14674" t="s">
        <v>12188</v>
      </c>
      <c r="B14674" t="s">
        <v>12329</v>
      </c>
      <c r="C14674" s="2">
        <f>HYPERLINK("https://cao.dolgi.msk.ru/account/1080227794/", 1080227794)</f>
        <v>1080227794</v>
      </c>
      <c r="D14674" t="s">
        <v>12330</v>
      </c>
      <c r="E14674">
        <v>-7325.25</v>
      </c>
      <c r="F14674">
        <v>-1.01</v>
      </c>
      <c r="G14674" t="s">
        <v>12</v>
      </c>
      <c r="I14674" t="s">
        <v>1428</v>
      </c>
    </row>
    <row r="14675" spans="1:9" hidden="1" x14ac:dyDescent="0.25">
      <c r="A14675" t="s">
        <v>12188</v>
      </c>
      <c r="B14675" t="s">
        <v>12331</v>
      </c>
      <c r="C14675" s="2">
        <f>HYPERLINK("https://cao.dolgi.msk.ru/account/1080227807/", 1080227807)</f>
        <v>1080227807</v>
      </c>
      <c r="D14675" t="s">
        <v>12332</v>
      </c>
      <c r="E14675">
        <v>-10302.86</v>
      </c>
      <c r="F14675">
        <v>-0.99</v>
      </c>
      <c r="G14675" t="s">
        <v>12</v>
      </c>
      <c r="I14675" t="s">
        <v>1428</v>
      </c>
    </row>
    <row r="14676" spans="1:9" hidden="1" x14ac:dyDescent="0.25">
      <c r="A14676" t="s">
        <v>12188</v>
      </c>
      <c r="B14676" t="s">
        <v>12333</v>
      </c>
      <c r="C14676" s="2">
        <f>HYPERLINK("https://cao.dolgi.msk.ru/account/1080227815/", 1080227815)</f>
        <v>1080227815</v>
      </c>
      <c r="D14676" t="s">
        <v>15</v>
      </c>
      <c r="E14676">
        <v>0</v>
      </c>
      <c r="G14676" t="s">
        <v>14</v>
      </c>
      <c r="I14676" t="s">
        <v>1428</v>
      </c>
    </row>
    <row r="14677" spans="1:9" hidden="1" x14ac:dyDescent="0.25">
      <c r="A14677" t="s">
        <v>12188</v>
      </c>
      <c r="B14677" t="s">
        <v>12333</v>
      </c>
      <c r="C14677" s="2">
        <f>HYPERLINK("https://cao.dolgi.msk.ru/account/1080227823/", 1080227823)</f>
        <v>1080227823</v>
      </c>
      <c r="D14677" t="s">
        <v>15</v>
      </c>
      <c r="E14677">
        <v>-4511.1400000000003</v>
      </c>
      <c r="F14677">
        <v>-0.98</v>
      </c>
      <c r="G14677" t="s">
        <v>12</v>
      </c>
      <c r="I14677" t="s">
        <v>1428</v>
      </c>
    </row>
    <row r="14678" spans="1:9" hidden="1" x14ac:dyDescent="0.25">
      <c r="A14678" t="s">
        <v>12188</v>
      </c>
      <c r="B14678" t="s">
        <v>12334</v>
      </c>
      <c r="C14678" s="2">
        <f>HYPERLINK("https://cao.dolgi.msk.ru/account/1080227858/", 1080227858)</f>
        <v>1080227858</v>
      </c>
      <c r="D14678" t="s">
        <v>15</v>
      </c>
      <c r="E14678">
        <v>-3829.43</v>
      </c>
      <c r="F14678">
        <v>-0.97</v>
      </c>
      <c r="G14678" t="s">
        <v>12</v>
      </c>
      <c r="H14678" t="s">
        <v>7</v>
      </c>
      <c r="I14678" t="s">
        <v>1428</v>
      </c>
    </row>
    <row r="14679" spans="1:9" x14ac:dyDescent="0.25">
      <c r="A14679" t="s">
        <v>12188</v>
      </c>
      <c r="B14679" t="s">
        <v>12334</v>
      </c>
      <c r="C14679" s="2">
        <f>HYPERLINK("https://cao.dolgi.msk.ru/account/1080227866/", 1080227866)</f>
        <v>1080227866</v>
      </c>
      <c r="D14679" t="s">
        <v>15</v>
      </c>
      <c r="E14679">
        <v>3068.36</v>
      </c>
      <c r="F14679">
        <v>2.88</v>
      </c>
      <c r="G14679" t="s">
        <v>12</v>
      </c>
      <c r="H14679" t="s">
        <v>7</v>
      </c>
      <c r="I14679" t="s">
        <v>1428</v>
      </c>
    </row>
    <row r="14680" spans="1:9" hidden="1" x14ac:dyDescent="0.25">
      <c r="A14680" t="s">
        <v>12188</v>
      </c>
      <c r="B14680" t="s">
        <v>12334</v>
      </c>
      <c r="C14680" s="2">
        <f>HYPERLINK("https://cao.dolgi.msk.ru/account/1080227874/", 1080227874)</f>
        <v>1080227874</v>
      </c>
      <c r="D14680" t="s">
        <v>15</v>
      </c>
      <c r="E14680">
        <v>-4005.76</v>
      </c>
      <c r="F14680">
        <v>-1.01</v>
      </c>
      <c r="G14680" t="s">
        <v>12</v>
      </c>
      <c r="H14680" t="s">
        <v>7</v>
      </c>
      <c r="I14680" t="s">
        <v>1428</v>
      </c>
    </row>
    <row r="14681" spans="1:9" hidden="1" x14ac:dyDescent="0.25">
      <c r="A14681" t="s">
        <v>12188</v>
      </c>
      <c r="B14681" t="s">
        <v>12335</v>
      </c>
      <c r="C14681" s="2">
        <f>HYPERLINK("https://cao.dolgi.msk.ru/account/1080227882/", 1080227882)</f>
        <v>1080227882</v>
      </c>
      <c r="D14681" t="s">
        <v>12336</v>
      </c>
      <c r="E14681">
        <v>-5394.39</v>
      </c>
      <c r="F14681">
        <v>-0.96</v>
      </c>
      <c r="G14681" t="s">
        <v>12</v>
      </c>
      <c r="I14681" t="s">
        <v>1428</v>
      </c>
    </row>
    <row r="14682" spans="1:9" hidden="1" x14ac:dyDescent="0.25">
      <c r="A14682" t="s">
        <v>12188</v>
      </c>
      <c r="B14682" t="s">
        <v>12337</v>
      </c>
      <c r="C14682" s="2">
        <f>HYPERLINK("https://cao.dolgi.msk.ru/account/1080227903/", 1080227903)</f>
        <v>1080227903</v>
      </c>
      <c r="D14682" t="s">
        <v>12338</v>
      </c>
      <c r="E14682">
        <v>-4729.93</v>
      </c>
      <c r="F14682">
        <v>-1</v>
      </c>
      <c r="G14682" t="s">
        <v>12</v>
      </c>
      <c r="I14682" t="s">
        <v>1428</v>
      </c>
    </row>
    <row r="14683" spans="1:9" hidden="1" x14ac:dyDescent="0.25">
      <c r="A14683" t="s">
        <v>12188</v>
      </c>
      <c r="B14683" t="s">
        <v>12339</v>
      </c>
      <c r="C14683" s="2">
        <f>HYPERLINK("https://cao.dolgi.msk.ru/account/1080227911/", 1080227911)</f>
        <v>1080227911</v>
      </c>
      <c r="D14683" t="s">
        <v>15</v>
      </c>
      <c r="E14683">
        <v>-2878.31</v>
      </c>
      <c r="F14683">
        <v>-1.02</v>
      </c>
      <c r="G14683" t="s">
        <v>12</v>
      </c>
      <c r="H14683" t="s">
        <v>7</v>
      </c>
      <c r="I14683" t="s">
        <v>1428</v>
      </c>
    </row>
    <row r="14684" spans="1:9" hidden="1" x14ac:dyDescent="0.25">
      <c r="A14684" t="s">
        <v>12188</v>
      </c>
      <c r="B14684" t="s">
        <v>12339</v>
      </c>
      <c r="C14684" s="2">
        <f>HYPERLINK("https://cao.dolgi.msk.ru/account/1080227938/", 1080227938)</f>
        <v>1080227938</v>
      </c>
      <c r="D14684" t="s">
        <v>15</v>
      </c>
      <c r="E14684">
        <v>-2119.3200000000002</v>
      </c>
      <c r="F14684">
        <v>-1.04</v>
      </c>
      <c r="G14684" t="s">
        <v>12</v>
      </c>
      <c r="H14684" t="s">
        <v>7</v>
      </c>
      <c r="I14684" t="s">
        <v>1428</v>
      </c>
    </row>
    <row r="14685" spans="1:9" hidden="1" x14ac:dyDescent="0.25">
      <c r="A14685" t="s">
        <v>12188</v>
      </c>
      <c r="B14685" t="s">
        <v>12339</v>
      </c>
      <c r="C14685" s="2">
        <f>HYPERLINK("https://cao.dolgi.msk.ru/account/1080227946/", 1080227946)</f>
        <v>1080227946</v>
      </c>
      <c r="D14685" t="s">
        <v>15</v>
      </c>
      <c r="E14685">
        <v>-1466.67</v>
      </c>
      <c r="F14685">
        <v>-0.95</v>
      </c>
      <c r="G14685" t="s">
        <v>12</v>
      </c>
      <c r="H14685" t="s">
        <v>7</v>
      </c>
      <c r="I14685" t="s">
        <v>1428</v>
      </c>
    </row>
    <row r="14686" spans="1:9" hidden="1" x14ac:dyDescent="0.25">
      <c r="A14686" t="s">
        <v>12188</v>
      </c>
      <c r="B14686" t="s">
        <v>12340</v>
      </c>
      <c r="C14686" s="2">
        <f>HYPERLINK("https://cao.dolgi.msk.ru/account/1080227954/", 1080227954)</f>
        <v>1080227954</v>
      </c>
      <c r="D14686" t="s">
        <v>12341</v>
      </c>
      <c r="E14686">
        <v>-1797.81</v>
      </c>
      <c r="F14686">
        <v>-0.28000000000000003</v>
      </c>
      <c r="G14686" t="s">
        <v>12</v>
      </c>
      <c r="I14686" t="s">
        <v>1428</v>
      </c>
    </row>
    <row r="14687" spans="1:9" hidden="1" x14ac:dyDescent="0.25">
      <c r="A14687" t="s">
        <v>12342</v>
      </c>
      <c r="B14687" t="s">
        <v>12343</v>
      </c>
      <c r="C14687" s="2">
        <f>HYPERLINK("https://cao.dolgi.msk.ru/account/1080227962/", 1080227962)</f>
        <v>1080227962</v>
      </c>
      <c r="D14687" t="s">
        <v>12344</v>
      </c>
      <c r="E14687">
        <v>99.12</v>
      </c>
      <c r="F14687">
        <v>0.02</v>
      </c>
      <c r="G14687" t="s">
        <v>12</v>
      </c>
      <c r="I14687" t="s">
        <v>1428</v>
      </c>
    </row>
    <row r="14688" spans="1:9" hidden="1" x14ac:dyDescent="0.25">
      <c r="A14688" t="s">
        <v>12342</v>
      </c>
      <c r="B14688" t="s">
        <v>12345</v>
      </c>
      <c r="C14688" s="2">
        <f>HYPERLINK("https://cao.dolgi.msk.ru/account/1080227989/", 1080227989)</f>
        <v>1080227989</v>
      </c>
      <c r="D14688" t="s">
        <v>12346</v>
      </c>
      <c r="E14688">
        <v>-4962.4799999999996</v>
      </c>
      <c r="F14688">
        <v>-1.1299999999999999</v>
      </c>
      <c r="G14688" t="s">
        <v>12</v>
      </c>
      <c r="I14688" t="s">
        <v>1428</v>
      </c>
    </row>
    <row r="14689" spans="1:9" hidden="1" x14ac:dyDescent="0.25">
      <c r="A14689" t="s">
        <v>12342</v>
      </c>
      <c r="B14689" t="s">
        <v>12347</v>
      </c>
      <c r="C14689" s="2">
        <f>HYPERLINK("https://cao.dolgi.msk.ru/account/1080227997/", 1080227997)</f>
        <v>1080227997</v>
      </c>
      <c r="D14689" t="s">
        <v>12348</v>
      </c>
      <c r="E14689">
        <v>-10410.67</v>
      </c>
      <c r="F14689">
        <v>-2.5099999999999998</v>
      </c>
      <c r="G14689" t="s">
        <v>12</v>
      </c>
      <c r="I14689" t="s">
        <v>1428</v>
      </c>
    </row>
    <row r="14690" spans="1:9" hidden="1" x14ac:dyDescent="0.25">
      <c r="A14690" t="s">
        <v>12342</v>
      </c>
      <c r="B14690" t="s">
        <v>12349</v>
      </c>
      <c r="C14690" s="2">
        <f>HYPERLINK("https://cao.dolgi.msk.ru/account/1080228009/", 1080228009)</f>
        <v>1080228009</v>
      </c>
      <c r="D14690" t="s">
        <v>12350</v>
      </c>
      <c r="E14690">
        <v>-8869.69</v>
      </c>
      <c r="F14690">
        <v>-1.1200000000000001</v>
      </c>
      <c r="G14690" t="s">
        <v>12</v>
      </c>
      <c r="I14690" t="s">
        <v>1428</v>
      </c>
    </row>
    <row r="14691" spans="1:9" hidden="1" x14ac:dyDescent="0.25">
      <c r="A14691" t="s">
        <v>12342</v>
      </c>
      <c r="B14691" t="s">
        <v>12351</v>
      </c>
      <c r="C14691" s="2">
        <f>HYPERLINK("https://cao.dolgi.msk.ru/account/1080228017/", 1080228017)</f>
        <v>1080228017</v>
      </c>
      <c r="D14691" t="s">
        <v>12352</v>
      </c>
      <c r="E14691">
        <v>-3489.85</v>
      </c>
      <c r="F14691">
        <v>-1.21</v>
      </c>
      <c r="G14691" t="s">
        <v>12</v>
      </c>
      <c r="I14691" t="s">
        <v>1428</v>
      </c>
    </row>
    <row r="14692" spans="1:9" hidden="1" x14ac:dyDescent="0.25">
      <c r="A14692" t="s">
        <v>12342</v>
      </c>
      <c r="B14692" t="s">
        <v>12353</v>
      </c>
      <c r="C14692" s="2">
        <f>HYPERLINK("https://cao.dolgi.msk.ru/account/1080228025/", 1080228025)</f>
        <v>1080228025</v>
      </c>
      <c r="D14692" t="s">
        <v>12354</v>
      </c>
      <c r="E14692">
        <v>-4916.96</v>
      </c>
      <c r="F14692">
        <v>-1</v>
      </c>
      <c r="G14692" t="s">
        <v>12</v>
      </c>
      <c r="I14692" t="s">
        <v>1428</v>
      </c>
    </row>
    <row r="14693" spans="1:9" hidden="1" x14ac:dyDescent="0.25">
      <c r="A14693" t="s">
        <v>12342</v>
      </c>
      <c r="B14693" t="s">
        <v>12355</v>
      </c>
      <c r="C14693" s="2">
        <f>HYPERLINK("https://cao.dolgi.msk.ru/account/1080228033/", 1080228033)</f>
        <v>1080228033</v>
      </c>
      <c r="D14693" t="s">
        <v>12356</v>
      </c>
      <c r="E14693">
        <v>-8950.93</v>
      </c>
      <c r="F14693">
        <v>-1.74</v>
      </c>
      <c r="G14693" t="s">
        <v>12</v>
      </c>
      <c r="I14693" t="s">
        <v>1428</v>
      </c>
    </row>
    <row r="14694" spans="1:9" hidden="1" x14ac:dyDescent="0.25">
      <c r="A14694" t="s">
        <v>12342</v>
      </c>
      <c r="B14694" t="s">
        <v>12357</v>
      </c>
      <c r="C14694" s="2">
        <f>HYPERLINK("https://cao.dolgi.msk.ru/account/1080228068/", 1080228068)</f>
        <v>1080228068</v>
      </c>
      <c r="D14694" t="s">
        <v>12358</v>
      </c>
      <c r="E14694">
        <v>-4499.34</v>
      </c>
      <c r="F14694">
        <v>-1.43</v>
      </c>
      <c r="G14694" t="s">
        <v>12</v>
      </c>
      <c r="I14694" t="s">
        <v>1428</v>
      </c>
    </row>
    <row r="14695" spans="1:9" hidden="1" x14ac:dyDescent="0.25">
      <c r="A14695" t="s">
        <v>12342</v>
      </c>
      <c r="B14695" t="s">
        <v>12359</v>
      </c>
      <c r="C14695" s="2">
        <f>HYPERLINK("https://cao.dolgi.msk.ru/account/1080228041/", 1080228041)</f>
        <v>1080228041</v>
      </c>
      <c r="D14695" t="s">
        <v>12360</v>
      </c>
      <c r="E14695">
        <v>-4293.7</v>
      </c>
      <c r="F14695">
        <v>-1.48</v>
      </c>
      <c r="G14695" t="s">
        <v>12</v>
      </c>
      <c r="I14695" t="s">
        <v>1428</v>
      </c>
    </row>
    <row r="14696" spans="1:9" x14ac:dyDescent="0.25">
      <c r="A14696" t="s">
        <v>12342</v>
      </c>
      <c r="B14696" t="s">
        <v>12361</v>
      </c>
      <c r="C14696" s="2">
        <f>HYPERLINK("https://cao.dolgi.msk.ru/account/1080228076/", 1080228076)</f>
        <v>1080228076</v>
      </c>
      <c r="D14696" t="s">
        <v>12362</v>
      </c>
      <c r="E14696">
        <v>6160.86</v>
      </c>
      <c r="F14696">
        <v>1.02</v>
      </c>
      <c r="G14696" t="s">
        <v>12</v>
      </c>
      <c r="I14696" t="s">
        <v>1428</v>
      </c>
    </row>
    <row r="14697" spans="1:9" hidden="1" x14ac:dyDescent="0.25">
      <c r="A14697" t="s">
        <v>12342</v>
      </c>
      <c r="B14697" t="s">
        <v>12363</v>
      </c>
      <c r="C14697" s="2">
        <f>HYPERLINK("https://cao.dolgi.msk.ru/account/1080228084/", 1080228084)</f>
        <v>1080228084</v>
      </c>
      <c r="D14697" t="s">
        <v>12364</v>
      </c>
      <c r="E14697">
        <v>-3105.48</v>
      </c>
      <c r="F14697">
        <v>-0.98</v>
      </c>
      <c r="G14697" t="s">
        <v>12</v>
      </c>
      <c r="I14697" t="s">
        <v>1428</v>
      </c>
    </row>
    <row r="14698" spans="1:9" hidden="1" x14ac:dyDescent="0.25">
      <c r="A14698" t="s">
        <v>12342</v>
      </c>
      <c r="B14698" t="s">
        <v>12365</v>
      </c>
      <c r="C14698" s="2">
        <f>HYPERLINK("https://cao.dolgi.msk.ru/account/1080228092/", 1080228092)</f>
        <v>1080228092</v>
      </c>
      <c r="D14698" t="s">
        <v>12366</v>
      </c>
      <c r="E14698">
        <v>-4349.8500000000004</v>
      </c>
      <c r="F14698">
        <v>-1.04</v>
      </c>
      <c r="G14698" t="s">
        <v>12</v>
      </c>
      <c r="I14698" t="s">
        <v>1428</v>
      </c>
    </row>
    <row r="14699" spans="1:9" hidden="1" x14ac:dyDescent="0.25">
      <c r="A14699" t="s">
        <v>12342</v>
      </c>
      <c r="B14699" t="s">
        <v>12367</v>
      </c>
      <c r="C14699" s="2">
        <f>HYPERLINK("https://cao.dolgi.msk.ru/account/1080228105/", 1080228105)</f>
        <v>1080228105</v>
      </c>
      <c r="D14699" t="s">
        <v>12368</v>
      </c>
      <c r="E14699">
        <v>-8437.17</v>
      </c>
      <c r="F14699">
        <v>-1.03</v>
      </c>
      <c r="G14699" t="s">
        <v>12</v>
      </c>
      <c r="I14699" t="s">
        <v>1428</v>
      </c>
    </row>
    <row r="14700" spans="1:9" hidden="1" x14ac:dyDescent="0.25">
      <c r="A14700" t="s">
        <v>12342</v>
      </c>
      <c r="B14700" t="s">
        <v>12369</v>
      </c>
      <c r="C14700" s="2">
        <f>HYPERLINK("https://cao.dolgi.msk.ru/account/1080228113/", 1080228113)</f>
        <v>1080228113</v>
      </c>
      <c r="D14700" t="s">
        <v>12370</v>
      </c>
      <c r="E14700">
        <v>-3533.37</v>
      </c>
      <c r="F14700">
        <v>-0.98</v>
      </c>
      <c r="G14700" t="s">
        <v>12</v>
      </c>
      <c r="I14700" t="s">
        <v>1428</v>
      </c>
    </row>
    <row r="14701" spans="1:9" hidden="1" x14ac:dyDescent="0.25">
      <c r="A14701" t="s">
        <v>12342</v>
      </c>
      <c r="B14701" t="s">
        <v>12371</v>
      </c>
      <c r="C14701" s="2">
        <f>HYPERLINK("https://cao.dolgi.msk.ru/account/1080228121/", 1080228121)</f>
        <v>1080228121</v>
      </c>
      <c r="D14701" t="s">
        <v>12372</v>
      </c>
      <c r="E14701">
        <v>-7165.41</v>
      </c>
      <c r="F14701">
        <v>-0.99</v>
      </c>
      <c r="G14701" t="s">
        <v>12</v>
      </c>
      <c r="I14701" t="s">
        <v>1428</v>
      </c>
    </row>
    <row r="14702" spans="1:9" hidden="1" x14ac:dyDescent="0.25">
      <c r="A14702" t="s">
        <v>12342</v>
      </c>
      <c r="B14702" t="s">
        <v>12373</v>
      </c>
      <c r="C14702" s="2">
        <f>HYPERLINK("https://cao.dolgi.msk.ru/account/1080228148/", 1080228148)</f>
        <v>1080228148</v>
      </c>
      <c r="D14702" t="s">
        <v>12374</v>
      </c>
      <c r="E14702">
        <v>-6720.09</v>
      </c>
      <c r="F14702">
        <v>-1</v>
      </c>
      <c r="G14702" t="s">
        <v>12</v>
      </c>
      <c r="H14702" t="s">
        <v>7</v>
      </c>
      <c r="I14702" t="s">
        <v>1428</v>
      </c>
    </row>
    <row r="14703" spans="1:9" x14ac:dyDescent="0.25">
      <c r="A14703" t="s">
        <v>12342</v>
      </c>
      <c r="B14703" t="s">
        <v>12373</v>
      </c>
      <c r="C14703" s="2">
        <f>HYPERLINK("https://cao.dolgi.msk.ru/account/1080228156/", 1080228156)</f>
        <v>1080228156</v>
      </c>
      <c r="D14703" t="s">
        <v>12374</v>
      </c>
      <c r="E14703">
        <v>141815.41</v>
      </c>
      <c r="F14703">
        <v>23.98</v>
      </c>
      <c r="G14703" t="s">
        <v>12</v>
      </c>
      <c r="H14703" t="s">
        <v>7</v>
      </c>
      <c r="I14703" t="s">
        <v>1428</v>
      </c>
    </row>
    <row r="14704" spans="1:9" hidden="1" x14ac:dyDescent="0.25">
      <c r="A14704" t="s">
        <v>12342</v>
      </c>
      <c r="B14704" t="s">
        <v>12375</v>
      </c>
      <c r="C14704" s="2">
        <f>HYPERLINK("https://cao.dolgi.msk.ru/account/1080228164/", 1080228164)</f>
        <v>1080228164</v>
      </c>
      <c r="D14704" t="s">
        <v>8519</v>
      </c>
      <c r="E14704">
        <v>0</v>
      </c>
      <c r="F14704">
        <v>0</v>
      </c>
      <c r="G14704" t="s">
        <v>12</v>
      </c>
      <c r="I14704" t="s">
        <v>1428</v>
      </c>
    </row>
    <row r="14705" spans="1:9" hidden="1" x14ac:dyDescent="0.25">
      <c r="A14705" t="s">
        <v>12342</v>
      </c>
      <c r="B14705" t="s">
        <v>12376</v>
      </c>
      <c r="C14705" s="2">
        <f>HYPERLINK("https://cao.dolgi.msk.ru/account/1080228172/", 1080228172)</f>
        <v>1080228172</v>
      </c>
      <c r="D14705" t="s">
        <v>12377</v>
      </c>
      <c r="E14705">
        <v>-2559.9699999999998</v>
      </c>
      <c r="F14705">
        <v>-1.08</v>
      </c>
      <c r="G14705" t="s">
        <v>12</v>
      </c>
      <c r="I14705" t="s">
        <v>1428</v>
      </c>
    </row>
    <row r="14706" spans="1:9" hidden="1" x14ac:dyDescent="0.25">
      <c r="A14706" t="s">
        <v>12342</v>
      </c>
      <c r="B14706" t="s">
        <v>12378</v>
      </c>
      <c r="C14706" s="2">
        <f>HYPERLINK("https://cao.dolgi.msk.ru/account/1080228199/", 1080228199)</f>
        <v>1080228199</v>
      </c>
      <c r="D14706" t="s">
        <v>12379</v>
      </c>
      <c r="E14706">
        <v>-3043.51</v>
      </c>
      <c r="F14706">
        <v>-0.99</v>
      </c>
      <c r="G14706" t="s">
        <v>12</v>
      </c>
      <c r="I14706" t="s">
        <v>1428</v>
      </c>
    </row>
    <row r="14707" spans="1:9" hidden="1" x14ac:dyDescent="0.25">
      <c r="A14707" t="s">
        <v>12342</v>
      </c>
      <c r="B14707" t="s">
        <v>12378</v>
      </c>
      <c r="C14707" s="2">
        <f>HYPERLINK("https://cao.dolgi.msk.ru/account/1089122884/", 1089122884)</f>
        <v>1089122884</v>
      </c>
      <c r="D14707" t="s">
        <v>12379</v>
      </c>
      <c r="E14707">
        <v>-1516.34</v>
      </c>
      <c r="F14707">
        <v>-0.98</v>
      </c>
      <c r="G14707" t="s">
        <v>12</v>
      </c>
      <c r="I14707" t="s">
        <v>1428</v>
      </c>
    </row>
    <row r="14708" spans="1:9" hidden="1" x14ac:dyDescent="0.25">
      <c r="A14708" t="s">
        <v>12342</v>
      </c>
      <c r="B14708" t="s">
        <v>12380</v>
      </c>
      <c r="C14708" s="2">
        <f>HYPERLINK("https://cao.dolgi.msk.ru/account/1080228201/", 1080228201)</f>
        <v>1080228201</v>
      </c>
      <c r="D14708" t="s">
        <v>12381</v>
      </c>
      <c r="E14708">
        <v>-5451.45</v>
      </c>
      <c r="F14708">
        <v>-1</v>
      </c>
      <c r="G14708" t="s">
        <v>12</v>
      </c>
      <c r="I14708" t="s">
        <v>1428</v>
      </c>
    </row>
    <row r="14709" spans="1:9" hidden="1" x14ac:dyDescent="0.25">
      <c r="A14709" t="s">
        <v>12342</v>
      </c>
      <c r="B14709" t="s">
        <v>12382</v>
      </c>
      <c r="C14709" s="2">
        <f>HYPERLINK("https://cao.dolgi.msk.ru/account/1080228228/", 1080228228)</f>
        <v>1080228228</v>
      </c>
      <c r="D14709" t="s">
        <v>12383</v>
      </c>
      <c r="E14709">
        <v>-7634.5</v>
      </c>
      <c r="F14709">
        <v>-0.9</v>
      </c>
      <c r="G14709" t="s">
        <v>12</v>
      </c>
      <c r="I14709" t="s">
        <v>1428</v>
      </c>
    </row>
    <row r="14710" spans="1:9" hidden="1" x14ac:dyDescent="0.25">
      <c r="A14710" t="s">
        <v>12342</v>
      </c>
      <c r="B14710" t="s">
        <v>12384</v>
      </c>
      <c r="C14710" s="2">
        <f>HYPERLINK("https://cao.dolgi.msk.ru/account/1080228236/", 1080228236)</f>
        <v>1080228236</v>
      </c>
      <c r="D14710" t="s">
        <v>12385</v>
      </c>
      <c r="E14710">
        <v>19.600000000000001</v>
      </c>
      <c r="F14710">
        <v>0</v>
      </c>
      <c r="G14710" t="s">
        <v>12</v>
      </c>
      <c r="I14710" t="s">
        <v>1428</v>
      </c>
    </row>
    <row r="14711" spans="1:9" hidden="1" x14ac:dyDescent="0.25">
      <c r="A14711" t="s">
        <v>12342</v>
      </c>
      <c r="B14711" t="s">
        <v>12386</v>
      </c>
      <c r="C14711" s="2">
        <f>HYPERLINK("https://cao.dolgi.msk.ru/account/1080228244/", 1080228244)</f>
        <v>1080228244</v>
      </c>
      <c r="D14711" t="s">
        <v>12387</v>
      </c>
      <c r="E14711">
        <v>-2385.1</v>
      </c>
      <c r="F14711">
        <v>-1.05</v>
      </c>
      <c r="G14711" t="s">
        <v>12</v>
      </c>
      <c r="I14711" t="s">
        <v>1428</v>
      </c>
    </row>
    <row r="14712" spans="1:9" hidden="1" x14ac:dyDescent="0.25">
      <c r="A14712" t="s">
        <v>12342</v>
      </c>
      <c r="B14712" t="s">
        <v>12386</v>
      </c>
      <c r="C14712" s="2">
        <f>HYPERLINK("https://cao.dolgi.msk.ru/account/1089126818/", 1089126818)</f>
        <v>1089126818</v>
      </c>
      <c r="D14712" t="s">
        <v>15</v>
      </c>
      <c r="E14712">
        <v>-3554</v>
      </c>
      <c r="F14712">
        <v>-1.05</v>
      </c>
      <c r="G14712" t="s">
        <v>12</v>
      </c>
      <c r="I14712" t="s">
        <v>1428</v>
      </c>
    </row>
    <row r="14713" spans="1:9" hidden="1" x14ac:dyDescent="0.25">
      <c r="A14713" t="s">
        <v>12342</v>
      </c>
      <c r="B14713" t="s">
        <v>12388</v>
      </c>
      <c r="C14713" s="2">
        <f>HYPERLINK("https://cao.dolgi.msk.ru/account/1080228252/", 1080228252)</f>
        <v>1080228252</v>
      </c>
      <c r="D14713" t="s">
        <v>12389</v>
      </c>
      <c r="E14713">
        <v>-1944.33</v>
      </c>
      <c r="F14713">
        <v>-0.21</v>
      </c>
      <c r="G14713" t="s">
        <v>12</v>
      </c>
      <c r="I14713" t="s">
        <v>1428</v>
      </c>
    </row>
    <row r="14714" spans="1:9" hidden="1" x14ac:dyDescent="0.25">
      <c r="A14714" t="s">
        <v>12342</v>
      </c>
      <c r="B14714" t="s">
        <v>12390</v>
      </c>
      <c r="C14714" s="2">
        <f>HYPERLINK("https://cao.dolgi.msk.ru/account/1080228279/", 1080228279)</f>
        <v>1080228279</v>
      </c>
      <c r="D14714" t="s">
        <v>12391</v>
      </c>
      <c r="E14714">
        <v>43.14</v>
      </c>
      <c r="F14714">
        <v>0.01</v>
      </c>
      <c r="G14714" t="s">
        <v>12</v>
      </c>
      <c r="I14714" t="s">
        <v>1428</v>
      </c>
    </row>
    <row r="14715" spans="1:9" hidden="1" x14ac:dyDescent="0.25">
      <c r="A14715" t="s">
        <v>12342</v>
      </c>
      <c r="B14715" t="s">
        <v>12392</v>
      </c>
      <c r="C14715" s="2">
        <f>HYPERLINK("https://cao.dolgi.msk.ru/account/1080228287/", 1080228287)</f>
        <v>1080228287</v>
      </c>
      <c r="D14715" t="s">
        <v>12393</v>
      </c>
      <c r="E14715">
        <v>-6778.03</v>
      </c>
      <c r="F14715">
        <v>-0.95</v>
      </c>
      <c r="G14715" t="s">
        <v>12</v>
      </c>
      <c r="I14715" t="s">
        <v>1428</v>
      </c>
    </row>
    <row r="14716" spans="1:9" hidden="1" x14ac:dyDescent="0.25">
      <c r="A14716" t="s">
        <v>12342</v>
      </c>
      <c r="B14716" t="s">
        <v>12394</v>
      </c>
      <c r="C14716" s="2">
        <f>HYPERLINK("https://cao.dolgi.msk.ru/account/1080228308/", 1080228308)</f>
        <v>1080228308</v>
      </c>
      <c r="D14716" t="s">
        <v>12395</v>
      </c>
      <c r="E14716">
        <v>-5221.07</v>
      </c>
      <c r="F14716">
        <v>-1.3</v>
      </c>
      <c r="G14716" t="s">
        <v>12</v>
      </c>
      <c r="I14716" t="s">
        <v>1428</v>
      </c>
    </row>
    <row r="14717" spans="1:9" hidden="1" x14ac:dyDescent="0.25">
      <c r="A14717" t="s">
        <v>12342</v>
      </c>
      <c r="B14717" t="s">
        <v>12396</v>
      </c>
      <c r="C14717" s="2">
        <f>HYPERLINK("https://cao.dolgi.msk.ru/account/1080228316/", 1080228316)</f>
        <v>1080228316</v>
      </c>
      <c r="D14717" t="s">
        <v>12397</v>
      </c>
      <c r="E14717">
        <v>-5351.85</v>
      </c>
      <c r="F14717">
        <v>-1</v>
      </c>
      <c r="G14717" t="s">
        <v>12</v>
      </c>
      <c r="I14717" t="s">
        <v>1428</v>
      </c>
    </row>
    <row r="14718" spans="1:9" x14ac:dyDescent="0.25">
      <c r="A14718" t="s">
        <v>12342</v>
      </c>
      <c r="B14718" t="s">
        <v>12398</v>
      </c>
      <c r="C14718" s="2">
        <f>HYPERLINK("https://cao.dolgi.msk.ru/account/1080228324/", 1080228324)</f>
        <v>1080228324</v>
      </c>
      <c r="D14718" t="s">
        <v>12399</v>
      </c>
      <c r="E14718">
        <v>20650.82</v>
      </c>
      <c r="F14718">
        <v>3.95</v>
      </c>
      <c r="G14718" t="s">
        <v>12</v>
      </c>
      <c r="I14718" t="s">
        <v>1428</v>
      </c>
    </row>
    <row r="14719" spans="1:9" hidden="1" x14ac:dyDescent="0.25">
      <c r="A14719" t="s">
        <v>12342</v>
      </c>
      <c r="B14719" t="s">
        <v>12400</v>
      </c>
      <c r="C14719" s="2">
        <f>HYPERLINK("https://cao.dolgi.msk.ru/account/1080228332/", 1080228332)</f>
        <v>1080228332</v>
      </c>
      <c r="D14719" t="s">
        <v>12401</v>
      </c>
      <c r="E14719">
        <v>-5976.86</v>
      </c>
      <c r="F14719">
        <v>-1.0900000000000001</v>
      </c>
      <c r="G14719" t="s">
        <v>12</v>
      </c>
      <c r="I14719" t="s">
        <v>1428</v>
      </c>
    </row>
    <row r="14720" spans="1:9" hidden="1" x14ac:dyDescent="0.25">
      <c r="A14720" t="s">
        <v>12342</v>
      </c>
      <c r="B14720" t="s">
        <v>12402</v>
      </c>
      <c r="C14720" s="2">
        <f>HYPERLINK("https://cao.dolgi.msk.ru/account/1080228359/", 1080228359)</f>
        <v>1080228359</v>
      </c>
      <c r="D14720" t="s">
        <v>12403</v>
      </c>
      <c r="E14720">
        <v>-8080.14</v>
      </c>
      <c r="F14720">
        <v>-1.01</v>
      </c>
      <c r="G14720" t="s">
        <v>12</v>
      </c>
      <c r="I14720" t="s">
        <v>1428</v>
      </c>
    </row>
    <row r="14721" spans="1:9" hidden="1" x14ac:dyDescent="0.25">
      <c r="A14721" t="s">
        <v>12342</v>
      </c>
      <c r="B14721" t="s">
        <v>12404</v>
      </c>
      <c r="C14721" s="2">
        <f>HYPERLINK("https://cao.dolgi.msk.ru/account/1080228367/", 1080228367)</f>
        <v>1080228367</v>
      </c>
      <c r="D14721" t="s">
        <v>12405</v>
      </c>
      <c r="E14721">
        <v>-11518.63</v>
      </c>
      <c r="F14721">
        <v>-1.03</v>
      </c>
      <c r="G14721" t="s">
        <v>12</v>
      </c>
      <c r="I14721" t="s">
        <v>1428</v>
      </c>
    </row>
    <row r="14722" spans="1:9" hidden="1" x14ac:dyDescent="0.25">
      <c r="A14722" t="s">
        <v>12342</v>
      </c>
      <c r="B14722" t="s">
        <v>12406</v>
      </c>
      <c r="C14722" s="2">
        <f>HYPERLINK("https://cao.dolgi.msk.ru/account/1080228375/", 1080228375)</f>
        <v>1080228375</v>
      </c>
      <c r="D14722" t="s">
        <v>12407</v>
      </c>
      <c r="E14722">
        <v>-1385.18</v>
      </c>
      <c r="F14722">
        <v>-0.2</v>
      </c>
      <c r="G14722" t="s">
        <v>12</v>
      </c>
      <c r="I14722" t="s">
        <v>1428</v>
      </c>
    </row>
    <row r="14723" spans="1:9" hidden="1" x14ac:dyDescent="0.25">
      <c r="A14723" t="s">
        <v>12342</v>
      </c>
      <c r="B14723" t="s">
        <v>12408</v>
      </c>
      <c r="C14723" s="2">
        <f>HYPERLINK("https://cao.dolgi.msk.ru/account/1080228383/", 1080228383)</f>
        <v>1080228383</v>
      </c>
      <c r="D14723" t="s">
        <v>12409</v>
      </c>
      <c r="E14723">
        <v>-5911.22</v>
      </c>
      <c r="F14723">
        <v>-1.06</v>
      </c>
      <c r="G14723" t="s">
        <v>12</v>
      </c>
      <c r="I14723" t="s">
        <v>1428</v>
      </c>
    </row>
    <row r="14724" spans="1:9" hidden="1" x14ac:dyDescent="0.25">
      <c r="A14724" t="s">
        <v>12342</v>
      </c>
      <c r="B14724" t="s">
        <v>12410</v>
      </c>
      <c r="C14724" s="2">
        <f>HYPERLINK("https://cao.dolgi.msk.ru/account/1080228391/", 1080228391)</f>
        <v>1080228391</v>
      </c>
      <c r="D14724" t="s">
        <v>12411</v>
      </c>
      <c r="E14724">
        <v>-3117.93</v>
      </c>
      <c r="F14724">
        <v>-0.94</v>
      </c>
      <c r="G14724" t="s">
        <v>12</v>
      </c>
      <c r="I14724" t="s">
        <v>1428</v>
      </c>
    </row>
    <row r="14725" spans="1:9" hidden="1" x14ac:dyDescent="0.25">
      <c r="A14725" t="s">
        <v>12342</v>
      </c>
      <c r="B14725" t="s">
        <v>12412</v>
      </c>
      <c r="C14725" s="2">
        <f>HYPERLINK("https://cao.dolgi.msk.ru/account/1080228404/", 1080228404)</f>
        <v>1080228404</v>
      </c>
      <c r="D14725" t="s">
        <v>12413</v>
      </c>
      <c r="E14725">
        <v>-7833.83</v>
      </c>
      <c r="F14725">
        <v>-1.01</v>
      </c>
      <c r="G14725" t="s">
        <v>12</v>
      </c>
      <c r="I14725" t="s">
        <v>1428</v>
      </c>
    </row>
    <row r="14726" spans="1:9" hidden="1" x14ac:dyDescent="0.25">
      <c r="A14726" t="s">
        <v>12342</v>
      </c>
      <c r="B14726" t="s">
        <v>12414</v>
      </c>
      <c r="C14726" s="2">
        <f>HYPERLINK("https://cao.dolgi.msk.ru/account/1080228412/", 1080228412)</f>
        <v>1080228412</v>
      </c>
      <c r="D14726" t="s">
        <v>12415</v>
      </c>
      <c r="E14726">
        <v>-4426.3100000000004</v>
      </c>
      <c r="F14726">
        <v>-1.04</v>
      </c>
      <c r="G14726" t="s">
        <v>12</v>
      </c>
      <c r="I14726" t="s">
        <v>1428</v>
      </c>
    </row>
    <row r="14727" spans="1:9" hidden="1" x14ac:dyDescent="0.25">
      <c r="A14727" t="s">
        <v>12342</v>
      </c>
      <c r="B14727" t="s">
        <v>12416</v>
      </c>
      <c r="C14727" s="2">
        <f>HYPERLINK("https://cao.dolgi.msk.ru/account/1080228439/", 1080228439)</f>
        <v>1080228439</v>
      </c>
      <c r="D14727" t="s">
        <v>12417</v>
      </c>
      <c r="E14727">
        <v>-7053.32</v>
      </c>
      <c r="F14727">
        <v>-1.02</v>
      </c>
      <c r="G14727" t="s">
        <v>12</v>
      </c>
      <c r="I14727" t="s">
        <v>1428</v>
      </c>
    </row>
    <row r="14728" spans="1:9" hidden="1" x14ac:dyDescent="0.25">
      <c r="A14728" t="s">
        <v>12342</v>
      </c>
      <c r="B14728" t="s">
        <v>12418</v>
      </c>
      <c r="C14728" s="2">
        <f>HYPERLINK("https://cao.dolgi.msk.ru/account/1080228447/", 1080228447)</f>
        <v>1080228447</v>
      </c>
      <c r="D14728" t="s">
        <v>12419</v>
      </c>
      <c r="E14728">
        <v>-719.87</v>
      </c>
      <c r="F14728">
        <v>-0.2</v>
      </c>
      <c r="G14728" t="s">
        <v>12</v>
      </c>
      <c r="H14728" t="s">
        <v>7</v>
      </c>
      <c r="I14728" t="s">
        <v>1428</v>
      </c>
    </row>
    <row r="14729" spans="1:9" hidden="1" x14ac:dyDescent="0.25">
      <c r="A14729" t="s">
        <v>12342</v>
      </c>
      <c r="B14729" t="s">
        <v>12418</v>
      </c>
      <c r="C14729" s="2">
        <f>HYPERLINK("https://cao.dolgi.msk.ru/account/1080228455/", 1080228455)</f>
        <v>1080228455</v>
      </c>
      <c r="D14729" t="s">
        <v>12419</v>
      </c>
      <c r="E14729">
        <v>-5090.1499999999996</v>
      </c>
      <c r="F14729">
        <v>-1.59</v>
      </c>
      <c r="G14729" t="s">
        <v>12</v>
      </c>
      <c r="H14729" t="s">
        <v>7</v>
      </c>
      <c r="I14729" t="s">
        <v>1428</v>
      </c>
    </row>
    <row r="14730" spans="1:9" x14ac:dyDescent="0.25">
      <c r="A14730" t="s">
        <v>12342</v>
      </c>
      <c r="B14730" t="s">
        <v>12420</v>
      </c>
      <c r="C14730" s="2">
        <f>HYPERLINK("https://cao.dolgi.msk.ru/account/1080228463/", 1080228463)</f>
        <v>1080228463</v>
      </c>
      <c r="D14730" t="s">
        <v>12421</v>
      </c>
      <c r="E14730">
        <v>13673.71</v>
      </c>
      <c r="F14730">
        <v>1.89</v>
      </c>
      <c r="G14730" t="s">
        <v>12</v>
      </c>
      <c r="I14730" t="s">
        <v>1428</v>
      </c>
    </row>
    <row r="14731" spans="1:9" hidden="1" x14ac:dyDescent="0.25">
      <c r="A14731" t="s">
        <v>12342</v>
      </c>
      <c r="B14731" t="s">
        <v>12422</v>
      </c>
      <c r="C14731" s="2">
        <f>HYPERLINK("https://cao.dolgi.msk.ru/account/1080228471/", 1080228471)</f>
        <v>1080228471</v>
      </c>
      <c r="D14731" t="s">
        <v>12423</v>
      </c>
      <c r="E14731">
        <v>-4578.04</v>
      </c>
      <c r="F14731">
        <v>-1.02</v>
      </c>
      <c r="G14731" t="s">
        <v>12</v>
      </c>
      <c r="I14731" t="s">
        <v>1428</v>
      </c>
    </row>
    <row r="14732" spans="1:9" hidden="1" x14ac:dyDescent="0.25">
      <c r="A14732" t="s">
        <v>12342</v>
      </c>
      <c r="B14732" t="s">
        <v>12424</v>
      </c>
      <c r="C14732" s="2">
        <f>HYPERLINK("https://cao.dolgi.msk.ru/account/1080228498/", 1080228498)</f>
        <v>1080228498</v>
      </c>
      <c r="D14732" t="s">
        <v>12425</v>
      </c>
      <c r="E14732">
        <v>-4481.29</v>
      </c>
      <c r="F14732">
        <v>-0.96</v>
      </c>
      <c r="G14732" t="s">
        <v>12</v>
      </c>
      <c r="I14732" t="s">
        <v>1428</v>
      </c>
    </row>
    <row r="14733" spans="1:9" hidden="1" x14ac:dyDescent="0.25">
      <c r="A14733" t="s">
        <v>12342</v>
      </c>
      <c r="B14733" t="s">
        <v>12426</v>
      </c>
      <c r="C14733" s="2">
        <f>HYPERLINK("https://cao.dolgi.msk.ru/account/1080228519/", 1080228519)</f>
        <v>1080228519</v>
      </c>
      <c r="D14733" t="s">
        <v>12427</v>
      </c>
      <c r="E14733">
        <v>-851.67</v>
      </c>
      <c r="F14733">
        <v>-0.15</v>
      </c>
      <c r="G14733" t="s">
        <v>12</v>
      </c>
      <c r="I14733" t="s">
        <v>1428</v>
      </c>
    </row>
    <row r="14734" spans="1:9" hidden="1" x14ac:dyDescent="0.25">
      <c r="A14734" t="s">
        <v>12342</v>
      </c>
      <c r="B14734" t="s">
        <v>12428</v>
      </c>
      <c r="C14734" s="2">
        <f>HYPERLINK("https://cao.dolgi.msk.ru/account/1080228527/", 1080228527)</f>
        <v>1080228527</v>
      </c>
      <c r="D14734" t="s">
        <v>12429</v>
      </c>
      <c r="E14734">
        <v>-7741.18</v>
      </c>
      <c r="F14734">
        <v>-0.89</v>
      </c>
      <c r="G14734" t="s">
        <v>12</v>
      </c>
      <c r="I14734" t="s">
        <v>1428</v>
      </c>
    </row>
    <row r="14735" spans="1:9" hidden="1" x14ac:dyDescent="0.25">
      <c r="A14735" t="s">
        <v>12342</v>
      </c>
      <c r="B14735" t="s">
        <v>12430</v>
      </c>
      <c r="C14735" s="2">
        <f>HYPERLINK("https://cao.dolgi.msk.ru/account/1080228535/", 1080228535)</f>
        <v>1080228535</v>
      </c>
      <c r="D14735" t="s">
        <v>12431</v>
      </c>
      <c r="E14735">
        <v>-7705.88</v>
      </c>
      <c r="F14735">
        <v>-0.96</v>
      </c>
      <c r="G14735" t="s">
        <v>12</v>
      </c>
      <c r="I14735" t="s">
        <v>1428</v>
      </c>
    </row>
    <row r="14736" spans="1:9" hidden="1" x14ac:dyDescent="0.25">
      <c r="A14736" t="s">
        <v>12342</v>
      </c>
      <c r="B14736" t="s">
        <v>12432</v>
      </c>
      <c r="C14736" s="2">
        <f>HYPERLINK("https://cao.dolgi.msk.ru/account/1080228295/", 1080228295)</f>
        <v>1080228295</v>
      </c>
      <c r="D14736" t="s">
        <v>12433</v>
      </c>
      <c r="E14736">
        <v>-6715.78</v>
      </c>
      <c r="F14736">
        <v>-1</v>
      </c>
      <c r="G14736" t="s">
        <v>12</v>
      </c>
      <c r="I14736" t="s">
        <v>1428</v>
      </c>
    </row>
    <row r="14737" spans="1:9" hidden="1" x14ac:dyDescent="0.25">
      <c r="A14737" t="s">
        <v>12342</v>
      </c>
      <c r="B14737" t="s">
        <v>12434</v>
      </c>
      <c r="C14737" s="2">
        <f>HYPERLINK("https://cao.dolgi.msk.ru/account/1080228543/", 1080228543)</f>
        <v>1080228543</v>
      </c>
      <c r="D14737" t="s">
        <v>12435</v>
      </c>
      <c r="E14737">
        <v>-265.74</v>
      </c>
      <c r="F14737">
        <v>-0.03</v>
      </c>
      <c r="G14737" t="s">
        <v>12</v>
      </c>
      <c r="I14737" t="s">
        <v>1428</v>
      </c>
    </row>
    <row r="14738" spans="1:9" hidden="1" x14ac:dyDescent="0.25">
      <c r="A14738" t="s">
        <v>12342</v>
      </c>
      <c r="B14738" t="s">
        <v>12436</v>
      </c>
      <c r="C14738" s="2">
        <f>HYPERLINK("https://cao.dolgi.msk.ru/account/1080228551/", 1080228551)</f>
        <v>1080228551</v>
      </c>
      <c r="D14738" t="s">
        <v>12437</v>
      </c>
      <c r="E14738">
        <v>-8865.7099999999991</v>
      </c>
      <c r="F14738">
        <v>-1</v>
      </c>
      <c r="G14738" t="s">
        <v>12</v>
      </c>
      <c r="I14738" t="s">
        <v>1428</v>
      </c>
    </row>
    <row r="14739" spans="1:9" hidden="1" x14ac:dyDescent="0.25">
      <c r="A14739" t="s">
        <v>12342</v>
      </c>
      <c r="B14739" t="s">
        <v>12438</v>
      </c>
      <c r="C14739" s="2">
        <f>HYPERLINK("https://cao.dolgi.msk.ru/account/1080228578/", 1080228578)</f>
        <v>1080228578</v>
      </c>
      <c r="D14739" t="s">
        <v>1355</v>
      </c>
      <c r="E14739">
        <v>-8255.1299999999992</v>
      </c>
      <c r="F14739">
        <v>-0.93</v>
      </c>
      <c r="G14739" t="s">
        <v>12</v>
      </c>
      <c r="I14739" t="s">
        <v>1428</v>
      </c>
    </row>
    <row r="14740" spans="1:9" hidden="1" x14ac:dyDescent="0.25">
      <c r="A14740" t="s">
        <v>12342</v>
      </c>
      <c r="B14740" t="s">
        <v>12439</v>
      </c>
      <c r="C14740" s="2">
        <f>HYPERLINK("https://cao.dolgi.msk.ru/account/1080228586/", 1080228586)</f>
        <v>1080228586</v>
      </c>
      <c r="D14740" t="s">
        <v>12440</v>
      </c>
      <c r="E14740">
        <v>-7129.81</v>
      </c>
      <c r="F14740">
        <v>-0.92</v>
      </c>
      <c r="G14740" t="s">
        <v>12</v>
      </c>
      <c r="I14740" t="s">
        <v>1428</v>
      </c>
    </row>
    <row r="14741" spans="1:9" hidden="1" x14ac:dyDescent="0.25">
      <c r="A14741" t="s">
        <v>12342</v>
      </c>
      <c r="B14741" t="s">
        <v>12441</v>
      </c>
      <c r="C14741" s="2">
        <f>HYPERLINK("https://cao.dolgi.msk.ru/account/1080228594/", 1080228594)</f>
        <v>1080228594</v>
      </c>
      <c r="D14741" t="s">
        <v>12442</v>
      </c>
      <c r="E14741">
        <v>-6913.89</v>
      </c>
      <c r="F14741">
        <v>-1.26</v>
      </c>
      <c r="G14741" t="s">
        <v>12</v>
      </c>
      <c r="I14741" t="s">
        <v>1428</v>
      </c>
    </row>
    <row r="14742" spans="1:9" hidden="1" x14ac:dyDescent="0.25">
      <c r="A14742" t="s">
        <v>12342</v>
      </c>
      <c r="B14742" t="s">
        <v>12443</v>
      </c>
      <c r="C14742" s="2">
        <f>HYPERLINK("https://cao.dolgi.msk.ru/account/1080228607/", 1080228607)</f>
        <v>1080228607</v>
      </c>
      <c r="D14742" t="s">
        <v>12444</v>
      </c>
      <c r="E14742">
        <v>-14490.35</v>
      </c>
      <c r="F14742">
        <v>-1</v>
      </c>
      <c r="G14742" t="s">
        <v>12</v>
      </c>
      <c r="I14742" t="s">
        <v>1428</v>
      </c>
    </row>
    <row r="14743" spans="1:9" hidden="1" x14ac:dyDescent="0.25">
      <c r="A14743" t="s">
        <v>12342</v>
      </c>
      <c r="B14743" t="s">
        <v>12445</v>
      </c>
      <c r="C14743" s="2">
        <f>HYPERLINK("https://cao.dolgi.msk.ru/account/1080228615/", 1080228615)</f>
        <v>1080228615</v>
      </c>
      <c r="D14743" t="s">
        <v>12446</v>
      </c>
      <c r="E14743">
        <v>-9006.4699999999993</v>
      </c>
      <c r="F14743">
        <v>-1.02</v>
      </c>
      <c r="G14743" t="s">
        <v>12</v>
      </c>
      <c r="I14743" t="s">
        <v>1428</v>
      </c>
    </row>
    <row r="14744" spans="1:9" hidden="1" x14ac:dyDescent="0.25">
      <c r="A14744" t="s">
        <v>12342</v>
      </c>
      <c r="B14744" t="s">
        <v>12447</v>
      </c>
      <c r="C14744" s="2">
        <f>HYPERLINK("https://cao.dolgi.msk.ru/account/1080228623/", 1080228623)</f>
        <v>1080228623</v>
      </c>
      <c r="D14744" t="s">
        <v>12448</v>
      </c>
      <c r="E14744">
        <v>-0.45</v>
      </c>
      <c r="G14744" t="s">
        <v>14</v>
      </c>
      <c r="I14744" t="s">
        <v>1428</v>
      </c>
    </row>
    <row r="14745" spans="1:9" hidden="1" x14ac:dyDescent="0.25">
      <c r="A14745" t="s">
        <v>12342</v>
      </c>
      <c r="B14745" t="s">
        <v>12447</v>
      </c>
      <c r="C14745" s="2">
        <f>HYPERLINK("https://cao.dolgi.msk.ru/account/1089126957/", 1089126957)</f>
        <v>1089126957</v>
      </c>
      <c r="D14745" t="s">
        <v>15</v>
      </c>
      <c r="E14745">
        <v>-10934.33</v>
      </c>
      <c r="F14745">
        <v>-1</v>
      </c>
      <c r="G14745" t="s">
        <v>12</v>
      </c>
      <c r="I14745" t="s">
        <v>1428</v>
      </c>
    </row>
    <row r="14746" spans="1:9" hidden="1" x14ac:dyDescent="0.25">
      <c r="A14746" t="s">
        <v>12342</v>
      </c>
      <c r="B14746" t="s">
        <v>12449</v>
      </c>
      <c r="C14746" s="2">
        <f>HYPERLINK("https://cao.dolgi.msk.ru/account/1080228631/", 1080228631)</f>
        <v>1080228631</v>
      </c>
      <c r="D14746" t="s">
        <v>12450</v>
      </c>
      <c r="E14746">
        <v>0.01</v>
      </c>
      <c r="F14746">
        <v>0</v>
      </c>
      <c r="G14746" t="s">
        <v>12</v>
      </c>
      <c r="I14746" t="s">
        <v>1428</v>
      </c>
    </row>
    <row r="14747" spans="1:9" hidden="1" x14ac:dyDescent="0.25">
      <c r="A14747" t="s">
        <v>12342</v>
      </c>
      <c r="B14747" t="s">
        <v>12451</v>
      </c>
      <c r="C14747" s="2">
        <f>HYPERLINK("https://cao.dolgi.msk.ru/account/1080228658/", 1080228658)</f>
        <v>1080228658</v>
      </c>
      <c r="D14747" t="s">
        <v>12452</v>
      </c>
      <c r="E14747">
        <v>-7091.58</v>
      </c>
      <c r="F14747">
        <v>-0.99</v>
      </c>
      <c r="G14747" t="s">
        <v>12</v>
      </c>
      <c r="I14747" t="s">
        <v>1428</v>
      </c>
    </row>
    <row r="14748" spans="1:9" hidden="1" x14ac:dyDescent="0.25">
      <c r="A14748" t="s">
        <v>12342</v>
      </c>
      <c r="B14748" t="s">
        <v>12453</v>
      </c>
      <c r="C14748" s="2">
        <f>HYPERLINK("https://cao.dolgi.msk.ru/account/1080228666/", 1080228666)</f>
        <v>1080228666</v>
      </c>
      <c r="D14748" t="s">
        <v>12454</v>
      </c>
      <c r="E14748">
        <v>-7136.58</v>
      </c>
      <c r="F14748">
        <v>-1</v>
      </c>
      <c r="G14748" t="s">
        <v>12</v>
      </c>
      <c r="I14748" t="s">
        <v>1428</v>
      </c>
    </row>
    <row r="14749" spans="1:9" hidden="1" x14ac:dyDescent="0.25">
      <c r="A14749" t="s">
        <v>12342</v>
      </c>
      <c r="B14749" t="s">
        <v>12455</v>
      </c>
      <c r="C14749" s="2">
        <f>HYPERLINK("https://cao.dolgi.msk.ru/account/1080228674/", 1080228674)</f>
        <v>1080228674</v>
      </c>
      <c r="D14749" t="s">
        <v>12456</v>
      </c>
      <c r="E14749">
        <v>-8727.2800000000007</v>
      </c>
      <c r="F14749">
        <v>-1.0900000000000001</v>
      </c>
      <c r="G14749" t="s">
        <v>12</v>
      </c>
      <c r="I14749" t="s">
        <v>1428</v>
      </c>
    </row>
    <row r="14750" spans="1:9" hidden="1" x14ac:dyDescent="0.25">
      <c r="A14750" t="s">
        <v>12342</v>
      </c>
      <c r="B14750" t="s">
        <v>12457</v>
      </c>
      <c r="C14750" s="2">
        <f>HYPERLINK("https://cao.dolgi.msk.ru/account/1080228682/", 1080228682)</f>
        <v>1080228682</v>
      </c>
      <c r="D14750" t="s">
        <v>12458</v>
      </c>
      <c r="E14750">
        <v>-5700.29</v>
      </c>
      <c r="F14750">
        <v>-1.03</v>
      </c>
      <c r="G14750" t="s">
        <v>12</v>
      </c>
      <c r="I14750" t="s">
        <v>1428</v>
      </c>
    </row>
    <row r="14751" spans="1:9" hidden="1" x14ac:dyDescent="0.25">
      <c r="A14751" t="s">
        <v>12342</v>
      </c>
      <c r="B14751" t="s">
        <v>12459</v>
      </c>
      <c r="C14751" s="2">
        <f>HYPERLINK("https://cao.dolgi.msk.ru/account/1080228703/", 1080228703)</f>
        <v>1080228703</v>
      </c>
      <c r="D14751" t="s">
        <v>12460</v>
      </c>
      <c r="E14751">
        <v>-4863.62</v>
      </c>
      <c r="F14751">
        <v>-1.02</v>
      </c>
      <c r="G14751" t="s">
        <v>12</v>
      </c>
      <c r="I14751" t="s">
        <v>1428</v>
      </c>
    </row>
    <row r="14752" spans="1:9" hidden="1" x14ac:dyDescent="0.25">
      <c r="A14752" t="s">
        <v>12342</v>
      </c>
      <c r="B14752" t="s">
        <v>12461</v>
      </c>
      <c r="C14752" s="2">
        <f>HYPERLINK("https://cao.dolgi.msk.ru/account/1080228711/", 1080228711)</f>
        <v>1080228711</v>
      </c>
      <c r="D14752" t="s">
        <v>12462</v>
      </c>
      <c r="E14752">
        <v>294.18</v>
      </c>
      <c r="F14752">
        <v>0.04</v>
      </c>
      <c r="G14752" t="s">
        <v>12</v>
      </c>
      <c r="I14752" t="s">
        <v>1428</v>
      </c>
    </row>
    <row r="14753" spans="1:9" hidden="1" x14ac:dyDescent="0.25">
      <c r="A14753" t="s">
        <v>12342</v>
      </c>
      <c r="B14753" t="s">
        <v>12463</v>
      </c>
      <c r="C14753" s="2">
        <f>HYPERLINK("https://cao.dolgi.msk.ru/account/1080228738/", 1080228738)</f>
        <v>1080228738</v>
      </c>
      <c r="D14753" t="s">
        <v>12464</v>
      </c>
      <c r="E14753">
        <v>-6804.6</v>
      </c>
      <c r="F14753">
        <v>-1</v>
      </c>
      <c r="G14753" t="s">
        <v>12</v>
      </c>
      <c r="I14753" t="s">
        <v>1428</v>
      </c>
    </row>
    <row r="14754" spans="1:9" hidden="1" x14ac:dyDescent="0.25">
      <c r="A14754" t="s">
        <v>12342</v>
      </c>
      <c r="B14754" t="s">
        <v>12465</v>
      </c>
      <c r="C14754" s="2">
        <f>HYPERLINK("https://cao.dolgi.msk.ru/account/1080228746/", 1080228746)</f>
        <v>1080228746</v>
      </c>
      <c r="D14754" t="s">
        <v>12466</v>
      </c>
      <c r="E14754">
        <v>-4584.1899999999996</v>
      </c>
      <c r="F14754">
        <v>-0.97</v>
      </c>
      <c r="G14754" t="s">
        <v>12</v>
      </c>
      <c r="I14754" t="s">
        <v>1428</v>
      </c>
    </row>
    <row r="14755" spans="1:9" hidden="1" x14ac:dyDescent="0.25">
      <c r="A14755" t="s">
        <v>12342</v>
      </c>
      <c r="B14755" t="s">
        <v>12467</v>
      </c>
      <c r="C14755" s="2">
        <f>HYPERLINK("https://cao.dolgi.msk.ru/account/1080228754/", 1080228754)</f>
        <v>1080228754</v>
      </c>
      <c r="D14755" t="s">
        <v>12468</v>
      </c>
      <c r="E14755">
        <v>-8338.15</v>
      </c>
      <c r="F14755">
        <v>-1.03</v>
      </c>
      <c r="G14755" t="s">
        <v>12</v>
      </c>
      <c r="I14755" t="s">
        <v>1428</v>
      </c>
    </row>
    <row r="14756" spans="1:9" hidden="1" x14ac:dyDescent="0.25">
      <c r="A14756" t="s">
        <v>12469</v>
      </c>
      <c r="B14756" t="s">
        <v>12470</v>
      </c>
      <c r="C14756" s="2">
        <f>HYPERLINK("https://cao.dolgi.msk.ru/account/1080228762/", 1080228762)</f>
        <v>1080228762</v>
      </c>
      <c r="D14756" t="s">
        <v>12471</v>
      </c>
      <c r="E14756">
        <v>-4431.01</v>
      </c>
      <c r="F14756">
        <v>-1.03</v>
      </c>
      <c r="G14756" t="s">
        <v>12</v>
      </c>
      <c r="H14756" t="s">
        <v>7</v>
      </c>
      <c r="I14756" t="s">
        <v>1428</v>
      </c>
    </row>
    <row r="14757" spans="1:9" hidden="1" x14ac:dyDescent="0.25">
      <c r="A14757" t="s">
        <v>12469</v>
      </c>
      <c r="B14757" t="s">
        <v>12470</v>
      </c>
      <c r="C14757" s="2">
        <f>HYPERLINK("https://cao.dolgi.msk.ru/account/1080320606/", 1080320606)</f>
        <v>1080320606</v>
      </c>
      <c r="D14757" t="s">
        <v>12471</v>
      </c>
      <c r="E14757">
        <v>-2409</v>
      </c>
      <c r="F14757">
        <v>-1.05</v>
      </c>
      <c r="G14757" t="s">
        <v>12</v>
      </c>
      <c r="H14757" t="s">
        <v>7</v>
      </c>
      <c r="I14757" t="s">
        <v>1428</v>
      </c>
    </row>
    <row r="14758" spans="1:9" hidden="1" x14ac:dyDescent="0.25">
      <c r="A14758" t="s">
        <v>12469</v>
      </c>
      <c r="B14758" t="s">
        <v>12472</v>
      </c>
      <c r="C14758" s="2">
        <f>HYPERLINK("https://cao.dolgi.msk.ru/account/1080228789/", 1080228789)</f>
        <v>1080228789</v>
      </c>
      <c r="D14758" t="s">
        <v>12473</v>
      </c>
      <c r="E14758">
        <v>6271.6</v>
      </c>
      <c r="F14758">
        <v>0.99</v>
      </c>
      <c r="G14758" t="s">
        <v>12</v>
      </c>
      <c r="I14758" t="s">
        <v>1428</v>
      </c>
    </row>
    <row r="14759" spans="1:9" hidden="1" x14ac:dyDescent="0.25">
      <c r="A14759" t="s">
        <v>12469</v>
      </c>
      <c r="B14759" t="s">
        <v>12474</v>
      </c>
      <c r="C14759" s="2">
        <f>HYPERLINK("https://cao.dolgi.msk.ru/account/1080228818/", 1080228818)</f>
        <v>1080228818</v>
      </c>
      <c r="D14759" t="s">
        <v>12475</v>
      </c>
      <c r="E14759">
        <v>-15.93</v>
      </c>
      <c r="F14759">
        <v>0</v>
      </c>
      <c r="G14759" t="s">
        <v>12</v>
      </c>
      <c r="I14759" t="s">
        <v>1428</v>
      </c>
    </row>
    <row r="14760" spans="1:9" hidden="1" x14ac:dyDescent="0.25">
      <c r="A14760" t="s">
        <v>12469</v>
      </c>
      <c r="B14760" t="s">
        <v>12476</v>
      </c>
      <c r="C14760" s="2">
        <f>HYPERLINK("https://cao.dolgi.msk.ru/account/1080228826/", 1080228826)</f>
        <v>1080228826</v>
      </c>
      <c r="D14760" t="s">
        <v>12477</v>
      </c>
      <c r="E14760">
        <v>-6896.79</v>
      </c>
      <c r="F14760">
        <v>-0.74</v>
      </c>
      <c r="G14760" t="s">
        <v>12</v>
      </c>
      <c r="I14760" t="s">
        <v>1428</v>
      </c>
    </row>
    <row r="14761" spans="1:9" hidden="1" x14ac:dyDescent="0.25">
      <c r="A14761" t="s">
        <v>12469</v>
      </c>
      <c r="B14761" t="s">
        <v>12478</v>
      </c>
      <c r="C14761" s="2">
        <f>HYPERLINK("https://cao.dolgi.msk.ru/account/1080228834/", 1080228834)</f>
        <v>1080228834</v>
      </c>
      <c r="D14761" t="s">
        <v>12479</v>
      </c>
      <c r="E14761">
        <v>-4493.1000000000004</v>
      </c>
      <c r="F14761">
        <v>-0.78</v>
      </c>
      <c r="G14761" t="s">
        <v>12</v>
      </c>
      <c r="I14761" t="s">
        <v>1428</v>
      </c>
    </row>
    <row r="14762" spans="1:9" hidden="1" x14ac:dyDescent="0.25">
      <c r="A14762" t="s">
        <v>12469</v>
      </c>
      <c r="B14762" t="s">
        <v>12480</v>
      </c>
      <c r="C14762" s="2">
        <f>HYPERLINK("https://cao.dolgi.msk.ru/account/1080228842/", 1080228842)</f>
        <v>1080228842</v>
      </c>
      <c r="D14762" t="s">
        <v>12481</v>
      </c>
      <c r="E14762">
        <v>-6681.51</v>
      </c>
      <c r="F14762">
        <v>-0.65</v>
      </c>
      <c r="G14762" t="s">
        <v>12</v>
      </c>
      <c r="I14762" t="s">
        <v>1428</v>
      </c>
    </row>
    <row r="14763" spans="1:9" hidden="1" x14ac:dyDescent="0.25">
      <c r="A14763" t="s">
        <v>12469</v>
      </c>
      <c r="B14763" t="s">
        <v>12480</v>
      </c>
      <c r="C14763" s="2">
        <f>HYPERLINK("https://cao.dolgi.msk.ru/account/1083278108/", 1083278108)</f>
        <v>1083278108</v>
      </c>
      <c r="D14763" t="s">
        <v>15</v>
      </c>
      <c r="E14763">
        <v>-1324.47</v>
      </c>
      <c r="F14763">
        <v>-0.93</v>
      </c>
      <c r="G14763" t="s">
        <v>12</v>
      </c>
      <c r="I14763" t="s">
        <v>1428</v>
      </c>
    </row>
    <row r="14764" spans="1:9" hidden="1" x14ac:dyDescent="0.25">
      <c r="A14764" t="s">
        <v>12469</v>
      </c>
      <c r="B14764" t="s">
        <v>12482</v>
      </c>
      <c r="C14764" s="2">
        <f>HYPERLINK("https://cao.dolgi.msk.ru/account/1080228869/", 1080228869)</f>
        <v>1080228869</v>
      </c>
      <c r="D14764" t="s">
        <v>12483</v>
      </c>
      <c r="E14764">
        <v>-5465.76</v>
      </c>
      <c r="F14764">
        <v>-0.68</v>
      </c>
      <c r="G14764" t="s">
        <v>12</v>
      </c>
      <c r="H14764" t="s">
        <v>7</v>
      </c>
      <c r="I14764" t="s">
        <v>1428</v>
      </c>
    </row>
    <row r="14765" spans="1:9" hidden="1" x14ac:dyDescent="0.25">
      <c r="A14765" t="s">
        <v>12469</v>
      </c>
      <c r="B14765" t="s">
        <v>12482</v>
      </c>
      <c r="C14765" s="2">
        <f>HYPERLINK("https://cao.dolgi.msk.ru/account/1080228877/", 1080228877)</f>
        <v>1080228877</v>
      </c>
      <c r="D14765" t="s">
        <v>12484</v>
      </c>
      <c r="E14765">
        <v>-7185.28</v>
      </c>
      <c r="F14765">
        <v>-5.27</v>
      </c>
      <c r="G14765" t="s">
        <v>12</v>
      </c>
      <c r="H14765" t="s">
        <v>7</v>
      </c>
      <c r="I14765" t="s">
        <v>1428</v>
      </c>
    </row>
    <row r="14766" spans="1:9" hidden="1" x14ac:dyDescent="0.25">
      <c r="A14766" t="s">
        <v>12469</v>
      </c>
      <c r="B14766" t="s">
        <v>12485</v>
      </c>
      <c r="C14766" s="2">
        <f>HYPERLINK("https://cao.dolgi.msk.ru/account/1080228885/", 1080228885)</f>
        <v>1080228885</v>
      </c>
      <c r="D14766" t="s">
        <v>12486</v>
      </c>
      <c r="E14766">
        <v>-220.69</v>
      </c>
      <c r="F14766">
        <v>-0.03</v>
      </c>
      <c r="G14766" t="s">
        <v>12</v>
      </c>
      <c r="I14766" t="s">
        <v>1428</v>
      </c>
    </row>
    <row r="14767" spans="1:9" hidden="1" x14ac:dyDescent="0.25">
      <c r="A14767" t="s">
        <v>12469</v>
      </c>
      <c r="B14767" t="s">
        <v>12487</v>
      </c>
      <c r="C14767" s="2">
        <f>HYPERLINK("https://cao.dolgi.msk.ru/account/1080228893/", 1080228893)</f>
        <v>1080228893</v>
      </c>
      <c r="D14767" t="s">
        <v>12488</v>
      </c>
      <c r="E14767">
        <v>-8355.99</v>
      </c>
      <c r="F14767">
        <v>-1.41</v>
      </c>
      <c r="G14767" t="s">
        <v>12</v>
      </c>
      <c r="I14767" t="s">
        <v>1428</v>
      </c>
    </row>
    <row r="14768" spans="1:9" hidden="1" x14ac:dyDescent="0.25">
      <c r="A14768" t="s">
        <v>12469</v>
      </c>
      <c r="B14768" t="s">
        <v>12489</v>
      </c>
      <c r="C14768" s="2">
        <f>HYPERLINK("https://cao.dolgi.msk.ru/account/1080228906/", 1080228906)</f>
        <v>1080228906</v>
      </c>
      <c r="D14768" t="s">
        <v>12490</v>
      </c>
      <c r="E14768">
        <v>-7876.95</v>
      </c>
      <c r="F14768">
        <v>-1.06</v>
      </c>
      <c r="G14768" t="s">
        <v>12</v>
      </c>
      <c r="I14768" t="s">
        <v>1428</v>
      </c>
    </row>
    <row r="14769" spans="1:9" hidden="1" x14ac:dyDescent="0.25">
      <c r="A14769" t="s">
        <v>12469</v>
      </c>
      <c r="B14769" t="s">
        <v>12489</v>
      </c>
      <c r="C14769" s="2">
        <f>HYPERLINK("https://cao.dolgi.msk.ru/account/1083278132/", 1083278132)</f>
        <v>1083278132</v>
      </c>
      <c r="D14769" t="s">
        <v>15</v>
      </c>
      <c r="E14769">
        <v>0</v>
      </c>
      <c r="F14769">
        <v>0</v>
      </c>
      <c r="G14769" t="s">
        <v>14</v>
      </c>
      <c r="I14769" t="s">
        <v>1428</v>
      </c>
    </row>
    <row r="14770" spans="1:9" hidden="1" x14ac:dyDescent="0.25">
      <c r="A14770" t="s">
        <v>12469</v>
      </c>
      <c r="B14770" t="s">
        <v>12489</v>
      </c>
      <c r="C14770" s="2">
        <f>HYPERLINK("https://cao.dolgi.msk.ru/account/1089126973/", 1089126973)</f>
        <v>1089126973</v>
      </c>
      <c r="D14770" t="s">
        <v>12491</v>
      </c>
      <c r="G14770" t="s">
        <v>14</v>
      </c>
      <c r="I14770" t="s">
        <v>1428</v>
      </c>
    </row>
    <row r="14771" spans="1:9" hidden="1" x14ac:dyDescent="0.25">
      <c r="A14771" t="s">
        <v>12469</v>
      </c>
      <c r="B14771" t="s">
        <v>12492</v>
      </c>
      <c r="C14771" s="2">
        <f>HYPERLINK("https://cao.dolgi.msk.ru/account/1080228914/", 1080228914)</f>
        <v>1080228914</v>
      </c>
      <c r="D14771" t="s">
        <v>12493</v>
      </c>
      <c r="E14771">
        <v>-6257.26</v>
      </c>
      <c r="F14771">
        <v>-0.93</v>
      </c>
      <c r="G14771" t="s">
        <v>12</v>
      </c>
      <c r="I14771" t="s">
        <v>1428</v>
      </c>
    </row>
    <row r="14772" spans="1:9" hidden="1" x14ac:dyDescent="0.25">
      <c r="A14772" t="s">
        <v>12469</v>
      </c>
      <c r="B14772" t="s">
        <v>12494</v>
      </c>
      <c r="C14772" s="2">
        <f>HYPERLINK("https://cao.dolgi.msk.ru/account/1080228922/", 1080228922)</f>
        <v>1080228922</v>
      </c>
      <c r="D14772" t="s">
        <v>12495</v>
      </c>
      <c r="E14772">
        <v>-4819.8999999999996</v>
      </c>
      <c r="F14772">
        <v>-1.28</v>
      </c>
      <c r="G14772" t="s">
        <v>12</v>
      </c>
      <c r="I14772" t="s">
        <v>1428</v>
      </c>
    </row>
    <row r="14773" spans="1:9" hidden="1" x14ac:dyDescent="0.25">
      <c r="A14773" t="s">
        <v>12469</v>
      </c>
      <c r="B14773" t="s">
        <v>12496</v>
      </c>
      <c r="C14773" s="2">
        <f>HYPERLINK("https://cao.dolgi.msk.ru/account/1080228949/", 1080228949)</f>
        <v>1080228949</v>
      </c>
      <c r="D14773" t="s">
        <v>12497</v>
      </c>
      <c r="E14773">
        <v>19.38</v>
      </c>
      <c r="F14773">
        <v>0</v>
      </c>
      <c r="G14773" t="s">
        <v>12</v>
      </c>
      <c r="I14773" t="s">
        <v>1428</v>
      </c>
    </row>
    <row r="14774" spans="1:9" hidden="1" x14ac:dyDescent="0.25">
      <c r="A14774" t="s">
        <v>12469</v>
      </c>
      <c r="B14774" t="s">
        <v>12498</v>
      </c>
      <c r="C14774" s="2">
        <f>HYPERLINK("https://cao.dolgi.msk.ru/account/1080228957/", 1080228957)</f>
        <v>1080228957</v>
      </c>
      <c r="D14774" t="s">
        <v>12499</v>
      </c>
      <c r="E14774">
        <v>-3359.99</v>
      </c>
      <c r="F14774">
        <v>-0.66</v>
      </c>
      <c r="G14774" t="s">
        <v>12</v>
      </c>
      <c r="I14774" t="s">
        <v>1428</v>
      </c>
    </row>
    <row r="14775" spans="1:9" hidden="1" x14ac:dyDescent="0.25">
      <c r="A14775" t="s">
        <v>12469</v>
      </c>
      <c r="B14775" t="s">
        <v>12500</v>
      </c>
      <c r="C14775" s="2">
        <f>HYPERLINK("https://cao.dolgi.msk.ru/account/1080228965/", 1080228965)</f>
        <v>1080228965</v>
      </c>
      <c r="D14775" t="s">
        <v>12501</v>
      </c>
      <c r="E14775">
        <v>-9959.23</v>
      </c>
      <c r="F14775">
        <v>-1.8</v>
      </c>
      <c r="G14775" t="s">
        <v>12</v>
      </c>
      <c r="I14775" t="s">
        <v>1428</v>
      </c>
    </row>
    <row r="14776" spans="1:9" hidden="1" x14ac:dyDescent="0.25">
      <c r="A14776" t="s">
        <v>12469</v>
      </c>
      <c r="B14776" t="s">
        <v>12502</v>
      </c>
      <c r="C14776" s="2">
        <f>HYPERLINK("https://cao.dolgi.msk.ru/account/1080228973/", 1080228973)</f>
        <v>1080228973</v>
      </c>
      <c r="D14776" t="s">
        <v>12503</v>
      </c>
      <c r="E14776">
        <v>-7014.59</v>
      </c>
      <c r="F14776">
        <v>-0.83</v>
      </c>
      <c r="G14776" t="s">
        <v>12</v>
      </c>
      <c r="I14776" t="s">
        <v>1428</v>
      </c>
    </row>
    <row r="14777" spans="1:9" hidden="1" x14ac:dyDescent="0.25">
      <c r="A14777" t="s">
        <v>12469</v>
      </c>
      <c r="B14777" t="s">
        <v>12504</v>
      </c>
      <c r="C14777" s="2">
        <f>HYPERLINK("https://cao.dolgi.msk.ru/account/1080228981/", 1080228981)</f>
        <v>1080228981</v>
      </c>
      <c r="D14777" t="s">
        <v>12505</v>
      </c>
      <c r="E14777">
        <v>-6900.45</v>
      </c>
      <c r="F14777">
        <v>-1.0900000000000001</v>
      </c>
      <c r="G14777" t="s">
        <v>12</v>
      </c>
      <c r="I14777" t="s">
        <v>1428</v>
      </c>
    </row>
    <row r="14778" spans="1:9" hidden="1" x14ac:dyDescent="0.25">
      <c r="A14778" t="s">
        <v>12469</v>
      </c>
      <c r="B14778" t="s">
        <v>12506</v>
      </c>
      <c r="C14778" s="2">
        <f>HYPERLINK("https://cao.dolgi.msk.ru/account/1080229001/", 1080229001)</f>
        <v>1080229001</v>
      </c>
      <c r="D14778" t="s">
        <v>12507</v>
      </c>
      <c r="E14778">
        <v>0</v>
      </c>
      <c r="F14778">
        <v>0</v>
      </c>
      <c r="G14778" t="s">
        <v>12</v>
      </c>
      <c r="I14778" t="s">
        <v>1428</v>
      </c>
    </row>
    <row r="14779" spans="1:9" x14ac:dyDescent="0.25">
      <c r="A14779" t="s">
        <v>12469</v>
      </c>
      <c r="B14779" t="s">
        <v>12508</v>
      </c>
      <c r="C14779" s="2">
        <f>HYPERLINK("https://cao.dolgi.msk.ru/account/1080229028/", 1080229028)</f>
        <v>1080229028</v>
      </c>
      <c r="D14779" t="s">
        <v>12509</v>
      </c>
      <c r="E14779">
        <v>10609.19</v>
      </c>
      <c r="F14779">
        <v>2.99</v>
      </c>
      <c r="G14779" t="s">
        <v>12</v>
      </c>
      <c r="I14779" t="s">
        <v>1428</v>
      </c>
    </row>
    <row r="14780" spans="1:9" hidden="1" x14ac:dyDescent="0.25">
      <c r="A14780" t="s">
        <v>12469</v>
      </c>
      <c r="B14780" t="s">
        <v>12510</v>
      </c>
      <c r="C14780" s="2">
        <f>HYPERLINK("https://cao.dolgi.msk.ru/account/1080229036/", 1080229036)</f>
        <v>1080229036</v>
      </c>
      <c r="D14780" t="s">
        <v>12511</v>
      </c>
      <c r="E14780">
        <v>-24838.04</v>
      </c>
      <c r="F14780">
        <v>-2.79</v>
      </c>
      <c r="G14780" t="s">
        <v>12</v>
      </c>
      <c r="I14780" t="s">
        <v>1428</v>
      </c>
    </row>
    <row r="14781" spans="1:9" hidden="1" x14ac:dyDescent="0.25">
      <c r="A14781" t="s">
        <v>12469</v>
      </c>
      <c r="B14781" t="s">
        <v>12510</v>
      </c>
      <c r="C14781" s="2">
        <f>HYPERLINK("https://cao.dolgi.msk.ru/account/1080229044/", 1080229044)</f>
        <v>1080229044</v>
      </c>
      <c r="D14781" t="s">
        <v>12511</v>
      </c>
      <c r="E14781">
        <v>0</v>
      </c>
      <c r="G14781" t="s">
        <v>14</v>
      </c>
      <c r="I14781" t="s">
        <v>1428</v>
      </c>
    </row>
    <row r="14782" spans="1:9" hidden="1" x14ac:dyDescent="0.25">
      <c r="A14782" t="s">
        <v>12469</v>
      </c>
      <c r="B14782" t="s">
        <v>12512</v>
      </c>
      <c r="C14782" s="2">
        <f>HYPERLINK("https://cao.dolgi.msk.ru/account/1080229052/", 1080229052)</f>
        <v>1080229052</v>
      </c>
      <c r="D14782" t="s">
        <v>12513</v>
      </c>
      <c r="E14782">
        <v>-1085.5</v>
      </c>
      <c r="F14782">
        <v>-0.17</v>
      </c>
      <c r="G14782" t="s">
        <v>12</v>
      </c>
      <c r="I14782" t="s">
        <v>1428</v>
      </c>
    </row>
    <row r="14783" spans="1:9" hidden="1" x14ac:dyDescent="0.25">
      <c r="A14783" t="s">
        <v>12469</v>
      </c>
      <c r="B14783" t="s">
        <v>12514</v>
      </c>
      <c r="C14783" s="2">
        <f>HYPERLINK("https://cao.dolgi.msk.ru/account/1080229079/", 1080229079)</f>
        <v>1080229079</v>
      </c>
      <c r="D14783" t="s">
        <v>12515</v>
      </c>
      <c r="E14783">
        <v>-963.68</v>
      </c>
      <c r="F14783">
        <v>-0.16</v>
      </c>
      <c r="G14783" t="s">
        <v>12</v>
      </c>
      <c r="I14783" t="s">
        <v>1428</v>
      </c>
    </row>
    <row r="14784" spans="1:9" hidden="1" x14ac:dyDescent="0.25">
      <c r="A14784" t="s">
        <v>12469</v>
      </c>
      <c r="B14784" t="s">
        <v>12516</v>
      </c>
      <c r="C14784" s="2">
        <f>HYPERLINK("https://cao.dolgi.msk.ru/account/1080229087/", 1080229087)</f>
        <v>1080229087</v>
      </c>
      <c r="D14784" t="s">
        <v>12517</v>
      </c>
      <c r="E14784">
        <v>-361.33</v>
      </c>
      <c r="F14784">
        <v>-0.18</v>
      </c>
      <c r="G14784" t="s">
        <v>12</v>
      </c>
      <c r="H14784" t="s">
        <v>7</v>
      </c>
      <c r="I14784" t="s">
        <v>1428</v>
      </c>
    </row>
    <row r="14785" spans="1:9" hidden="1" x14ac:dyDescent="0.25">
      <c r="A14785" t="s">
        <v>12469</v>
      </c>
      <c r="B14785" t="s">
        <v>12516</v>
      </c>
      <c r="C14785" s="2">
        <f>HYPERLINK("https://cao.dolgi.msk.ru/account/1080322716/", 1080322716)</f>
        <v>1080322716</v>
      </c>
      <c r="D14785" t="s">
        <v>12518</v>
      </c>
      <c r="E14785">
        <v>-273.06</v>
      </c>
      <c r="F14785">
        <v>-7.0000000000000007E-2</v>
      </c>
      <c r="G14785" t="s">
        <v>12</v>
      </c>
      <c r="H14785" t="s">
        <v>7</v>
      </c>
      <c r="I14785" t="s">
        <v>1428</v>
      </c>
    </row>
    <row r="14786" spans="1:9" hidden="1" x14ac:dyDescent="0.25">
      <c r="A14786" t="s">
        <v>12469</v>
      </c>
      <c r="B14786" t="s">
        <v>12516</v>
      </c>
      <c r="C14786" s="2">
        <f>HYPERLINK("https://cao.dolgi.msk.ru/account/1080324914/", 1080324914)</f>
        <v>1080324914</v>
      </c>
      <c r="D14786" t="s">
        <v>12518</v>
      </c>
      <c r="E14786">
        <v>-271.22000000000003</v>
      </c>
      <c r="F14786">
        <v>-0.13</v>
      </c>
      <c r="G14786" t="s">
        <v>12</v>
      </c>
      <c r="H14786" t="s">
        <v>7</v>
      </c>
      <c r="I14786" t="s">
        <v>1428</v>
      </c>
    </row>
    <row r="14787" spans="1:9" hidden="1" x14ac:dyDescent="0.25">
      <c r="A14787" t="s">
        <v>12469</v>
      </c>
      <c r="B14787" t="s">
        <v>12519</v>
      </c>
      <c r="C14787" s="2">
        <f>HYPERLINK("https://cao.dolgi.msk.ru/account/1080229095/", 1080229095)</f>
        <v>1080229095</v>
      </c>
      <c r="D14787" t="s">
        <v>15</v>
      </c>
      <c r="G14787" t="s">
        <v>14</v>
      </c>
      <c r="I14787" t="s">
        <v>1428</v>
      </c>
    </row>
    <row r="14788" spans="1:9" hidden="1" x14ac:dyDescent="0.25">
      <c r="A14788" t="s">
        <v>12469</v>
      </c>
      <c r="B14788" t="s">
        <v>12519</v>
      </c>
      <c r="C14788" s="2">
        <f>HYPERLINK("https://cao.dolgi.msk.ru/account/1080229108/", 1080229108)</f>
        <v>1080229108</v>
      </c>
      <c r="D14788" t="s">
        <v>15</v>
      </c>
      <c r="E14788">
        <v>-2122.6799999999998</v>
      </c>
      <c r="F14788">
        <v>-0.34</v>
      </c>
      <c r="G14788" t="s">
        <v>12</v>
      </c>
      <c r="I14788" t="s">
        <v>1428</v>
      </c>
    </row>
    <row r="14789" spans="1:9" hidden="1" x14ac:dyDescent="0.25">
      <c r="A14789" t="s">
        <v>12469</v>
      </c>
      <c r="B14789" t="s">
        <v>12519</v>
      </c>
      <c r="C14789" s="2">
        <f>HYPERLINK("https://cao.dolgi.msk.ru/account/1080229116/", 1080229116)</f>
        <v>1080229116</v>
      </c>
      <c r="D14789" t="s">
        <v>15</v>
      </c>
      <c r="E14789">
        <v>0</v>
      </c>
      <c r="G14789" t="s">
        <v>14</v>
      </c>
      <c r="I14789" t="s">
        <v>1428</v>
      </c>
    </row>
    <row r="14790" spans="1:9" hidden="1" x14ac:dyDescent="0.25">
      <c r="A14790" t="s">
        <v>12469</v>
      </c>
      <c r="B14790" t="s">
        <v>12519</v>
      </c>
      <c r="C14790" s="2">
        <f>HYPERLINK("https://cao.dolgi.msk.ru/account/1089118463/", 1089118463)</f>
        <v>1089118463</v>
      </c>
      <c r="D14790" t="s">
        <v>15</v>
      </c>
      <c r="E14790">
        <v>0</v>
      </c>
      <c r="G14790" t="s">
        <v>14</v>
      </c>
      <c r="I14790" t="s">
        <v>1428</v>
      </c>
    </row>
    <row r="14791" spans="1:9" hidden="1" x14ac:dyDescent="0.25">
      <c r="A14791" t="s">
        <v>12469</v>
      </c>
      <c r="B14791" t="s">
        <v>12519</v>
      </c>
      <c r="C14791" s="2">
        <f>HYPERLINK("https://cao.dolgi.msk.ru/account/1089118471/", 1089118471)</f>
        <v>1089118471</v>
      </c>
      <c r="D14791" t="s">
        <v>15</v>
      </c>
      <c r="E14791">
        <v>0</v>
      </c>
      <c r="G14791" t="s">
        <v>14</v>
      </c>
      <c r="I14791" t="s">
        <v>1428</v>
      </c>
    </row>
    <row r="14792" spans="1:9" hidden="1" x14ac:dyDescent="0.25">
      <c r="A14792" t="s">
        <v>12469</v>
      </c>
      <c r="B14792" t="s">
        <v>12520</v>
      </c>
      <c r="C14792" s="2">
        <f>HYPERLINK("https://cao.dolgi.msk.ru/account/1080229124/", 1080229124)</f>
        <v>1080229124</v>
      </c>
      <c r="D14792" t="s">
        <v>12521</v>
      </c>
      <c r="E14792">
        <v>11452.2</v>
      </c>
      <c r="F14792">
        <v>1</v>
      </c>
      <c r="G14792" t="s">
        <v>12</v>
      </c>
      <c r="I14792" t="s">
        <v>1428</v>
      </c>
    </row>
    <row r="14793" spans="1:9" hidden="1" x14ac:dyDescent="0.25">
      <c r="A14793" t="s">
        <v>12469</v>
      </c>
      <c r="B14793" t="s">
        <v>12522</v>
      </c>
      <c r="C14793" s="2">
        <f>HYPERLINK("https://cao.dolgi.msk.ru/account/1080229132/", 1080229132)</f>
        <v>1080229132</v>
      </c>
      <c r="D14793" t="s">
        <v>12523</v>
      </c>
      <c r="E14793">
        <v>0</v>
      </c>
      <c r="F14793">
        <v>0</v>
      </c>
      <c r="G14793" t="s">
        <v>12</v>
      </c>
      <c r="I14793" t="s">
        <v>1428</v>
      </c>
    </row>
    <row r="14794" spans="1:9" hidden="1" x14ac:dyDescent="0.25">
      <c r="A14794" t="s">
        <v>12469</v>
      </c>
      <c r="B14794" t="s">
        <v>12522</v>
      </c>
      <c r="C14794" s="2">
        <f>HYPERLINK("https://cao.dolgi.msk.ru/account/1080229159/", 1080229159)</f>
        <v>1080229159</v>
      </c>
      <c r="D14794" t="s">
        <v>12523</v>
      </c>
      <c r="E14794">
        <v>0</v>
      </c>
      <c r="G14794" t="s">
        <v>14</v>
      </c>
      <c r="I14794" t="s">
        <v>1428</v>
      </c>
    </row>
    <row r="14795" spans="1:9" hidden="1" x14ac:dyDescent="0.25">
      <c r="A14795" t="s">
        <v>12469</v>
      </c>
      <c r="B14795" t="s">
        <v>12522</v>
      </c>
      <c r="C14795" s="2">
        <f>HYPERLINK("https://cao.dolgi.msk.ru/account/1089131502/", 1089131502)</f>
        <v>1089131502</v>
      </c>
      <c r="D14795" t="s">
        <v>15</v>
      </c>
      <c r="E14795">
        <v>0</v>
      </c>
      <c r="G14795" t="s">
        <v>14</v>
      </c>
      <c r="I14795" t="s">
        <v>1428</v>
      </c>
    </row>
    <row r="14796" spans="1:9" hidden="1" x14ac:dyDescent="0.25">
      <c r="A14796" t="s">
        <v>12469</v>
      </c>
      <c r="B14796" t="s">
        <v>12524</v>
      </c>
      <c r="C14796" s="2">
        <f>HYPERLINK("https://cao.dolgi.msk.ru/account/1080229167/", 1080229167)</f>
        <v>1080229167</v>
      </c>
      <c r="D14796" t="s">
        <v>12525</v>
      </c>
      <c r="E14796">
        <v>-8525.06</v>
      </c>
      <c r="F14796">
        <v>-1.03</v>
      </c>
      <c r="G14796" t="s">
        <v>12</v>
      </c>
      <c r="I14796" t="s">
        <v>1428</v>
      </c>
    </row>
    <row r="14797" spans="1:9" hidden="1" x14ac:dyDescent="0.25">
      <c r="A14797" t="s">
        <v>12469</v>
      </c>
      <c r="B14797" t="s">
        <v>12524</v>
      </c>
      <c r="C14797" s="2">
        <f>HYPERLINK("https://cao.dolgi.msk.ru/account/1080229175/", 1080229175)</f>
        <v>1080229175</v>
      </c>
      <c r="D14797" t="s">
        <v>12525</v>
      </c>
      <c r="G14797" t="s">
        <v>14</v>
      </c>
      <c r="I14797" t="s">
        <v>1428</v>
      </c>
    </row>
    <row r="14798" spans="1:9" hidden="1" x14ac:dyDescent="0.25">
      <c r="A14798" t="s">
        <v>12469</v>
      </c>
      <c r="B14798" t="s">
        <v>12524</v>
      </c>
      <c r="C14798" s="2">
        <f>HYPERLINK("https://cao.dolgi.msk.ru/account/1080229183/", 1080229183)</f>
        <v>1080229183</v>
      </c>
      <c r="D14798" t="s">
        <v>12525</v>
      </c>
      <c r="E14798">
        <v>0</v>
      </c>
      <c r="G14798" t="s">
        <v>14</v>
      </c>
      <c r="I14798" t="s">
        <v>1428</v>
      </c>
    </row>
    <row r="14799" spans="1:9" x14ac:dyDescent="0.25">
      <c r="A14799" t="s">
        <v>12469</v>
      </c>
      <c r="B14799" t="s">
        <v>12526</v>
      </c>
      <c r="C14799" s="2">
        <f>HYPERLINK("https://cao.dolgi.msk.ru/account/1080229191/", 1080229191)</f>
        <v>1080229191</v>
      </c>
      <c r="D14799" t="s">
        <v>12527</v>
      </c>
      <c r="E14799">
        <v>27587.1</v>
      </c>
      <c r="F14799">
        <v>5.08</v>
      </c>
      <c r="G14799" t="s">
        <v>12</v>
      </c>
      <c r="I14799" t="s">
        <v>1428</v>
      </c>
    </row>
    <row r="14800" spans="1:9" hidden="1" x14ac:dyDescent="0.25">
      <c r="A14800" t="s">
        <v>12469</v>
      </c>
      <c r="B14800" t="s">
        <v>12528</v>
      </c>
      <c r="C14800" s="2">
        <f>HYPERLINK("https://cao.dolgi.msk.ru/account/1080229204/", 1080229204)</f>
        <v>1080229204</v>
      </c>
      <c r="D14800" t="s">
        <v>12529</v>
      </c>
      <c r="E14800">
        <v>-5631.91</v>
      </c>
      <c r="F14800">
        <v>-1.01</v>
      </c>
      <c r="G14800" t="s">
        <v>12</v>
      </c>
      <c r="I14800" t="s">
        <v>1428</v>
      </c>
    </row>
    <row r="14801" spans="1:9" hidden="1" x14ac:dyDescent="0.25">
      <c r="A14801" t="s">
        <v>12469</v>
      </c>
      <c r="B14801" t="s">
        <v>12530</v>
      </c>
      <c r="C14801" s="2">
        <f>HYPERLINK("https://cao.dolgi.msk.ru/account/1080229212/", 1080229212)</f>
        <v>1080229212</v>
      </c>
      <c r="D14801" t="s">
        <v>12531</v>
      </c>
      <c r="E14801">
        <v>-6436.23</v>
      </c>
      <c r="F14801">
        <v>-1.1299999999999999</v>
      </c>
      <c r="G14801" t="s">
        <v>12</v>
      </c>
      <c r="I14801" t="s">
        <v>1428</v>
      </c>
    </row>
    <row r="14802" spans="1:9" x14ac:dyDescent="0.25">
      <c r="A14802" t="s">
        <v>12469</v>
      </c>
      <c r="B14802" t="s">
        <v>12532</v>
      </c>
      <c r="C14802" s="2">
        <f>HYPERLINK("https://cao.dolgi.msk.ru/account/1080229239/", 1080229239)</f>
        <v>1080229239</v>
      </c>
      <c r="D14802" t="s">
        <v>12533</v>
      </c>
      <c r="E14802">
        <v>31094.02</v>
      </c>
      <c r="F14802">
        <v>12.52</v>
      </c>
      <c r="G14802" t="s">
        <v>12</v>
      </c>
      <c r="H14802" t="s">
        <v>7</v>
      </c>
      <c r="I14802" t="s">
        <v>1428</v>
      </c>
    </row>
    <row r="14803" spans="1:9" x14ac:dyDescent="0.25">
      <c r="A14803" t="s">
        <v>12469</v>
      </c>
      <c r="B14803" t="s">
        <v>12532</v>
      </c>
      <c r="C14803" s="2">
        <f>HYPERLINK("https://cao.dolgi.msk.ru/account/1080229247/", 1080229247)</f>
        <v>1080229247</v>
      </c>
      <c r="D14803" t="s">
        <v>12533</v>
      </c>
      <c r="E14803">
        <v>158781.29999999999</v>
      </c>
      <c r="F14803">
        <v>57.78</v>
      </c>
      <c r="G14803" t="s">
        <v>12</v>
      </c>
      <c r="H14803" t="s">
        <v>7</v>
      </c>
      <c r="I14803" t="s">
        <v>1428</v>
      </c>
    </row>
    <row r="14804" spans="1:9" x14ac:dyDescent="0.25">
      <c r="A14804" t="s">
        <v>12469</v>
      </c>
      <c r="B14804" t="s">
        <v>12532</v>
      </c>
      <c r="C14804" s="2">
        <f>HYPERLINK("https://cao.dolgi.msk.ru/account/1080229255/", 1080229255)</f>
        <v>1080229255</v>
      </c>
      <c r="D14804" t="s">
        <v>15</v>
      </c>
      <c r="E14804">
        <v>20834.14</v>
      </c>
      <c r="F14804">
        <v>13.81</v>
      </c>
      <c r="G14804" t="s">
        <v>12</v>
      </c>
      <c r="H14804" t="s">
        <v>7</v>
      </c>
      <c r="I14804" t="s">
        <v>1428</v>
      </c>
    </row>
    <row r="14805" spans="1:9" hidden="1" x14ac:dyDescent="0.25">
      <c r="A14805" t="s">
        <v>12469</v>
      </c>
      <c r="B14805" t="s">
        <v>12534</v>
      </c>
      <c r="C14805" s="2">
        <f>HYPERLINK("https://cao.dolgi.msk.ru/account/1080229263/", 1080229263)</f>
        <v>1080229263</v>
      </c>
      <c r="D14805" t="s">
        <v>12535</v>
      </c>
      <c r="E14805">
        <v>-8122.59</v>
      </c>
      <c r="F14805">
        <v>-1.1599999999999999</v>
      </c>
      <c r="G14805" t="s">
        <v>12</v>
      </c>
      <c r="I14805" t="s">
        <v>1428</v>
      </c>
    </row>
    <row r="14806" spans="1:9" x14ac:dyDescent="0.25">
      <c r="A14806" t="s">
        <v>12469</v>
      </c>
      <c r="B14806" t="s">
        <v>12536</v>
      </c>
      <c r="C14806" s="2">
        <f>HYPERLINK("https://cao.dolgi.msk.ru/account/1080229271/", 1080229271)</f>
        <v>1080229271</v>
      </c>
      <c r="D14806" t="s">
        <v>12537</v>
      </c>
      <c r="E14806">
        <v>72853.899999999994</v>
      </c>
      <c r="F14806">
        <v>9.33</v>
      </c>
      <c r="G14806" t="s">
        <v>12</v>
      </c>
      <c r="I14806" t="s">
        <v>1428</v>
      </c>
    </row>
    <row r="14807" spans="1:9" x14ac:dyDescent="0.25">
      <c r="A14807" t="s">
        <v>12469</v>
      </c>
      <c r="B14807" t="s">
        <v>12538</v>
      </c>
      <c r="C14807" s="2">
        <f>HYPERLINK("https://cao.dolgi.msk.ru/account/1080229298/", 1080229298)</f>
        <v>1080229298</v>
      </c>
      <c r="D14807" t="s">
        <v>12539</v>
      </c>
      <c r="E14807">
        <v>61430.16</v>
      </c>
      <c r="F14807">
        <v>20.309999999999999</v>
      </c>
      <c r="G14807" t="s">
        <v>12</v>
      </c>
      <c r="I14807" t="s">
        <v>1428</v>
      </c>
    </row>
    <row r="14808" spans="1:9" hidden="1" x14ac:dyDescent="0.25">
      <c r="A14808" t="s">
        <v>12469</v>
      </c>
      <c r="B14808" t="s">
        <v>12540</v>
      </c>
      <c r="C14808" s="2">
        <f>HYPERLINK("https://cao.dolgi.msk.ru/account/1080229319/", 1080229319)</f>
        <v>1080229319</v>
      </c>
      <c r="D14808" t="s">
        <v>12541</v>
      </c>
      <c r="E14808">
        <v>0</v>
      </c>
      <c r="G14808" t="s">
        <v>14</v>
      </c>
      <c r="I14808" t="s">
        <v>1428</v>
      </c>
    </row>
    <row r="14809" spans="1:9" hidden="1" x14ac:dyDescent="0.25">
      <c r="A14809" t="s">
        <v>12469</v>
      </c>
      <c r="B14809" t="s">
        <v>12542</v>
      </c>
      <c r="C14809" s="2">
        <f>HYPERLINK("https://cao.dolgi.msk.ru/account/1080229327/", 1080229327)</f>
        <v>1080229327</v>
      </c>
      <c r="D14809" t="s">
        <v>12543</v>
      </c>
      <c r="E14809">
        <v>-6698.09</v>
      </c>
      <c r="F14809">
        <v>-1.38</v>
      </c>
      <c r="G14809" t="s">
        <v>12</v>
      </c>
      <c r="I14809" t="s">
        <v>1428</v>
      </c>
    </row>
    <row r="14810" spans="1:9" hidden="1" x14ac:dyDescent="0.25">
      <c r="A14810" t="s">
        <v>12469</v>
      </c>
      <c r="B14810" t="s">
        <v>12544</v>
      </c>
      <c r="C14810" s="2">
        <f>HYPERLINK("https://cao.dolgi.msk.ru/account/1080229335/", 1080229335)</f>
        <v>1080229335</v>
      </c>
      <c r="D14810" t="s">
        <v>15</v>
      </c>
      <c r="G14810" t="s">
        <v>14</v>
      </c>
      <c r="I14810" t="s">
        <v>1428</v>
      </c>
    </row>
    <row r="14811" spans="1:9" x14ac:dyDescent="0.25">
      <c r="A14811" t="s">
        <v>12469</v>
      </c>
      <c r="B14811" t="s">
        <v>12544</v>
      </c>
      <c r="C14811" s="2">
        <f>HYPERLINK("https://cao.dolgi.msk.ru/account/1080229343/", 1080229343)</f>
        <v>1080229343</v>
      </c>
      <c r="D14811" t="s">
        <v>12545</v>
      </c>
      <c r="E14811">
        <v>13554.37</v>
      </c>
      <c r="F14811">
        <v>1.49</v>
      </c>
      <c r="G14811" t="s">
        <v>12</v>
      </c>
      <c r="I14811" t="s">
        <v>1428</v>
      </c>
    </row>
    <row r="14812" spans="1:9" hidden="1" x14ac:dyDescent="0.25">
      <c r="A14812" t="s">
        <v>12469</v>
      </c>
      <c r="B14812" t="s">
        <v>12546</v>
      </c>
      <c r="C14812" s="2">
        <f>HYPERLINK("https://cao.dolgi.msk.ru/account/1080229351/", 1080229351)</f>
        <v>1080229351</v>
      </c>
      <c r="D14812" t="s">
        <v>12547</v>
      </c>
      <c r="E14812">
        <v>-7546.59</v>
      </c>
      <c r="F14812">
        <v>-1.02</v>
      </c>
      <c r="G14812" t="s">
        <v>12</v>
      </c>
      <c r="I14812" t="s">
        <v>1428</v>
      </c>
    </row>
    <row r="14813" spans="1:9" hidden="1" x14ac:dyDescent="0.25">
      <c r="A14813" t="s">
        <v>12469</v>
      </c>
      <c r="B14813" t="s">
        <v>12548</v>
      </c>
      <c r="C14813" s="2">
        <f>HYPERLINK("https://cao.dolgi.msk.ru/account/1080229378/", 1080229378)</f>
        <v>1080229378</v>
      </c>
      <c r="D14813" t="s">
        <v>12549</v>
      </c>
      <c r="E14813">
        <v>-7090.44</v>
      </c>
      <c r="F14813">
        <v>-0.92</v>
      </c>
      <c r="G14813" t="s">
        <v>12</v>
      </c>
      <c r="I14813" t="s">
        <v>1428</v>
      </c>
    </row>
    <row r="14814" spans="1:9" x14ac:dyDescent="0.25">
      <c r="A14814" t="s">
        <v>12469</v>
      </c>
      <c r="B14814" t="s">
        <v>12550</v>
      </c>
      <c r="C14814" s="2">
        <f>HYPERLINK("https://cao.dolgi.msk.ru/account/1080229394/", 1080229394)</f>
        <v>1080229394</v>
      </c>
      <c r="D14814" t="s">
        <v>12551</v>
      </c>
      <c r="E14814">
        <v>49352.88</v>
      </c>
      <c r="F14814">
        <v>8.82</v>
      </c>
      <c r="G14814" t="s">
        <v>12</v>
      </c>
      <c r="I14814" t="s">
        <v>1428</v>
      </c>
    </row>
    <row r="14815" spans="1:9" hidden="1" x14ac:dyDescent="0.25">
      <c r="A14815" t="s">
        <v>12469</v>
      </c>
      <c r="B14815" t="s">
        <v>12552</v>
      </c>
      <c r="C14815" s="2">
        <f>HYPERLINK("https://cao.dolgi.msk.ru/account/1080229407/", 1080229407)</f>
        <v>1080229407</v>
      </c>
      <c r="D14815" t="s">
        <v>12553</v>
      </c>
      <c r="E14815">
        <v>1948.17</v>
      </c>
      <c r="F14815">
        <v>0.36</v>
      </c>
      <c r="G14815" t="s">
        <v>12</v>
      </c>
      <c r="I14815" t="s">
        <v>1428</v>
      </c>
    </row>
    <row r="14816" spans="1:9" hidden="1" x14ac:dyDescent="0.25">
      <c r="A14816" t="s">
        <v>12469</v>
      </c>
      <c r="B14816" t="s">
        <v>12554</v>
      </c>
      <c r="C14816" s="2">
        <f>HYPERLINK("https://cao.dolgi.msk.ru/account/1080229415/", 1080229415)</f>
        <v>1080229415</v>
      </c>
      <c r="D14816" t="s">
        <v>12555</v>
      </c>
      <c r="E14816">
        <v>442.33</v>
      </c>
      <c r="F14816">
        <v>0.06</v>
      </c>
      <c r="G14816" t="s">
        <v>12</v>
      </c>
      <c r="I14816" t="s">
        <v>1428</v>
      </c>
    </row>
    <row r="14817" spans="1:9" hidden="1" x14ac:dyDescent="0.25">
      <c r="A14817" t="s">
        <v>12469</v>
      </c>
      <c r="B14817" t="s">
        <v>12556</v>
      </c>
      <c r="C14817" s="2">
        <f>HYPERLINK("https://cao.dolgi.msk.ru/account/1080229423/", 1080229423)</f>
        <v>1080229423</v>
      </c>
      <c r="D14817" t="s">
        <v>12557</v>
      </c>
      <c r="E14817">
        <v>0</v>
      </c>
      <c r="G14817" t="s">
        <v>14</v>
      </c>
      <c r="I14817" t="s">
        <v>1428</v>
      </c>
    </row>
    <row r="14818" spans="1:9" hidden="1" x14ac:dyDescent="0.25">
      <c r="A14818" t="s">
        <v>12469</v>
      </c>
      <c r="B14818" t="s">
        <v>12556</v>
      </c>
      <c r="C14818" s="2">
        <f>HYPERLINK("https://cao.dolgi.msk.ru/account/1080229431/", 1080229431)</f>
        <v>1080229431</v>
      </c>
      <c r="D14818" t="s">
        <v>12557</v>
      </c>
      <c r="E14818">
        <v>-6929.38</v>
      </c>
      <c r="F14818">
        <v>-1</v>
      </c>
      <c r="G14818" t="s">
        <v>12</v>
      </c>
      <c r="I14818" t="s">
        <v>1428</v>
      </c>
    </row>
    <row r="14819" spans="1:9" hidden="1" x14ac:dyDescent="0.25">
      <c r="A14819" t="s">
        <v>12469</v>
      </c>
      <c r="B14819" t="s">
        <v>12558</v>
      </c>
      <c r="C14819" s="2">
        <f>HYPERLINK("https://cao.dolgi.msk.ru/account/1080229458/", 1080229458)</f>
        <v>1080229458</v>
      </c>
      <c r="D14819" t="s">
        <v>12559</v>
      </c>
      <c r="E14819">
        <v>-4396.09</v>
      </c>
      <c r="F14819">
        <v>-0.59</v>
      </c>
      <c r="G14819" t="s">
        <v>12</v>
      </c>
      <c r="I14819" t="s">
        <v>1428</v>
      </c>
    </row>
    <row r="14820" spans="1:9" hidden="1" x14ac:dyDescent="0.25">
      <c r="A14820" t="s">
        <v>12469</v>
      </c>
      <c r="B14820" t="s">
        <v>12560</v>
      </c>
      <c r="C14820" s="2">
        <f>HYPERLINK("https://cao.dolgi.msk.ru/account/1080229466/", 1080229466)</f>
        <v>1080229466</v>
      </c>
      <c r="D14820" t="s">
        <v>12561</v>
      </c>
      <c r="E14820">
        <v>-5879.74</v>
      </c>
      <c r="F14820">
        <v>-1.05</v>
      </c>
      <c r="G14820" t="s">
        <v>12</v>
      </c>
      <c r="I14820" t="s">
        <v>1428</v>
      </c>
    </row>
    <row r="14821" spans="1:9" hidden="1" x14ac:dyDescent="0.25">
      <c r="A14821" t="s">
        <v>12469</v>
      </c>
      <c r="B14821" t="s">
        <v>12562</v>
      </c>
      <c r="C14821" s="2">
        <f>HYPERLINK("https://cao.dolgi.msk.ru/account/1080229474/", 1080229474)</f>
        <v>1080229474</v>
      </c>
      <c r="D14821" t="s">
        <v>12563</v>
      </c>
      <c r="E14821">
        <v>-404.65</v>
      </c>
      <c r="F14821">
        <v>-0.04</v>
      </c>
      <c r="G14821" t="s">
        <v>12</v>
      </c>
      <c r="I14821" t="s">
        <v>1428</v>
      </c>
    </row>
    <row r="14822" spans="1:9" hidden="1" x14ac:dyDescent="0.25">
      <c r="A14822" t="s">
        <v>12469</v>
      </c>
      <c r="B14822" t="s">
        <v>12564</v>
      </c>
      <c r="C14822" s="2">
        <f>HYPERLINK("https://cao.dolgi.msk.ru/account/1080229482/", 1080229482)</f>
        <v>1080229482</v>
      </c>
      <c r="D14822" t="s">
        <v>12565</v>
      </c>
      <c r="E14822">
        <v>-9530.18</v>
      </c>
      <c r="F14822">
        <v>-1.05</v>
      </c>
      <c r="G14822" t="s">
        <v>12</v>
      </c>
      <c r="I14822" t="s">
        <v>1428</v>
      </c>
    </row>
    <row r="14823" spans="1:9" hidden="1" x14ac:dyDescent="0.25">
      <c r="A14823" t="s">
        <v>12469</v>
      </c>
      <c r="B14823" t="s">
        <v>12566</v>
      </c>
      <c r="C14823" s="2">
        <f>HYPERLINK("https://cao.dolgi.msk.ru/account/1080229503/", 1080229503)</f>
        <v>1080229503</v>
      </c>
      <c r="D14823" t="s">
        <v>12567</v>
      </c>
      <c r="E14823">
        <v>-3141.63</v>
      </c>
      <c r="F14823">
        <v>-1.1399999999999999</v>
      </c>
      <c r="G14823" t="s">
        <v>12</v>
      </c>
      <c r="H14823" t="s">
        <v>7</v>
      </c>
      <c r="I14823" t="s">
        <v>1428</v>
      </c>
    </row>
    <row r="14824" spans="1:9" hidden="1" x14ac:dyDescent="0.25">
      <c r="A14824" t="s">
        <v>12469</v>
      </c>
      <c r="B14824" t="s">
        <v>12566</v>
      </c>
      <c r="C14824" s="2">
        <f>HYPERLINK("https://cao.dolgi.msk.ru/account/1080229511/", 1080229511)</f>
        <v>1080229511</v>
      </c>
      <c r="D14824" t="s">
        <v>12567</v>
      </c>
      <c r="E14824">
        <v>-1745.3</v>
      </c>
      <c r="F14824">
        <v>-0.66</v>
      </c>
      <c r="G14824" t="s">
        <v>12</v>
      </c>
      <c r="H14824" t="s">
        <v>7</v>
      </c>
      <c r="I14824" t="s">
        <v>1428</v>
      </c>
    </row>
    <row r="14825" spans="1:9" x14ac:dyDescent="0.25">
      <c r="A14825" t="s">
        <v>12469</v>
      </c>
      <c r="B14825" t="s">
        <v>12566</v>
      </c>
      <c r="C14825" s="2">
        <f>HYPERLINK("https://cao.dolgi.msk.ru/account/1089122921/", 1089122921)</f>
        <v>1089122921</v>
      </c>
      <c r="D14825" t="s">
        <v>12567</v>
      </c>
      <c r="E14825">
        <v>8440.24</v>
      </c>
      <c r="F14825">
        <v>3.71</v>
      </c>
      <c r="G14825" t="s">
        <v>12</v>
      </c>
      <c r="H14825" t="s">
        <v>7</v>
      </c>
      <c r="I14825" t="s">
        <v>1428</v>
      </c>
    </row>
    <row r="14826" spans="1:9" hidden="1" x14ac:dyDescent="0.25">
      <c r="A14826" t="s">
        <v>12469</v>
      </c>
      <c r="B14826" t="s">
        <v>12568</v>
      </c>
      <c r="C14826" s="2">
        <f>HYPERLINK("https://cao.dolgi.msk.ru/account/1080229538/", 1080229538)</f>
        <v>1080229538</v>
      </c>
      <c r="D14826" t="s">
        <v>12569</v>
      </c>
      <c r="E14826">
        <v>0</v>
      </c>
      <c r="F14826">
        <v>0</v>
      </c>
      <c r="G14826" t="s">
        <v>12</v>
      </c>
      <c r="I14826" t="s">
        <v>1428</v>
      </c>
    </row>
    <row r="14827" spans="1:9" hidden="1" x14ac:dyDescent="0.25">
      <c r="A14827" t="s">
        <v>12469</v>
      </c>
      <c r="B14827" t="s">
        <v>12570</v>
      </c>
      <c r="C14827" s="2">
        <f>HYPERLINK("https://cao.dolgi.msk.ru/account/1080229546/", 1080229546)</f>
        <v>1080229546</v>
      </c>
      <c r="D14827" t="s">
        <v>12571</v>
      </c>
      <c r="E14827">
        <v>-5927.07</v>
      </c>
      <c r="F14827">
        <v>-1.1599999999999999</v>
      </c>
      <c r="G14827" t="s">
        <v>12</v>
      </c>
      <c r="I14827" t="s">
        <v>1428</v>
      </c>
    </row>
    <row r="14828" spans="1:9" hidden="1" x14ac:dyDescent="0.25">
      <c r="A14828" t="s">
        <v>12469</v>
      </c>
      <c r="B14828" t="s">
        <v>12570</v>
      </c>
      <c r="C14828" s="2">
        <f>HYPERLINK("https://cao.dolgi.msk.ru/account/1089118383/", 1089118383)</f>
        <v>1089118383</v>
      </c>
      <c r="D14828" t="s">
        <v>15</v>
      </c>
      <c r="E14828">
        <v>-1512.18</v>
      </c>
      <c r="F14828">
        <v>-1.19</v>
      </c>
      <c r="G14828" t="s">
        <v>12</v>
      </c>
      <c r="I14828" t="s">
        <v>1428</v>
      </c>
    </row>
    <row r="14829" spans="1:9" hidden="1" x14ac:dyDescent="0.25">
      <c r="A14829" t="s">
        <v>12469</v>
      </c>
      <c r="B14829" t="s">
        <v>12570</v>
      </c>
      <c r="C14829" s="2">
        <f>HYPERLINK("https://cao.dolgi.msk.ru/account/1089123692/", 1089123692)</f>
        <v>1089123692</v>
      </c>
      <c r="D14829" t="s">
        <v>15</v>
      </c>
      <c r="E14829">
        <v>-3228.49</v>
      </c>
      <c r="F14829">
        <v>-1</v>
      </c>
      <c r="G14829" t="s">
        <v>12</v>
      </c>
      <c r="I14829" t="s">
        <v>1428</v>
      </c>
    </row>
    <row r="14830" spans="1:9" hidden="1" x14ac:dyDescent="0.25">
      <c r="A14830" t="s">
        <v>12469</v>
      </c>
      <c r="B14830" t="s">
        <v>12572</v>
      </c>
      <c r="C14830" s="2">
        <f>HYPERLINK("https://cao.dolgi.msk.ru/account/1080229554/", 1080229554)</f>
        <v>1080229554</v>
      </c>
      <c r="D14830" t="s">
        <v>12573</v>
      </c>
      <c r="E14830">
        <v>-8168.77</v>
      </c>
      <c r="F14830">
        <v>-1.1100000000000001</v>
      </c>
      <c r="G14830" t="s">
        <v>12</v>
      </c>
      <c r="I14830" t="s">
        <v>1428</v>
      </c>
    </row>
    <row r="14831" spans="1:9" hidden="1" x14ac:dyDescent="0.25">
      <c r="A14831" t="s">
        <v>12469</v>
      </c>
      <c r="B14831" t="s">
        <v>12574</v>
      </c>
      <c r="C14831" s="2">
        <f>HYPERLINK("https://cao.dolgi.msk.ru/account/1080229562/", 1080229562)</f>
        <v>1080229562</v>
      </c>
      <c r="D14831" t="s">
        <v>12575</v>
      </c>
      <c r="E14831">
        <v>-7103.69</v>
      </c>
      <c r="F14831">
        <v>-1.07</v>
      </c>
      <c r="G14831" t="s">
        <v>12</v>
      </c>
      <c r="I14831" t="s">
        <v>1428</v>
      </c>
    </row>
    <row r="14832" spans="1:9" hidden="1" x14ac:dyDescent="0.25">
      <c r="A14832" t="s">
        <v>12469</v>
      </c>
      <c r="B14832" t="s">
        <v>12576</v>
      </c>
      <c r="C14832" s="2">
        <f>HYPERLINK("https://cao.dolgi.msk.ru/account/1080229589/", 1080229589)</f>
        <v>1080229589</v>
      </c>
      <c r="D14832" t="s">
        <v>12577</v>
      </c>
      <c r="E14832">
        <v>1741.18</v>
      </c>
      <c r="G14832" t="s">
        <v>14</v>
      </c>
      <c r="H14832" t="s">
        <v>7</v>
      </c>
      <c r="I14832" t="s">
        <v>1428</v>
      </c>
    </row>
    <row r="14833" spans="1:9" hidden="1" x14ac:dyDescent="0.25">
      <c r="A14833" t="s">
        <v>12469</v>
      </c>
      <c r="B14833" t="s">
        <v>12576</v>
      </c>
      <c r="C14833" s="2">
        <f>HYPERLINK("https://cao.dolgi.msk.ru/account/1080229597/", 1080229597)</f>
        <v>1080229597</v>
      </c>
      <c r="D14833" t="s">
        <v>12577</v>
      </c>
      <c r="E14833">
        <v>-1381.11</v>
      </c>
      <c r="F14833">
        <v>-0.92</v>
      </c>
      <c r="G14833" t="s">
        <v>12</v>
      </c>
      <c r="H14833" t="s">
        <v>7</v>
      </c>
      <c r="I14833" t="s">
        <v>1428</v>
      </c>
    </row>
    <row r="14834" spans="1:9" hidden="1" x14ac:dyDescent="0.25">
      <c r="A14834" t="s">
        <v>12469</v>
      </c>
      <c r="B14834" t="s">
        <v>12576</v>
      </c>
      <c r="C14834" s="2">
        <f>HYPERLINK("https://cao.dolgi.msk.ru/account/1080322644/", 1080322644)</f>
        <v>1080322644</v>
      </c>
      <c r="D14834" t="s">
        <v>12578</v>
      </c>
      <c r="E14834">
        <v>-3033.12</v>
      </c>
      <c r="F14834">
        <v>-0.93</v>
      </c>
      <c r="G14834" t="s">
        <v>12</v>
      </c>
      <c r="H14834" t="s">
        <v>7</v>
      </c>
      <c r="I14834" t="s">
        <v>1428</v>
      </c>
    </row>
    <row r="14835" spans="1:9" x14ac:dyDescent="0.25">
      <c r="A14835" t="s">
        <v>12469</v>
      </c>
      <c r="B14835" t="s">
        <v>12576</v>
      </c>
      <c r="C14835" s="2">
        <f>HYPERLINK("https://cao.dolgi.msk.ru/account/1083389211/", 1083389211)</f>
        <v>1083389211</v>
      </c>
      <c r="D14835" t="s">
        <v>15</v>
      </c>
      <c r="E14835">
        <v>54106.53</v>
      </c>
      <c r="F14835">
        <v>22.13</v>
      </c>
      <c r="G14835" t="s">
        <v>12</v>
      </c>
      <c r="H14835" t="s">
        <v>7</v>
      </c>
      <c r="I14835" t="s">
        <v>1428</v>
      </c>
    </row>
    <row r="14836" spans="1:9" hidden="1" x14ac:dyDescent="0.25">
      <c r="A14836" t="s">
        <v>12469</v>
      </c>
      <c r="B14836" t="s">
        <v>12579</v>
      </c>
      <c r="C14836" s="2">
        <f>HYPERLINK("https://cao.dolgi.msk.ru/account/1080229618/", 1080229618)</f>
        <v>1080229618</v>
      </c>
      <c r="D14836" t="s">
        <v>12580</v>
      </c>
      <c r="E14836">
        <v>-14422.84</v>
      </c>
      <c r="F14836">
        <v>-2.8</v>
      </c>
      <c r="G14836" t="s">
        <v>12</v>
      </c>
      <c r="I14836" t="s">
        <v>1428</v>
      </c>
    </row>
    <row r="14837" spans="1:9" hidden="1" x14ac:dyDescent="0.25">
      <c r="A14837" t="s">
        <v>12469</v>
      </c>
      <c r="B14837" t="s">
        <v>12579</v>
      </c>
      <c r="C14837" s="2">
        <f>HYPERLINK("https://cao.dolgi.msk.ru/account/1080229626/", 1080229626)</f>
        <v>1080229626</v>
      </c>
      <c r="D14837" t="s">
        <v>15</v>
      </c>
      <c r="G14837" t="s">
        <v>14</v>
      </c>
      <c r="I14837" t="s">
        <v>1428</v>
      </c>
    </row>
    <row r="14838" spans="1:9" hidden="1" x14ac:dyDescent="0.25">
      <c r="A14838" t="s">
        <v>12469</v>
      </c>
      <c r="B14838" t="s">
        <v>12581</v>
      </c>
      <c r="C14838" s="2">
        <f>HYPERLINK("https://cao.dolgi.msk.ru/account/1080229642/", 1080229642)</f>
        <v>1080229642</v>
      </c>
      <c r="D14838" t="s">
        <v>15</v>
      </c>
      <c r="G14838" t="s">
        <v>14</v>
      </c>
      <c r="I14838" t="s">
        <v>1428</v>
      </c>
    </row>
    <row r="14839" spans="1:9" hidden="1" x14ac:dyDescent="0.25">
      <c r="A14839" t="s">
        <v>12469</v>
      </c>
      <c r="B14839" t="s">
        <v>12582</v>
      </c>
      <c r="C14839" s="2">
        <f>HYPERLINK("https://cao.dolgi.msk.ru/account/1080229634/", 1080229634)</f>
        <v>1080229634</v>
      </c>
      <c r="D14839" t="s">
        <v>15</v>
      </c>
      <c r="G14839" t="s">
        <v>14</v>
      </c>
      <c r="I14839" t="s">
        <v>1428</v>
      </c>
    </row>
    <row r="14840" spans="1:9" hidden="1" x14ac:dyDescent="0.25">
      <c r="A14840" t="s">
        <v>12469</v>
      </c>
      <c r="B14840" t="s">
        <v>12583</v>
      </c>
      <c r="C14840" s="2">
        <f>HYPERLINK("https://cao.dolgi.msk.ru/account/1080229669/", 1080229669)</f>
        <v>1080229669</v>
      </c>
      <c r="D14840" t="s">
        <v>12584</v>
      </c>
      <c r="E14840">
        <v>-622.74</v>
      </c>
      <c r="F14840">
        <v>-0.09</v>
      </c>
      <c r="G14840" t="s">
        <v>12</v>
      </c>
      <c r="I14840" t="s">
        <v>1428</v>
      </c>
    </row>
    <row r="14841" spans="1:9" hidden="1" x14ac:dyDescent="0.25">
      <c r="A14841" t="s">
        <v>12469</v>
      </c>
      <c r="B14841" t="s">
        <v>12585</v>
      </c>
      <c r="C14841" s="2">
        <f>HYPERLINK("https://cao.dolgi.msk.ru/account/1080229677/", 1080229677)</f>
        <v>1080229677</v>
      </c>
      <c r="D14841" t="s">
        <v>12586</v>
      </c>
      <c r="E14841">
        <v>-4235.9399999999996</v>
      </c>
      <c r="F14841">
        <v>-1.08</v>
      </c>
      <c r="G14841" t="s">
        <v>12</v>
      </c>
      <c r="I14841" t="s">
        <v>1428</v>
      </c>
    </row>
    <row r="14842" spans="1:9" hidden="1" x14ac:dyDescent="0.25">
      <c r="A14842" t="s">
        <v>12469</v>
      </c>
      <c r="B14842" t="s">
        <v>12587</v>
      </c>
      <c r="C14842" s="2">
        <f>HYPERLINK("https://cao.dolgi.msk.ru/account/1080229685/", 1080229685)</f>
        <v>1080229685</v>
      </c>
      <c r="D14842" t="s">
        <v>12588</v>
      </c>
      <c r="E14842">
        <v>-5029.2299999999996</v>
      </c>
      <c r="F14842">
        <v>-1.05</v>
      </c>
      <c r="G14842" t="s">
        <v>12</v>
      </c>
      <c r="I14842" t="s">
        <v>1428</v>
      </c>
    </row>
    <row r="14843" spans="1:9" hidden="1" x14ac:dyDescent="0.25">
      <c r="A14843" t="s">
        <v>12469</v>
      </c>
      <c r="B14843" t="s">
        <v>12587</v>
      </c>
      <c r="C14843" s="2">
        <f>HYPERLINK("https://cao.dolgi.msk.ru/account/1083273251/", 1083273251)</f>
        <v>1083273251</v>
      </c>
      <c r="D14843" t="s">
        <v>12588</v>
      </c>
      <c r="E14843">
        <v>1017</v>
      </c>
      <c r="G14843" t="s">
        <v>14</v>
      </c>
      <c r="I14843" t="s">
        <v>1428</v>
      </c>
    </row>
    <row r="14844" spans="1:9" hidden="1" x14ac:dyDescent="0.25">
      <c r="A14844" t="s">
        <v>12469</v>
      </c>
      <c r="B14844" t="s">
        <v>12589</v>
      </c>
      <c r="C14844" s="2">
        <f>HYPERLINK("https://cao.dolgi.msk.ru/account/1080229693/", 1080229693)</f>
        <v>1080229693</v>
      </c>
      <c r="D14844" t="s">
        <v>12590</v>
      </c>
      <c r="E14844">
        <v>-963.29</v>
      </c>
      <c r="F14844">
        <v>-0.28999999999999998</v>
      </c>
      <c r="G14844" t="s">
        <v>12</v>
      </c>
      <c r="H14844" t="s">
        <v>7</v>
      </c>
      <c r="I14844" t="s">
        <v>1428</v>
      </c>
    </row>
    <row r="14845" spans="1:9" hidden="1" x14ac:dyDescent="0.25">
      <c r="A14845" t="s">
        <v>12469</v>
      </c>
      <c r="B14845" t="s">
        <v>12589</v>
      </c>
      <c r="C14845" s="2">
        <f>HYPERLINK("https://cao.dolgi.msk.ru/account/1080229706/", 1080229706)</f>
        <v>1080229706</v>
      </c>
      <c r="D14845" t="s">
        <v>12591</v>
      </c>
      <c r="E14845">
        <v>-2832.72</v>
      </c>
      <c r="F14845">
        <v>-1.05</v>
      </c>
      <c r="G14845" t="s">
        <v>12</v>
      </c>
      <c r="H14845" t="s">
        <v>7</v>
      </c>
      <c r="I14845" t="s">
        <v>1428</v>
      </c>
    </row>
    <row r="14846" spans="1:9" hidden="1" x14ac:dyDescent="0.25">
      <c r="A14846" t="s">
        <v>12469</v>
      </c>
      <c r="B14846" t="s">
        <v>12592</v>
      </c>
      <c r="C14846" s="2">
        <f>HYPERLINK("https://cao.dolgi.msk.ru/account/1080229714/", 1080229714)</f>
        <v>1080229714</v>
      </c>
      <c r="D14846" t="s">
        <v>12593</v>
      </c>
      <c r="E14846">
        <v>-3962.64</v>
      </c>
      <c r="F14846">
        <v>-0.88</v>
      </c>
      <c r="G14846" t="s">
        <v>12</v>
      </c>
      <c r="I14846" t="s">
        <v>1428</v>
      </c>
    </row>
    <row r="14847" spans="1:9" hidden="1" x14ac:dyDescent="0.25">
      <c r="A14847" t="s">
        <v>12469</v>
      </c>
      <c r="B14847" t="s">
        <v>12594</v>
      </c>
      <c r="C14847" s="2">
        <f>HYPERLINK("https://cao.dolgi.msk.ru/account/1080229722/", 1080229722)</f>
        <v>1080229722</v>
      </c>
      <c r="D14847" t="s">
        <v>12595</v>
      </c>
      <c r="E14847">
        <v>-4630.79</v>
      </c>
      <c r="F14847">
        <v>-1.06</v>
      </c>
      <c r="G14847" t="s">
        <v>12</v>
      </c>
      <c r="I14847" t="s">
        <v>1428</v>
      </c>
    </row>
    <row r="14848" spans="1:9" hidden="1" x14ac:dyDescent="0.25">
      <c r="A14848" t="s">
        <v>12469</v>
      </c>
      <c r="B14848" t="s">
        <v>12596</v>
      </c>
      <c r="C14848" s="2">
        <f>HYPERLINK("https://cao.dolgi.msk.ru/account/1080229749/", 1080229749)</f>
        <v>1080229749</v>
      </c>
      <c r="D14848" t="s">
        <v>1887</v>
      </c>
      <c r="E14848">
        <v>-5986.04</v>
      </c>
      <c r="F14848">
        <v>-0.93</v>
      </c>
      <c r="G14848" t="s">
        <v>12</v>
      </c>
      <c r="I14848" t="s">
        <v>1428</v>
      </c>
    </row>
    <row r="14849" spans="1:9" hidden="1" x14ac:dyDescent="0.25">
      <c r="A14849" t="s">
        <v>12469</v>
      </c>
      <c r="B14849" t="s">
        <v>12597</v>
      </c>
      <c r="C14849" s="2">
        <f>HYPERLINK("https://cao.dolgi.msk.ru/account/1080229757/", 1080229757)</f>
        <v>1080229757</v>
      </c>
      <c r="D14849" t="s">
        <v>12598</v>
      </c>
      <c r="E14849">
        <v>-3926.07</v>
      </c>
      <c r="F14849">
        <v>-1.04</v>
      </c>
      <c r="G14849" t="s">
        <v>12</v>
      </c>
      <c r="I14849" t="s">
        <v>1428</v>
      </c>
    </row>
    <row r="14850" spans="1:9" hidden="1" x14ac:dyDescent="0.25">
      <c r="A14850" t="s">
        <v>12469</v>
      </c>
      <c r="B14850" t="s">
        <v>12599</v>
      </c>
      <c r="C14850" s="2">
        <f>HYPERLINK("https://cao.dolgi.msk.ru/account/1080229765/", 1080229765)</f>
        <v>1080229765</v>
      </c>
      <c r="D14850" t="s">
        <v>12600</v>
      </c>
      <c r="E14850">
        <v>-4783.8</v>
      </c>
      <c r="F14850">
        <v>-0.96</v>
      </c>
      <c r="G14850" t="s">
        <v>12</v>
      </c>
      <c r="I14850" t="s">
        <v>1428</v>
      </c>
    </row>
    <row r="14851" spans="1:9" hidden="1" x14ac:dyDescent="0.25">
      <c r="A14851" t="s">
        <v>12469</v>
      </c>
      <c r="B14851" t="s">
        <v>12601</v>
      </c>
      <c r="C14851" s="2">
        <f>HYPERLINK("https://cao.dolgi.msk.ru/account/1080229773/", 1080229773)</f>
        <v>1080229773</v>
      </c>
      <c r="D14851" t="s">
        <v>12602</v>
      </c>
      <c r="E14851">
        <v>-983.03</v>
      </c>
      <c r="F14851">
        <v>-0.4</v>
      </c>
      <c r="G14851" t="s">
        <v>12</v>
      </c>
      <c r="I14851" t="s">
        <v>1428</v>
      </c>
    </row>
    <row r="14852" spans="1:9" hidden="1" x14ac:dyDescent="0.25">
      <c r="A14852" t="s">
        <v>12469</v>
      </c>
      <c r="B14852" t="s">
        <v>12603</v>
      </c>
      <c r="C14852" s="2">
        <f>HYPERLINK("https://cao.dolgi.msk.ru/account/1080229781/", 1080229781)</f>
        <v>1080229781</v>
      </c>
      <c r="D14852" t="s">
        <v>12604</v>
      </c>
      <c r="E14852">
        <v>-1649.25</v>
      </c>
      <c r="F14852">
        <v>-0.44</v>
      </c>
      <c r="G14852" t="s">
        <v>12</v>
      </c>
      <c r="I14852" t="s">
        <v>1428</v>
      </c>
    </row>
    <row r="14853" spans="1:9" hidden="1" x14ac:dyDescent="0.25">
      <c r="A14853" t="s">
        <v>12469</v>
      </c>
      <c r="B14853" t="s">
        <v>12605</v>
      </c>
      <c r="C14853" s="2">
        <f>HYPERLINK("https://cao.dolgi.msk.ru/account/1080229802/", 1080229802)</f>
        <v>1080229802</v>
      </c>
      <c r="D14853" t="s">
        <v>12606</v>
      </c>
      <c r="E14853">
        <v>0</v>
      </c>
      <c r="G14853" t="s">
        <v>14</v>
      </c>
      <c r="I14853" t="s">
        <v>1428</v>
      </c>
    </row>
    <row r="14854" spans="1:9" x14ac:dyDescent="0.25">
      <c r="A14854" t="s">
        <v>12469</v>
      </c>
      <c r="B14854" t="s">
        <v>12605</v>
      </c>
      <c r="C14854" s="2">
        <f>HYPERLINK("https://cao.dolgi.msk.ru/account/1083271299/", 1083271299)</f>
        <v>1083271299</v>
      </c>
      <c r="D14854" t="s">
        <v>12606</v>
      </c>
      <c r="E14854">
        <v>6286.84</v>
      </c>
      <c r="F14854">
        <v>1.2</v>
      </c>
      <c r="G14854" t="s">
        <v>12</v>
      </c>
      <c r="I14854" t="s">
        <v>1428</v>
      </c>
    </row>
    <row r="14855" spans="1:9" hidden="1" x14ac:dyDescent="0.25">
      <c r="A14855" t="s">
        <v>12607</v>
      </c>
      <c r="B14855" t="s">
        <v>10</v>
      </c>
      <c r="C14855" s="2">
        <f>HYPERLINK("https://cao.dolgi.msk.ru/account/1080277644/", 1080277644)</f>
        <v>1080277644</v>
      </c>
      <c r="D14855" t="s">
        <v>12608</v>
      </c>
      <c r="E14855">
        <v>73.2</v>
      </c>
      <c r="F14855">
        <v>0.03</v>
      </c>
      <c r="G14855" t="s">
        <v>12</v>
      </c>
      <c r="I14855" t="s">
        <v>1050</v>
      </c>
    </row>
    <row r="14856" spans="1:9" hidden="1" x14ac:dyDescent="0.25">
      <c r="A14856" t="s">
        <v>12607</v>
      </c>
      <c r="B14856" t="s">
        <v>16</v>
      </c>
      <c r="C14856" s="2">
        <f>HYPERLINK("https://cao.dolgi.msk.ru/account/1080277652/", 1080277652)</f>
        <v>1080277652</v>
      </c>
      <c r="D14856" t="s">
        <v>12609</v>
      </c>
      <c r="E14856">
        <v>-6.8</v>
      </c>
      <c r="F14856">
        <v>0</v>
      </c>
      <c r="G14856" t="s">
        <v>12</v>
      </c>
      <c r="I14856" t="s">
        <v>1050</v>
      </c>
    </row>
    <row r="14857" spans="1:9" hidden="1" x14ac:dyDescent="0.25">
      <c r="A14857" t="s">
        <v>12607</v>
      </c>
      <c r="B14857" t="s">
        <v>18</v>
      </c>
      <c r="C14857" s="2">
        <f>HYPERLINK("https://cao.dolgi.msk.ru/account/1080277679/", 1080277679)</f>
        <v>1080277679</v>
      </c>
      <c r="D14857" t="s">
        <v>12610</v>
      </c>
      <c r="E14857">
        <v>-3003.85</v>
      </c>
      <c r="F14857">
        <v>-1.1399999999999999</v>
      </c>
      <c r="G14857" t="s">
        <v>12</v>
      </c>
      <c r="I14857" t="s">
        <v>1050</v>
      </c>
    </row>
    <row r="14858" spans="1:9" hidden="1" x14ac:dyDescent="0.25">
      <c r="A14858" t="s">
        <v>12607</v>
      </c>
      <c r="B14858" t="s">
        <v>20</v>
      </c>
      <c r="C14858" s="2">
        <f>HYPERLINK("https://cao.dolgi.msk.ru/account/1080277687/", 1080277687)</f>
        <v>1080277687</v>
      </c>
      <c r="D14858" t="s">
        <v>12611</v>
      </c>
      <c r="E14858">
        <v>-3835.81</v>
      </c>
      <c r="F14858">
        <v>-1.1000000000000001</v>
      </c>
      <c r="G14858" t="s">
        <v>12</v>
      </c>
      <c r="I14858" t="s">
        <v>1050</v>
      </c>
    </row>
    <row r="14859" spans="1:9" hidden="1" x14ac:dyDescent="0.25">
      <c r="A14859" t="s">
        <v>12607</v>
      </c>
      <c r="B14859" t="s">
        <v>21</v>
      </c>
      <c r="C14859" s="2">
        <f>HYPERLINK("https://cao.dolgi.msk.ru/account/1080277695/", 1080277695)</f>
        <v>1080277695</v>
      </c>
      <c r="D14859" t="s">
        <v>12612</v>
      </c>
      <c r="E14859">
        <v>-1587.8</v>
      </c>
      <c r="F14859">
        <v>-1.1100000000000001</v>
      </c>
      <c r="G14859" t="s">
        <v>12</v>
      </c>
      <c r="I14859" t="s">
        <v>1050</v>
      </c>
    </row>
    <row r="14860" spans="1:9" hidden="1" x14ac:dyDescent="0.25">
      <c r="A14860" t="s">
        <v>12607</v>
      </c>
      <c r="B14860" t="s">
        <v>22</v>
      </c>
      <c r="C14860" s="2">
        <f>HYPERLINK("https://cao.dolgi.msk.ru/account/1080277708/", 1080277708)</f>
        <v>1080277708</v>
      </c>
      <c r="D14860" t="s">
        <v>12613</v>
      </c>
      <c r="E14860">
        <v>-4188.09</v>
      </c>
      <c r="F14860">
        <v>-0.99</v>
      </c>
      <c r="G14860" t="s">
        <v>12</v>
      </c>
      <c r="I14860" t="s">
        <v>1050</v>
      </c>
    </row>
    <row r="14861" spans="1:9" hidden="1" x14ac:dyDescent="0.25">
      <c r="A14861" t="s">
        <v>12607</v>
      </c>
      <c r="B14861" t="s">
        <v>23</v>
      </c>
      <c r="C14861" s="2">
        <f>HYPERLINK("https://cao.dolgi.msk.ru/account/1080277716/", 1080277716)</f>
        <v>1080277716</v>
      </c>
      <c r="D14861" t="s">
        <v>12614</v>
      </c>
      <c r="E14861">
        <v>-2258.69</v>
      </c>
      <c r="F14861">
        <v>-1.17</v>
      </c>
      <c r="G14861" t="s">
        <v>12</v>
      </c>
      <c r="I14861" t="s">
        <v>1050</v>
      </c>
    </row>
    <row r="14862" spans="1:9" hidden="1" x14ac:dyDescent="0.25">
      <c r="A14862" t="s">
        <v>12607</v>
      </c>
      <c r="B14862" t="s">
        <v>24</v>
      </c>
      <c r="C14862" s="2">
        <f>HYPERLINK("https://cao.dolgi.msk.ru/account/1080277724/", 1080277724)</f>
        <v>1080277724</v>
      </c>
      <c r="D14862" t="s">
        <v>12615</v>
      </c>
      <c r="E14862">
        <v>0</v>
      </c>
      <c r="F14862">
        <v>0</v>
      </c>
      <c r="G14862" t="s">
        <v>12</v>
      </c>
      <c r="I14862" t="s">
        <v>1050</v>
      </c>
    </row>
    <row r="14863" spans="1:9" hidden="1" x14ac:dyDescent="0.25">
      <c r="A14863" t="s">
        <v>12607</v>
      </c>
      <c r="B14863" t="s">
        <v>27</v>
      </c>
      <c r="C14863" s="2">
        <f>HYPERLINK("https://cao.dolgi.msk.ru/account/1080277732/", 1080277732)</f>
        <v>1080277732</v>
      </c>
      <c r="D14863" t="s">
        <v>12616</v>
      </c>
      <c r="E14863">
        <v>0</v>
      </c>
      <c r="F14863">
        <v>0</v>
      </c>
      <c r="G14863" t="s">
        <v>12</v>
      </c>
      <c r="I14863" t="s">
        <v>1050</v>
      </c>
    </row>
    <row r="14864" spans="1:9" hidden="1" x14ac:dyDescent="0.25">
      <c r="A14864" t="s">
        <v>12607</v>
      </c>
      <c r="B14864" t="s">
        <v>29</v>
      </c>
      <c r="C14864" s="2">
        <f>HYPERLINK("https://cao.dolgi.msk.ru/account/1080277759/", 1080277759)</f>
        <v>1080277759</v>
      </c>
      <c r="D14864" t="s">
        <v>12617</v>
      </c>
      <c r="E14864">
        <v>-4143.6499999999996</v>
      </c>
      <c r="F14864">
        <v>-2.25</v>
      </c>
      <c r="G14864" t="s">
        <v>12</v>
      </c>
      <c r="I14864" t="s">
        <v>1050</v>
      </c>
    </row>
    <row r="14865" spans="1:9" hidden="1" x14ac:dyDescent="0.25">
      <c r="A14865" t="s">
        <v>12607</v>
      </c>
      <c r="B14865" t="s">
        <v>29</v>
      </c>
      <c r="C14865" s="2">
        <f>HYPERLINK("https://cao.dolgi.msk.ru/account/1083272021/", 1083272021)</f>
        <v>1083272021</v>
      </c>
      <c r="D14865" t="s">
        <v>15</v>
      </c>
      <c r="E14865">
        <v>-465.03</v>
      </c>
      <c r="F14865">
        <v>-0.25</v>
      </c>
      <c r="G14865" t="s">
        <v>12</v>
      </c>
      <c r="I14865" t="s">
        <v>1050</v>
      </c>
    </row>
    <row r="14866" spans="1:9" x14ac:dyDescent="0.25">
      <c r="A14866" t="s">
        <v>12607</v>
      </c>
      <c r="B14866" t="s">
        <v>31</v>
      </c>
      <c r="C14866" s="2">
        <f>HYPERLINK("https://cao.dolgi.msk.ru/account/1080277767/", 1080277767)</f>
        <v>1080277767</v>
      </c>
      <c r="D14866" t="s">
        <v>12618</v>
      </c>
      <c r="E14866">
        <v>17053.78</v>
      </c>
      <c r="F14866">
        <v>3.16</v>
      </c>
      <c r="G14866" t="s">
        <v>12</v>
      </c>
      <c r="I14866" t="s">
        <v>1050</v>
      </c>
    </row>
    <row r="14867" spans="1:9" hidden="1" x14ac:dyDescent="0.25">
      <c r="A14867" t="s">
        <v>12607</v>
      </c>
      <c r="B14867" t="s">
        <v>33</v>
      </c>
      <c r="C14867" s="2">
        <f>HYPERLINK("https://cao.dolgi.msk.ru/account/1080277775/", 1080277775)</f>
        <v>1080277775</v>
      </c>
      <c r="D14867" t="s">
        <v>12619</v>
      </c>
      <c r="E14867">
        <v>-3609.05</v>
      </c>
      <c r="F14867">
        <v>-1.26</v>
      </c>
      <c r="G14867" t="s">
        <v>12</v>
      </c>
      <c r="I14867" t="s">
        <v>1050</v>
      </c>
    </row>
    <row r="14868" spans="1:9" hidden="1" x14ac:dyDescent="0.25">
      <c r="A14868" t="s">
        <v>12607</v>
      </c>
      <c r="B14868" t="s">
        <v>34</v>
      </c>
      <c r="C14868" s="2">
        <f>HYPERLINK("https://cao.dolgi.msk.ru/account/1080277783/", 1080277783)</f>
        <v>1080277783</v>
      </c>
      <c r="D14868" t="s">
        <v>12620</v>
      </c>
      <c r="E14868">
        <v>147.27000000000001</v>
      </c>
      <c r="F14868">
        <v>0.03</v>
      </c>
      <c r="G14868" t="s">
        <v>12</v>
      </c>
      <c r="I14868" t="s">
        <v>1050</v>
      </c>
    </row>
    <row r="14869" spans="1:9" hidden="1" x14ac:dyDescent="0.25">
      <c r="A14869" t="s">
        <v>12607</v>
      </c>
      <c r="B14869" t="s">
        <v>36</v>
      </c>
      <c r="C14869" s="2">
        <f>HYPERLINK("https://cao.dolgi.msk.ru/account/1080277791/", 1080277791)</f>
        <v>1080277791</v>
      </c>
      <c r="D14869" t="s">
        <v>12621</v>
      </c>
      <c r="E14869">
        <v>-1946.45</v>
      </c>
      <c r="F14869">
        <v>-1.19</v>
      </c>
      <c r="G14869" t="s">
        <v>12</v>
      </c>
      <c r="I14869" t="s">
        <v>1050</v>
      </c>
    </row>
    <row r="14870" spans="1:9" hidden="1" x14ac:dyDescent="0.25">
      <c r="A14870" t="s">
        <v>12607</v>
      </c>
      <c r="B14870" t="s">
        <v>36</v>
      </c>
      <c r="C14870" s="2">
        <f>HYPERLINK("https://cao.dolgi.msk.ru/account/1089122753/", 1089122753)</f>
        <v>1089122753</v>
      </c>
      <c r="D14870" t="s">
        <v>12622</v>
      </c>
      <c r="E14870">
        <v>-3374.25</v>
      </c>
      <c r="F14870">
        <v>-0.86</v>
      </c>
      <c r="G14870" t="s">
        <v>12</v>
      </c>
      <c r="I14870" t="s">
        <v>1050</v>
      </c>
    </row>
    <row r="14871" spans="1:9" x14ac:dyDescent="0.25">
      <c r="A14871" t="s">
        <v>12607</v>
      </c>
      <c r="B14871" t="s">
        <v>38</v>
      </c>
      <c r="C14871" s="2">
        <f>HYPERLINK("https://cao.dolgi.msk.ru/account/1080277804/", 1080277804)</f>
        <v>1080277804</v>
      </c>
      <c r="D14871" t="s">
        <v>12623</v>
      </c>
      <c r="E14871">
        <v>5223.04</v>
      </c>
      <c r="F14871">
        <v>1.78</v>
      </c>
      <c r="G14871" t="s">
        <v>12</v>
      </c>
      <c r="I14871" t="s">
        <v>1050</v>
      </c>
    </row>
    <row r="14872" spans="1:9" hidden="1" x14ac:dyDescent="0.25">
      <c r="A14872" t="s">
        <v>12607</v>
      </c>
      <c r="B14872" t="s">
        <v>39</v>
      </c>
      <c r="C14872" s="2">
        <f>HYPERLINK("https://cao.dolgi.msk.ru/account/1080277812/", 1080277812)</f>
        <v>1080277812</v>
      </c>
      <c r="D14872" t="s">
        <v>12624</v>
      </c>
      <c r="E14872">
        <v>5267.44</v>
      </c>
      <c r="F14872">
        <v>0.83</v>
      </c>
      <c r="G14872" t="s">
        <v>12</v>
      </c>
      <c r="I14872" t="s">
        <v>1050</v>
      </c>
    </row>
    <row r="14873" spans="1:9" hidden="1" x14ac:dyDescent="0.25">
      <c r="A14873" t="s">
        <v>12607</v>
      </c>
      <c r="B14873" t="s">
        <v>40</v>
      </c>
      <c r="C14873" s="2">
        <f>HYPERLINK("https://cao.dolgi.msk.ru/account/1080277839/", 1080277839)</f>
        <v>1080277839</v>
      </c>
      <c r="D14873" t="s">
        <v>12625</v>
      </c>
      <c r="E14873">
        <v>18.34</v>
      </c>
      <c r="F14873">
        <v>0</v>
      </c>
      <c r="G14873" t="s">
        <v>12</v>
      </c>
      <c r="I14873" t="s">
        <v>1050</v>
      </c>
    </row>
    <row r="14874" spans="1:9" hidden="1" x14ac:dyDescent="0.25">
      <c r="A14874" t="s">
        <v>12607</v>
      </c>
      <c r="B14874" t="s">
        <v>41</v>
      </c>
      <c r="C14874" s="2">
        <f>HYPERLINK("https://cao.dolgi.msk.ru/account/1080277847/", 1080277847)</f>
        <v>1080277847</v>
      </c>
      <c r="D14874" t="s">
        <v>12626</v>
      </c>
      <c r="E14874">
        <v>-4014.55</v>
      </c>
      <c r="F14874">
        <v>-1.22</v>
      </c>
      <c r="G14874" t="s">
        <v>12</v>
      </c>
      <c r="I14874" t="s">
        <v>1050</v>
      </c>
    </row>
    <row r="14875" spans="1:9" hidden="1" x14ac:dyDescent="0.25">
      <c r="A14875" t="s">
        <v>12607</v>
      </c>
      <c r="B14875" t="s">
        <v>42</v>
      </c>
      <c r="C14875" s="2">
        <f>HYPERLINK("https://cao.dolgi.msk.ru/account/1080277855/", 1080277855)</f>
        <v>1080277855</v>
      </c>
      <c r="D14875" t="s">
        <v>12627</v>
      </c>
      <c r="G14875" t="s">
        <v>14</v>
      </c>
      <c r="I14875" t="s">
        <v>1050</v>
      </c>
    </row>
    <row r="14876" spans="1:9" hidden="1" x14ac:dyDescent="0.25">
      <c r="A14876" t="s">
        <v>12607</v>
      </c>
      <c r="B14876" t="s">
        <v>44</v>
      </c>
      <c r="C14876" s="2">
        <f>HYPERLINK("https://cao.dolgi.msk.ru/account/1080277863/", 1080277863)</f>
        <v>1080277863</v>
      </c>
      <c r="D14876" t="s">
        <v>12628</v>
      </c>
      <c r="E14876">
        <v>-163.82</v>
      </c>
      <c r="F14876">
        <v>-0.03</v>
      </c>
      <c r="G14876" t="s">
        <v>12</v>
      </c>
      <c r="I14876" t="s">
        <v>1050</v>
      </c>
    </row>
    <row r="14877" spans="1:9" hidden="1" x14ac:dyDescent="0.25">
      <c r="A14877" t="s">
        <v>12607</v>
      </c>
      <c r="B14877" t="s">
        <v>66</v>
      </c>
      <c r="C14877" s="2">
        <f>HYPERLINK("https://cao.dolgi.msk.ru/account/1080277871/", 1080277871)</f>
        <v>1080277871</v>
      </c>
      <c r="D14877" t="s">
        <v>12629</v>
      </c>
      <c r="E14877">
        <v>-7052.14</v>
      </c>
      <c r="F14877">
        <v>-1.02</v>
      </c>
      <c r="G14877" t="s">
        <v>12</v>
      </c>
      <c r="I14877" t="s">
        <v>1050</v>
      </c>
    </row>
    <row r="14878" spans="1:9" hidden="1" x14ac:dyDescent="0.25">
      <c r="A14878" t="s">
        <v>12607</v>
      </c>
      <c r="B14878" t="s">
        <v>68</v>
      </c>
      <c r="C14878" s="2">
        <f>HYPERLINK("https://cao.dolgi.msk.ru/account/1080277898/", 1080277898)</f>
        <v>1080277898</v>
      </c>
      <c r="D14878" t="s">
        <v>12630</v>
      </c>
      <c r="E14878">
        <v>-5604.86</v>
      </c>
      <c r="F14878">
        <v>-1.01</v>
      </c>
      <c r="G14878" t="s">
        <v>12</v>
      </c>
      <c r="I14878" t="s">
        <v>1050</v>
      </c>
    </row>
    <row r="14879" spans="1:9" hidden="1" x14ac:dyDescent="0.25">
      <c r="A14879" t="s">
        <v>12607</v>
      </c>
      <c r="B14879" t="s">
        <v>70</v>
      </c>
      <c r="C14879" s="2">
        <f>HYPERLINK("https://cao.dolgi.msk.ru/account/1080277919/", 1080277919)</f>
        <v>1080277919</v>
      </c>
      <c r="D14879" t="s">
        <v>12631</v>
      </c>
      <c r="E14879">
        <v>-2345.63</v>
      </c>
      <c r="F14879">
        <v>-1.04</v>
      </c>
      <c r="G14879" t="s">
        <v>12</v>
      </c>
      <c r="I14879" t="s">
        <v>1050</v>
      </c>
    </row>
    <row r="14880" spans="1:9" x14ac:dyDescent="0.25">
      <c r="A14880" t="s">
        <v>12607</v>
      </c>
      <c r="B14880" t="s">
        <v>72</v>
      </c>
      <c r="C14880" s="2">
        <f>HYPERLINK("https://cao.dolgi.msk.ru/account/1080277927/", 1080277927)</f>
        <v>1080277927</v>
      </c>
      <c r="D14880" t="s">
        <v>12632</v>
      </c>
      <c r="E14880">
        <v>25370.240000000002</v>
      </c>
      <c r="F14880">
        <v>3.74</v>
      </c>
      <c r="G14880" t="s">
        <v>12</v>
      </c>
      <c r="I14880" t="s">
        <v>1050</v>
      </c>
    </row>
    <row r="14881" spans="1:9" hidden="1" x14ac:dyDescent="0.25">
      <c r="A14881" t="s">
        <v>12607</v>
      </c>
      <c r="B14881" t="s">
        <v>74</v>
      </c>
      <c r="C14881" s="2">
        <f>HYPERLINK("https://cao.dolgi.msk.ru/account/1080277935/", 1080277935)</f>
        <v>1080277935</v>
      </c>
      <c r="D14881" t="s">
        <v>12633</v>
      </c>
      <c r="E14881">
        <v>-4558.1400000000003</v>
      </c>
      <c r="F14881">
        <v>-1.22</v>
      </c>
      <c r="G14881" t="s">
        <v>12</v>
      </c>
      <c r="I14881" t="s">
        <v>1050</v>
      </c>
    </row>
    <row r="14882" spans="1:9" hidden="1" x14ac:dyDescent="0.25">
      <c r="A14882" t="s">
        <v>12607</v>
      </c>
      <c r="B14882" t="s">
        <v>76</v>
      </c>
      <c r="C14882" s="2">
        <f>HYPERLINK("https://cao.dolgi.msk.ru/account/1080277943/", 1080277943)</f>
        <v>1080277943</v>
      </c>
      <c r="D14882" t="s">
        <v>12634</v>
      </c>
      <c r="E14882">
        <v>-995.03</v>
      </c>
      <c r="F14882">
        <v>-0.28000000000000003</v>
      </c>
      <c r="G14882" t="s">
        <v>12</v>
      </c>
      <c r="I14882" t="s">
        <v>1050</v>
      </c>
    </row>
    <row r="14883" spans="1:9" hidden="1" x14ac:dyDescent="0.25">
      <c r="A14883" t="s">
        <v>12607</v>
      </c>
      <c r="B14883" t="s">
        <v>78</v>
      </c>
      <c r="C14883" s="2">
        <f>HYPERLINK("https://cao.dolgi.msk.ru/account/1080277951/", 1080277951)</f>
        <v>1080277951</v>
      </c>
      <c r="D14883" t="s">
        <v>12635</v>
      </c>
      <c r="E14883">
        <v>-4592.33</v>
      </c>
      <c r="F14883">
        <v>-0.77</v>
      </c>
      <c r="G14883" t="s">
        <v>12</v>
      </c>
      <c r="I14883" t="s">
        <v>1050</v>
      </c>
    </row>
    <row r="14884" spans="1:9" hidden="1" x14ac:dyDescent="0.25">
      <c r="A14884" t="s">
        <v>12607</v>
      </c>
      <c r="B14884" t="s">
        <v>80</v>
      </c>
      <c r="C14884" s="2">
        <f>HYPERLINK("https://cao.dolgi.msk.ru/account/1080277978/", 1080277978)</f>
        <v>1080277978</v>
      </c>
      <c r="D14884" t="s">
        <v>12636</v>
      </c>
      <c r="E14884">
        <v>-5247.05</v>
      </c>
      <c r="F14884">
        <v>-1.1000000000000001</v>
      </c>
      <c r="G14884" t="s">
        <v>12</v>
      </c>
      <c r="I14884" t="s">
        <v>1050</v>
      </c>
    </row>
    <row r="14885" spans="1:9" hidden="1" x14ac:dyDescent="0.25">
      <c r="A14885" t="s">
        <v>12607</v>
      </c>
      <c r="B14885" t="s">
        <v>82</v>
      </c>
      <c r="C14885" s="2">
        <f>HYPERLINK("https://cao.dolgi.msk.ru/account/1080277986/", 1080277986)</f>
        <v>1080277986</v>
      </c>
      <c r="D14885" t="s">
        <v>12637</v>
      </c>
      <c r="E14885">
        <v>-5714.82</v>
      </c>
      <c r="F14885">
        <v>-1.0900000000000001</v>
      </c>
      <c r="G14885" t="s">
        <v>12</v>
      </c>
      <c r="I14885" t="s">
        <v>1050</v>
      </c>
    </row>
    <row r="14886" spans="1:9" hidden="1" x14ac:dyDescent="0.25">
      <c r="A14886" t="s">
        <v>12607</v>
      </c>
      <c r="B14886" t="s">
        <v>84</v>
      </c>
      <c r="C14886" s="2">
        <f>HYPERLINK("https://cao.dolgi.msk.ru/account/1080277994/", 1080277994)</f>
        <v>1080277994</v>
      </c>
      <c r="D14886" t="s">
        <v>62</v>
      </c>
      <c r="E14886">
        <v>-3554.08</v>
      </c>
      <c r="F14886">
        <v>-1.1000000000000001</v>
      </c>
      <c r="G14886" t="s">
        <v>12</v>
      </c>
      <c r="I14886" t="s">
        <v>1050</v>
      </c>
    </row>
    <row r="14887" spans="1:9" hidden="1" x14ac:dyDescent="0.25">
      <c r="A14887" t="s">
        <v>12607</v>
      </c>
      <c r="B14887" t="s">
        <v>86</v>
      </c>
      <c r="C14887" s="2">
        <f>HYPERLINK("https://cao.dolgi.msk.ru/account/1080278006/", 1080278006)</f>
        <v>1080278006</v>
      </c>
      <c r="D14887" t="s">
        <v>12638</v>
      </c>
      <c r="E14887">
        <v>-3974.45</v>
      </c>
      <c r="F14887">
        <v>-1.24</v>
      </c>
      <c r="G14887" t="s">
        <v>12</v>
      </c>
      <c r="I14887" t="s">
        <v>1050</v>
      </c>
    </row>
    <row r="14888" spans="1:9" hidden="1" x14ac:dyDescent="0.25">
      <c r="A14888" t="s">
        <v>12607</v>
      </c>
      <c r="B14888" t="s">
        <v>88</v>
      </c>
      <c r="C14888" s="2">
        <f>HYPERLINK("https://cao.dolgi.msk.ru/account/1080278014/", 1080278014)</f>
        <v>1080278014</v>
      </c>
      <c r="D14888" t="s">
        <v>12639</v>
      </c>
      <c r="E14888">
        <v>0</v>
      </c>
      <c r="F14888">
        <v>0</v>
      </c>
      <c r="G14888" t="s">
        <v>12</v>
      </c>
      <c r="I14888" t="s">
        <v>1050</v>
      </c>
    </row>
    <row r="14889" spans="1:9" hidden="1" x14ac:dyDescent="0.25">
      <c r="A14889" t="s">
        <v>12607</v>
      </c>
      <c r="B14889" t="s">
        <v>90</v>
      </c>
      <c r="C14889" s="2">
        <f>HYPERLINK("https://cao.dolgi.msk.ru/account/1080278022/", 1080278022)</f>
        <v>1080278022</v>
      </c>
      <c r="D14889" t="s">
        <v>12640</v>
      </c>
      <c r="E14889">
        <v>-7052.77</v>
      </c>
      <c r="F14889">
        <v>-1.02</v>
      </c>
      <c r="G14889" t="s">
        <v>12</v>
      </c>
      <c r="I14889" t="s">
        <v>1050</v>
      </c>
    </row>
    <row r="14890" spans="1:9" hidden="1" x14ac:dyDescent="0.25">
      <c r="A14890" t="s">
        <v>12607</v>
      </c>
      <c r="B14890" t="s">
        <v>92</v>
      </c>
      <c r="C14890" s="2">
        <f>HYPERLINK("https://cao.dolgi.msk.ru/account/1080278049/", 1080278049)</f>
        <v>1080278049</v>
      </c>
      <c r="D14890" t="s">
        <v>12641</v>
      </c>
      <c r="E14890">
        <v>-3203.37</v>
      </c>
      <c r="F14890">
        <v>-1.1200000000000001</v>
      </c>
      <c r="G14890" t="s">
        <v>12</v>
      </c>
      <c r="I14890" t="s">
        <v>1050</v>
      </c>
    </row>
    <row r="14891" spans="1:9" hidden="1" x14ac:dyDescent="0.25">
      <c r="A14891" t="s">
        <v>12607</v>
      </c>
      <c r="B14891" t="s">
        <v>94</v>
      </c>
      <c r="C14891" s="2">
        <f>HYPERLINK("https://cao.dolgi.msk.ru/account/1080278057/", 1080278057)</f>
        <v>1080278057</v>
      </c>
      <c r="D14891" t="s">
        <v>12642</v>
      </c>
      <c r="E14891">
        <v>-6610.38</v>
      </c>
      <c r="F14891">
        <v>-1.1000000000000001</v>
      </c>
      <c r="G14891" t="s">
        <v>12</v>
      </c>
      <c r="I14891" t="s">
        <v>1050</v>
      </c>
    </row>
    <row r="14892" spans="1:9" hidden="1" x14ac:dyDescent="0.25">
      <c r="A14892" t="s">
        <v>12607</v>
      </c>
      <c r="B14892" t="s">
        <v>96</v>
      </c>
      <c r="C14892" s="2">
        <f>HYPERLINK("https://cao.dolgi.msk.ru/account/1080278065/", 1080278065)</f>
        <v>1080278065</v>
      </c>
      <c r="D14892" t="s">
        <v>12643</v>
      </c>
      <c r="E14892">
        <v>-11907.32</v>
      </c>
      <c r="F14892">
        <v>-2.06</v>
      </c>
      <c r="G14892" t="s">
        <v>12</v>
      </c>
      <c r="I14892" t="s">
        <v>1050</v>
      </c>
    </row>
    <row r="14893" spans="1:9" hidden="1" x14ac:dyDescent="0.25">
      <c r="A14893" t="s">
        <v>12607</v>
      </c>
      <c r="B14893" t="s">
        <v>98</v>
      </c>
      <c r="C14893" s="2">
        <f>HYPERLINK("https://cao.dolgi.msk.ru/account/1089118391/", 1089118391)</f>
        <v>1089118391</v>
      </c>
      <c r="D14893" t="s">
        <v>12644</v>
      </c>
      <c r="E14893">
        <v>-11664.56</v>
      </c>
      <c r="F14893">
        <v>-2.34</v>
      </c>
      <c r="G14893" t="s">
        <v>12</v>
      </c>
      <c r="I14893" t="s">
        <v>1050</v>
      </c>
    </row>
    <row r="14894" spans="1:9" hidden="1" x14ac:dyDescent="0.25">
      <c r="A14894" t="s">
        <v>12607</v>
      </c>
      <c r="B14894" t="s">
        <v>100</v>
      </c>
      <c r="C14894" s="2">
        <f>HYPERLINK("https://cao.dolgi.msk.ru/account/1080278073/", 1080278073)</f>
        <v>1080278073</v>
      </c>
      <c r="D14894" t="s">
        <v>12645</v>
      </c>
      <c r="E14894">
        <v>-19.399999999999999</v>
      </c>
      <c r="F14894">
        <v>-0.01</v>
      </c>
      <c r="G14894" t="s">
        <v>12</v>
      </c>
      <c r="I14894" t="s">
        <v>1050</v>
      </c>
    </row>
    <row r="14895" spans="1:9" hidden="1" x14ac:dyDescent="0.25">
      <c r="A14895" t="s">
        <v>12607</v>
      </c>
      <c r="B14895" t="s">
        <v>102</v>
      </c>
      <c r="C14895" s="2">
        <f>HYPERLINK("https://cao.dolgi.msk.ru/account/1080278081/", 1080278081)</f>
        <v>1080278081</v>
      </c>
      <c r="D14895" t="s">
        <v>12646</v>
      </c>
      <c r="E14895">
        <v>0</v>
      </c>
      <c r="F14895">
        <v>0</v>
      </c>
      <c r="G14895" t="s">
        <v>12</v>
      </c>
      <c r="I14895" t="s">
        <v>1050</v>
      </c>
    </row>
    <row r="14896" spans="1:9" hidden="1" x14ac:dyDescent="0.25">
      <c r="A14896" t="s">
        <v>12607</v>
      </c>
      <c r="B14896" t="s">
        <v>104</v>
      </c>
      <c r="C14896" s="2">
        <f>HYPERLINK("https://cao.dolgi.msk.ru/account/1080278102/", 1080278102)</f>
        <v>1080278102</v>
      </c>
      <c r="D14896" t="s">
        <v>12647</v>
      </c>
      <c r="E14896">
        <v>-3674.99</v>
      </c>
      <c r="F14896">
        <v>-0.81</v>
      </c>
      <c r="G14896" t="s">
        <v>12</v>
      </c>
      <c r="I14896" t="s">
        <v>1050</v>
      </c>
    </row>
    <row r="14897" spans="1:9" hidden="1" x14ac:dyDescent="0.25">
      <c r="A14897" t="s">
        <v>12607</v>
      </c>
      <c r="B14897" t="s">
        <v>106</v>
      </c>
      <c r="C14897" s="2">
        <f>HYPERLINK("https://cao.dolgi.msk.ru/account/1080278129/", 1080278129)</f>
        <v>1080278129</v>
      </c>
      <c r="D14897" t="s">
        <v>12648</v>
      </c>
      <c r="E14897">
        <v>-3304.52</v>
      </c>
      <c r="F14897">
        <v>-1.18</v>
      </c>
      <c r="G14897" t="s">
        <v>12</v>
      </c>
      <c r="I14897" t="s">
        <v>1050</v>
      </c>
    </row>
    <row r="14898" spans="1:9" hidden="1" x14ac:dyDescent="0.25">
      <c r="A14898" t="s">
        <v>12607</v>
      </c>
      <c r="B14898" t="s">
        <v>108</v>
      </c>
      <c r="C14898" s="2">
        <f>HYPERLINK("https://cao.dolgi.msk.ru/account/1080278137/", 1080278137)</f>
        <v>1080278137</v>
      </c>
      <c r="D14898" t="s">
        <v>12649</v>
      </c>
      <c r="E14898">
        <v>-1741.56</v>
      </c>
      <c r="F14898">
        <v>-1.07</v>
      </c>
      <c r="G14898" t="s">
        <v>12</v>
      </c>
      <c r="I14898" t="s">
        <v>1050</v>
      </c>
    </row>
    <row r="14899" spans="1:9" hidden="1" x14ac:dyDescent="0.25">
      <c r="A14899" t="s">
        <v>12607</v>
      </c>
      <c r="B14899" t="s">
        <v>110</v>
      </c>
      <c r="C14899" s="2">
        <f>HYPERLINK("https://cao.dolgi.msk.ru/account/1080278145/", 1080278145)</f>
        <v>1080278145</v>
      </c>
      <c r="D14899" t="s">
        <v>12650</v>
      </c>
      <c r="E14899">
        <v>-3251.21</v>
      </c>
      <c r="F14899">
        <v>-1.03</v>
      </c>
      <c r="G14899" t="s">
        <v>12</v>
      </c>
      <c r="I14899" t="s">
        <v>1050</v>
      </c>
    </row>
    <row r="14900" spans="1:9" hidden="1" x14ac:dyDescent="0.25">
      <c r="A14900" t="s">
        <v>12607</v>
      </c>
      <c r="B14900" t="s">
        <v>112</v>
      </c>
      <c r="C14900" s="2">
        <f>HYPERLINK("https://cao.dolgi.msk.ru/account/1080278153/", 1080278153)</f>
        <v>1080278153</v>
      </c>
      <c r="D14900" t="s">
        <v>12651</v>
      </c>
      <c r="E14900">
        <v>-7907.06</v>
      </c>
      <c r="F14900">
        <v>-1.1100000000000001</v>
      </c>
      <c r="G14900" t="s">
        <v>12</v>
      </c>
      <c r="I14900" t="s">
        <v>1050</v>
      </c>
    </row>
    <row r="14901" spans="1:9" hidden="1" x14ac:dyDescent="0.25">
      <c r="A14901" t="s">
        <v>12607</v>
      </c>
      <c r="B14901" t="s">
        <v>114</v>
      </c>
      <c r="C14901" s="2">
        <f>HYPERLINK("https://cao.dolgi.msk.ru/account/1080278161/", 1080278161)</f>
        <v>1080278161</v>
      </c>
      <c r="D14901" t="s">
        <v>12652</v>
      </c>
      <c r="E14901">
        <v>-8324.7900000000009</v>
      </c>
      <c r="F14901">
        <v>-1.18</v>
      </c>
      <c r="G14901" t="s">
        <v>12</v>
      </c>
      <c r="I14901" t="s">
        <v>1050</v>
      </c>
    </row>
    <row r="14902" spans="1:9" hidden="1" x14ac:dyDescent="0.25">
      <c r="A14902" t="s">
        <v>12607</v>
      </c>
      <c r="B14902" t="s">
        <v>116</v>
      </c>
      <c r="C14902" s="2">
        <f>HYPERLINK("https://cao.dolgi.msk.ru/account/1080278188/", 1080278188)</f>
        <v>1080278188</v>
      </c>
      <c r="D14902" t="s">
        <v>12653</v>
      </c>
      <c r="E14902">
        <v>-3065.43</v>
      </c>
      <c r="F14902">
        <v>-0.99</v>
      </c>
      <c r="G14902" t="s">
        <v>12</v>
      </c>
      <c r="I14902" t="s">
        <v>1050</v>
      </c>
    </row>
    <row r="14903" spans="1:9" hidden="1" x14ac:dyDescent="0.25">
      <c r="A14903" t="s">
        <v>12607</v>
      </c>
      <c r="B14903" t="s">
        <v>118</v>
      </c>
      <c r="C14903" s="2">
        <f>HYPERLINK("https://cao.dolgi.msk.ru/account/1080278196/", 1080278196)</f>
        <v>1080278196</v>
      </c>
      <c r="D14903" t="s">
        <v>12654</v>
      </c>
      <c r="E14903">
        <v>-10100.129999999999</v>
      </c>
      <c r="F14903">
        <v>-2.61</v>
      </c>
      <c r="G14903" t="s">
        <v>12</v>
      </c>
      <c r="I14903" t="s">
        <v>1050</v>
      </c>
    </row>
    <row r="14904" spans="1:9" hidden="1" x14ac:dyDescent="0.25">
      <c r="A14904" t="s">
        <v>12607</v>
      </c>
      <c r="B14904" t="s">
        <v>120</v>
      </c>
      <c r="C14904" s="2">
        <f>HYPERLINK("https://cao.dolgi.msk.ru/account/1080278209/", 1080278209)</f>
        <v>1080278209</v>
      </c>
      <c r="D14904" t="s">
        <v>12655</v>
      </c>
      <c r="E14904">
        <v>-5586.05</v>
      </c>
      <c r="F14904">
        <v>-1.0900000000000001</v>
      </c>
      <c r="G14904" t="s">
        <v>12</v>
      </c>
      <c r="I14904" t="s">
        <v>1050</v>
      </c>
    </row>
    <row r="14905" spans="1:9" hidden="1" x14ac:dyDescent="0.25">
      <c r="A14905" t="s">
        <v>12607</v>
      </c>
      <c r="B14905" t="s">
        <v>122</v>
      </c>
      <c r="C14905" s="2">
        <f>HYPERLINK("https://cao.dolgi.msk.ru/account/1080278217/", 1080278217)</f>
        <v>1080278217</v>
      </c>
      <c r="D14905" t="s">
        <v>12656</v>
      </c>
      <c r="E14905">
        <v>-3756.01</v>
      </c>
      <c r="F14905">
        <v>-1.3</v>
      </c>
      <c r="G14905" t="s">
        <v>12</v>
      </c>
      <c r="I14905" t="s">
        <v>1050</v>
      </c>
    </row>
    <row r="14906" spans="1:9" hidden="1" x14ac:dyDescent="0.25">
      <c r="A14906" t="s">
        <v>12607</v>
      </c>
      <c r="B14906" t="s">
        <v>124</v>
      </c>
      <c r="C14906" s="2">
        <f>HYPERLINK("https://cao.dolgi.msk.ru/account/1080278225/", 1080278225)</f>
        <v>1080278225</v>
      </c>
      <c r="D14906" t="s">
        <v>12657</v>
      </c>
      <c r="E14906">
        <v>-2167.8200000000002</v>
      </c>
      <c r="F14906">
        <v>-1.2</v>
      </c>
      <c r="G14906" t="s">
        <v>12</v>
      </c>
      <c r="I14906" t="s">
        <v>1050</v>
      </c>
    </row>
    <row r="14907" spans="1:9" hidden="1" x14ac:dyDescent="0.25">
      <c r="A14907" t="s">
        <v>12607</v>
      </c>
      <c r="B14907" t="s">
        <v>126</v>
      </c>
      <c r="C14907" s="2">
        <f>HYPERLINK("https://cao.dolgi.msk.ru/account/1080278233/", 1080278233)</f>
        <v>1080278233</v>
      </c>
      <c r="D14907" t="s">
        <v>12658</v>
      </c>
      <c r="E14907">
        <v>30.53</v>
      </c>
      <c r="F14907">
        <v>0.01</v>
      </c>
      <c r="G14907" t="s">
        <v>12</v>
      </c>
      <c r="I14907" t="s">
        <v>1050</v>
      </c>
    </row>
    <row r="14908" spans="1:9" hidden="1" x14ac:dyDescent="0.25">
      <c r="A14908" t="s">
        <v>12607</v>
      </c>
      <c r="B14908" t="s">
        <v>128</v>
      </c>
      <c r="C14908" s="2">
        <f>HYPERLINK("https://cao.dolgi.msk.ru/account/1080278241/", 1080278241)</f>
        <v>1080278241</v>
      </c>
      <c r="D14908" t="s">
        <v>12659</v>
      </c>
      <c r="E14908">
        <v>-6136.79</v>
      </c>
      <c r="F14908">
        <v>-1.22</v>
      </c>
      <c r="G14908" t="s">
        <v>12</v>
      </c>
      <c r="I14908" t="s">
        <v>1050</v>
      </c>
    </row>
    <row r="14909" spans="1:9" hidden="1" x14ac:dyDescent="0.25">
      <c r="A14909" t="s">
        <v>12607</v>
      </c>
      <c r="B14909" t="s">
        <v>130</v>
      </c>
      <c r="C14909" s="2">
        <f>HYPERLINK("https://cao.dolgi.msk.ru/account/1080278268/", 1080278268)</f>
        <v>1080278268</v>
      </c>
      <c r="D14909" t="s">
        <v>12660</v>
      </c>
      <c r="E14909">
        <v>184.06</v>
      </c>
      <c r="F14909">
        <v>0.04</v>
      </c>
      <c r="G14909" t="s">
        <v>12</v>
      </c>
      <c r="I14909" t="s">
        <v>1050</v>
      </c>
    </row>
    <row r="14910" spans="1:9" hidden="1" x14ac:dyDescent="0.25">
      <c r="A14910" t="s">
        <v>12607</v>
      </c>
      <c r="B14910" t="s">
        <v>132</v>
      </c>
      <c r="C14910" s="2">
        <f>HYPERLINK("https://cao.dolgi.msk.ru/account/1080278276/", 1080278276)</f>
        <v>1080278276</v>
      </c>
      <c r="D14910" t="s">
        <v>12661</v>
      </c>
      <c r="E14910">
        <v>-279.68</v>
      </c>
      <c r="F14910">
        <v>-0.09</v>
      </c>
      <c r="G14910" t="s">
        <v>12</v>
      </c>
      <c r="I14910" t="s">
        <v>1050</v>
      </c>
    </row>
    <row r="14911" spans="1:9" hidden="1" x14ac:dyDescent="0.25">
      <c r="A14911" t="s">
        <v>12607</v>
      </c>
      <c r="B14911" t="s">
        <v>133</v>
      </c>
      <c r="C14911" s="2">
        <f>HYPERLINK("https://cao.dolgi.msk.ru/account/1080278284/", 1080278284)</f>
        <v>1080278284</v>
      </c>
      <c r="D14911" t="s">
        <v>12662</v>
      </c>
      <c r="E14911">
        <v>-335.58</v>
      </c>
      <c r="F14911">
        <v>-0.08</v>
      </c>
      <c r="G14911" t="s">
        <v>12</v>
      </c>
      <c r="I14911" t="s">
        <v>1050</v>
      </c>
    </row>
    <row r="14912" spans="1:9" hidden="1" x14ac:dyDescent="0.25">
      <c r="A14912" t="s">
        <v>12607</v>
      </c>
      <c r="B14912" t="s">
        <v>135</v>
      </c>
      <c r="C14912" s="2">
        <f>HYPERLINK("https://cao.dolgi.msk.ru/account/1080278292/", 1080278292)</f>
        <v>1080278292</v>
      </c>
      <c r="D14912" t="s">
        <v>12663</v>
      </c>
      <c r="E14912">
        <v>-5232.47</v>
      </c>
      <c r="F14912">
        <v>-0.47</v>
      </c>
      <c r="G14912" t="s">
        <v>12</v>
      </c>
      <c r="I14912" t="s">
        <v>1050</v>
      </c>
    </row>
    <row r="14913" spans="1:9" hidden="1" x14ac:dyDescent="0.25">
      <c r="A14913" t="s">
        <v>12607</v>
      </c>
      <c r="B14913" t="s">
        <v>137</v>
      </c>
      <c r="C14913" s="2">
        <f>HYPERLINK("https://cao.dolgi.msk.ru/account/1080278305/", 1080278305)</f>
        <v>1080278305</v>
      </c>
      <c r="D14913" t="s">
        <v>12664</v>
      </c>
      <c r="E14913">
        <v>-7298.64</v>
      </c>
      <c r="F14913">
        <v>-1.22</v>
      </c>
      <c r="G14913" t="s">
        <v>12</v>
      </c>
      <c r="I14913" t="s">
        <v>1050</v>
      </c>
    </row>
    <row r="14914" spans="1:9" hidden="1" x14ac:dyDescent="0.25">
      <c r="A14914" t="s">
        <v>12607</v>
      </c>
      <c r="B14914" t="s">
        <v>139</v>
      </c>
      <c r="C14914" s="2">
        <f>HYPERLINK("https://cao.dolgi.msk.ru/account/1080278313/", 1080278313)</f>
        <v>1080278313</v>
      </c>
      <c r="D14914" t="s">
        <v>12665</v>
      </c>
      <c r="E14914">
        <v>-14311</v>
      </c>
      <c r="F14914">
        <v>-4.6399999999999997</v>
      </c>
      <c r="G14914" t="s">
        <v>12</v>
      </c>
      <c r="I14914" t="s">
        <v>1050</v>
      </c>
    </row>
    <row r="14915" spans="1:9" hidden="1" x14ac:dyDescent="0.25">
      <c r="A14915" t="s">
        <v>12607</v>
      </c>
      <c r="B14915" t="s">
        <v>141</v>
      </c>
      <c r="C14915" s="2">
        <f>HYPERLINK("https://cao.dolgi.msk.ru/account/1080278321/", 1080278321)</f>
        <v>1080278321</v>
      </c>
      <c r="D14915" t="s">
        <v>12666</v>
      </c>
      <c r="E14915">
        <v>-5577.29</v>
      </c>
      <c r="F14915">
        <v>-1.0900000000000001</v>
      </c>
      <c r="G14915" t="s">
        <v>12</v>
      </c>
      <c r="I14915" t="s">
        <v>1050</v>
      </c>
    </row>
    <row r="14916" spans="1:9" hidden="1" x14ac:dyDescent="0.25">
      <c r="A14916" t="s">
        <v>12607</v>
      </c>
      <c r="B14916" t="s">
        <v>143</v>
      </c>
      <c r="C14916" s="2">
        <f>HYPERLINK("https://cao.dolgi.msk.ru/account/1080278348/", 1080278348)</f>
        <v>1080278348</v>
      </c>
      <c r="D14916" t="s">
        <v>12667</v>
      </c>
      <c r="E14916">
        <v>0</v>
      </c>
      <c r="F14916">
        <v>0</v>
      </c>
      <c r="G14916" t="s">
        <v>12</v>
      </c>
      <c r="I14916" t="s">
        <v>1050</v>
      </c>
    </row>
    <row r="14917" spans="1:9" hidden="1" x14ac:dyDescent="0.25">
      <c r="A14917" t="s">
        <v>12607</v>
      </c>
      <c r="B14917" t="s">
        <v>145</v>
      </c>
      <c r="C14917" s="2">
        <f>HYPERLINK("https://cao.dolgi.msk.ru/account/1080278356/", 1080278356)</f>
        <v>1080278356</v>
      </c>
      <c r="D14917" t="s">
        <v>12668</v>
      </c>
      <c r="E14917">
        <v>-3638.1</v>
      </c>
      <c r="F14917">
        <v>-1.05</v>
      </c>
      <c r="G14917" t="s">
        <v>12</v>
      </c>
      <c r="I14917" t="s">
        <v>1050</v>
      </c>
    </row>
    <row r="14918" spans="1:9" hidden="1" x14ac:dyDescent="0.25">
      <c r="A14918" t="s">
        <v>12607</v>
      </c>
      <c r="B14918" t="s">
        <v>147</v>
      </c>
      <c r="C14918" s="2">
        <f>HYPERLINK("https://cao.dolgi.msk.ru/account/1080278364/", 1080278364)</f>
        <v>1080278364</v>
      </c>
      <c r="D14918" t="s">
        <v>12669</v>
      </c>
      <c r="E14918">
        <v>-16794.02</v>
      </c>
      <c r="F14918">
        <v>-4.8600000000000003</v>
      </c>
      <c r="G14918" t="s">
        <v>12</v>
      </c>
      <c r="I14918" t="s">
        <v>1050</v>
      </c>
    </row>
    <row r="14919" spans="1:9" hidden="1" x14ac:dyDescent="0.25">
      <c r="A14919" t="s">
        <v>12607</v>
      </c>
      <c r="B14919" t="s">
        <v>149</v>
      </c>
      <c r="C14919" s="2">
        <f>HYPERLINK("https://cao.dolgi.msk.ru/account/1080278372/", 1080278372)</f>
        <v>1080278372</v>
      </c>
      <c r="D14919" t="s">
        <v>12670</v>
      </c>
      <c r="E14919">
        <v>-6724.67</v>
      </c>
      <c r="F14919">
        <v>-1.1000000000000001</v>
      </c>
      <c r="G14919" t="s">
        <v>12</v>
      </c>
      <c r="I14919" t="s">
        <v>1050</v>
      </c>
    </row>
    <row r="14920" spans="1:9" hidden="1" x14ac:dyDescent="0.25">
      <c r="A14920" t="s">
        <v>12607</v>
      </c>
      <c r="B14920" t="s">
        <v>151</v>
      </c>
      <c r="C14920" s="2">
        <f>HYPERLINK("https://cao.dolgi.msk.ru/account/1080278399/", 1080278399)</f>
        <v>1080278399</v>
      </c>
      <c r="D14920" t="s">
        <v>12671</v>
      </c>
      <c r="E14920">
        <v>-3143.62</v>
      </c>
      <c r="F14920">
        <v>-1.2</v>
      </c>
      <c r="G14920" t="s">
        <v>12</v>
      </c>
      <c r="I14920" t="s">
        <v>1050</v>
      </c>
    </row>
    <row r="14921" spans="1:9" hidden="1" x14ac:dyDescent="0.25">
      <c r="A14921" t="s">
        <v>12607</v>
      </c>
      <c r="B14921" t="s">
        <v>153</v>
      </c>
      <c r="C14921" s="2">
        <f>HYPERLINK("https://cao.dolgi.msk.ru/account/1080278401/", 1080278401)</f>
        <v>1080278401</v>
      </c>
      <c r="D14921" t="s">
        <v>12672</v>
      </c>
      <c r="E14921">
        <v>-5498.73</v>
      </c>
      <c r="F14921">
        <v>-1.44</v>
      </c>
      <c r="G14921" t="s">
        <v>12</v>
      </c>
      <c r="I14921" t="s">
        <v>1050</v>
      </c>
    </row>
    <row r="14922" spans="1:9" hidden="1" x14ac:dyDescent="0.25">
      <c r="A14922" t="s">
        <v>12607</v>
      </c>
      <c r="B14922" t="s">
        <v>155</v>
      </c>
      <c r="C14922" s="2">
        <f>HYPERLINK("https://cao.dolgi.msk.ru/account/1080278428/", 1080278428)</f>
        <v>1080278428</v>
      </c>
      <c r="D14922" t="s">
        <v>12673</v>
      </c>
      <c r="E14922">
        <v>-3353.33</v>
      </c>
      <c r="F14922">
        <v>-1.2</v>
      </c>
      <c r="G14922" t="s">
        <v>12</v>
      </c>
      <c r="I14922" t="s">
        <v>1050</v>
      </c>
    </row>
    <row r="14923" spans="1:9" hidden="1" x14ac:dyDescent="0.25">
      <c r="A14923" t="s">
        <v>12607</v>
      </c>
      <c r="B14923" t="s">
        <v>157</v>
      </c>
      <c r="C14923" s="2">
        <f>HYPERLINK("https://cao.dolgi.msk.ru/account/1080278436/", 1080278436)</f>
        <v>1080278436</v>
      </c>
      <c r="D14923" t="s">
        <v>12674</v>
      </c>
      <c r="E14923">
        <v>-4573.3999999999996</v>
      </c>
      <c r="F14923">
        <v>-1.06</v>
      </c>
      <c r="G14923" t="s">
        <v>12</v>
      </c>
      <c r="I14923" t="s">
        <v>1050</v>
      </c>
    </row>
    <row r="14924" spans="1:9" x14ac:dyDescent="0.25">
      <c r="A14924" t="s">
        <v>12607</v>
      </c>
      <c r="B14924" t="s">
        <v>159</v>
      </c>
      <c r="C14924" s="2">
        <f>HYPERLINK("https://cao.dolgi.msk.ru/account/1080278444/", 1080278444)</f>
        <v>1080278444</v>
      </c>
      <c r="D14924" t="s">
        <v>12675</v>
      </c>
      <c r="E14924">
        <v>11149.97</v>
      </c>
      <c r="F14924">
        <v>1.51</v>
      </c>
      <c r="G14924" t="s">
        <v>12</v>
      </c>
      <c r="I14924" t="s">
        <v>1050</v>
      </c>
    </row>
    <row r="14925" spans="1:9" hidden="1" x14ac:dyDescent="0.25">
      <c r="A14925" t="s">
        <v>12607</v>
      </c>
      <c r="B14925" t="s">
        <v>161</v>
      </c>
      <c r="C14925" s="2">
        <f>HYPERLINK("https://cao.dolgi.msk.ru/account/1080278452/", 1080278452)</f>
        <v>1080278452</v>
      </c>
      <c r="D14925" t="s">
        <v>12676</v>
      </c>
      <c r="E14925">
        <v>-337.45</v>
      </c>
      <c r="F14925">
        <v>-0.12</v>
      </c>
      <c r="G14925" t="s">
        <v>12</v>
      </c>
      <c r="I14925" t="s">
        <v>1050</v>
      </c>
    </row>
    <row r="14926" spans="1:9" hidden="1" x14ac:dyDescent="0.25">
      <c r="A14926" t="s">
        <v>12607</v>
      </c>
      <c r="B14926" t="s">
        <v>161</v>
      </c>
      <c r="C14926" s="2">
        <f>HYPERLINK("https://cao.dolgi.msk.ru/account/1083273382/", 1083273382)</f>
        <v>1083273382</v>
      </c>
      <c r="D14926" t="s">
        <v>15</v>
      </c>
      <c r="E14926">
        <v>-548.16999999999996</v>
      </c>
      <c r="F14926">
        <v>-0.16</v>
      </c>
      <c r="G14926" t="s">
        <v>12</v>
      </c>
      <c r="I14926" t="s">
        <v>1050</v>
      </c>
    </row>
    <row r="14927" spans="1:9" hidden="1" x14ac:dyDescent="0.25">
      <c r="A14927" t="s">
        <v>12607</v>
      </c>
      <c r="B14927" t="s">
        <v>163</v>
      </c>
      <c r="C14927" s="2">
        <f>HYPERLINK("https://cao.dolgi.msk.ru/account/1080278479/", 1080278479)</f>
        <v>1080278479</v>
      </c>
      <c r="D14927" t="s">
        <v>12677</v>
      </c>
      <c r="E14927">
        <v>204.83</v>
      </c>
      <c r="F14927">
        <v>0.08</v>
      </c>
      <c r="G14927" t="s">
        <v>12</v>
      </c>
      <c r="I14927" t="s">
        <v>1050</v>
      </c>
    </row>
    <row r="14928" spans="1:9" hidden="1" x14ac:dyDescent="0.25">
      <c r="A14928" t="s">
        <v>12607</v>
      </c>
      <c r="B14928" t="s">
        <v>571</v>
      </c>
      <c r="C14928" s="2">
        <f>HYPERLINK("https://cao.dolgi.msk.ru/account/1080278487/", 1080278487)</f>
        <v>1080278487</v>
      </c>
      <c r="D14928" t="s">
        <v>12678</v>
      </c>
      <c r="E14928">
        <v>-6354.39</v>
      </c>
      <c r="F14928">
        <v>-1.5</v>
      </c>
      <c r="G14928" t="s">
        <v>12</v>
      </c>
      <c r="I14928" t="s">
        <v>1050</v>
      </c>
    </row>
    <row r="14929" spans="1:9" hidden="1" x14ac:dyDescent="0.25">
      <c r="A14929" t="s">
        <v>12607</v>
      </c>
      <c r="B14929" t="s">
        <v>682</v>
      </c>
      <c r="C14929" s="2">
        <f>HYPERLINK("https://cao.dolgi.msk.ru/account/1080278495/", 1080278495)</f>
        <v>1080278495</v>
      </c>
      <c r="D14929" t="s">
        <v>12679</v>
      </c>
      <c r="E14929">
        <v>-1894.17</v>
      </c>
      <c r="F14929">
        <v>-0.7</v>
      </c>
      <c r="G14929" t="s">
        <v>12</v>
      </c>
      <c r="I14929" t="s">
        <v>1050</v>
      </c>
    </row>
    <row r="14930" spans="1:9" hidden="1" x14ac:dyDescent="0.25">
      <c r="A14930" t="s">
        <v>12607</v>
      </c>
      <c r="B14930" t="s">
        <v>578</v>
      </c>
      <c r="C14930" s="2">
        <f>HYPERLINK("https://cao.dolgi.msk.ru/account/1080278508/", 1080278508)</f>
        <v>1080278508</v>
      </c>
      <c r="D14930" t="s">
        <v>12680</v>
      </c>
      <c r="E14930">
        <v>-8879.65</v>
      </c>
      <c r="F14930">
        <v>-1.1200000000000001</v>
      </c>
      <c r="G14930" t="s">
        <v>12</v>
      </c>
      <c r="I14930" t="s">
        <v>1050</v>
      </c>
    </row>
    <row r="14931" spans="1:9" hidden="1" x14ac:dyDescent="0.25">
      <c r="A14931" t="s">
        <v>12607</v>
      </c>
      <c r="B14931" t="s">
        <v>580</v>
      </c>
      <c r="C14931" s="2">
        <f>HYPERLINK("https://cao.dolgi.msk.ru/account/1080278516/", 1080278516)</f>
        <v>1080278516</v>
      </c>
      <c r="D14931" t="s">
        <v>12681</v>
      </c>
      <c r="E14931">
        <v>-3259.27</v>
      </c>
      <c r="F14931">
        <v>-1.1200000000000001</v>
      </c>
      <c r="G14931" t="s">
        <v>12</v>
      </c>
      <c r="I14931" t="s">
        <v>1050</v>
      </c>
    </row>
    <row r="14932" spans="1:9" x14ac:dyDescent="0.25">
      <c r="A14932" t="s">
        <v>12607</v>
      </c>
      <c r="B14932" t="s">
        <v>686</v>
      </c>
      <c r="C14932" s="2">
        <f>HYPERLINK("https://cao.dolgi.msk.ru/account/1080278524/", 1080278524)</f>
        <v>1080278524</v>
      </c>
      <c r="D14932" t="s">
        <v>12682</v>
      </c>
      <c r="E14932">
        <v>312012.32</v>
      </c>
      <c r="F14932">
        <v>13.32</v>
      </c>
      <c r="G14932" t="s">
        <v>12</v>
      </c>
      <c r="I14932" t="s">
        <v>1050</v>
      </c>
    </row>
    <row r="14933" spans="1:9" hidden="1" x14ac:dyDescent="0.25">
      <c r="A14933" t="s">
        <v>12607</v>
      </c>
      <c r="B14933" t="s">
        <v>582</v>
      </c>
      <c r="C14933" s="2">
        <f>HYPERLINK("https://cao.dolgi.msk.ru/account/1080278532/", 1080278532)</f>
        <v>1080278532</v>
      </c>
      <c r="D14933" t="s">
        <v>12683</v>
      </c>
      <c r="E14933">
        <v>-3504.3</v>
      </c>
      <c r="F14933">
        <v>-1.1200000000000001</v>
      </c>
      <c r="G14933" t="s">
        <v>12</v>
      </c>
      <c r="I14933" t="s">
        <v>1050</v>
      </c>
    </row>
    <row r="14934" spans="1:9" hidden="1" x14ac:dyDescent="0.25">
      <c r="A14934" t="s">
        <v>12684</v>
      </c>
      <c r="B14934" t="s">
        <v>10</v>
      </c>
      <c r="C14934" s="2">
        <f>HYPERLINK("https://cao.dolgi.msk.ru/account/1080278559/", 1080278559)</f>
        <v>1080278559</v>
      </c>
      <c r="D14934" t="s">
        <v>12685</v>
      </c>
      <c r="E14934">
        <v>-6728.36</v>
      </c>
      <c r="F14934">
        <v>-1.0900000000000001</v>
      </c>
      <c r="G14934" t="s">
        <v>12</v>
      </c>
      <c r="I14934" t="s">
        <v>1050</v>
      </c>
    </row>
    <row r="14935" spans="1:9" x14ac:dyDescent="0.25">
      <c r="A14935" t="s">
        <v>12684</v>
      </c>
      <c r="B14935" t="s">
        <v>16</v>
      </c>
      <c r="C14935" s="2">
        <f>HYPERLINK("https://cao.dolgi.msk.ru/account/1080278567/", 1080278567)</f>
        <v>1080278567</v>
      </c>
      <c r="D14935" t="s">
        <v>12686</v>
      </c>
      <c r="E14935">
        <v>33569.72</v>
      </c>
      <c r="F14935">
        <v>2.95</v>
      </c>
      <c r="G14935" t="s">
        <v>12</v>
      </c>
      <c r="I14935" t="s">
        <v>1050</v>
      </c>
    </row>
    <row r="14936" spans="1:9" hidden="1" x14ac:dyDescent="0.25">
      <c r="A14936" t="s">
        <v>12684</v>
      </c>
      <c r="B14936" t="s">
        <v>18</v>
      </c>
      <c r="C14936" s="2">
        <f>HYPERLINK("https://cao.dolgi.msk.ru/account/1080278575/", 1080278575)</f>
        <v>1080278575</v>
      </c>
      <c r="D14936" t="s">
        <v>12687</v>
      </c>
      <c r="E14936">
        <v>0</v>
      </c>
      <c r="F14936">
        <v>0</v>
      </c>
      <c r="G14936" t="s">
        <v>12</v>
      </c>
      <c r="I14936" t="s">
        <v>1050</v>
      </c>
    </row>
    <row r="14937" spans="1:9" hidden="1" x14ac:dyDescent="0.25">
      <c r="A14937" t="s">
        <v>12684</v>
      </c>
      <c r="B14937" t="s">
        <v>20</v>
      </c>
      <c r="C14937" s="2">
        <f>HYPERLINK("https://cao.dolgi.msk.ru/account/1080278583/", 1080278583)</f>
        <v>1080278583</v>
      </c>
      <c r="D14937" t="s">
        <v>12688</v>
      </c>
      <c r="E14937">
        <v>38.85</v>
      </c>
      <c r="F14937">
        <v>0.03</v>
      </c>
      <c r="G14937" t="s">
        <v>12</v>
      </c>
      <c r="I14937" t="s">
        <v>1050</v>
      </c>
    </row>
    <row r="14938" spans="1:9" hidden="1" x14ac:dyDescent="0.25">
      <c r="A14938" t="s">
        <v>12684</v>
      </c>
      <c r="B14938" t="s">
        <v>20</v>
      </c>
      <c r="C14938" s="2">
        <f>HYPERLINK("https://cao.dolgi.msk.ru/account/1083273534/", 1083273534)</f>
        <v>1083273534</v>
      </c>
      <c r="D14938" t="s">
        <v>15</v>
      </c>
      <c r="E14938">
        <v>-7427.13</v>
      </c>
      <c r="F14938">
        <v>-4.16</v>
      </c>
      <c r="G14938" t="s">
        <v>12</v>
      </c>
      <c r="I14938" t="s">
        <v>1050</v>
      </c>
    </row>
    <row r="14939" spans="1:9" hidden="1" x14ac:dyDescent="0.25">
      <c r="A14939" t="s">
        <v>12684</v>
      </c>
      <c r="B14939" t="s">
        <v>21</v>
      </c>
      <c r="C14939" s="2">
        <f>HYPERLINK("https://cao.dolgi.msk.ru/account/1080278591/", 1080278591)</f>
        <v>1080278591</v>
      </c>
      <c r="D14939" t="s">
        <v>12689</v>
      </c>
      <c r="E14939">
        <v>-64</v>
      </c>
      <c r="F14939">
        <v>-0.02</v>
      </c>
      <c r="G14939" t="s">
        <v>12</v>
      </c>
      <c r="I14939" t="s">
        <v>1050</v>
      </c>
    </row>
    <row r="14940" spans="1:9" hidden="1" x14ac:dyDescent="0.25">
      <c r="A14940" t="s">
        <v>12684</v>
      </c>
      <c r="B14940" t="s">
        <v>22</v>
      </c>
      <c r="C14940" s="2">
        <f>HYPERLINK("https://cao.dolgi.msk.ru/account/1080278604/", 1080278604)</f>
        <v>1080278604</v>
      </c>
      <c r="D14940" t="s">
        <v>12690</v>
      </c>
      <c r="E14940">
        <v>-3862.14</v>
      </c>
      <c r="F14940">
        <v>-1.17</v>
      </c>
      <c r="G14940" t="s">
        <v>12</v>
      </c>
      <c r="I14940" t="s">
        <v>1050</v>
      </c>
    </row>
    <row r="14941" spans="1:9" hidden="1" x14ac:dyDescent="0.25">
      <c r="A14941" t="s">
        <v>12684</v>
      </c>
      <c r="B14941" t="s">
        <v>23</v>
      </c>
      <c r="C14941" s="2">
        <f>HYPERLINK("https://cao.dolgi.msk.ru/account/1080278612/", 1080278612)</f>
        <v>1080278612</v>
      </c>
      <c r="D14941" t="s">
        <v>12691</v>
      </c>
      <c r="E14941">
        <v>-6720.71</v>
      </c>
      <c r="F14941">
        <v>-1.0900000000000001</v>
      </c>
      <c r="G14941" t="s">
        <v>12</v>
      </c>
      <c r="I14941" t="s">
        <v>1050</v>
      </c>
    </row>
    <row r="14942" spans="1:9" hidden="1" x14ac:dyDescent="0.25">
      <c r="A14942" t="s">
        <v>12684</v>
      </c>
      <c r="B14942" t="s">
        <v>24</v>
      </c>
      <c r="C14942" s="2">
        <f>HYPERLINK("https://cao.dolgi.msk.ru/account/1080278639/", 1080278639)</f>
        <v>1080278639</v>
      </c>
      <c r="D14942" t="s">
        <v>12692</v>
      </c>
      <c r="E14942">
        <v>-773.89</v>
      </c>
      <c r="F14942">
        <v>-0.14000000000000001</v>
      </c>
      <c r="G14942" t="s">
        <v>12</v>
      </c>
      <c r="I14942" t="s">
        <v>1050</v>
      </c>
    </row>
    <row r="14943" spans="1:9" hidden="1" x14ac:dyDescent="0.25">
      <c r="A14943" t="s">
        <v>12684</v>
      </c>
      <c r="B14943" t="s">
        <v>27</v>
      </c>
      <c r="C14943" s="2">
        <f>HYPERLINK("https://cao.dolgi.msk.ru/account/1080278647/", 1080278647)</f>
        <v>1080278647</v>
      </c>
      <c r="D14943" t="s">
        <v>12693</v>
      </c>
      <c r="E14943">
        <v>-9548.77</v>
      </c>
      <c r="F14943">
        <v>-1.1000000000000001</v>
      </c>
      <c r="G14943" t="s">
        <v>12</v>
      </c>
      <c r="I14943" t="s">
        <v>1050</v>
      </c>
    </row>
    <row r="14944" spans="1:9" hidden="1" x14ac:dyDescent="0.25">
      <c r="A14944" t="s">
        <v>12684</v>
      </c>
      <c r="B14944" t="s">
        <v>29</v>
      </c>
      <c r="C14944" s="2">
        <f>HYPERLINK("https://cao.dolgi.msk.ru/account/1080278655/", 1080278655)</f>
        <v>1080278655</v>
      </c>
      <c r="D14944" t="s">
        <v>12694</v>
      </c>
      <c r="E14944">
        <v>-5308.72</v>
      </c>
      <c r="F14944">
        <v>-1.19</v>
      </c>
      <c r="G14944" t="s">
        <v>12</v>
      </c>
      <c r="I14944" t="s">
        <v>1050</v>
      </c>
    </row>
    <row r="14945" spans="1:9" hidden="1" x14ac:dyDescent="0.25">
      <c r="A14945" t="s">
        <v>12684</v>
      </c>
      <c r="B14945" t="s">
        <v>31</v>
      </c>
      <c r="C14945" s="2">
        <f>HYPERLINK("https://cao.dolgi.msk.ru/account/1080278663/", 1080278663)</f>
        <v>1080278663</v>
      </c>
      <c r="D14945" t="s">
        <v>12695</v>
      </c>
      <c r="E14945">
        <v>-9409.0499999999993</v>
      </c>
      <c r="F14945">
        <v>-1.4</v>
      </c>
      <c r="G14945" t="s">
        <v>12</v>
      </c>
      <c r="I14945" t="s">
        <v>1050</v>
      </c>
    </row>
    <row r="14946" spans="1:9" hidden="1" x14ac:dyDescent="0.25">
      <c r="A14946" t="s">
        <v>12684</v>
      </c>
      <c r="B14946" t="s">
        <v>33</v>
      </c>
      <c r="C14946" s="2">
        <f>HYPERLINK("https://cao.dolgi.msk.ru/account/1080278671/", 1080278671)</f>
        <v>1080278671</v>
      </c>
      <c r="D14946" t="s">
        <v>12696</v>
      </c>
      <c r="E14946">
        <v>-368.77</v>
      </c>
      <c r="F14946">
        <v>-0.09</v>
      </c>
      <c r="G14946" t="s">
        <v>12</v>
      </c>
      <c r="I14946" t="s">
        <v>1050</v>
      </c>
    </row>
    <row r="14947" spans="1:9" hidden="1" x14ac:dyDescent="0.25">
      <c r="A14947" t="s">
        <v>12684</v>
      </c>
      <c r="B14947" t="s">
        <v>34</v>
      </c>
      <c r="C14947" s="2">
        <f>HYPERLINK("https://cao.dolgi.msk.ru/account/1080278698/", 1080278698)</f>
        <v>1080278698</v>
      </c>
      <c r="D14947" t="s">
        <v>62</v>
      </c>
      <c r="E14947">
        <v>-3651.21</v>
      </c>
      <c r="F14947">
        <v>-0.89</v>
      </c>
      <c r="G14947" t="s">
        <v>12</v>
      </c>
      <c r="I14947" t="s">
        <v>1050</v>
      </c>
    </row>
    <row r="14948" spans="1:9" x14ac:dyDescent="0.25">
      <c r="A14948" t="s">
        <v>12684</v>
      </c>
      <c r="B14948" t="s">
        <v>36</v>
      </c>
      <c r="C14948" s="2">
        <f>HYPERLINK("https://cao.dolgi.msk.ru/account/1080278719/", 1080278719)</f>
        <v>1080278719</v>
      </c>
      <c r="D14948" t="s">
        <v>12697</v>
      </c>
      <c r="E14948">
        <v>12205.01</v>
      </c>
      <c r="F14948">
        <v>1.96</v>
      </c>
      <c r="G14948" t="s">
        <v>12</v>
      </c>
      <c r="I14948" t="s">
        <v>1050</v>
      </c>
    </row>
    <row r="14949" spans="1:9" hidden="1" x14ac:dyDescent="0.25">
      <c r="A14949" t="s">
        <v>12684</v>
      </c>
      <c r="B14949" t="s">
        <v>38</v>
      </c>
      <c r="C14949" s="2">
        <f>HYPERLINK("https://cao.dolgi.msk.ru/account/1080278727/", 1080278727)</f>
        <v>1080278727</v>
      </c>
      <c r="D14949" t="s">
        <v>12698</v>
      </c>
      <c r="E14949">
        <v>-3400.11</v>
      </c>
      <c r="F14949">
        <v>-0.89</v>
      </c>
      <c r="G14949" t="s">
        <v>12</v>
      </c>
      <c r="I14949" t="s">
        <v>1050</v>
      </c>
    </row>
    <row r="14950" spans="1:9" hidden="1" x14ac:dyDescent="0.25">
      <c r="A14950" t="s">
        <v>12684</v>
      </c>
      <c r="B14950" t="s">
        <v>39</v>
      </c>
      <c r="C14950" s="2">
        <f>HYPERLINK("https://cao.dolgi.msk.ru/account/1080278735/", 1080278735)</f>
        <v>1080278735</v>
      </c>
      <c r="D14950" t="s">
        <v>12699</v>
      </c>
      <c r="E14950">
        <v>-4688.24</v>
      </c>
      <c r="F14950">
        <v>-1.1200000000000001</v>
      </c>
      <c r="G14950" t="s">
        <v>12</v>
      </c>
      <c r="I14950" t="s">
        <v>1050</v>
      </c>
    </row>
    <row r="14951" spans="1:9" hidden="1" x14ac:dyDescent="0.25">
      <c r="A14951" t="s">
        <v>12684</v>
      </c>
      <c r="B14951" t="s">
        <v>40</v>
      </c>
      <c r="C14951" s="2">
        <f>HYPERLINK("https://cao.dolgi.msk.ru/account/1080278743/", 1080278743)</f>
        <v>1080278743</v>
      </c>
      <c r="D14951" t="s">
        <v>12700</v>
      </c>
      <c r="E14951">
        <v>-5519.36</v>
      </c>
      <c r="F14951">
        <v>-0.96</v>
      </c>
      <c r="G14951" t="s">
        <v>12</v>
      </c>
      <c r="I14951" t="s">
        <v>1050</v>
      </c>
    </row>
    <row r="14952" spans="1:9" hidden="1" x14ac:dyDescent="0.25">
      <c r="A14952" t="s">
        <v>12684</v>
      </c>
      <c r="B14952" t="s">
        <v>41</v>
      </c>
      <c r="C14952" s="2">
        <f>HYPERLINK("https://cao.dolgi.msk.ru/account/1080278751/", 1080278751)</f>
        <v>1080278751</v>
      </c>
      <c r="D14952" t="s">
        <v>12701</v>
      </c>
      <c r="E14952">
        <v>-5204.0600000000004</v>
      </c>
      <c r="F14952">
        <v>-1.17</v>
      </c>
      <c r="G14952" t="s">
        <v>12</v>
      </c>
      <c r="I14952" t="s">
        <v>1050</v>
      </c>
    </row>
    <row r="14953" spans="1:9" hidden="1" x14ac:dyDescent="0.25">
      <c r="A14953" t="s">
        <v>12684</v>
      </c>
      <c r="B14953" t="s">
        <v>42</v>
      </c>
      <c r="C14953" s="2">
        <f>HYPERLINK("https://cao.dolgi.msk.ru/account/1080278778/", 1080278778)</f>
        <v>1080278778</v>
      </c>
      <c r="D14953" t="s">
        <v>12702</v>
      </c>
      <c r="E14953">
        <v>-691.96</v>
      </c>
      <c r="F14953">
        <v>-0.34</v>
      </c>
      <c r="G14953" t="s">
        <v>12</v>
      </c>
      <c r="I14953" t="s">
        <v>1050</v>
      </c>
    </row>
    <row r="14954" spans="1:9" hidden="1" x14ac:dyDescent="0.25">
      <c r="A14954" t="s">
        <v>12684</v>
      </c>
      <c r="B14954" t="s">
        <v>44</v>
      </c>
      <c r="C14954" s="2">
        <f>HYPERLINK("https://cao.dolgi.msk.ru/account/1080278786/", 1080278786)</f>
        <v>1080278786</v>
      </c>
      <c r="D14954" t="s">
        <v>12703</v>
      </c>
      <c r="E14954">
        <v>-987.79</v>
      </c>
      <c r="F14954">
        <v>-0.23</v>
      </c>
      <c r="G14954" t="s">
        <v>12</v>
      </c>
      <c r="I14954" t="s">
        <v>1050</v>
      </c>
    </row>
    <row r="14955" spans="1:9" x14ac:dyDescent="0.25">
      <c r="A14955" t="s">
        <v>12684</v>
      </c>
      <c r="B14955" t="s">
        <v>66</v>
      </c>
      <c r="C14955" s="2">
        <f>HYPERLINK("https://cao.dolgi.msk.ru/account/1080278794/", 1080278794)</f>
        <v>1080278794</v>
      </c>
      <c r="D14955" t="s">
        <v>12704</v>
      </c>
      <c r="E14955">
        <v>6550.35</v>
      </c>
      <c r="F14955">
        <v>1.03</v>
      </c>
      <c r="G14955" t="s">
        <v>12</v>
      </c>
      <c r="I14955" t="s">
        <v>1050</v>
      </c>
    </row>
    <row r="14956" spans="1:9" hidden="1" x14ac:dyDescent="0.25">
      <c r="A14956" t="s">
        <v>12684</v>
      </c>
      <c r="B14956" t="s">
        <v>68</v>
      </c>
      <c r="C14956" s="2">
        <f>HYPERLINK("https://cao.dolgi.msk.ru/account/1080278807/", 1080278807)</f>
        <v>1080278807</v>
      </c>
      <c r="D14956" t="s">
        <v>12705</v>
      </c>
      <c r="E14956">
        <v>-5162.3500000000004</v>
      </c>
      <c r="F14956">
        <v>-1.37</v>
      </c>
      <c r="G14956" t="s">
        <v>12</v>
      </c>
      <c r="I14956" t="s">
        <v>1050</v>
      </c>
    </row>
    <row r="14957" spans="1:9" hidden="1" x14ac:dyDescent="0.25">
      <c r="A14957" t="s">
        <v>12684</v>
      </c>
      <c r="B14957" t="s">
        <v>70</v>
      </c>
      <c r="C14957" s="2">
        <f>HYPERLINK("https://cao.dolgi.msk.ru/account/1080278815/", 1080278815)</f>
        <v>1080278815</v>
      </c>
      <c r="D14957" t="s">
        <v>12706</v>
      </c>
      <c r="E14957">
        <v>-5236.3900000000003</v>
      </c>
      <c r="F14957">
        <v>-1.28</v>
      </c>
      <c r="G14957" t="s">
        <v>12</v>
      </c>
      <c r="I14957" t="s">
        <v>1050</v>
      </c>
    </row>
    <row r="14958" spans="1:9" hidden="1" x14ac:dyDescent="0.25">
      <c r="A14958" t="s">
        <v>12684</v>
      </c>
      <c r="B14958" t="s">
        <v>72</v>
      </c>
      <c r="C14958" s="2">
        <f>HYPERLINK("https://cao.dolgi.msk.ru/account/1080278823/", 1080278823)</f>
        <v>1080278823</v>
      </c>
      <c r="D14958" t="s">
        <v>12707</v>
      </c>
      <c r="E14958">
        <v>232.8</v>
      </c>
      <c r="F14958">
        <v>0.03</v>
      </c>
      <c r="G14958" t="s">
        <v>12</v>
      </c>
      <c r="I14958" t="s">
        <v>1050</v>
      </c>
    </row>
    <row r="14959" spans="1:9" hidden="1" x14ac:dyDescent="0.25">
      <c r="A14959" t="s">
        <v>12684</v>
      </c>
      <c r="B14959" t="s">
        <v>74</v>
      </c>
      <c r="C14959" s="2">
        <f>HYPERLINK("https://cao.dolgi.msk.ru/account/1080278831/", 1080278831)</f>
        <v>1080278831</v>
      </c>
      <c r="D14959" t="s">
        <v>12708</v>
      </c>
      <c r="E14959">
        <v>-36.49</v>
      </c>
      <c r="F14959">
        <v>-0.01</v>
      </c>
      <c r="G14959" t="s">
        <v>12</v>
      </c>
      <c r="I14959" t="s">
        <v>1050</v>
      </c>
    </row>
    <row r="14960" spans="1:9" hidden="1" x14ac:dyDescent="0.25">
      <c r="A14960" t="s">
        <v>12684</v>
      </c>
      <c r="B14960" t="s">
        <v>76</v>
      </c>
      <c r="C14960" s="2">
        <f>HYPERLINK("https://cao.dolgi.msk.ru/account/1080278858/", 1080278858)</f>
        <v>1080278858</v>
      </c>
      <c r="D14960" t="s">
        <v>12709</v>
      </c>
      <c r="E14960">
        <v>-8560.2800000000007</v>
      </c>
      <c r="F14960">
        <v>-2.0499999999999998</v>
      </c>
      <c r="G14960" t="s">
        <v>12</v>
      </c>
      <c r="I14960" t="s">
        <v>1050</v>
      </c>
    </row>
    <row r="14961" spans="1:9" hidden="1" x14ac:dyDescent="0.25">
      <c r="A14961" t="s">
        <v>12684</v>
      </c>
      <c r="B14961" t="s">
        <v>78</v>
      </c>
      <c r="C14961" s="2">
        <f>HYPERLINK("https://cao.dolgi.msk.ru/account/1080278866/", 1080278866)</f>
        <v>1080278866</v>
      </c>
      <c r="D14961" t="s">
        <v>12710</v>
      </c>
      <c r="E14961">
        <v>1427.75</v>
      </c>
      <c r="F14961">
        <v>0.33</v>
      </c>
      <c r="G14961" t="s">
        <v>12</v>
      </c>
      <c r="I14961" t="s">
        <v>1050</v>
      </c>
    </row>
    <row r="14962" spans="1:9" hidden="1" x14ac:dyDescent="0.25">
      <c r="A14962" t="s">
        <v>12684</v>
      </c>
      <c r="B14962" t="s">
        <v>80</v>
      </c>
      <c r="C14962" s="2">
        <f>HYPERLINK("https://cao.dolgi.msk.ru/account/1080278874/", 1080278874)</f>
        <v>1080278874</v>
      </c>
      <c r="D14962" t="s">
        <v>12711</v>
      </c>
      <c r="E14962">
        <v>-7746.8</v>
      </c>
      <c r="F14962">
        <v>-1.85</v>
      </c>
      <c r="G14962" t="s">
        <v>12</v>
      </c>
      <c r="I14962" t="s">
        <v>1050</v>
      </c>
    </row>
    <row r="14963" spans="1:9" hidden="1" x14ac:dyDescent="0.25">
      <c r="A14963" t="s">
        <v>12684</v>
      </c>
      <c r="B14963" t="s">
        <v>82</v>
      </c>
      <c r="C14963" s="2">
        <f>HYPERLINK("https://cao.dolgi.msk.ru/account/1080278882/", 1080278882)</f>
        <v>1080278882</v>
      </c>
      <c r="D14963" t="s">
        <v>12712</v>
      </c>
      <c r="E14963">
        <v>-7435.59</v>
      </c>
      <c r="F14963">
        <v>-1.55</v>
      </c>
      <c r="G14963" t="s">
        <v>12</v>
      </c>
      <c r="I14963" t="s">
        <v>1050</v>
      </c>
    </row>
    <row r="14964" spans="1:9" hidden="1" x14ac:dyDescent="0.25">
      <c r="A14964" t="s">
        <v>12684</v>
      </c>
      <c r="B14964" t="s">
        <v>84</v>
      </c>
      <c r="C14964" s="2">
        <f>HYPERLINK("https://cao.dolgi.msk.ru/account/1080278903/", 1080278903)</f>
        <v>1080278903</v>
      </c>
      <c r="D14964" t="s">
        <v>12713</v>
      </c>
      <c r="E14964">
        <v>-6114.18</v>
      </c>
      <c r="F14964">
        <v>-1.33</v>
      </c>
      <c r="G14964" t="s">
        <v>12</v>
      </c>
      <c r="I14964" t="s">
        <v>1050</v>
      </c>
    </row>
    <row r="14965" spans="1:9" hidden="1" x14ac:dyDescent="0.25">
      <c r="A14965" t="s">
        <v>12684</v>
      </c>
      <c r="B14965" t="s">
        <v>86</v>
      </c>
      <c r="C14965" s="2">
        <f>HYPERLINK("https://cao.dolgi.msk.ru/account/1080278911/", 1080278911)</f>
        <v>1080278911</v>
      </c>
      <c r="D14965" t="s">
        <v>12714</v>
      </c>
      <c r="E14965">
        <v>-5577.79</v>
      </c>
      <c r="F14965">
        <v>-1.1399999999999999</v>
      </c>
      <c r="G14965" t="s">
        <v>12</v>
      </c>
      <c r="I14965" t="s">
        <v>1050</v>
      </c>
    </row>
    <row r="14966" spans="1:9" hidden="1" x14ac:dyDescent="0.25">
      <c r="A14966" t="s">
        <v>12684</v>
      </c>
      <c r="B14966" t="s">
        <v>88</v>
      </c>
      <c r="C14966" s="2">
        <f>HYPERLINK("https://cao.dolgi.msk.ru/account/1080278938/", 1080278938)</f>
        <v>1080278938</v>
      </c>
      <c r="D14966" t="s">
        <v>12715</v>
      </c>
      <c r="E14966">
        <v>-5291.43</v>
      </c>
      <c r="F14966">
        <v>-1.0900000000000001</v>
      </c>
      <c r="G14966" t="s">
        <v>12</v>
      </c>
      <c r="I14966" t="s">
        <v>1050</v>
      </c>
    </row>
    <row r="14967" spans="1:9" hidden="1" x14ac:dyDescent="0.25">
      <c r="A14967" t="s">
        <v>12684</v>
      </c>
      <c r="B14967" t="s">
        <v>90</v>
      </c>
      <c r="C14967" s="2">
        <f>HYPERLINK("https://cao.dolgi.msk.ru/account/1080278946/", 1080278946)</f>
        <v>1080278946</v>
      </c>
      <c r="D14967" t="s">
        <v>12716</v>
      </c>
      <c r="E14967">
        <v>-3355.31</v>
      </c>
      <c r="F14967">
        <v>-1.1100000000000001</v>
      </c>
      <c r="G14967" t="s">
        <v>12</v>
      </c>
      <c r="I14967" t="s">
        <v>1050</v>
      </c>
    </row>
    <row r="14968" spans="1:9" hidden="1" x14ac:dyDescent="0.25">
      <c r="A14968" t="s">
        <v>12684</v>
      </c>
      <c r="B14968" t="s">
        <v>92</v>
      </c>
      <c r="C14968" s="2">
        <f>HYPERLINK("https://cao.dolgi.msk.ru/account/1080278954/", 1080278954)</f>
        <v>1080278954</v>
      </c>
      <c r="D14968" t="s">
        <v>12717</v>
      </c>
      <c r="E14968">
        <v>-230</v>
      </c>
      <c r="F14968">
        <v>-0.09</v>
      </c>
      <c r="G14968" t="s">
        <v>12</v>
      </c>
      <c r="I14968" t="s">
        <v>1050</v>
      </c>
    </row>
    <row r="14969" spans="1:9" x14ac:dyDescent="0.25">
      <c r="A14969" t="s">
        <v>12684</v>
      </c>
      <c r="B14969" t="s">
        <v>94</v>
      </c>
      <c r="C14969" s="2">
        <f>HYPERLINK("https://cao.dolgi.msk.ru/account/1080278962/", 1080278962)</f>
        <v>1080278962</v>
      </c>
      <c r="D14969" t="s">
        <v>12718</v>
      </c>
      <c r="E14969">
        <v>6319.04</v>
      </c>
      <c r="F14969">
        <v>1.35</v>
      </c>
      <c r="G14969" t="s">
        <v>12</v>
      </c>
      <c r="I14969" t="s">
        <v>1050</v>
      </c>
    </row>
    <row r="14970" spans="1:9" hidden="1" x14ac:dyDescent="0.25">
      <c r="A14970" t="s">
        <v>12684</v>
      </c>
      <c r="B14970" t="s">
        <v>96</v>
      </c>
      <c r="C14970" s="2">
        <f>HYPERLINK("https://cao.dolgi.msk.ru/account/1080278989/", 1080278989)</f>
        <v>1080278989</v>
      </c>
      <c r="D14970" t="s">
        <v>12719</v>
      </c>
      <c r="E14970">
        <v>-4049.03</v>
      </c>
      <c r="F14970">
        <v>-1.1299999999999999</v>
      </c>
      <c r="G14970" t="s">
        <v>12</v>
      </c>
      <c r="I14970" t="s">
        <v>1050</v>
      </c>
    </row>
    <row r="14971" spans="1:9" hidden="1" x14ac:dyDescent="0.25">
      <c r="A14971" t="s">
        <v>12684</v>
      </c>
      <c r="B14971" t="s">
        <v>98</v>
      </c>
      <c r="C14971" s="2">
        <f>HYPERLINK("https://cao.dolgi.msk.ru/account/1080278997/", 1080278997)</f>
        <v>1080278997</v>
      </c>
      <c r="D14971" t="s">
        <v>12720</v>
      </c>
      <c r="E14971">
        <v>0</v>
      </c>
      <c r="F14971">
        <v>0</v>
      </c>
      <c r="G14971" t="s">
        <v>12</v>
      </c>
      <c r="I14971" t="s">
        <v>1050</v>
      </c>
    </row>
    <row r="14972" spans="1:9" hidden="1" x14ac:dyDescent="0.25">
      <c r="A14972" t="s">
        <v>12684</v>
      </c>
      <c r="B14972" t="s">
        <v>100</v>
      </c>
      <c r="C14972" s="2">
        <f>HYPERLINK("https://cao.dolgi.msk.ru/account/1080279009/", 1080279009)</f>
        <v>1080279009</v>
      </c>
      <c r="D14972" t="s">
        <v>12721</v>
      </c>
      <c r="E14972">
        <v>0</v>
      </c>
      <c r="F14972">
        <v>0</v>
      </c>
      <c r="G14972" t="s">
        <v>12</v>
      </c>
      <c r="I14972" t="s">
        <v>1050</v>
      </c>
    </row>
    <row r="14973" spans="1:9" hidden="1" x14ac:dyDescent="0.25">
      <c r="A14973" t="s">
        <v>12684</v>
      </c>
      <c r="B14973" t="s">
        <v>102</v>
      </c>
      <c r="C14973" s="2">
        <f>HYPERLINK("https://cao.dolgi.msk.ru/account/1080279017/", 1080279017)</f>
        <v>1080279017</v>
      </c>
      <c r="D14973" t="s">
        <v>12722</v>
      </c>
      <c r="E14973">
        <v>-2505.4</v>
      </c>
      <c r="F14973">
        <v>-1.1499999999999999</v>
      </c>
      <c r="G14973" t="s">
        <v>12</v>
      </c>
      <c r="I14973" t="s">
        <v>1050</v>
      </c>
    </row>
    <row r="14974" spans="1:9" hidden="1" x14ac:dyDescent="0.25">
      <c r="A14974" t="s">
        <v>12684</v>
      </c>
      <c r="B14974" t="s">
        <v>104</v>
      </c>
      <c r="C14974" s="2">
        <f>HYPERLINK("https://cao.dolgi.msk.ru/account/1080279025/", 1080279025)</f>
        <v>1080279025</v>
      </c>
      <c r="D14974" t="s">
        <v>12723</v>
      </c>
      <c r="E14974">
        <v>-5761.82</v>
      </c>
      <c r="F14974">
        <v>-1.7</v>
      </c>
      <c r="G14974" t="s">
        <v>12</v>
      </c>
      <c r="I14974" t="s">
        <v>1050</v>
      </c>
    </row>
    <row r="14975" spans="1:9" hidden="1" x14ac:dyDescent="0.25">
      <c r="A14975" t="s">
        <v>12684</v>
      </c>
      <c r="B14975" t="s">
        <v>106</v>
      </c>
      <c r="C14975" s="2">
        <f>HYPERLINK("https://cao.dolgi.msk.ru/account/1080279033/", 1080279033)</f>
        <v>1080279033</v>
      </c>
      <c r="D14975" t="s">
        <v>12724</v>
      </c>
      <c r="E14975">
        <v>-3012.47</v>
      </c>
      <c r="F14975">
        <v>-1.24</v>
      </c>
      <c r="G14975" t="s">
        <v>12</v>
      </c>
      <c r="I14975" t="s">
        <v>1050</v>
      </c>
    </row>
    <row r="14976" spans="1:9" hidden="1" x14ac:dyDescent="0.25">
      <c r="A14976" t="s">
        <v>12684</v>
      </c>
      <c r="B14976" t="s">
        <v>108</v>
      </c>
      <c r="C14976" s="2">
        <f>HYPERLINK("https://cao.dolgi.msk.ru/account/1080279041/", 1080279041)</f>
        <v>1080279041</v>
      </c>
      <c r="D14976" t="s">
        <v>12725</v>
      </c>
      <c r="E14976">
        <v>-1849.03</v>
      </c>
      <c r="F14976">
        <v>-1.1100000000000001</v>
      </c>
      <c r="G14976" t="s">
        <v>12</v>
      </c>
      <c r="I14976" t="s">
        <v>1050</v>
      </c>
    </row>
    <row r="14977" spans="1:9" hidden="1" x14ac:dyDescent="0.25">
      <c r="A14977" t="s">
        <v>12684</v>
      </c>
      <c r="B14977" t="s">
        <v>110</v>
      </c>
      <c r="C14977" s="2">
        <f>HYPERLINK("https://cao.dolgi.msk.ru/account/1080279068/", 1080279068)</f>
        <v>1080279068</v>
      </c>
      <c r="D14977" t="s">
        <v>12726</v>
      </c>
      <c r="E14977">
        <v>-2107.3200000000002</v>
      </c>
      <c r="F14977">
        <v>-1.0900000000000001</v>
      </c>
      <c r="G14977" t="s">
        <v>12</v>
      </c>
      <c r="I14977" t="s">
        <v>1050</v>
      </c>
    </row>
    <row r="14978" spans="1:9" hidden="1" x14ac:dyDescent="0.25">
      <c r="A14978" t="s">
        <v>12684</v>
      </c>
      <c r="B14978" t="s">
        <v>112</v>
      </c>
      <c r="C14978" s="2">
        <f>HYPERLINK("https://cao.dolgi.msk.ru/account/1080279076/", 1080279076)</f>
        <v>1080279076</v>
      </c>
      <c r="D14978" t="s">
        <v>12727</v>
      </c>
      <c r="E14978">
        <v>-5072.37</v>
      </c>
      <c r="F14978">
        <v>-1.1299999999999999</v>
      </c>
      <c r="G14978" t="s">
        <v>12</v>
      </c>
      <c r="I14978" t="s">
        <v>1050</v>
      </c>
    </row>
    <row r="14979" spans="1:9" hidden="1" x14ac:dyDescent="0.25">
      <c r="A14979" t="s">
        <v>12684</v>
      </c>
      <c r="B14979" t="s">
        <v>114</v>
      </c>
      <c r="C14979" s="2">
        <f>HYPERLINK("https://cao.dolgi.msk.ru/account/1080279084/", 1080279084)</f>
        <v>1080279084</v>
      </c>
      <c r="D14979" t="s">
        <v>12728</v>
      </c>
      <c r="E14979">
        <v>-2849.77</v>
      </c>
      <c r="F14979">
        <v>-1.21</v>
      </c>
      <c r="G14979" t="s">
        <v>12</v>
      </c>
      <c r="I14979" t="s">
        <v>1050</v>
      </c>
    </row>
    <row r="14980" spans="1:9" hidden="1" x14ac:dyDescent="0.25">
      <c r="A14980" t="s">
        <v>12684</v>
      </c>
      <c r="B14980" t="s">
        <v>116</v>
      </c>
      <c r="C14980" s="2">
        <f>HYPERLINK("https://cao.dolgi.msk.ru/account/1080279092/", 1080279092)</f>
        <v>1080279092</v>
      </c>
      <c r="D14980" t="s">
        <v>12729</v>
      </c>
      <c r="E14980">
        <v>-5213.58</v>
      </c>
      <c r="F14980">
        <v>-1.18</v>
      </c>
      <c r="G14980" t="s">
        <v>12</v>
      </c>
      <c r="I14980" t="s">
        <v>1050</v>
      </c>
    </row>
    <row r="14981" spans="1:9" hidden="1" x14ac:dyDescent="0.25">
      <c r="A14981" t="s">
        <v>12684</v>
      </c>
      <c r="B14981" t="s">
        <v>118</v>
      </c>
      <c r="C14981" s="2">
        <f>HYPERLINK("https://cao.dolgi.msk.ru/account/1080279105/", 1080279105)</f>
        <v>1080279105</v>
      </c>
      <c r="D14981" t="s">
        <v>12730</v>
      </c>
      <c r="E14981">
        <v>-32.229999999999997</v>
      </c>
      <c r="F14981">
        <v>-0.01</v>
      </c>
      <c r="G14981" t="s">
        <v>12</v>
      </c>
      <c r="I14981" t="s">
        <v>1050</v>
      </c>
    </row>
    <row r="14982" spans="1:9" hidden="1" x14ac:dyDescent="0.25">
      <c r="A14982" t="s">
        <v>12684</v>
      </c>
      <c r="B14982" t="s">
        <v>120</v>
      </c>
      <c r="C14982" s="2">
        <f>HYPERLINK("https://cao.dolgi.msk.ru/account/1080279113/", 1080279113)</f>
        <v>1080279113</v>
      </c>
      <c r="D14982" t="s">
        <v>12731</v>
      </c>
      <c r="E14982">
        <v>-3059.47</v>
      </c>
      <c r="F14982">
        <v>-1.33</v>
      </c>
      <c r="G14982" t="s">
        <v>12</v>
      </c>
      <c r="I14982" t="s">
        <v>1050</v>
      </c>
    </row>
    <row r="14983" spans="1:9" hidden="1" x14ac:dyDescent="0.25">
      <c r="A14983" t="s">
        <v>12684</v>
      </c>
      <c r="B14983" t="s">
        <v>122</v>
      </c>
      <c r="C14983" s="2">
        <f>HYPERLINK("https://cao.dolgi.msk.ru/account/1080279121/", 1080279121)</f>
        <v>1080279121</v>
      </c>
      <c r="D14983" t="s">
        <v>12732</v>
      </c>
      <c r="E14983">
        <v>-7313.76</v>
      </c>
      <c r="F14983">
        <v>-2.7</v>
      </c>
      <c r="G14983" t="s">
        <v>12</v>
      </c>
      <c r="I14983" t="s">
        <v>1050</v>
      </c>
    </row>
    <row r="14984" spans="1:9" hidden="1" x14ac:dyDescent="0.25">
      <c r="A14984" t="s">
        <v>12684</v>
      </c>
      <c r="B14984" t="s">
        <v>124</v>
      </c>
      <c r="C14984" s="2">
        <f>HYPERLINK("https://cao.dolgi.msk.ru/account/1080279148/", 1080279148)</f>
        <v>1080279148</v>
      </c>
      <c r="D14984" t="s">
        <v>12733</v>
      </c>
      <c r="E14984">
        <v>-5670.29</v>
      </c>
      <c r="F14984">
        <v>-0.97</v>
      </c>
      <c r="G14984" t="s">
        <v>12</v>
      </c>
      <c r="I14984" t="s">
        <v>1050</v>
      </c>
    </row>
    <row r="14985" spans="1:9" hidden="1" x14ac:dyDescent="0.25">
      <c r="A14985" t="s">
        <v>12684</v>
      </c>
      <c r="B14985" t="s">
        <v>126</v>
      </c>
      <c r="C14985" s="2">
        <f>HYPERLINK("https://cao.dolgi.msk.ru/account/1080279156/", 1080279156)</f>
        <v>1080279156</v>
      </c>
      <c r="D14985" t="s">
        <v>12734</v>
      </c>
      <c r="E14985">
        <v>-48.5</v>
      </c>
      <c r="F14985">
        <v>-0.01</v>
      </c>
      <c r="G14985" t="s">
        <v>12</v>
      </c>
      <c r="I14985" t="s">
        <v>1050</v>
      </c>
    </row>
    <row r="14986" spans="1:9" hidden="1" x14ac:dyDescent="0.25">
      <c r="A14986" t="s">
        <v>12684</v>
      </c>
      <c r="B14986" t="s">
        <v>128</v>
      </c>
      <c r="C14986" s="2">
        <f>HYPERLINK("https://cao.dolgi.msk.ru/account/1080279164/", 1080279164)</f>
        <v>1080279164</v>
      </c>
      <c r="D14986" t="s">
        <v>12735</v>
      </c>
      <c r="E14986">
        <v>-3816.48</v>
      </c>
      <c r="F14986">
        <v>-1.0900000000000001</v>
      </c>
      <c r="G14986" t="s">
        <v>12</v>
      </c>
      <c r="I14986" t="s">
        <v>1050</v>
      </c>
    </row>
    <row r="14987" spans="1:9" hidden="1" x14ac:dyDescent="0.25">
      <c r="A14987" t="s">
        <v>12684</v>
      </c>
      <c r="B14987" t="s">
        <v>130</v>
      </c>
      <c r="C14987" s="2">
        <f>HYPERLINK("https://cao.dolgi.msk.ru/account/1080279172/", 1080279172)</f>
        <v>1080279172</v>
      </c>
      <c r="D14987" t="s">
        <v>7566</v>
      </c>
      <c r="E14987">
        <v>-6394.37</v>
      </c>
      <c r="F14987">
        <v>-1.17</v>
      </c>
      <c r="G14987" t="s">
        <v>12</v>
      </c>
      <c r="I14987" t="s">
        <v>1050</v>
      </c>
    </row>
    <row r="14988" spans="1:9" hidden="1" x14ac:dyDescent="0.25">
      <c r="A14988" t="s">
        <v>12684</v>
      </c>
      <c r="B14988" t="s">
        <v>132</v>
      </c>
      <c r="C14988" s="2">
        <f>HYPERLINK("https://cao.dolgi.msk.ru/account/1080279199/", 1080279199)</f>
        <v>1080279199</v>
      </c>
      <c r="D14988" t="s">
        <v>15</v>
      </c>
      <c r="E14988">
        <v>-3517.87</v>
      </c>
      <c r="F14988">
        <v>-0.91</v>
      </c>
      <c r="G14988" t="s">
        <v>12</v>
      </c>
      <c r="I14988" t="s">
        <v>1050</v>
      </c>
    </row>
    <row r="14989" spans="1:9" hidden="1" x14ac:dyDescent="0.25">
      <c r="A14989" t="s">
        <v>12684</v>
      </c>
      <c r="B14989" t="s">
        <v>133</v>
      </c>
      <c r="C14989" s="2">
        <f>HYPERLINK("https://cao.dolgi.msk.ru/account/1080279201/", 1080279201)</f>
        <v>1080279201</v>
      </c>
      <c r="D14989" t="s">
        <v>12645</v>
      </c>
      <c r="E14989">
        <v>-6824.11</v>
      </c>
      <c r="F14989">
        <v>-1.18</v>
      </c>
      <c r="G14989" t="s">
        <v>12</v>
      </c>
      <c r="I14989" t="s">
        <v>1050</v>
      </c>
    </row>
    <row r="14990" spans="1:9" hidden="1" x14ac:dyDescent="0.25">
      <c r="A14990" t="s">
        <v>12684</v>
      </c>
      <c r="B14990" t="s">
        <v>135</v>
      </c>
      <c r="C14990" s="2">
        <f>HYPERLINK("https://cao.dolgi.msk.ru/account/1080279228/", 1080279228)</f>
        <v>1080279228</v>
      </c>
      <c r="D14990" t="s">
        <v>12736</v>
      </c>
      <c r="E14990">
        <v>4.9800000000000004</v>
      </c>
      <c r="F14990">
        <v>0</v>
      </c>
      <c r="G14990" t="s">
        <v>12</v>
      </c>
      <c r="I14990" t="s">
        <v>1050</v>
      </c>
    </row>
    <row r="14991" spans="1:9" hidden="1" x14ac:dyDescent="0.25">
      <c r="A14991" t="s">
        <v>12684</v>
      </c>
      <c r="B14991" t="s">
        <v>137</v>
      </c>
      <c r="C14991" s="2">
        <f>HYPERLINK("https://cao.dolgi.msk.ru/account/1080279236/", 1080279236)</f>
        <v>1080279236</v>
      </c>
      <c r="D14991" t="s">
        <v>12737</v>
      </c>
      <c r="E14991">
        <v>-2263.94</v>
      </c>
      <c r="F14991">
        <v>-1.18</v>
      </c>
      <c r="G14991" t="s">
        <v>12</v>
      </c>
      <c r="I14991" t="s">
        <v>1050</v>
      </c>
    </row>
    <row r="14992" spans="1:9" hidden="1" x14ac:dyDescent="0.25">
      <c r="A14992" t="s">
        <v>12684</v>
      </c>
      <c r="B14992" t="s">
        <v>139</v>
      </c>
      <c r="C14992" s="2">
        <f>HYPERLINK("https://cao.dolgi.msk.ru/account/1080279244/", 1080279244)</f>
        <v>1080279244</v>
      </c>
      <c r="D14992" t="s">
        <v>12738</v>
      </c>
      <c r="E14992">
        <v>-9027.86</v>
      </c>
      <c r="F14992">
        <v>-1.1000000000000001</v>
      </c>
      <c r="G14992" t="s">
        <v>12</v>
      </c>
      <c r="I14992" t="s">
        <v>1050</v>
      </c>
    </row>
    <row r="14993" spans="1:9" hidden="1" x14ac:dyDescent="0.25">
      <c r="A14993" t="s">
        <v>12684</v>
      </c>
      <c r="B14993" t="s">
        <v>141</v>
      </c>
      <c r="C14993" s="2">
        <f>HYPERLINK("https://cao.dolgi.msk.ru/account/1080279252/", 1080279252)</f>
        <v>1080279252</v>
      </c>
      <c r="D14993" t="s">
        <v>12739</v>
      </c>
      <c r="E14993">
        <v>-457.02</v>
      </c>
      <c r="F14993">
        <v>-0.1</v>
      </c>
      <c r="G14993" t="s">
        <v>12</v>
      </c>
      <c r="I14993" t="s">
        <v>1050</v>
      </c>
    </row>
    <row r="14994" spans="1:9" hidden="1" x14ac:dyDescent="0.25">
      <c r="A14994" t="s">
        <v>12684</v>
      </c>
      <c r="B14994" t="s">
        <v>143</v>
      </c>
      <c r="C14994" s="2">
        <f>HYPERLINK("https://cao.dolgi.msk.ru/account/1080279279/", 1080279279)</f>
        <v>1080279279</v>
      </c>
      <c r="D14994" t="s">
        <v>12740</v>
      </c>
      <c r="E14994">
        <v>-3208.74</v>
      </c>
      <c r="F14994">
        <v>-1.37</v>
      </c>
      <c r="G14994" t="s">
        <v>12</v>
      </c>
      <c r="I14994" t="s">
        <v>1050</v>
      </c>
    </row>
    <row r="14995" spans="1:9" hidden="1" x14ac:dyDescent="0.25">
      <c r="A14995" t="s">
        <v>12684</v>
      </c>
      <c r="B14995" t="s">
        <v>145</v>
      </c>
      <c r="C14995" s="2">
        <f>HYPERLINK("https://cao.dolgi.msk.ru/account/1080279287/", 1080279287)</f>
        <v>1080279287</v>
      </c>
      <c r="D14995" t="s">
        <v>12741</v>
      </c>
      <c r="E14995">
        <v>-4950.4799999999996</v>
      </c>
      <c r="F14995">
        <v>-1.05</v>
      </c>
      <c r="G14995" t="s">
        <v>12</v>
      </c>
      <c r="I14995" t="s">
        <v>1050</v>
      </c>
    </row>
    <row r="14996" spans="1:9" hidden="1" x14ac:dyDescent="0.25">
      <c r="A14996" t="s">
        <v>12684</v>
      </c>
      <c r="B14996" t="s">
        <v>147</v>
      </c>
      <c r="C14996" s="2">
        <f>HYPERLINK("https://cao.dolgi.msk.ru/account/1080279295/", 1080279295)</f>
        <v>1080279295</v>
      </c>
      <c r="D14996" t="s">
        <v>12742</v>
      </c>
      <c r="E14996">
        <v>-4521.13</v>
      </c>
      <c r="F14996">
        <v>-1.18</v>
      </c>
      <c r="G14996" t="s">
        <v>12</v>
      </c>
      <c r="I14996" t="s">
        <v>1050</v>
      </c>
    </row>
    <row r="14997" spans="1:9" hidden="1" x14ac:dyDescent="0.25">
      <c r="A14997" t="s">
        <v>12684</v>
      </c>
      <c r="B14997" t="s">
        <v>149</v>
      </c>
      <c r="C14997" s="2">
        <f>HYPERLINK("https://cao.dolgi.msk.ru/account/1080279308/", 1080279308)</f>
        <v>1080279308</v>
      </c>
      <c r="D14997" t="s">
        <v>12743</v>
      </c>
      <c r="E14997">
        <v>-8536.3700000000008</v>
      </c>
      <c r="F14997">
        <v>-1.05</v>
      </c>
      <c r="G14997" t="s">
        <v>12</v>
      </c>
      <c r="I14997" t="s">
        <v>1050</v>
      </c>
    </row>
    <row r="14998" spans="1:9" hidden="1" x14ac:dyDescent="0.25">
      <c r="A14998" t="s">
        <v>12684</v>
      </c>
      <c r="B14998" t="s">
        <v>151</v>
      </c>
      <c r="C14998" s="2">
        <f>HYPERLINK("https://cao.dolgi.msk.ru/account/1080279316/", 1080279316)</f>
        <v>1080279316</v>
      </c>
      <c r="D14998" t="s">
        <v>12744</v>
      </c>
      <c r="E14998">
        <v>-7966.34</v>
      </c>
      <c r="F14998">
        <v>-2.0099999999999998</v>
      </c>
      <c r="G14998" t="s">
        <v>12</v>
      </c>
      <c r="I14998" t="s">
        <v>1050</v>
      </c>
    </row>
    <row r="14999" spans="1:9" hidden="1" x14ac:dyDescent="0.25">
      <c r="A14999" t="s">
        <v>12684</v>
      </c>
      <c r="B14999" t="s">
        <v>153</v>
      </c>
      <c r="C14999" s="2">
        <f>HYPERLINK("https://cao.dolgi.msk.ru/account/1080279324/", 1080279324)</f>
        <v>1080279324</v>
      </c>
      <c r="D14999" t="s">
        <v>12745</v>
      </c>
      <c r="E14999">
        <v>-7425.27</v>
      </c>
      <c r="F14999">
        <v>-1.17</v>
      </c>
      <c r="G14999" t="s">
        <v>12</v>
      </c>
      <c r="I14999" t="s">
        <v>1050</v>
      </c>
    </row>
    <row r="15000" spans="1:9" hidden="1" x14ac:dyDescent="0.25">
      <c r="A15000" t="s">
        <v>12684</v>
      </c>
      <c r="B15000" t="s">
        <v>155</v>
      </c>
      <c r="C15000" s="2">
        <f>HYPERLINK("https://cao.dolgi.msk.ru/account/1080279332/", 1080279332)</f>
        <v>1080279332</v>
      </c>
      <c r="D15000" t="s">
        <v>15</v>
      </c>
      <c r="E15000">
        <v>-5313.7</v>
      </c>
      <c r="F15000">
        <v>-0.99</v>
      </c>
      <c r="G15000" t="s">
        <v>12</v>
      </c>
      <c r="I15000" t="s">
        <v>1050</v>
      </c>
    </row>
    <row r="15001" spans="1:9" hidden="1" x14ac:dyDescent="0.25">
      <c r="A15001" t="s">
        <v>12684</v>
      </c>
      <c r="B15001" t="s">
        <v>157</v>
      </c>
      <c r="C15001" s="2">
        <f>HYPERLINK("https://cao.dolgi.msk.ru/account/1080279359/", 1080279359)</f>
        <v>1080279359</v>
      </c>
      <c r="D15001" t="s">
        <v>12746</v>
      </c>
      <c r="E15001">
        <v>8.52</v>
      </c>
      <c r="F15001">
        <v>0</v>
      </c>
      <c r="G15001" t="s">
        <v>12</v>
      </c>
      <c r="I15001" t="s">
        <v>1050</v>
      </c>
    </row>
    <row r="15002" spans="1:9" hidden="1" x14ac:dyDescent="0.25">
      <c r="A15002" t="s">
        <v>12684</v>
      </c>
      <c r="B15002" t="s">
        <v>159</v>
      </c>
      <c r="C15002" s="2">
        <f>HYPERLINK("https://cao.dolgi.msk.ru/account/1080279367/", 1080279367)</f>
        <v>1080279367</v>
      </c>
      <c r="D15002" t="s">
        <v>12747</v>
      </c>
      <c r="E15002">
        <v>-1953.74</v>
      </c>
      <c r="F15002">
        <v>-1.1200000000000001</v>
      </c>
      <c r="G15002" t="s">
        <v>12</v>
      </c>
      <c r="I15002" t="s">
        <v>1050</v>
      </c>
    </row>
    <row r="15003" spans="1:9" hidden="1" x14ac:dyDescent="0.25">
      <c r="A15003" t="s">
        <v>12684</v>
      </c>
      <c r="B15003" t="s">
        <v>161</v>
      </c>
      <c r="C15003" s="2">
        <f>HYPERLINK("https://cao.dolgi.msk.ru/account/1080279375/", 1080279375)</f>
        <v>1080279375</v>
      </c>
      <c r="D15003" t="s">
        <v>12748</v>
      </c>
      <c r="E15003">
        <v>-6365.2</v>
      </c>
      <c r="F15003">
        <v>-1.2</v>
      </c>
      <c r="G15003" t="s">
        <v>12</v>
      </c>
      <c r="I15003" t="s">
        <v>1050</v>
      </c>
    </row>
    <row r="15004" spans="1:9" hidden="1" x14ac:dyDescent="0.25">
      <c r="A15004" t="s">
        <v>12684</v>
      </c>
      <c r="B15004" t="s">
        <v>163</v>
      </c>
      <c r="C15004" s="2">
        <f>HYPERLINK("https://cao.dolgi.msk.ru/account/1080279383/", 1080279383)</f>
        <v>1080279383</v>
      </c>
      <c r="D15004" t="s">
        <v>12749</v>
      </c>
      <c r="E15004">
        <v>-1729.45</v>
      </c>
      <c r="F15004">
        <v>-1.1000000000000001</v>
      </c>
      <c r="G15004" t="s">
        <v>12</v>
      </c>
      <c r="I15004" t="s">
        <v>1050</v>
      </c>
    </row>
    <row r="15005" spans="1:9" hidden="1" x14ac:dyDescent="0.25">
      <c r="A15005" t="s">
        <v>12684</v>
      </c>
      <c r="B15005" t="s">
        <v>571</v>
      </c>
      <c r="C15005" s="2">
        <f>HYPERLINK("https://cao.dolgi.msk.ru/account/1080279391/", 1080279391)</f>
        <v>1080279391</v>
      </c>
      <c r="D15005" t="s">
        <v>12750</v>
      </c>
      <c r="E15005">
        <v>-6853.94</v>
      </c>
      <c r="F15005">
        <v>-1.0900000000000001</v>
      </c>
      <c r="G15005" t="s">
        <v>12</v>
      </c>
      <c r="I15005" t="s">
        <v>1050</v>
      </c>
    </row>
    <row r="15006" spans="1:9" hidden="1" x14ac:dyDescent="0.25">
      <c r="A15006" t="s">
        <v>12684</v>
      </c>
      <c r="B15006" t="s">
        <v>682</v>
      </c>
      <c r="C15006" s="2">
        <f>HYPERLINK("https://cao.dolgi.msk.ru/account/1080279404/", 1080279404)</f>
        <v>1080279404</v>
      </c>
      <c r="D15006" t="s">
        <v>12751</v>
      </c>
      <c r="E15006">
        <v>18.739999999999998</v>
      </c>
      <c r="F15006">
        <v>0</v>
      </c>
      <c r="G15006" t="s">
        <v>12</v>
      </c>
      <c r="I15006" t="s">
        <v>1050</v>
      </c>
    </row>
    <row r="15007" spans="1:9" hidden="1" x14ac:dyDescent="0.25">
      <c r="A15007" t="s">
        <v>12684</v>
      </c>
      <c r="B15007" t="s">
        <v>578</v>
      </c>
      <c r="C15007" s="2">
        <f>HYPERLINK("https://cao.dolgi.msk.ru/account/1080279412/", 1080279412)</f>
        <v>1080279412</v>
      </c>
      <c r="D15007" t="s">
        <v>12752</v>
      </c>
      <c r="E15007">
        <v>-907.89</v>
      </c>
      <c r="F15007">
        <v>-0.09</v>
      </c>
      <c r="G15007" t="s">
        <v>12</v>
      </c>
      <c r="I15007" t="s">
        <v>1050</v>
      </c>
    </row>
    <row r="15008" spans="1:9" hidden="1" x14ac:dyDescent="0.25">
      <c r="A15008" t="s">
        <v>12684</v>
      </c>
      <c r="B15008" t="s">
        <v>580</v>
      </c>
      <c r="C15008" s="2">
        <f>HYPERLINK("https://cao.dolgi.msk.ru/account/1080279439/", 1080279439)</f>
        <v>1080279439</v>
      </c>
      <c r="D15008" t="s">
        <v>12753</v>
      </c>
      <c r="E15008">
        <v>-5412.81</v>
      </c>
      <c r="F15008">
        <v>-1.1000000000000001</v>
      </c>
      <c r="G15008" t="s">
        <v>12</v>
      </c>
      <c r="I15008" t="s">
        <v>1050</v>
      </c>
    </row>
    <row r="15009" spans="1:9" hidden="1" x14ac:dyDescent="0.25">
      <c r="A15009" t="s">
        <v>12684</v>
      </c>
      <c r="B15009" t="s">
        <v>686</v>
      </c>
      <c r="C15009" s="2">
        <f>HYPERLINK("https://cao.dolgi.msk.ru/account/1080279447/", 1080279447)</f>
        <v>1080279447</v>
      </c>
      <c r="D15009" t="s">
        <v>12754</v>
      </c>
      <c r="E15009">
        <v>-5668.06</v>
      </c>
      <c r="F15009">
        <v>-1.01</v>
      </c>
      <c r="G15009" t="s">
        <v>12</v>
      </c>
      <c r="I15009" t="s">
        <v>1050</v>
      </c>
    </row>
    <row r="15010" spans="1:9" hidden="1" x14ac:dyDescent="0.25">
      <c r="A15010" t="s">
        <v>12684</v>
      </c>
      <c r="B15010" t="s">
        <v>582</v>
      </c>
      <c r="C15010" s="2">
        <f>HYPERLINK("https://cao.dolgi.msk.ru/account/1080279455/", 1080279455)</f>
        <v>1080279455</v>
      </c>
      <c r="D15010" t="s">
        <v>12755</v>
      </c>
      <c r="E15010">
        <v>-6061.08</v>
      </c>
      <c r="F15010">
        <v>-1.1100000000000001</v>
      </c>
      <c r="G15010" t="s">
        <v>12</v>
      </c>
      <c r="I15010" t="s">
        <v>1050</v>
      </c>
    </row>
    <row r="15011" spans="1:9" hidden="1" x14ac:dyDescent="0.25">
      <c r="A15011" t="s">
        <v>12684</v>
      </c>
      <c r="B15011" t="s">
        <v>584</v>
      </c>
      <c r="C15011" s="2">
        <f>HYPERLINK("https://cao.dolgi.msk.ru/account/1080279463/", 1080279463)</f>
        <v>1080279463</v>
      </c>
      <c r="D15011" t="s">
        <v>12756</v>
      </c>
      <c r="E15011">
        <v>-4103.68</v>
      </c>
      <c r="F15011">
        <v>-1.25</v>
      </c>
      <c r="G15011" t="s">
        <v>12</v>
      </c>
      <c r="I15011" t="s">
        <v>1050</v>
      </c>
    </row>
    <row r="15012" spans="1:9" hidden="1" x14ac:dyDescent="0.25">
      <c r="A15012" t="s">
        <v>12684</v>
      </c>
      <c r="B15012" t="s">
        <v>586</v>
      </c>
      <c r="C15012" s="2">
        <f>HYPERLINK("https://cao.dolgi.msk.ru/account/1080279471/", 1080279471)</f>
        <v>1080279471</v>
      </c>
      <c r="D15012" t="s">
        <v>12757</v>
      </c>
      <c r="E15012">
        <v>-4861.95</v>
      </c>
      <c r="F15012">
        <v>-1.61</v>
      </c>
      <c r="G15012" t="s">
        <v>12</v>
      </c>
      <c r="I15012" t="s">
        <v>1050</v>
      </c>
    </row>
    <row r="15013" spans="1:9" hidden="1" x14ac:dyDescent="0.25">
      <c r="A15013" t="s">
        <v>12684</v>
      </c>
      <c r="B15013" t="s">
        <v>588</v>
      </c>
      <c r="C15013" s="2">
        <f>HYPERLINK("https://cao.dolgi.msk.ru/account/1080279498/", 1080279498)</f>
        <v>1080279498</v>
      </c>
      <c r="D15013" t="s">
        <v>12758</v>
      </c>
      <c r="E15013">
        <v>-8086.55</v>
      </c>
      <c r="F15013">
        <v>-1.22</v>
      </c>
      <c r="G15013" t="s">
        <v>12</v>
      </c>
      <c r="I15013" t="s">
        <v>1050</v>
      </c>
    </row>
    <row r="15014" spans="1:9" hidden="1" x14ac:dyDescent="0.25">
      <c r="A15014" t="s">
        <v>12684</v>
      </c>
      <c r="B15014" t="s">
        <v>590</v>
      </c>
      <c r="C15014" s="2">
        <f>HYPERLINK("https://cao.dolgi.msk.ru/account/1080279519/", 1080279519)</f>
        <v>1080279519</v>
      </c>
      <c r="D15014" t="s">
        <v>12759</v>
      </c>
      <c r="E15014">
        <v>-7075.38</v>
      </c>
      <c r="F15014">
        <v>-1.1000000000000001</v>
      </c>
      <c r="G15014" t="s">
        <v>12</v>
      </c>
      <c r="I15014" t="s">
        <v>1050</v>
      </c>
    </row>
    <row r="15015" spans="1:9" hidden="1" x14ac:dyDescent="0.25">
      <c r="A15015" t="s">
        <v>12684</v>
      </c>
      <c r="B15015" t="s">
        <v>693</v>
      </c>
      <c r="C15015" s="2">
        <f>HYPERLINK("https://cao.dolgi.msk.ru/account/1080279527/", 1080279527)</f>
        <v>1080279527</v>
      </c>
      <c r="D15015" t="s">
        <v>12760</v>
      </c>
      <c r="E15015">
        <v>-3720.81</v>
      </c>
      <c r="F15015">
        <v>-1.62</v>
      </c>
      <c r="G15015" t="s">
        <v>12</v>
      </c>
      <c r="I15015" t="s">
        <v>1050</v>
      </c>
    </row>
    <row r="15016" spans="1:9" hidden="1" x14ac:dyDescent="0.25">
      <c r="A15016" t="s">
        <v>12684</v>
      </c>
      <c r="B15016" t="s">
        <v>694</v>
      </c>
      <c r="C15016" s="2">
        <f>HYPERLINK("https://cao.dolgi.msk.ru/account/1080279535/", 1080279535)</f>
        <v>1080279535</v>
      </c>
      <c r="D15016" t="s">
        <v>12761</v>
      </c>
      <c r="E15016">
        <v>-340.01</v>
      </c>
      <c r="F15016">
        <v>-0.13</v>
      </c>
      <c r="G15016" t="s">
        <v>12</v>
      </c>
      <c r="I15016" t="s">
        <v>1050</v>
      </c>
    </row>
    <row r="15017" spans="1:9" hidden="1" x14ac:dyDescent="0.25">
      <c r="A15017" t="s">
        <v>12684</v>
      </c>
      <c r="B15017" t="s">
        <v>696</v>
      </c>
      <c r="C15017" s="2">
        <f>HYPERLINK("https://cao.dolgi.msk.ru/account/1080279543/", 1080279543)</f>
        <v>1080279543</v>
      </c>
      <c r="D15017" t="s">
        <v>12762</v>
      </c>
      <c r="E15017">
        <v>-4368.6499999999996</v>
      </c>
      <c r="F15017">
        <v>-1.06</v>
      </c>
      <c r="G15017" t="s">
        <v>12</v>
      </c>
      <c r="I15017" t="s">
        <v>1050</v>
      </c>
    </row>
    <row r="15018" spans="1:9" hidden="1" x14ac:dyDescent="0.25">
      <c r="A15018" t="s">
        <v>12684</v>
      </c>
      <c r="B15018" t="s">
        <v>698</v>
      </c>
      <c r="C15018" s="2">
        <f>HYPERLINK("https://cao.dolgi.msk.ru/account/1080279551/", 1080279551)</f>
        <v>1080279551</v>
      </c>
      <c r="D15018" t="s">
        <v>12763</v>
      </c>
      <c r="E15018">
        <v>-4007.32</v>
      </c>
      <c r="F15018">
        <v>-1.04</v>
      </c>
      <c r="G15018" t="s">
        <v>12</v>
      </c>
      <c r="I15018" t="s">
        <v>1050</v>
      </c>
    </row>
    <row r="15019" spans="1:9" hidden="1" x14ac:dyDescent="0.25">
      <c r="A15019" t="s">
        <v>12684</v>
      </c>
      <c r="B15019" t="s">
        <v>700</v>
      </c>
      <c r="C15019" s="2">
        <f>HYPERLINK("https://cao.dolgi.msk.ru/account/1080279578/", 1080279578)</f>
        <v>1080279578</v>
      </c>
      <c r="D15019" t="s">
        <v>12764</v>
      </c>
      <c r="E15019">
        <v>-848.23</v>
      </c>
      <c r="F15019">
        <v>-0.41</v>
      </c>
      <c r="G15019" t="s">
        <v>12</v>
      </c>
      <c r="I15019" t="s">
        <v>1050</v>
      </c>
    </row>
    <row r="15020" spans="1:9" hidden="1" x14ac:dyDescent="0.25">
      <c r="A15020" t="s">
        <v>12684</v>
      </c>
      <c r="B15020" t="s">
        <v>702</v>
      </c>
      <c r="C15020" s="2">
        <f>HYPERLINK("https://cao.dolgi.msk.ru/account/1080279586/", 1080279586)</f>
        <v>1080279586</v>
      </c>
      <c r="D15020" t="s">
        <v>12765</v>
      </c>
      <c r="E15020">
        <v>-8490.81</v>
      </c>
      <c r="F15020">
        <v>-1.33</v>
      </c>
      <c r="G15020" t="s">
        <v>12</v>
      </c>
      <c r="I15020" t="s">
        <v>1050</v>
      </c>
    </row>
    <row r="15021" spans="1:9" hidden="1" x14ac:dyDescent="0.25">
      <c r="A15021" t="s">
        <v>12684</v>
      </c>
      <c r="B15021" t="s">
        <v>703</v>
      </c>
      <c r="C15021" s="2">
        <f>HYPERLINK("https://cao.dolgi.msk.ru/account/1080279594/", 1080279594)</f>
        <v>1080279594</v>
      </c>
      <c r="D15021" t="s">
        <v>12766</v>
      </c>
      <c r="E15021">
        <v>-2463.02</v>
      </c>
      <c r="F15021">
        <v>-1.07</v>
      </c>
      <c r="G15021" t="s">
        <v>12</v>
      </c>
      <c r="I15021" t="s">
        <v>1050</v>
      </c>
    </row>
    <row r="15022" spans="1:9" hidden="1" x14ac:dyDescent="0.25">
      <c r="A15022" t="s">
        <v>12684</v>
      </c>
      <c r="B15022" t="s">
        <v>705</v>
      </c>
      <c r="C15022" s="2">
        <f>HYPERLINK("https://cao.dolgi.msk.ru/account/1080279607/", 1080279607)</f>
        <v>1080279607</v>
      </c>
      <c r="D15022" t="s">
        <v>12767</v>
      </c>
      <c r="E15022">
        <v>-2936.4</v>
      </c>
      <c r="F15022">
        <v>-1.2</v>
      </c>
      <c r="G15022" t="s">
        <v>12</v>
      </c>
      <c r="I15022" t="s">
        <v>1050</v>
      </c>
    </row>
    <row r="15023" spans="1:9" hidden="1" x14ac:dyDescent="0.25">
      <c r="A15023" t="s">
        <v>12684</v>
      </c>
      <c r="B15023" t="s">
        <v>707</v>
      </c>
      <c r="C15023" s="2">
        <f>HYPERLINK("https://cao.dolgi.msk.ru/account/1080279615/", 1080279615)</f>
        <v>1080279615</v>
      </c>
      <c r="D15023" t="s">
        <v>12768</v>
      </c>
      <c r="E15023">
        <v>-4132.43</v>
      </c>
      <c r="F15023">
        <v>-1.25</v>
      </c>
      <c r="G15023" t="s">
        <v>12</v>
      </c>
      <c r="I15023" t="s">
        <v>1050</v>
      </c>
    </row>
    <row r="15024" spans="1:9" hidden="1" x14ac:dyDescent="0.25">
      <c r="A15024" t="s">
        <v>12684</v>
      </c>
      <c r="B15024" t="s">
        <v>709</v>
      </c>
      <c r="C15024" s="2">
        <f>HYPERLINK("https://cao.dolgi.msk.ru/account/1080279623/", 1080279623)</f>
        <v>1080279623</v>
      </c>
      <c r="D15024" t="s">
        <v>15</v>
      </c>
      <c r="E15024">
        <v>-2811.6</v>
      </c>
      <c r="F15024">
        <v>-0.7</v>
      </c>
      <c r="G15024" t="s">
        <v>12</v>
      </c>
      <c r="I15024" t="s">
        <v>1050</v>
      </c>
    </row>
    <row r="15025" spans="1:9" hidden="1" x14ac:dyDescent="0.25">
      <c r="A15025" t="s">
        <v>12684</v>
      </c>
      <c r="B15025" t="s">
        <v>711</v>
      </c>
      <c r="C15025" s="2">
        <f>HYPERLINK("https://cao.dolgi.msk.ru/account/1080279631/", 1080279631)</f>
        <v>1080279631</v>
      </c>
      <c r="D15025" t="s">
        <v>12769</v>
      </c>
      <c r="E15025">
        <v>-4603.91</v>
      </c>
      <c r="F15025">
        <v>-1.07</v>
      </c>
      <c r="G15025" t="s">
        <v>12</v>
      </c>
      <c r="I15025" t="s">
        <v>1050</v>
      </c>
    </row>
    <row r="15026" spans="1:9" hidden="1" x14ac:dyDescent="0.25">
      <c r="A15026" t="s">
        <v>12684</v>
      </c>
      <c r="B15026" t="s">
        <v>713</v>
      </c>
      <c r="C15026" s="2">
        <f>HYPERLINK("https://cao.dolgi.msk.ru/account/1080279658/", 1080279658)</f>
        <v>1080279658</v>
      </c>
      <c r="D15026" t="s">
        <v>12770</v>
      </c>
      <c r="E15026">
        <v>-2820.4</v>
      </c>
      <c r="F15026">
        <v>-1.1299999999999999</v>
      </c>
      <c r="G15026" t="s">
        <v>12</v>
      </c>
      <c r="I15026" t="s">
        <v>1050</v>
      </c>
    </row>
    <row r="15027" spans="1:9" hidden="1" x14ac:dyDescent="0.25">
      <c r="A15027" t="s">
        <v>12684</v>
      </c>
      <c r="B15027" t="s">
        <v>528</v>
      </c>
      <c r="C15027" s="2">
        <f>HYPERLINK("https://cao.dolgi.msk.ru/account/1080279666/", 1080279666)</f>
        <v>1080279666</v>
      </c>
      <c r="D15027" t="s">
        <v>12771</v>
      </c>
      <c r="E15027">
        <v>-4359.67</v>
      </c>
      <c r="F15027">
        <v>-1.1100000000000001</v>
      </c>
      <c r="G15027" t="s">
        <v>12</v>
      </c>
      <c r="I15027" t="s">
        <v>1050</v>
      </c>
    </row>
    <row r="15028" spans="1:9" hidden="1" x14ac:dyDescent="0.25">
      <c r="A15028" t="s">
        <v>12684</v>
      </c>
      <c r="B15028" t="s">
        <v>530</v>
      </c>
      <c r="C15028" s="2">
        <f>HYPERLINK("https://cao.dolgi.msk.ru/account/1080279674/", 1080279674)</f>
        <v>1080279674</v>
      </c>
      <c r="D15028" t="s">
        <v>12772</v>
      </c>
      <c r="E15028">
        <v>-7332.88</v>
      </c>
      <c r="F15028">
        <v>-1.1200000000000001</v>
      </c>
      <c r="G15028" t="s">
        <v>12</v>
      </c>
      <c r="I15028" t="s">
        <v>1050</v>
      </c>
    </row>
    <row r="15029" spans="1:9" hidden="1" x14ac:dyDescent="0.25">
      <c r="A15029" t="s">
        <v>12684</v>
      </c>
      <c r="B15029" t="s">
        <v>532</v>
      </c>
      <c r="C15029" s="2">
        <f>HYPERLINK("https://cao.dolgi.msk.ru/account/1080279682/", 1080279682)</f>
        <v>1080279682</v>
      </c>
      <c r="D15029" t="s">
        <v>12773</v>
      </c>
      <c r="E15029">
        <v>-2751.21</v>
      </c>
      <c r="F15029">
        <v>-1.21</v>
      </c>
      <c r="G15029" t="s">
        <v>12</v>
      </c>
      <c r="I15029" t="s">
        <v>1050</v>
      </c>
    </row>
    <row r="15030" spans="1:9" hidden="1" x14ac:dyDescent="0.25">
      <c r="A15030" t="s">
        <v>12684</v>
      </c>
      <c r="B15030" t="s">
        <v>534</v>
      </c>
      <c r="C15030" s="2">
        <f>HYPERLINK("https://cao.dolgi.msk.ru/account/1080279703/", 1080279703)</f>
        <v>1080279703</v>
      </c>
      <c r="D15030" t="s">
        <v>12774</v>
      </c>
      <c r="E15030">
        <v>-43.72</v>
      </c>
      <c r="F15030">
        <v>-0.01</v>
      </c>
      <c r="G15030" t="s">
        <v>12</v>
      </c>
      <c r="I15030" t="s">
        <v>1050</v>
      </c>
    </row>
    <row r="15031" spans="1:9" hidden="1" x14ac:dyDescent="0.25">
      <c r="A15031" t="s">
        <v>12684</v>
      </c>
      <c r="B15031" t="s">
        <v>536</v>
      </c>
      <c r="C15031" s="2">
        <f>HYPERLINK("https://cao.dolgi.msk.ru/account/1080279711/", 1080279711)</f>
        <v>1080279711</v>
      </c>
      <c r="D15031" t="s">
        <v>15</v>
      </c>
      <c r="E15031">
        <v>-19679.349999999999</v>
      </c>
      <c r="F15031">
        <v>-5.3</v>
      </c>
      <c r="G15031" t="s">
        <v>12</v>
      </c>
      <c r="I15031" t="s">
        <v>1050</v>
      </c>
    </row>
    <row r="15032" spans="1:9" hidden="1" x14ac:dyDescent="0.25">
      <c r="A15032" t="s">
        <v>12684</v>
      </c>
      <c r="B15032" t="s">
        <v>538</v>
      </c>
      <c r="C15032" s="2">
        <f>HYPERLINK("https://cao.dolgi.msk.ru/account/1080279738/", 1080279738)</f>
        <v>1080279738</v>
      </c>
      <c r="D15032" t="s">
        <v>12775</v>
      </c>
      <c r="E15032">
        <v>-2983.76</v>
      </c>
      <c r="F15032">
        <v>-1.52</v>
      </c>
      <c r="G15032" t="s">
        <v>12</v>
      </c>
      <c r="I15032" t="s">
        <v>1050</v>
      </c>
    </row>
    <row r="15033" spans="1:9" hidden="1" x14ac:dyDescent="0.25">
      <c r="A15033" t="s">
        <v>12776</v>
      </c>
      <c r="B15033" t="s">
        <v>10</v>
      </c>
      <c r="C15033" s="2">
        <f>HYPERLINK("https://cao.dolgi.msk.ru/account/1080290531/", 1080290531)</f>
        <v>1080290531</v>
      </c>
      <c r="D15033" t="s">
        <v>5183</v>
      </c>
      <c r="E15033">
        <v>-2271.96</v>
      </c>
      <c r="F15033">
        <v>-1.21</v>
      </c>
      <c r="G15033" t="s">
        <v>12</v>
      </c>
      <c r="H15033" t="s">
        <v>7</v>
      </c>
      <c r="I15033" t="s">
        <v>1050</v>
      </c>
    </row>
    <row r="15034" spans="1:9" x14ac:dyDescent="0.25">
      <c r="A15034" t="s">
        <v>12776</v>
      </c>
      <c r="B15034" t="s">
        <v>10</v>
      </c>
      <c r="C15034" s="2">
        <f>HYPERLINK("https://cao.dolgi.msk.ru/account/1080290558/", 1080290558)</f>
        <v>1080290558</v>
      </c>
      <c r="D15034" t="s">
        <v>1082</v>
      </c>
      <c r="E15034">
        <v>8253.89</v>
      </c>
      <c r="F15034">
        <v>3.16</v>
      </c>
      <c r="G15034" t="s">
        <v>12</v>
      </c>
      <c r="H15034" t="s">
        <v>7</v>
      </c>
      <c r="I15034" t="s">
        <v>1050</v>
      </c>
    </row>
    <row r="15035" spans="1:9" hidden="1" x14ac:dyDescent="0.25">
      <c r="A15035" t="s">
        <v>12776</v>
      </c>
      <c r="B15035" t="s">
        <v>10</v>
      </c>
      <c r="C15035" s="2">
        <f>HYPERLINK("https://cao.dolgi.msk.ru/account/1080291251/", 1080291251)</f>
        <v>1080291251</v>
      </c>
      <c r="D15035" t="s">
        <v>1082</v>
      </c>
      <c r="E15035">
        <v>-2089.86</v>
      </c>
      <c r="F15035">
        <v>-0.61</v>
      </c>
      <c r="G15035" t="s">
        <v>12</v>
      </c>
      <c r="H15035" t="s">
        <v>7</v>
      </c>
      <c r="I15035" t="s">
        <v>1050</v>
      </c>
    </row>
    <row r="15036" spans="1:9" hidden="1" x14ac:dyDescent="0.25">
      <c r="A15036" t="s">
        <v>12776</v>
      </c>
      <c r="B15036" t="s">
        <v>10</v>
      </c>
      <c r="C15036" s="2">
        <f>HYPERLINK("https://cao.dolgi.msk.ru/account/1080291278/", 1080291278)</f>
        <v>1080291278</v>
      </c>
      <c r="D15036" t="s">
        <v>1082</v>
      </c>
      <c r="E15036">
        <v>-2018.94</v>
      </c>
      <c r="F15036">
        <v>-1.19</v>
      </c>
      <c r="G15036" t="s">
        <v>12</v>
      </c>
      <c r="H15036" t="s">
        <v>7</v>
      </c>
      <c r="I15036" t="s">
        <v>1050</v>
      </c>
    </row>
    <row r="15037" spans="1:9" hidden="1" x14ac:dyDescent="0.25">
      <c r="A15037" t="s">
        <v>12776</v>
      </c>
      <c r="B15037" t="s">
        <v>10</v>
      </c>
      <c r="C15037" s="2">
        <f>HYPERLINK("https://cao.dolgi.msk.ru/account/1080291286/", 1080291286)</f>
        <v>1080291286</v>
      </c>
      <c r="D15037" t="s">
        <v>12777</v>
      </c>
      <c r="E15037">
        <v>-2796.47</v>
      </c>
      <c r="F15037">
        <v>-1.1399999999999999</v>
      </c>
      <c r="G15037" t="s">
        <v>12</v>
      </c>
      <c r="H15037" t="s">
        <v>7</v>
      </c>
      <c r="I15037" t="s">
        <v>1050</v>
      </c>
    </row>
    <row r="15038" spans="1:9" hidden="1" x14ac:dyDescent="0.25">
      <c r="A15038" t="s">
        <v>12776</v>
      </c>
      <c r="B15038" t="s">
        <v>10</v>
      </c>
      <c r="C15038" s="2">
        <f>HYPERLINK("https://cao.dolgi.msk.ru/account/1080291294/", 1080291294)</f>
        <v>1080291294</v>
      </c>
      <c r="D15038" t="s">
        <v>12778</v>
      </c>
      <c r="E15038">
        <v>-2566.9499999999998</v>
      </c>
      <c r="F15038">
        <v>-1.1399999999999999</v>
      </c>
      <c r="G15038" t="s">
        <v>12</v>
      </c>
      <c r="H15038" t="s">
        <v>7</v>
      </c>
      <c r="I15038" t="s">
        <v>1050</v>
      </c>
    </row>
    <row r="15039" spans="1:9" hidden="1" x14ac:dyDescent="0.25">
      <c r="A15039" t="s">
        <v>12776</v>
      </c>
      <c r="B15039" t="s">
        <v>16</v>
      </c>
      <c r="C15039" s="2">
        <f>HYPERLINK("https://cao.dolgi.msk.ru/account/1080290566/", 1080290566)</f>
        <v>1080290566</v>
      </c>
      <c r="D15039" t="s">
        <v>62</v>
      </c>
      <c r="E15039">
        <v>-3760.65</v>
      </c>
      <c r="F15039">
        <v>-1.35</v>
      </c>
      <c r="G15039" t="s">
        <v>12</v>
      </c>
      <c r="H15039" t="s">
        <v>7</v>
      </c>
      <c r="I15039" t="s">
        <v>1050</v>
      </c>
    </row>
    <row r="15040" spans="1:9" hidden="1" x14ac:dyDescent="0.25">
      <c r="A15040" t="s">
        <v>12776</v>
      </c>
      <c r="B15040" t="s">
        <v>16</v>
      </c>
      <c r="C15040" s="2">
        <f>HYPERLINK("https://cao.dolgi.msk.ru/account/1080290574/", 1080290574)</f>
        <v>1080290574</v>
      </c>
      <c r="D15040" t="s">
        <v>62</v>
      </c>
      <c r="E15040">
        <v>-5540.27</v>
      </c>
      <c r="F15040">
        <v>-0.98</v>
      </c>
      <c r="G15040" t="s">
        <v>12</v>
      </c>
      <c r="H15040" t="s">
        <v>7</v>
      </c>
      <c r="I15040" t="s">
        <v>1050</v>
      </c>
    </row>
    <row r="15041" spans="1:9" x14ac:dyDescent="0.25">
      <c r="A15041" t="s">
        <v>12776</v>
      </c>
      <c r="B15041" t="s">
        <v>16</v>
      </c>
      <c r="C15041" s="2">
        <f>HYPERLINK("https://cao.dolgi.msk.ru/account/1080290582/", 1080290582)</f>
        <v>1080290582</v>
      </c>
      <c r="D15041" t="s">
        <v>62</v>
      </c>
      <c r="E15041">
        <v>163929.07999999999</v>
      </c>
      <c r="F15041">
        <v>78.42</v>
      </c>
      <c r="G15041" t="s">
        <v>12</v>
      </c>
      <c r="H15041" t="s">
        <v>7</v>
      </c>
      <c r="I15041" t="s">
        <v>1050</v>
      </c>
    </row>
    <row r="15042" spans="1:9" hidden="1" x14ac:dyDescent="0.25">
      <c r="A15042" t="s">
        <v>12776</v>
      </c>
      <c r="B15042" t="s">
        <v>16</v>
      </c>
      <c r="C15042" s="2">
        <f>HYPERLINK("https://cao.dolgi.msk.ru/account/1080291307/", 1080291307)</f>
        <v>1080291307</v>
      </c>
      <c r="D15042" t="s">
        <v>62</v>
      </c>
      <c r="E15042">
        <v>-49.56</v>
      </c>
      <c r="F15042">
        <v>-0.01</v>
      </c>
      <c r="G15042" t="s">
        <v>12</v>
      </c>
      <c r="H15042" t="s">
        <v>7</v>
      </c>
      <c r="I15042" t="s">
        <v>1050</v>
      </c>
    </row>
    <row r="15043" spans="1:9" hidden="1" x14ac:dyDescent="0.25">
      <c r="A15043" t="s">
        <v>12776</v>
      </c>
      <c r="B15043" t="s">
        <v>18</v>
      </c>
      <c r="C15043" s="2">
        <f>HYPERLINK("https://cao.dolgi.msk.ru/account/1080290603/", 1080290603)</f>
        <v>1080290603</v>
      </c>
      <c r="D15043" t="s">
        <v>12779</v>
      </c>
      <c r="E15043">
        <v>-3503.38</v>
      </c>
      <c r="F15043">
        <v>-1.28</v>
      </c>
      <c r="G15043" t="s">
        <v>12</v>
      </c>
      <c r="H15043" t="s">
        <v>7</v>
      </c>
      <c r="I15043" t="s">
        <v>1050</v>
      </c>
    </row>
    <row r="15044" spans="1:9" hidden="1" x14ac:dyDescent="0.25">
      <c r="A15044" t="s">
        <v>12776</v>
      </c>
      <c r="B15044" t="s">
        <v>18</v>
      </c>
      <c r="C15044" s="2">
        <f>HYPERLINK("https://cao.dolgi.msk.ru/account/1080290611/", 1080290611)</f>
        <v>1080290611</v>
      </c>
      <c r="D15044" t="s">
        <v>12780</v>
      </c>
      <c r="E15044">
        <v>-10730.32</v>
      </c>
      <c r="F15044">
        <v>-1.22</v>
      </c>
      <c r="G15044" t="s">
        <v>12</v>
      </c>
      <c r="H15044" t="s">
        <v>7</v>
      </c>
      <c r="I15044" t="s">
        <v>1050</v>
      </c>
    </row>
    <row r="15045" spans="1:9" hidden="1" x14ac:dyDescent="0.25">
      <c r="A15045" t="s">
        <v>12776</v>
      </c>
      <c r="B15045" t="s">
        <v>18</v>
      </c>
      <c r="C15045" s="2">
        <f>HYPERLINK("https://cao.dolgi.msk.ru/account/1080290638/", 1080290638)</f>
        <v>1080290638</v>
      </c>
      <c r="D15045" t="s">
        <v>12781</v>
      </c>
      <c r="E15045">
        <v>-7358.26</v>
      </c>
      <c r="F15045">
        <v>-1.23</v>
      </c>
      <c r="G15045" t="s">
        <v>12</v>
      </c>
      <c r="H15045" t="s">
        <v>7</v>
      </c>
      <c r="I15045" t="s">
        <v>1050</v>
      </c>
    </row>
    <row r="15046" spans="1:9" hidden="1" x14ac:dyDescent="0.25">
      <c r="A15046" t="s">
        <v>12776</v>
      </c>
      <c r="B15046" t="s">
        <v>20</v>
      </c>
      <c r="C15046" s="2">
        <f>HYPERLINK("https://cao.dolgi.msk.ru/account/1080290646/", 1080290646)</f>
        <v>1080290646</v>
      </c>
      <c r="D15046" t="s">
        <v>12782</v>
      </c>
      <c r="E15046">
        <v>-12916.67</v>
      </c>
      <c r="F15046">
        <v>-1.07</v>
      </c>
      <c r="G15046" t="s">
        <v>12</v>
      </c>
      <c r="H15046" t="s">
        <v>7</v>
      </c>
      <c r="I15046" t="s">
        <v>1050</v>
      </c>
    </row>
    <row r="15047" spans="1:9" hidden="1" x14ac:dyDescent="0.25">
      <c r="A15047" t="s">
        <v>12776</v>
      </c>
      <c r="B15047" t="s">
        <v>20</v>
      </c>
      <c r="C15047" s="2">
        <f>HYPERLINK("https://cao.dolgi.msk.ru/account/1080290654/", 1080290654)</f>
        <v>1080290654</v>
      </c>
      <c r="D15047" t="s">
        <v>12783</v>
      </c>
      <c r="E15047">
        <v>-6271.35</v>
      </c>
      <c r="F15047">
        <v>-1.1100000000000001</v>
      </c>
      <c r="G15047" t="s">
        <v>12</v>
      </c>
      <c r="H15047" t="s">
        <v>7</v>
      </c>
      <c r="I15047" t="s">
        <v>1050</v>
      </c>
    </row>
    <row r="15048" spans="1:9" hidden="1" x14ac:dyDescent="0.25">
      <c r="A15048" t="s">
        <v>12776</v>
      </c>
      <c r="B15048" t="s">
        <v>20</v>
      </c>
      <c r="C15048" s="2">
        <f>HYPERLINK("https://cao.dolgi.msk.ru/account/1080290662/", 1080290662)</f>
        <v>1080290662</v>
      </c>
      <c r="D15048" t="s">
        <v>9295</v>
      </c>
      <c r="E15048">
        <v>2875.66</v>
      </c>
      <c r="F15048">
        <v>0.76</v>
      </c>
      <c r="G15048" t="s">
        <v>12</v>
      </c>
      <c r="H15048" t="s">
        <v>7</v>
      </c>
      <c r="I15048" t="s">
        <v>1050</v>
      </c>
    </row>
    <row r="15049" spans="1:9" hidden="1" x14ac:dyDescent="0.25">
      <c r="A15049" t="s">
        <v>12776</v>
      </c>
      <c r="B15049" t="s">
        <v>20</v>
      </c>
      <c r="C15049" s="2">
        <f>HYPERLINK("https://cao.dolgi.msk.ru/account/1080290689/", 1080290689)</f>
        <v>1080290689</v>
      </c>
      <c r="D15049" t="s">
        <v>12784</v>
      </c>
      <c r="E15049">
        <v>-10830.51</v>
      </c>
      <c r="F15049">
        <v>-1.08</v>
      </c>
      <c r="G15049" t="s">
        <v>12</v>
      </c>
      <c r="H15049" t="s">
        <v>7</v>
      </c>
      <c r="I15049" t="s">
        <v>1050</v>
      </c>
    </row>
    <row r="15050" spans="1:9" hidden="1" x14ac:dyDescent="0.25">
      <c r="A15050" t="s">
        <v>12776</v>
      </c>
      <c r="B15050" t="s">
        <v>21</v>
      </c>
      <c r="C15050" s="2">
        <f>HYPERLINK("https://cao.dolgi.msk.ru/account/1080290697/", 1080290697)</f>
        <v>1080290697</v>
      </c>
      <c r="D15050" t="s">
        <v>1082</v>
      </c>
      <c r="E15050">
        <v>30.59</v>
      </c>
      <c r="F15050">
        <v>0.02</v>
      </c>
      <c r="G15050" t="s">
        <v>12</v>
      </c>
      <c r="H15050" t="s">
        <v>7</v>
      </c>
      <c r="I15050" t="s">
        <v>1050</v>
      </c>
    </row>
    <row r="15051" spans="1:9" hidden="1" x14ac:dyDescent="0.25">
      <c r="A15051" t="s">
        <v>12776</v>
      </c>
      <c r="B15051" t="s">
        <v>21</v>
      </c>
      <c r="C15051" s="2">
        <f>HYPERLINK("https://cao.dolgi.msk.ru/account/1080290718/", 1080290718)</f>
        <v>1080290718</v>
      </c>
      <c r="D15051" t="s">
        <v>12785</v>
      </c>
      <c r="E15051">
        <v>-3794.39</v>
      </c>
      <c r="F15051">
        <v>-1.04</v>
      </c>
      <c r="G15051" t="s">
        <v>12</v>
      </c>
      <c r="H15051" t="s">
        <v>7</v>
      </c>
      <c r="I15051" t="s">
        <v>1050</v>
      </c>
    </row>
    <row r="15052" spans="1:9" hidden="1" x14ac:dyDescent="0.25">
      <c r="A15052" t="s">
        <v>12776</v>
      </c>
      <c r="B15052" t="s">
        <v>21</v>
      </c>
      <c r="C15052" s="2">
        <f>HYPERLINK("https://cao.dolgi.msk.ru/account/1080290726/", 1080290726)</f>
        <v>1080290726</v>
      </c>
      <c r="D15052" t="s">
        <v>12786</v>
      </c>
      <c r="E15052">
        <v>-3235.28</v>
      </c>
      <c r="F15052">
        <v>-1.1499999999999999</v>
      </c>
      <c r="G15052" t="s">
        <v>12</v>
      </c>
      <c r="H15052" t="s">
        <v>7</v>
      </c>
      <c r="I15052" t="s">
        <v>1050</v>
      </c>
    </row>
    <row r="15053" spans="1:9" hidden="1" x14ac:dyDescent="0.25">
      <c r="A15053" t="s">
        <v>12776</v>
      </c>
      <c r="B15053" t="s">
        <v>21</v>
      </c>
      <c r="C15053" s="2">
        <f>HYPERLINK("https://cao.dolgi.msk.ru/account/1080290734/", 1080290734)</f>
        <v>1080290734</v>
      </c>
      <c r="D15053" t="s">
        <v>12787</v>
      </c>
      <c r="E15053">
        <v>-3419.94</v>
      </c>
      <c r="F15053">
        <v>-1.1100000000000001</v>
      </c>
      <c r="G15053" t="s">
        <v>12</v>
      </c>
      <c r="H15053" t="s">
        <v>7</v>
      </c>
      <c r="I15053" t="s">
        <v>1050</v>
      </c>
    </row>
    <row r="15054" spans="1:9" hidden="1" x14ac:dyDescent="0.25">
      <c r="A15054" t="s">
        <v>12776</v>
      </c>
      <c r="B15054" t="s">
        <v>21</v>
      </c>
      <c r="C15054" s="2">
        <f>HYPERLINK("https://cao.dolgi.msk.ru/account/1083268751/", 1083268751)</f>
        <v>1083268751</v>
      </c>
      <c r="D15054" t="s">
        <v>1082</v>
      </c>
      <c r="E15054">
        <v>-652.5</v>
      </c>
      <c r="F15054">
        <v>-0.25</v>
      </c>
      <c r="G15054" t="s">
        <v>12</v>
      </c>
      <c r="H15054" t="s">
        <v>7</v>
      </c>
      <c r="I15054" t="s">
        <v>1050</v>
      </c>
    </row>
    <row r="15055" spans="1:9" x14ac:dyDescent="0.25">
      <c r="A15055" t="s">
        <v>12776</v>
      </c>
      <c r="B15055" t="s">
        <v>22</v>
      </c>
      <c r="C15055" s="2">
        <f>HYPERLINK("https://cao.dolgi.msk.ru/account/1080290742/", 1080290742)</f>
        <v>1080290742</v>
      </c>
      <c r="D15055" t="s">
        <v>12788</v>
      </c>
      <c r="E15055">
        <v>5131.59</v>
      </c>
      <c r="F15055">
        <v>2.6</v>
      </c>
      <c r="G15055" t="s">
        <v>12</v>
      </c>
      <c r="H15055" t="s">
        <v>7</v>
      </c>
      <c r="I15055" t="s">
        <v>1050</v>
      </c>
    </row>
    <row r="15056" spans="1:9" hidden="1" x14ac:dyDescent="0.25">
      <c r="A15056" t="s">
        <v>12776</v>
      </c>
      <c r="B15056" t="s">
        <v>22</v>
      </c>
      <c r="C15056" s="2">
        <f>HYPERLINK("https://cao.dolgi.msk.ru/account/1080290769/", 1080290769)</f>
        <v>1080290769</v>
      </c>
      <c r="D15056" t="s">
        <v>12789</v>
      </c>
      <c r="E15056">
        <v>-2948.16</v>
      </c>
      <c r="F15056">
        <v>-1.1599999999999999</v>
      </c>
      <c r="G15056" t="s">
        <v>12</v>
      </c>
      <c r="H15056" t="s">
        <v>7</v>
      </c>
      <c r="I15056" t="s">
        <v>1050</v>
      </c>
    </row>
    <row r="15057" spans="1:9" hidden="1" x14ac:dyDescent="0.25">
      <c r="A15057" t="s">
        <v>12776</v>
      </c>
      <c r="B15057" t="s">
        <v>22</v>
      </c>
      <c r="C15057" s="2">
        <f>HYPERLINK("https://cao.dolgi.msk.ru/account/1080290777/", 1080290777)</f>
        <v>1080290777</v>
      </c>
      <c r="D15057" t="s">
        <v>12790</v>
      </c>
      <c r="E15057">
        <v>-3125.62</v>
      </c>
      <c r="F15057">
        <v>-1.1399999999999999</v>
      </c>
      <c r="G15057" t="s">
        <v>12</v>
      </c>
      <c r="H15057" t="s">
        <v>7</v>
      </c>
      <c r="I15057" t="s">
        <v>1050</v>
      </c>
    </row>
    <row r="15058" spans="1:9" hidden="1" x14ac:dyDescent="0.25">
      <c r="A15058" t="s">
        <v>12776</v>
      </c>
      <c r="B15058" t="s">
        <v>22</v>
      </c>
      <c r="C15058" s="2">
        <f>HYPERLINK("https://cao.dolgi.msk.ru/account/1080290785/", 1080290785)</f>
        <v>1080290785</v>
      </c>
      <c r="D15058" t="s">
        <v>12791</v>
      </c>
      <c r="E15058">
        <v>0</v>
      </c>
      <c r="F15058">
        <v>0</v>
      </c>
      <c r="G15058" t="s">
        <v>12</v>
      </c>
      <c r="H15058" t="s">
        <v>7</v>
      </c>
      <c r="I15058" t="s">
        <v>1050</v>
      </c>
    </row>
    <row r="15059" spans="1:9" hidden="1" x14ac:dyDescent="0.25">
      <c r="A15059" t="s">
        <v>12776</v>
      </c>
      <c r="B15059" t="s">
        <v>23</v>
      </c>
      <c r="C15059" s="2">
        <f>HYPERLINK("https://cao.dolgi.msk.ru/account/1080290793/", 1080290793)</f>
        <v>1080290793</v>
      </c>
      <c r="D15059" t="s">
        <v>1082</v>
      </c>
      <c r="E15059">
        <v>-1908.67</v>
      </c>
      <c r="F15059">
        <v>-1.17</v>
      </c>
      <c r="G15059" t="s">
        <v>12</v>
      </c>
      <c r="H15059" t="s">
        <v>7</v>
      </c>
      <c r="I15059" t="s">
        <v>1050</v>
      </c>
    </row>
    <row r="15060" spans="1:9" x14ac:dyDescent="0.25">
      <c r="A15060" t="s">
        <v>12776</v>
      </c>
      <c r="B15060" t="s">
        <v>23</v>
      </c>
      <c r="C15060" s="2">
        <f>HYPERLINK("https://cao.dolgi.msk.ru/account/1080290806/", 1080290806)</f>
        <v>1080290806</v>
      </c>
      <c r="D15060" t="s">
        <v>12792</v>
      </c>
      <c r="E15060">
        <v>82989.53</v>
      </c>
      <c r="F15060">
        <v>30.37</v>
      </c>
      <c r="G15060" t="s">
        <v>12</v>
      </c>
      <c r="H15060" t="s">
        <v>7</v>
      </c>
      <c r="I15060" t="s">
        <v>1050</v>
      </c>
    </row>
    <row r="15061" spans="1:9" hidden="1" x14ac:dyDescent="0.25">
      <c r="A15061" t="s">
        <v>12776</v>
      </c>
      <c r="B15061" t="s">
        <v>23</v>
      </c>
      <c r="C15061" s="2">
        <f>HYPERLINK("https://cao.dolgi.msk.ru/account/1080290814/", 1080290814)</f>
        <v>1080290814</v>
      </c>
      <c r="D15061" t="s">
        <v>12793</v>
      </c>
      <c r="E15061">
        <v>3463.06</v>
      </c>
      <c r="F15061">
        <v>0.63</v>
      </c>
      <c r="G15061" t="s">
        <v>12</v>
      </c>
      <c r="H15061" t="s">
        <v>7</v>
      </c>
      <c r="I15061" t="s">
        <v>1050</v>
      </c>
    </row>
    <row r="15062" spans="1:9" hidden="1" x14ac:dyDescent="0.25">
      <c r="A15062" t="s">
        <v>12776</v>
      </c>
      <c r="B15062" t="s">
        <v>23</v>
      </c>
      <c r="C15062" s="2">
        <f>HYPERLINK("https://cao.dolgi.msk.ru/account/1080290822/", 1080290822)</f>
        <v>1080290822</v>
      </c>
      <c r="D15062" t="s">
        <v>12794</v>
      </c>
      <c r="E15062">
        <v>-2031.71</v>
      </c>
      <c r="F15062">
        <v>-1.1499999999999999</v>
      </c>
      <c r="G15062" t="s">
        <v>12</v>
      </c>
      <c r="H15062" t="s">
        <v>7</v>
      </c>
      <c r="I15062" t="s">
        <v>1050</v>
      </c>
    </row>
    <row r="15063" spans="1:9" hidden="1" x14ac:dyDescent="0.25">
      <c r="A15063" t="s">
        <v>12776</v>
      </c>
      <c r="B15063" t="s">
        <v>23</v>
      </c>
      <c r="C15063" s="2">
        <f>HYPERLINK("https://cao.dolgi.msk.ru/account/1080291315/", 1080291315)</f>
        <v>1080291315</v>
      </c>
      <c r="D15063" t="s">
        <v>1082</v>
      </c>
      <c r="E15063">
        <v>-3379.08</v>
      </c>
      <c r="F15063">
        <v>-1.04</v>
      </c>
      <c r="G15063" t="s">
        <v>12</v>
      </c>
      <c r="H15063" t="s">
        <v>7</v>
      </c>
      <c r="I15063" t="s">
        <v>1050</v>
      </c>
    </row>
    <row r="15064" spans="1:9" hidden="1" x14ac:dyDescent="0.25">
      <c r="A15064" t="s">
        <v>12776</v>
      </c>
      <c r="B15064" t="s">
        <v>24</v>
      </c>
      <c r="C15064" s="2">
        <f>HYPERLINK("https://cao.dolgi.msk.ru/account/1080291323/", 1080291323)</f>
        <v>1080291323</v>
      </c>
      <c r="D15064" t="s">
        <v>12795</v>
      </c>
      <c r="E15064">
        <v>-4805.25</v>
      </c>
      <c r="F15064">
        <v>-1.17</v>
      </c>
      <c r="G15064" t="s">
        <v>12</v>
      </c>
      <c r="H15064" t="s">
        <v>7</v>
      </c>
      <c r="I15064" t="s">
        <v>1050</v>
      </c>
    </row>
    <row r="15065" spans="1:9" hidden="1" x14ac:dyDescent="0.25">
      <c r="A15065" t="s">
        <v>12776</v>
      </c>
      <c r="B15065" t="s">
        <v>24</v>
      </c>
      <c r="C15065" s="2">
        <f>HYPERLINK("https://cao.dolgi.msk.ru/account/1080291331/", 1080291331)</f>
        <v>1080291331</v>
      </c>
      <c r="D15065" t="s">
        <v>12796</v>
      </c>
      <c r="E15065">
        <v>-58.2</v>
      </c>
      <c r="F15065">
        <v>-0.01</v>
      </c>
      <c r="G15065" t="s">
        <v>12</v>
      </c>
      <c r="H15065" t="s">
        <v>7</v>
      </c>
      <c r="I15065" t="s">
        <v>1050</v>
      </c>
    </row>
    <row r="15066" spans="1:9" hidden="1" x14ac:dyDescent="0.25">
      <c r="A15066" t="s">
        <v>12776</v>
      </c>
      <c r="B15066" t="s">
        <v>24</v>
      </c>
      <c r="C15066" s="2">
        <f>HYPERLINK("https://cao.dolgi.msk.ru/account/1080291358/", 1080291358)</f>
        <v>1080291358</v>
      </c>
      <c r="D15066" t="s">
        <v>12797</v>
      </c>
      <c r="E15066">
        <v>-3984.73</v>
      </c>
      <c r="F15066">
        <v>-1</v>
      </c>
      <c r="G15066" t="s">
        <v>12</v>
      </c>
      <c r="H15066" t="s">
        <v>7</v>
      </c>
      <c r="I15066" t="s">
        <v>1050</v>
      </c>
    </row>
    <row r="15067" spans="1:9" hidden="1" x14ac:dyDescent="0.25">
      <c r="A15067" t="s">
        <v>12776</v>
      </c>
      <c r="B15067" t="s">
        <v>27</v>
      </c>
      <c r="C15067" s="2">
        <f>HYPERLINK("https://cao.dolgi.msk.ru/account/1080290849/", 1080290849)</f>
        <v>1080290849</v>
      </c>
      <c r="D15067" t="s">
        <v>12798</v>
      </c>
      <c r="E15067">
        <v>5845.34</v>
      </c>
      <c r="F15067">
        <v>0.56000000000000005</v>
      </c>
      <c r="G15067" t="s">
        <v>12</v>
      </c>
      <c r="H15067" t="s">
        <v>7</v>
      </c>
      <c r="I15067" t="s">
        <v>1050</v>
      </c>
    </row>
    <row r="15068" spans="1:9" hidden="1" x14ac:dyDescent="0.25">
      <c r="A15068" t="s">
        <v>12776</v>
      </c>
      <c r="B15068" t="s">
        <v>27</v>
      </c>
      <c r="C15068" s="2">
        <f>HYPERLINK("https://cao.dolgi.msk.ru/account/1080290857/", 1080290857)</f>
        <v>1080290857</v>
      </c>
      <c r="D15068" t="s">
        <v>12799</v>
      </c>
      <c r="E15068">
        <v>-3047.62</v>
      </c>
      <c r="F15068">
        <v>-1.05</v>
      </c>
      <c r="G15068" t="s">
        <v>12</v>
      </c>
      <c r="H15068" t="s">
        <v>7</v>
      </c>
      <c r="I15068" t="s">
        <v>1050</v>
      </c>
    </row>
    <row r="15069" spans="1:9" hidden="1" x14ac:dyDescent="0.25">
      <c r="A15069" t="s">
        <v>12776</v>
      </c>
      <c r="B15069" t="s">
        <v>27</v>
      </c>
      <c r="C15069" s="2">
        <f>HYPERLINK("https://cao.dolgi.msk.ru/account/1080290865/", 1080290865)</f>
        <v>1080290865</v>
      </c>
      <c r="D15069" t="s">
        <v>12800</v>
      </c>
      <c r="E15069">
        <v>-28.28</v>
      </c>
      <c r="F15069">
        <v>-0.01</v>
      </c>
      <c r="G15069" t="s">
        <v>12</v>
      </c>
      <c r="H15069" t="s">
        <v>7</v>
      </c>
      <c r="I15069" t="s">
        <v>1050</v>
      </c>
    </row>
    <row r="15070" spans="1:9" hidden="1" x14ac:dyDescent="0.25">
      <c r="A15070" t="s">
        <v>12776</v>
      </c>
      <c r="B15070" t="s">
        <v>27</v>
      </c>
      <c r="C15070" s="2">
        <f>HYPERLINK("https://cao.dolgi.msk.ru/account/1080290873/", 1080290873)</f>
        <v>1080290873</v>
      </c>
      <c r="D15070" t="s">
        <v>1082</v>
      </c>
      <c r="E15070">
        <v>-4526.97</v>
      </c>
      <c r="F15070">
        <v>-1.1200000000000001</v>
      </c>
      <c r="G15070" t="s">
        <v>12</v>
      </c>
      <c r="H15070" t="s">
        <v>7</v>
      </c>
      <c r="I15070" t="s">
        <v>1050</v>
      </c>
    </row>
    <row r="15071" spans="1:9" hidden="1" x14ac:dyDescent="0.25">
      <c r="A15071" t="s">
        <v>12776</v>
      </c>
      <c r="B15071" t="s">
        <v>27</v>
      </c>
      <c r="C15071" s="2">
        <f>HYPERLINK("https://cao.dolgi.msk.ru/account/1080290881/", 1080290881)</f>
        <v>1080290881</v>
      </c>
      <c r="D15071" t="s">
        <v>12801</v>
      </c>
      <c r="E15071">
        <v>3043.48</v>
      </c>
      <c r="F15071">
        <v>0.97</v>
      </c>
      <c r="G15071" t="s">
        <v>12</v>
      </c>
      <c r="H15071" t="s">
        <v>7</v>
      </c>
      <c r="I15071" t="s">
        <v>1050</v>
      </c>
    </row>
    <row r="15072" spans="1:9" hidden="1" x14ac:dyDescent="0.25">
      <c r="A15072" t="s">
        <v>12776</v>
      </c>
      <c r="B15072" t="s">
        <v>29</v>
      </c>
      <c r="C15072" s="2">
        <f>HYPERLINK("https://cao.dolgi.msk.ru/account/1080290902/", 1080290902)</f>
        <v>1080290902</v>
      </c>
      <c r="D15072" t="s">
        <v>5183</v>
      </c>
      <c r="E15072">
        <v>0</v>
      </c>
      <c r="F15072">
        <v>0</v>
      </c>
      <c r="G15072" t="s">
        <v>12</v>
      </c>
      <c r="H15072" t="s">
        <v>7</v>
      </c>
      <c r="I15072" t="s">
        <v>1050</v>
      </c>
    </row>
    <row r="15073" spans="1:9" hidden="1" x14ac:dyDescent="0.25">
      <c r="A15073" t="s">
        <v>12776</v>
      </c>
      <c r="B15073" t="s">
        <v>29</v>
      </c>
      <c r="C15073" s="2">
        <f>HYPERLINK("https://cao.dolgi.msk.ru/account/1080290929/", 1080290929)</f>
        <v>1080290929</v>
      </c>
      <c r="D15073" t="s">
        <v>12802</v>
      </c>
      <c r="E15073">
        <v>-13.34</v>
      </c>
      <c r="F15073">
        <v>0</v>
      </c>
      <c r="G15073" t="s">
        <v>12</v>
      </c>
      <c r="H15073" t="s">
        <v>7</v>
      </c>
      <c r="I15073" t="s">
        <v>1050</v>
      </c>
    </row>
    <row r="15074" spans="1:9" hidden="1" x14ac:dyDescent="0.25">
      <c r="A15074" t="s">
        <v>12776</v>
      </c>
      <c r="B15074" t="s">
        <v>29</v>
      </c>
      <c r="C15074" s="2">
        <f>HYPERLINK("https://cao.dolgi.msk.ru/account/1080290937/", 1080290937)</f>
        <v>1080290937</v>
      </c>
      <c r="D15074" t="s">
        <v>12803</v>
      </c>
      <c r="E15074">
        <v>-3254.05</v>
      </c>
      <c r="F15074">
        <v>-0.89</v>
      </c>
      <c r="G15074" t="s">
        <v>12</v>
      </c>
      <c r="H15074" t="s">
        <v>7</v>
      </c>
      <c r="I15074" t="s">
        <v>1050</v>
      </c>
    </row>
    <row r="15075" spans="1:9" hidden="1" x14ac:dyDescent="0.25">
      <c r="A15075" t="s">
        <v>12776</v>
      </c>
      <c r="B15075" t="s">
        <v>29</v>
      </c>
      <c r="C15075" s="2">
        <f>HYPERLINK("https://cao.dolgi.msk.ru/account/1080291454/", 1080291454)</f>
        <v>1080291454</v>
      </c>
      <c r="D15075" t="s">
        <v>1082</v>
      </c>
      <c r="E15075">
        <v>127.93</v>
      </c>
      <c r="F15075">
        <v>0.04</v>
      </c>
      <c r="G15075" t="s">
        <v>12</v>
      </c>
      <c r="H15075" t="s">
        <v>7</v>
      </c>
      <c r="I15075" t="s">
        <v>1050</v>
      </c>
    </row>
    <row r="15076" spans="1:9" hidden="1" x14ac:dyDescent="0.25">
      <c r="A15076" t="s">
        <v>12776</v>
      </c>
      <c r="B15076" t="s">
        <v>29</v>
      </c>
      <c r="C15076" s="2">
        <f>HYPERLINK("https://cao.dolgi.msk.ru/account/1083272515/", 1083272515)</f>
        <v>1083272515</v>
      </c>
      <c r="D15076" t="s">
        <v>5183</v>
      </c>
      <c r="E15076">
        <v>0</v>
      </c>
      <c r="F15076">
        <v>0</v>
      </c>
      <c r="G15076" t="s">
        <v>12</v>
      </c>
      <c r="H15076" t="s">
        <v>7</v>
      </c>
      <c r="I15076" t="s">
        <v>1050</v>
      </c>
    </row>
    <row r="15077" spans="1:9" hidden="1" x14ac:dyDescent="0.25">
      <c r="A15077" t="s">
        <v>12776</v>
      </c>
      <c r="B15077" t="s">
        <v>29</v>
      </c>
      <c r="C15077" s="2">
        <f>HYPERLINK("https://cao.dolgi.msk.ru/account/1083371046/", 1083371046)</f>
        <v>1083371046</v>
      </c>
      <c r="D15077" t="s">
        <v>15</v>
      </c>
      <c r="E15077">
        <v>0</v>
      </c>
      <c r="G15077" t="s">
        <v>14</v>
      </c>
      <c r="H15077" t="s">
        <v>7</v>
      </c>
      <c r="I15077" t="s">
        <v>1050</v>
      </c>
    </row>
    <row r="15078" spans="1:9" hidden="1" x14ac:dyDescent="0.25">
      <c r="A15078" t="s">
        <v>12776</v>
      </c>
      <c r="B15078" t="s">
        <v>31</v>
      </c>
      <c r="C15078" s="2">
        <f>HYPERLINK("https://cao.dolgi.msk.ru/account/1080290945/", 1080290945)</f>
        <v>1080290945</v>
      </c>
      <c r="D15078" t="s">
        <v>12804</v>
      </c>
      <c r="E15078">
        <v>-3838.92</v>
      </c>
      <c r="F15078">
        <v>-1.0900000000000001</v>
      </c>
      <c r="G15078" t="s">
        <v>12</v>
      </c>
      <c r="H15078" t="s">
        <v>7</v>
      </c>
      <c r="I15078" t="s">
        <v>1050</v>
      </c>
    </row>
    <row r="15079" spans="1:9" hidden="1" x14ac:dyDescent="0.25">
      <c r="A15079" t="s">
        <v>12776</v>
      </c>
      <c r="B15079" t="s">
        <v>31</v>
      </c>
      <c r="C15079" s="2">
        <f>HYPERLINK("https://cao.dolgi.msk.ru/account/1080290953/", 1080290953)</f>
        <v>1080290953</v>
      </c>
      <c r="D15079" t="s">
        <v>12805</v>
      </c>
      <c r="E15079">
        <v>-11933.08</v>
      </c>
      <c r="F15079">
        <v>-1.08</v>
      </c>
      <c r="G15079" t="s">
        <v>12</v>
      </c>
      <c r="H15079" t="s">
        <v>7</v>
      </c>
      <c r="I15079" t="s">
        <v>1050</v>
      </c>
    </row>
    <row r="15080" spans="1:9" hidden="1" x14ac:dyDescent="0.25">
      <c r="A15080" t="s">
        <v>12776</v>
      </c>
      <c r="B15080" t="s">
        <v>31</v>
      </c>
      <c r="C15080" s="2">
        <f>HYPERLINK("https://cao.dolgi.msk.ru/account/1080290961/", 1080290961)</f>
        <v>1080290961</v>
      </c>
      <c r="D15080" t="s">
        <v>12806</v>
      </c>
      <c r="E15080">
        <v>-6478.1</v>
      </c>
      <c r="F15080">
        <v>-1.08</v>
      </c>
      <c r="G15080" t="s">
        <v>12</v>
      </c>
      <c r="H15080" t="s">
        <v>7</v>
      </c>
      <c r="I15080" t="s">
        <v>1050</v>
      </c>
    </row>
    <row r="15081" spans="1:9" hidden="1" x14ac:dyDescent="0.25">
      <c r="A15081" t="s">
        <v>12776</v>
      </c>
      <c r="B15081" t="s">
        <v>31</v>
      </c>
      <c r="C15081" s="2">
        <f>HYPERLINK("https://cao.dolgi.msk.ru/account/1080291366/", 1080291366)</f>
        <v>1080291366</v>
      </c>
      <c r="D15081" t="s">
        <v>12807</v>
      </c>
      <c r="E15081">
        <v>-3687.7</v>
      </c>
      <c r="F15081">
        <v>-1.1000000000000001</v>
      </c>
      <c r="G15081" t="s">
        <v>12</v>
      </c>
      <c r="H15081" t="s">
        <v>7</v>
      </c>
      <c r="I15081" t="s">
        <v>1050</v>
      </c>
    </row>
    <row r="15082" spans="1:9" hidden="1" x14ac:dyDescent="0.25">
      <c r="A15082" t="s">
        <v>12776</v>
      </c>
      <c r="B15082" t="s">
        <v>33</v>
      </c>
      <c r="C15082" s="2">
        <f>HYPERLINK("https://cao.dolgi.msk.ru/account/1080290988/", 1080290988)</f>
        <v>1080290988</v>
      </c>
      <c r="D15082" t="s">
        <v>1082</v>
      </c>
      <c r="E15082">
        <v>-2074.4299999999998</v>
      </c>
      <c r="F15082">
        <v>-1.02</v>
      </c>
      <c r="G15082" t="s">
        <v>12</v>
      </c>
      <c r="H15082" t="s">
        <v>7</v>
      </c>
      <c r="I15082" t="s">
        <v>1050</v>
      </c>
    </row>
    <row r="15083" spans="1:9" x14ac:dyDescent="0.25">
      <c r="A15083" t="s">
        <v>12776</v>
      </c>
      <c r="B15083" t="s">
        <v>33</v>
      </c>
      <c r="C15083" s="2">
        <f>HYPERLINK("https://cao.dolgi.msk.ru/account/1080290996/", 1080290996)</f>
        <v>1080290996</v>
      </c>
      <c r="D15083" t="s">
        <v>12808</v>
      </c>
      <c r="E15083">
        <v>7359.08</v>
      </c>
      <c r="F15083">
        <v>2.64</v>
      </c>
      <c r="G15083" t="s">
        <v>12</v>
      </c>
      <c r="H15083" t="s">
        <v>7</v>
      </c>
      <c r="I15083" t="s">
        <v>1050</v>
      </c>
    </row>
    <row r="15084" spans="1:9" hidden="1" x14ac:dyDescent="0.25">
      <c r="A15084" t="s">
        <v>12776</v>
      </c>
      <c r="B15084" t="s">
        <v>33</v>
      </c>
      <c r="C15084" s="2">
        <f>HYPERLINK("https://cao.dolgi.msk.ru/account/1080291008/", 1080291008)</f>
        <v>1080291008</v>
      </c>
      <c r="D15084" t="s">
        <v>1082</v>
      </c>
      <c r="E15084">
        <v>0</v>
      </c>
      <c r="F15084">
        <v>0</v>
      </c>
      <c r="G15084" t="s">
        <v>12</v>
      </c>
      <c r="H15084" t="s">
        <v>7</v>
      </c>
      <c r="I15084" t="s">
        <v>1050</v>
      </c>
    </row>
    <row r="15085" spans="1:9" hidden="1" x14ac:dyDescent="0.25">
      <c r="A15085" t="s">
        <v>12776</v>
      </c>
      <c r="B15085" t="s">
        <v>33</v>
      </c>
      <c r="C15085" s="2">
        <f>HYPERLINK("https://cao.dolgi.msk.ru/account/1080291016/", 1080291016)</f>
        <v>1080291016</v>
      </c>
      <c r="D15085" t="s">
        <v>12809</v>
      </c>
      <c r="E15085">
        <v>-2908.73</v>
      </c>
      <c r="F15085">
        <v>-1.08</v>
      </c>
      <c r="G15085" t="s">
        <v>12</v>
      </c>
      <c r="H15085" t="s">
        <v>7</v>
      </c>
      <c r="I15085" t="s">
        <v>1050</v>
      </c>
    </row>
    <row r="15086" spans="1:9" hidden="1" x14ac:dyDescent="0.25">
      <c r="A15086" t="s">
        <v>12776</v>
      </c>
      <c r="B15086" t="s">
        <v>33</v>
      </c>
      <c r="C15086" s="2">
        <f>HYPERLINK("https://cao.dolgi.msk.ru/account/1080291024/", 1080291024)</f>
        <v>1080291024</v>
      </c>
      <c r="D15086" t="s">
        <v>1082</v>
      </c>
      <c r="E15086">
        <v>-4325.2700000000004</v>
      </c>
      <c r="F15086">
        <v>-1.7</v>
      </c>
      <c r="G15086" t="s">
        <v>12</v>
      </c>
      <c r="H15086" t="s">
        <v>7</v>
      </c>
      <c r="I15086" t="s">
        <v>1050</v>
      </c>
    </row>
    <row r="15087" spans="1:9" hidden="1" x14ac:dyDescent="0.25">
      <c r="A15087" t="s">
        <v>12776</v>
      </c>
      <c r="B15087" t="s">
        <v>33</v>
      </c>
      <c r="C15087" s="2">
        <f>HYPERLINK("https://cao.dolgi.msk.ru/account/1080291374/", 1080291374)</f>
        <v>1080291374</v>
      </c>
      <c r="D15087" t="s">
        <v>12810</v>
      </c>
      <c r="E15087">
        <v>0</v>
      </c>
      <c r="G15087" t="s">
        <v>14</v>
      </c>
      <c r="H15087" t="s">
        <v>7</v>
      </c>
      <c r="I15087" t="s">
        <v>1050</v>
      </c>
    </row>
    <row r="15088" spans="1:9" x14ac:dyDescent="0.25">
      <c r="A15088" t="s">
        <v>12776</v>
      </c>
      <c r="B15088" t="s">
        <v>33</v>
      </c>
      <c r="C15088" s="2">
        <f>HYPERLINK("https://cao.dolgi.msk.ru/account/1083395785/", 1083395785)</f>
        <v>1083395785</v>
      </c>
      <c r="D15088" t="s">
        <v>189</v>
      </c>
      <c r="E15088">
        <v>3316.18</v>
      </c>
      <c r="F15088">
        <v>2</v>
      </c>
      <c r="G15088" t="s">
        <v>12</v>
      </c>
      <c r="H15088" t="s">
        <v>7</v>
      </c>
      <c r="I15088" t="s">
        <v>1050</v>
      </c>
    </row>
    <row r="15089" spans="1:9" hidden="1" x14ac:dyDescent="0.25">
      <c r="A15089" t="s">
        <v>12776</v>
      </c>
      <c r="B15089" t="s">
        <v>34</v>
      </c>
      <c r="C15089" s="2">
        <f>HYPERLINK("https://cao.dolgi.msk.ru/account/1080291032/", 1080291032)</f>
        <v>1080291032</v>
      </c>
      <c r="D15089" t="s">
        <v>12811</v>
      </c>
      <c r="E15089">
        <v>-14364.45</v>
      </c>
      <c r="F15089">
        <v>-1.24</v>
      </c>
      <c r="G15089" t="s">
        <v>12</v>
      </c>
      <c r="I15089" t="s">
        <v>1050</v>
      </c>
    </row>
    <row r="15090" spans="1:9" hidden="1" x14ac:dyDescent="0.25">
      <c r="A15090" t="s">
        <v>12776</v>
      </c>
      <c r="B15090" t="s">
        <v>36</v>
      </c>
      <c r="C15090" s="2">
        <f>HYPERLINK("https://cao.dolgi.msk.ru/account/1080291059/", 1080291059)</f>
        <v>1080291059</v>
      </c>
      <c r="D15090" t="s">
        <v>1082</v>
      </c>
      <c r="E15090">
        <v>-1949.76</v>
      </c>
      <c r="F15090">
        <v>-1.1200000000000001</v>
      </c>
      <c r="G15090" t="s">
        <v>12</v>
      </c>
      <c r="H15090" t="s">
        <v>7</v>
      </c>
      <c r="I15090" t="s">
        <v>1050</v>
      </c>
    </row>
    <row r="15091" spans="1:9" hidden="1" x14ac:dyDescent="0.25">
      <c r="A15091" t="s">
        <v>12776</v>
      </c>
      <c r="B15091" t="s">
        <v>36</v>
      </c>
      <c r="C15091" s="2">
        <f>HYPERLINK("https://cao.dolgi.msk.ru/account/1080291067/", 1080291067)</f>
        <v>1080291067</v>
      </c>
      <c r="D15091" t="s">
        <v>12812</v>
      </c>
      <c r="E15091">
        <v>-2739.48</v>
      </c>
      <c r="F15091">
        <v>-1.19</v>
      </c>
      <c r="G15091" t="s">
        <v>12</v>
      </c>
      <c r="H15091" t="s">
        <v>7</v>
      </c>
      <c r="I15091" t="s">
        <v>1050</v>
      </c>
    </row>
    <row r="15092" spans="1:9" hidden="1" x14ac:dyDescent="0.25">
      <c r="A15092" t="s">
        <v>12776</v>
      </c>
      <c r="B15092" t="s">
        <v>36</v>
      </c>
      <c r="C15092" s="2">
        <f>HYPERLINK("https://cao.dolgi.msk.ru/account/1080291075/", 1080291075)</f>
        <v>1080291075</v>
      </c>
      <c r="D15092" t="s">
        <v>1082</v>
      </c>
      <c r="E15092">
        <v>-1880.77</v>
      </c>
      <c r="F15092">
        <v>-1.5</v>
      </c>
      <c r="G15092" t="s">
        <v>12</v>
      </c>
      <c r="H15092" t="s">
        <v>7</v>
      </c>
      <c r="I15092" t="s">
        <v>1050</v>
      </c>
    </row>
    <row r="15093" spans="1:9" hidden="1" x14ac:dyDescent="0.25">
      <c r="A15093" t="s">
        <v>12776</v>
      </c>
      <c r="B15093" t="s">
        <v>36</v>
      </c>
      <c r="C15093" s="2">
        <f>HYPERLINK("https://cao.dolgi.msk.ru/account/1080291382/", 1080291382)</f>
        <v>1080291382</v>
      </c>
      <c r="D15093" t="s">
        <v>12813</v>
      </c>
      <c r="E15093">
        <v>-3730.87</v>
      </c>
      <c r="F15093">
        <v>-1.02</v>
      </c>
      <c r="G15093" t="s">
        <v>12</v>
      </c>
      <c r="H15093" t="s">
        <v>7</v>
      </c>
      <c r="I15093" t="s">
        <v>1050</v>
      </c>
    </row>
    <row r="15094" spans="1:9" hidden="1" x14ac:dyDescent="0.25">
      <c r="A15094" t="s">
        <v>12776</v>
      </c>
      <c r="B15094" t="s">
        <v>36</v>
      </c>
      <c r="C15094" s="2">
        <f>HYPERLINK("https://cao.dolgi.msk.ru/account/1080291403/", 1080291403)</f>
        <v>1080291403</v>
      </c>
      <c r="D15094" t="s">
        <v>12814</v>
      </c>
      <c r="E15094">
        <v>-2083.98</v>
      </c>
      <c r="F15094">
        <v>-1.18</v>
      </c>
      <c r="G15094" t="s">
        <v>12</v>
      </c>
      <c r="H15094" t="s">
        <v>7</v>
      </c>
      <c r="I15094" t="s">
        <v>1050</v>
      </c>
    </row>
    <row r="15095" spans="1:9" hidden="1" x14ac:dyDescent="0.25">
      <c r="A15095" t="s">
        <v>12776</v>
      </c>
      <c r="B15095" t="s">
        <v>36</v>
      </c>
      <c r="C15095" s="2">
        <f>HYPERLINK("https://cao.dolgi.msk.ru/account/1089131377/", 1089131377)</f>
        <v>1089131377</v>
      </c>
      <c r="D15095" t="s">
        <v>12815</v>
      </c>
      <c r="E15095">
        <v>-2189.5100000000002</v>
      </c>
      <c r="F15095">
        <v>-1.1599999999999999</v>
      </c>
      <c r="G15095" t="s">
        <v>12</v>
      </c>
      <c r="H15095" t="s">
        <v>7</v>
      </c>
      <c r="I15095" t="s">
        <v>1050</v>
      </c>
    </row>
    <row r="15096" spans="1:9" hidden="1" x14ac:dyDescent="0.25">
      <c r="A15096" t="s">
        <v>12776</v>
      </c>
      <c r="B15096" t="s">
        <v>38</v>
      </c>
      <c r="C15096" s="2">
        <f>HYPERLINK("https://cao.dolgi.msk.ru/account/1080291083/", 1080291083)</f>
        <v>1080291083</v>
      </c>
      <c r="D15096" t="s">
        <v>12816</v>
      </c>
      <c r="E15096">
        <v>-4481.46</v>
      </c>
      <c r="F15096">
        <v>-1.35</v>
      </c>
      <c r="G15096" t="s">
        <v>12</v>
      </c>
      <c r="H15096" t="s">
        <v>7</v>
      </c>
      <c r="I15096" t="s">
        <v>1050</v>
      </c>
    </row>
    <row r="15097" spans="1:9" hidden="1" x14ac:dyDescent="0.25">
      <c r="A15097" t="s">
        <v>12776</v>
      </c>
      <c r="B15097" t="s">
        <v>38</v>
      </c>
      <c r="C15097" s="2">
        <f>HYPERLINK("https://cao.dolgi.msk.ru/account/1080291091/", 1080291091)</f>
        <v>1080291091</v>
      </c>
      <c r="D15097" t="s">
        <v>12817</v>
      </c>
      <c r="E15097">
        <v>-2516.4</v>
      </c>
      <c r="F15097">
        <v>-1.37</v>
      </c>
      <c r="G15097" t="s">
        <v>12</v>
      </c>
      <c r="H15097" t="s">
        <v>7</v>
      </c>
      <c r="I15097" t="s">
        <v>1050</v>
      </c>
    </row>
    <row r="15098" spans="1:9" hidden="1" x14ac:dyDescent="0.25">
      <c r="A15098" t="s">
        <v>12776</v>
      </c>
      <c r="B15098" t="s">
        <v>38</v>
      </c>
      <c r="C15098" s="2">
        <f>HYPERLINK("https://cao.dolgi.msk.ru/account/1080291104/", 1080291104)</f>
        <v>1080291104</v>
      </c>
      <c r="D15098" t="s">
        <v>12818</v>
      </c>
      <c r="E15098">
        <v>1054.46</v>
      </c>
      <c r="F15098">
        <v>0.39</v>
      </c>
      <c r="G15098" t="s">
        <v>12</v>
      </c>
      <c r="H15098" t="s">
        <v>7</v>
      </c>
      <c r="I15098" t="s">
        <v>1050</v>
      </c>
    </row>
    <row r="15099" spans="1:9" x14ac:dyDescent="0.25">
      <c r="A15099" t="s">
        <v>12776</v>
      </c>
      <c r="B15099" t="s">
        <v>38</v>
      </c>
      <c r="C15099" s="2">
        <f>HYPERLINK("https://cao.dolgi.msk.ru/account/1080291411/", 1080291411)</f>
        <v>1080291411</v>
      </c>
      <c r="D15099" t="s">
        <v>1082</v>
      </c>
      <c r="E15099">
        <v>46586.38</v>
      </c>
      <c r="F15099">
        <v>25.24</v>
      </c>
      <c r="G15099" t="s">
        <v>12</v>
      </c>
      <c r="H15099" t="s">
        <v>7</v>
      </c>
      <c r="I15099" t="s">
        <v>1050</v>
      </c>
    </row>
    <row r="15100" spans="1:9" hidden="1" x14ac:dyDescent="0.25">
      <c r="A15100" t="s">
        <v>12776</v>
      </c>
      <c r="B15100" t="s">
        <v>38</v>
      </c>
      <c r="C15100" s="2">
        <f>HYPERLINK("https://cao.dolgi.msk.ru/account/1080291438/", 1080291438)</f>
        <v>1080291438</v>
      </c>
      <c r="D15100" t="s">
        <v>12819</v>
      </c>
      <c r="E15100">
        <v>3098.16</v>
      </c>
      <c r="F15100">
        <v>0.99</v>
      </c>
      <c r="G15100" t="s">
        <v>12</v>
      </c>
      <c r="H15100" t="s">
        <v>7</v>
      </c>
      <c r="I15100" t="s">
        <v>1050</v>
      </c>
    </row>
    <row r="15101" spans="1:9" hidden="1" x14ac:dyDescent="0.25">
      <c r="A15101" t="s">
        <v>12776</v>
      </c>
      <c r="B15101" t="s">
        <v>38</v>
      </c>
      <c r="C15101" s="2">
        <f>HYPERLINK("https://cao.dolgi.msk.ru/account/1083399583/", 1083399583)</f>
        <v>1083399583</v>
      </c>
      <c r="D15101" t="s">
        <v>189</v>
      </c>
      <c r="E15101">
        <v>0</v>
      </c>
      <c r="G15101" t="s">
        <v>12</v>
      </c>
      <c r="H15101" t="s">
        <v>7</v>
      </c>
      <c r="I15101" t="s">
        <v>1050</v>
      </c>
    </row>
    <row r="15102" spans="1:9" x14ac:dyDescent="0.25">
      <c r="A15102" t="s">
        <v>12776</v>
      </c>
      <c r="B15102" t="s">
        <v>39</v>
      </c>
      <c r="C15102" s="2">
        <f>HYPERLINK("https://cao.dolgi.msk.ru/account/1080291139/", 1080291139)</f>
        <v>1080291139</v>
      </c>
      <c r="D15102" t="s">
        <v>12820</v>
      </c>
      <c r="E15102">
        <v>26350.63</v>
      </c>
      <c r="F15102">
        <v>2.4900000000000002</v>
      </c>
      <c r="G15102" t="s">
        <v>12</v>
      </c>
      <c r="I15102" t="s">
        <v>1050</v>
      </c>
    </row>
    <row r="15103" spans="1:9" hidden="1" x14ac:dyDescent="0.25">
      <c r="A15103" t="s">
        <v>12776</v>
      </c>
      <c r="B15103" t="s">
        <v>40</v>
      </c>
      <c r="C15103" s="2">
        <f>HYPERLINK("https://cao.dolgi.msk.ru/account/1080291163/", 1080291163)</f>
        <v>1080291163</v>
      </c>
      <c r="D15103" t="s">
        <v>12821</v>
      </c>
      <c r="E15103">
        <v>55.12</v>
      </c>
      <c r="F15103">
        <v>0.01</v>
      </c>
      <c r="G15103" t="s">
        <v>12</v>
      </c>
      <c r="H15103" t="s">
        <v>7</v>
      </c>
      <c r="I15103" t="s">
        <v>1050</v>
      </c>
    </row>
    <row r="15104" spans="1:9" hidden="1" x14ac:dyDescent="0.25">
      <c r="A15104" t="s">
        <v>12776</v>
      </c>
      <c r="B15104" t="s">
        <v>40</v>
      </c>
      <c r="C15104" s="2">
        <f>HYPERLINK("https://cao.dolgi.msk.ru/account/1080291171/", 1080291171)</f>
        <v>1080291171</v>
      </c>
      <c r="D15104" t="s">
        <v>12822</v>
      </c>
      <c r="E15104">
        <v>-5430.45</v>
      </c>
      <c r="F15104">
        <v>-1.1399999999999999</v>
      </c>
      <c r="G15104" t="s">
        <v>12</v>
      </c>
      <c r="H15104" t="s">
        <v>7</v>
      </c>
      <c r="I15104" t="s">
        <v>1050</v>
      </c>
    </row>
    <row r="15105" spans="1:9" hidden="1" x14ac:dyDescent="0.25">
      <c r="A15105" t="s">
        <v>12776</v>
      </c>
      <c r="B15105" t="s">
        <v>40</v>
      </c>
      <c r="C15105" s="2">
        <f>HYPERLINK("https://cao.dolgi.msk.ru/account/1080291198/", 1080291198)</f>
        <v>1080291198</v>
      </c>
      <c r="D15105" t="s">
        <v>12823</v>
      </c>
      <c r="E15105">
        <v>-4927.03</v>
      </c>
      <c r="F15105">
        <v>-1.1200000000000001</v>
      </c>
      <c r="G15105" t="s">
        <v>12</v>
      </c>
      <c r="H15105" t="s">
        <v>7</v>
      </c>
      <c r="I15105" t="s">
        <v>1050</v>
      </c>
    </row>
    <row r="15106" spans="1:9" hidden="1" x14ac:dyDescent="0.25">
      <c r="A15106" t="s">
        <v>12776</v>
      </c>
      <c r="B15106" t="s">
        <v>40</v>
      </c>
      <c r="C15106" s="2">
        <f>HYPERLINK("https://cao.dolgi.msk.ru/account/1080291219/", 1080291219)</f>
        <v>1080291219</v>
      </c>
      <c r="D15106" t="s">
        <v>62</v>
      </c>
      <c r="E15106">
        <v>-2558.61</v>
      </c>
      <c r="F15106">
        <v>-1.1499999999999999</v>
      </c>
      <c r="G15106" t="s">
        <v>12</v>
      </c>
      <c r="H15106" t="s">
        <v>7</v>
      </c>
      <c r="I15106" t="s">
        <v>1050</v>
      </c>
    </row>
    <row r="15107" spans="1:9" hidden="1" x14ac:dyDescent="0.25">
      <c r="A15107" t="s">
        <v>12776</v>
      </c>
      <c r="B15107" t="s">
        <v>41</v>
      </c>
      <c r="C15107" s="2">
        <f>HYPERLINK("https://cao.dolgi.msk.ru/account/1080291227/", 1080291227)</f>
        <v>1080291227</v>
      </c>
      <c r="D15107" t="s">
        <v>1082</v>
      </c>
      <c r="E15107">
        <v>-7256.07</v>
      </c>
      <c r="F15107">
        <v>-1.0900000000000001</v>
      </c>
      <c r="G15107" t="s">
        <v>12</v>
      </c>
      <c r="H15107" t="s">
        <v>7</v>
      </c>
      <c r="I15107" t="s">
        <v>1050</v>
      </c>
    </row>
    <row r="15108" spans="1:9" hidden="1" x14ac:dyDescent="0.25">
      <c r="A15108" t="s">
        <v>12776</v>
      </c>
      <c r="B15108" t="s">
        <v>41</v>
      </c>
      <c r="C15108" s="2">
        <f>HYPERLINK("https://cao.dolgi.msk.ru/account/1080291235/", 1080291235)</f>
        <v>1080291235</v>
      </c>
      <c r="D15108" t="s">
        <v>12824</v>
      </c>
      <c r="E15108">
        <v>-135.61000000000001</v>
      </c>
      <c r="F15108">
        <v>-0.02</v>
      </c>
      <c r="G15108" t="s">
        <v>12</v>
      </c>
      <c r="H15108" t="s">
        <v>7</v>
      </c>
      <c r="I15108" t="s">
        <v>1050</v>
      </c>
    </row>
    <row r="15109" spans="1:9" hidden="1" x14ac:dyDescent="0.25">
      <c r="A15109" t="s">
        <v>12776</v>
      </c>
      <c r="B15109" t="s">
        <v>41</v>
      </c>
      <c r="C15109" s="2">
        <f>HYPERLINK("https://cao.dolgi.msk.ru/account/1080291243/", 1080291243)</f>
        <v>1080291243</v>
      </c>
      <c r="D15109" t="s">
        <v>12825</v>
      </c>
      <c r="E15109">
        <v>-4531.8100000000004</v>
      </c>
      <c r="F15109">
        <v>-1.1200000000000001</v>
      </c>
      <c r="G15109" t="s">
        <v>12</v>
      </c>
      <c r="H15109" t="s">
        <v>7</v>
      </c>
      <c r="I15109" t="s">
        <v>1050</v>
      </c>
    </row>
    <row r="15110" spans="1:9" hidden="1" x14ac:dyDescent="0.25">
      <c r="A15110" t="s">
        <v>12776</v>
      </c>
      <c r="B15110" t="s">
        <v>41</v>
      </c>
      <c r="C15110" s="2">
        <f>HYPERLINK("https://cao.dolgi.msk.ru/account/1080291446/", 1080291446)</f>
        <v>1080291446</v>
      </c>
      <c r="D15110" t="s">
        <v>12826</v>
      </c>
      <c r="E15110">
        <v>-170.04</v>
      </c>
      <c r="F15110">
        <v>-0.05</v>
      </c>
      <c r="G15110" t="s">
        <v>12</v>
      </c>
      <c r="H15110" t="s">
        <v>7</v>
      </c>
      <c r="I15110" t="s">
        <v>1050</v>
      </c>
    </row>
    <row r="15111" spans="1:9" hidden="1" x14ac:dyDescent="0.25">
      <c r="A15111" t="s">
        <v>12827</v>
      </c>
      <c r="B15111" t="s">
        <v>10</v>
      </c>
      <c r="C15111" s="2">
        <f>HYPERLINK("https://cao.dolgi.msk.ru/account/1080295404/", 1080295404)</f>
        <v>1080295404</v>
      </c>
      <c r="D15111" t="s">
        <v>12828</v>
      </c>
      <c r="E15111">
        <v>-5775.23</v>
      </c>
      <c r="F15111">
        <v>-1.1399999999999999</v>
      </c>
      <c r="G15111" t="s">
        <v>12</v>
      </c>
      <c r="I15111" t="s">
        <v>1050</v>
      </c>
    </row>
    <row r="15112" spans="1:9" hidden="1" x14ac:dyDescent="0.25">
      <c r="A15112" t="s">
        <v>12827</v>
      </c>
      <c r="B15112" t="s">
        <v>16</v>
      </c>
      <c r="C15112" s="2">
        <f>HYPERLINK("https://cao.dolgi.msk.ru/account/1080295412/", 1080295412)</f>
        <v>1080295412</v>
      </c>
      <c r="D15112" t="s">
        <v>12829</v>
      </c>
      <c r="E15112">
        <v>0</v>
      </c>
      <c r="F15112">
        <v>0</v>
      </c>
      <c r="G15112" t="s">
        <v>12</v>
      </c>
      <c r="I15112" t="s">
        <v>1050</v>
      </c>
    </row>
    <row r="15113" spans="1:9" hidden="1" x14ac:dyDescent="0.25">
      <c r="A15113" t="s">
        <v>12827</v>
      </c>
      <c r="B15113" t="s">
        <v>18</v>
      </c>
      <c r="C15113" s="2">
        <f>HYPERLINK("https://cao.dolgi.msk.ru/account/1080295439/", 1080295439)</f>
        <v>1080295439</v>
      </c>
      <c r="D15113" t="s">
        <v>12830</v>
      </c>
      <c r="E15113">
        <v>-2823.82</v>
      </c>
      <c r="F15113">
        <v>-1.1200000000000001</v>
      </c>
      <c r="G15113" t="s">
        <v>12</v>
      </c>
      <c r="I15113" t="s">
        <v>1050</v>
      </c>
    </row>
    <row r="15114" spans="1:9" hidden="1" x14ac:dyDescent="0.25">
      <c r="A15114" t="s">
        <v>12827</v>
      </c>
      <c r="B15114" t="s">
        <v>20</v>
      </c>
      <c r="C15114" s="2">
        <f>HYPERLINK("https://cao.dolgi.msk.ru/account/1080295447/", 1080295447)</f>
        <v>1080295447</v>
      </c>
      <c r="D15114" t="s">
        <v>12831</v>
      </c>
      <c r="E15114">
        <v>-7763.72</v>
      </c>
      <c r="F15114">
        <v>-1.1000000000000001</v>
      </c>
      <c r="G15114" t="s">
        <v>12</v>
      </c>
      <c r="I15114" t="s">
        <v>1050</v>
      </c>
    </row>
    <row r="15115" spans="1:9" hidden="1" x14ac:dyDescent="0.25">
      <c r="A15115" t="s">
        <v>12827</v>
      </c>
      <c r="B15115" t="s">
        <v>21</v>
      </c>
      <c r="C15115" s="2">
        <f>HYPERLINK("https://cao.dolgi.msk.ru/account/1080295455/", 1080295455)</f>
        <v>1080295455</v>
      </c>
      <c r="D15115" t="s">
        <v>12832</v>
      </c>
      <c r="E15115">
        <v>-7850.01</v>
      </c>
      <c r="F15115">
        <v>-1.1200000000000001</v>
      </c>
      <c r="G15115" t="s">
        <v>12</v>
      </c>
      <c r="I15115" t="s">
        <v>1050</v>
      </c>
    </row>
    <row r="15116" spans="1:9" hidden="1" x14ac:dyDescent="0.25">
      <c r="A15116" t="s">
        <v>12827</v>
      </c>
      <c r="B15116" t="s">
        <v>22</v>
      </c>
      <c r="C15116" s="2">
        <f>HYPERLINK("https://cao.dolgi.msk.ru/account/1080295463/", 1080295463)</f>
        <v>1080295463</v>
      </c>
      <c r="D15116" t="s">
        <v>12833</v>
      </c>
      <c r="E15116">
        <v>-21226.85</v>
      </c>
      <c r="F15116">
        <v>-4.42</v>
      </c>
      <c r="G15116" t="s">
        <v>12</v>
      </c>
      <c r="I15116" t="s">
        <v>1050</v>
      </c>
    </row>
    <row r="15117" spans="1:9" hidden="1" x14ac:dyDescent="0.25">
      <c r="A15117" t="s">
        <v>12827</v>
      </c>
      <c r="B15117" t="s">
        <v>23</v>
      </c>
      <c r="C15117" s="2">
        <f>HYPERLINK("https://cao.dolgi.msk.ru/account/1080295471/", 1080295471)</f>
        <v>1080295471</v>
      </c>
      <c r="D15117" t="s">
        <v>12834</v>
      </c>
      <c r="E15117">
        <v>-6018.16</v>
      </c>
      <c r="F15117">
        <v>-1.1000000000000001</v>
      </c>
      <c r="G15117" t="s">
        <v>12</v>
      </c>
      <c r="I15117" t="s">
        <v>1050</v>
      </c>
    </row>
    <row r="15118" spans="1:9" hidden="1" x14ac:dyDescent="0.25">
      <c r="A15118" t="s">
        <v>12827</v>
      </c>
      <c r="B15118" t="s">
        <v>24</v>
      </c>
      <c r="C15118" s="2">
        <f>HYPERLINK("https://cao.dolgi.msk.ru/account/1080295498/", 1080295498)</f>
        <v>1080295498</v>
      </c>
      <c r="D15118" t="s">
        <v>12835</v>
      </c>
      <c r="E15118">
        <v>-16916.669999999998</v>
      </c>
      <c r="F15118">
        <v>-2.12</v>
      </c>
      <c r="G15118" t="s">
        <v>12</v>
      </c>
      <c r="I15118" t="s">
        <v>1050</v>
      </c>
    </row>
    <row r="15119" spans="1:9" hidden="1" x14ac:dyDescent="0.25">
      <c r="A15119" t="s">
        <v>12827</v>
      </c>
      <c r="B15119" t="s">
        <v>27</v>
      </c>
      <c r="C15119" s="2">
        <f>HYPERLINK("https://cao.dolgi.msk.ru/account/1080295519/", 1080295519)</f>
        <v>1080295519</v>
      </c>
      <c r="D15119" t="s">
        <v>12836</v>
      </c>
      <c r="E15119">
        <v>-4939.53</v>
      </c>
      <c r="F15119">
        <v>-0.8</v>
      </c>
      <c r="G15119" t="s">
        <v>12</v>
      </c>
      <c r="I15119" t="s">
        <v>1050</v>
      </c>
    </row>
    <row r="15120" spans="1:9" hidden="1" x14ac:dyDescent="0.25">
      <c r="A15120" t="s">
        <v>12827</v>
      </c>
      <c r="B15120" t="s">
        <v>29</v>
      </c>
      <c r="C15120" s="2">
        <f>HYPERLINK("https://cao.dolgi.msk.ru/account/1080295527/", 1080295527)</f>
        <v>1080295527</v>
      </c>
      <c r="D15120" t="s">
        <v>12837</v>
      </c>
      <c r="E15120">
        <v>-3390.77</v>
      </c>
      <c r="F15120">
        <v>-1.02</v>
      </c>
      <c r="G15120" t="s">
        <v>12</v>
      </c>
      <c r="I15120" t="s">
        <v>1050</v>
      </c>
    </row>
    <row r="15121" spans="1:9" x14ac:dyDescent="0.25">
      <c r="A15121" t="s">
        <v>12827</v>
      </c>
      <c r="B15121" t="s">
        <v>31</v>
      </c>
      <c r="C15121" s="2">
        <f>HYPERLINK("https://cao.dolgi.msk.ru/account/1080295535/", 1080295535)</f>
        <v>1080295535</v>
      </c>
      <c r="D15121" t="s">
        <v>12838</v>
      </c>
      <c r="E15121">
        <v>79314.36</v>
      </c>
      <c r="F15121">
        <v>10.67</v>
      </c>
      <c r="G15121" t="s">
        <v>12</v>
      </c>
      <c r="I15121" t="s">
        <v>1050</v>
      </c>
    </row>
    <row r="15122" spans="1:9" hidden="1" x14ac:dyDescent="0.25">
      <c r="A15122" t="s">
        <v>12827</v>
      </c>
      <c r="B15122" t="s">
        <v>33</v>
      </c>
      <c r="C15122" s="2">
        <f>HYPERLINK("https://cao.dolgi.msk.ru/account/1080295543/", 1080295543)</f>
        <v>1080295543</v>
      </c>
      <c r="D15122" t="s">
        <v>12839</v>
      </c>
      <c r="E15122">
        <v>-23330.36</v>
      </c>
      <c r="F15122">
        <v>-2.2000000000000002</v>
      </c>
      <c r="G15122" t="s">
        <v>12</v>
      </c>
      <c r="I15122" t="s">
        <v>1050</v>
      </c>
    </row>
    <row r="15123" spans="1:9" hidden="1" x14ac:dyDescent="0.25">
      <c r="A15123" t="s">
        <v>12827</v>
      </c>
      <c r="B15123" t="s">
        <v>34</v>
      </c>
      <c r="C15123" s="2">
        <f>HYPERLINK("https://cao.dolgi.msk.ru/account/1080295551/", 1080295551)</f>
        <v>1080295551</v>
      </c>
      <c r="D15123" t="s">
        <v>12840</v>
      </c>
      <c r="E15123">
        <v>-11217.21</v>
      </c>
      <c r="F15123">
        <v>-1.1100000000000001</v>
      </c>
      <c r="G15123" t="s">
        <v>12</v>
      </c>
      <c r="I15123" t="s">
        <v>1050</v>
      </c>
    </row>
    <row r="15124" spans="1:9" hidden="1" x14ac:dyDescent="0.25">
      <c r="A15124" t="s">
        <v>12827</v>
      </c>
      <c r="B15124" t="s">
        <v>36</v>
      </c>
      <c r="C15124" s="2">
        <f>HYPERLINK("https://cao.dolgi.msk.ru/account/1080295578/", 1080295578)</f>
        <v>1080295578</v>
      </c>
      <c r="D15124" t="s">
        <v>12841</v>
      </c>
      <c r="E15124">
        <v>0</v>
      </c>
      <c r="F15124">
        <v>0</v>
      </c>
      <c r="G15124" t="s">
        <v>12</v>
      </c>
      <c r="I15124" t="s">
        <v>1050</v>
      </c>
    </row>
    <row r="15125" spans="1:9" hidden="1" x14ac:dyDescent="0.25">
      <c r="A15125" t="s">
        <v>12827</v>
      </c>
      <c r="B15125" t="s">
        <v>38</v>
      </c>
      <c r="C15125" s="2">
        <f>HYPERLINK("https://cao.dolgi.msk.ru/account/1080295586/", 1080295586)</f>
        <v>1080295586</v>
      </c>
      <c r="D15125" t="s">
        <v>12842</v>
      </c>
      <c r="E15125">
        <v>-3738.48</v>
      </c>
      <c r="F15125">
        <v>-1.1299999999999999</v>
      </c>
      <c r="G15125" t="s">
        <v>12</v>
      </c>
      <c r="I15125" t="s">
        <v>1050</v>
      </c>
    </row>
    <row r="15126" spans="1:9" hidden="1" x14ac:dyDescent="0.25">
      <c r="A15126" t="s">
        <v>12827</v>
      </c>
      <c r="B15126" t="s">
        <v>39</v>
      </c>
      <c r="C15126" s="2">
        <f>HYPERLINK("https://cao.dolgi.msk.ru/account/1080295594/", 1080295594)</f>
        <v>1080295594</v>
      </c>
      <c r="D15126" t="s">
        <v>12843</v>
      </c>
      <c r="E15126">
        <v>-197.24</v>
      </c>
      <c r="F15126">
        <v>-0.02</v>
      </c>
      <c r="G15126" t="s">
        <v>12</v>
      </c>
      <c r="I15126" t="s">
        <v>1050</v>
      </c>
    </row>
    <row r="15127" spans="1:9" hidden="1" x14ac:dyDescent="0.25">
      <c r="A15127" t="s">
        <v>12827</v>
      </c>
      <c r="B15127" t="s">
        <v>40</v>
      </c>
      <c r="C15127" s="2">
        <f>HYPERLINK("https://cao.dolgi.msk.ru/account/1080295607/", 1080295607)</f>
        <v>1080295607</v>
      </c>
      <c r="D15127" t="s">
        <v>12844</v>
      </c>
      <c r="E15127">
        <v>-18267.03</v>
      </c>
      <c r="F15127">
        <v>-3.35</v>
      </c>
      <c r="G15127" t="s">
        <v>12</v>
      </c>
      <c r="I15127" t="s">
        <v>1050</v>
      </c>
    </row>
    <row r="15128" spans="1:9" hidden="1" x14ac:dyDescent="0.25">
      <c r="A15128" t="s">
        <v>12827</v>
      </c>
      <c r="B15128" t="s">
        <v>41</v>
      </c>
      <c r="C15128" s="2">
        <f>HYPERLINK("https://cao.dolgi.msk.ru/account/1080295615/", 1080295615)</f>
        <v>1080295615</v>
      </c>
      <c r="D15128" t="s">
        <v>12845</v>
      </c>
      <c r="E15128">
        <v>-3622.58</v>
      </c>
      <c r="F15128">
        <v>-1.1499999999999999</v>
      </c>
      <c r="G15128" t="s">
        <v>12</v>
      </c>
      <c r="I15128" t="s">
        <v>1050</v>
      </c>
    </row>
    <row r="15129" spans="1:9" hidden="1" x14ac:dyDescent="0.25">
      <c r="A15129" t="s">
        <v>12827</v>
      </c>
      <c r="B15129" t="s">
        <v>42</v>
      </c>
      <c r="C15129" s="2">
        <f>HYPERLINK("https://cao.dolgi.msk.ru/account/1080295623/", 1080295623)</f>
        <v>1080295623</v>
      </c>
      <c r="D15129" t="s">
        <v>12846</v>
      </c>
      <c r="E15129">
        <v>-8378.27</v>
      </c>
      <c r="F15129">
        <v>-1.07</v>
      </c>
      <c r="G15129" t="s">
        <v>12</v>
      </c>
      <c r="I15129" t="s">
        <v>1050</v>
      </c>
    </row>
    <row r="15130" spans="1:9" hidden="1" x14ac:dyDescent="0.25">
      <c r="A15130" t="s">
        <v>12827</v>
      </c>
      <c r="B15130" t="s">
        <v>44</v>
      </c>
      <c r="C15130" s="2">
        <f>HYPERLINK("https://cao.dolgi.msk.ru/account/1080295631/", 1080295631)</f>
        <v>1080295631</v>
      </c>
      <c r="D15130" t="s">
        <v>12847</v>
      </c>
      <c r="E15130">
        <v>-7220.49</v>
      </c>
      <c r="F15130">
        <v>-1.1599999999999999</v>
      </c>
      <c r="G15130" t="s">
        <v>12</v>
      </c>
      <c r="I15130" t="s">
        <v>1050</v>
      </c>
    </row>
    <row r="15131" spans="1:9" hidden="1" x14ac:dyDescent="0.25">
      <c r="A15131" t="s">
        <v>12827</v>
      </c>
      <c r="B15131" t="s">
        <v>66</v>
      </c>
      <c r="C15131" s="2">
        <f>HYPERLINK("https://cao.dolgi.msk.ru/account/1080295658/", 1080295658)</f>
        <v>1080295658</v>
      </c>
      <c r="D15131" t="s">
        <v>12848</v>
      </c>
      <c r="E15131">
        <v>-8015.19</v>
      </c>
      <c r="F15131">
        <v>-1.3</v>
      </c>
      <c r="G15131" t="s">
        <v>12</v>
      </c>
      <c r="I15131" t="s">
        <v>1050</v>
      </c>
    </row>
    <row r="15132" spans="1:9" hidden="1" x14ac:dyDescent="0.25">
      <c r="A15132" t="s">
        <v>12827</v>
      </c>
      <c r="B15132" t="s">
        <v>68</v>
      </c>
      <c r="C15132" s="2">
        <f>HYPERLINK("https://cao.dolgi.msk.ru/account/1080295666/", 1080295666)</f>
        <v>1080295666</v>
      </c>
      <c r="D15132" t="s">
        <v>12849</v>
      </c>
      <c r="E15132">
        <v>-6831.2</v>
      </c>
      <c r="F15132">
        <v>-1.58</v>
      </c>
      <c r="G15132" t="s">
        <v>12</v>
      </c>
      <c r="I15132" t="s">
        <v>1050</v>
      </c>
    </row>
    <row r="15133" spans="1:9" hidden="1" x14ac:dyDescent="0.25">
      <c r="A15133" t="s">
        <v>12827</v>
      </c>
      <c r="B15133" t="s">
        <v>70</v>
      </c>
      <c r="C15133" s="2">
        <f>HYPERLINK("https://cao.dolgi.msk.ru/account/1080295674/", 1080295674)</f>
        <v>1080295674</v>
      </c>
      <c r="D15133" t="s">
        <v>12850</v>
      </c>
      <c r="E15133">
        <v>-6942.85</v>
      </c>
      <c r="F15133">
        <v>-1.27</v>
      </c>
      <c r="G15133" t="s">
        <v>12</v>
      </c>
      <c r="I15133" t="s">
        <v>1050</v>
      </c>
    </row>
    <row r="15134" spans="1:9" hidden="1" x14ac:dyDescent="0.25">
      <c r="A15134" t="s">
        <v>12827</v>
      </c>
      <c r="B15134" t="s">
        <v>72</v>
      </c>
      <c r="C15134" s="2">
        <f>HYPERLINK("https://cao.dolgi.msk.ru/account/1080295682/", 1080295682)</f>
        <v>1080295682</v>
      </c>
      <c r="D15134" t="s">
        <v>12851</v>
      </c>
      <c r="E15134">
        <v>4.6500000000000004</v>
      </c>
      <c r="F15134">
        <v>0</v>
      </c>
      <c r="G15134" t="s">
        <v>12</v>
      </c>
      <c r="I15134" t="s">
        <v>1050</v>
      </c>
    </row>
    <row r="15135" spans="1:9" hidden="1" x14ac:dyDescent="0.25">
      <c r="A15135" t="s">
        <v>12827</v>
      </c>
      <c r="B15135" t="s">
        <v>74</v>
      </c>
      <c r="C15135" s="2">
        <f>HYPERLINK("https://cao.dolgi.msk.ru/account/1080295703/", 1080295703)</f>
        <v>1080295703</v>
      </c>
      <c r="D15135" t="s">
        <v>12852</v>
      </c>
      <c r="E15135">
        <v>-6601.41</v>
      </c>
      <c r="F15135">
        <v>-1.1399999999999999</v>
      </c>
      <c r="G15135" t="s">
        <v>12</v>
      </c>
      <c r="I15135" t="s">
        <v>1050</v>
      </c>
    </row>
    <row r="15136" spans="1:9" hidden="1" x14ac:dyDescent="0.25">
      <c r="A15136" t="s">
        <v>12827</v>
      </c>
      <c r="B15136" t="s">
        <v>76</v>
      </c>
      <c r="C15136" s="2">
        <f>HYPERLINK("https://cao.dolgi.msk.ru/account/1080295711/", 1080295711)</f>
        <v>1080295711</v>
      </c>
      <c r="D15136" t="s">
        <v>12853</v>
      </c>
      <c r="E15136">
        <v>0</v>
      </c>
      <c r="F15136">
        <v>0</v>
      </c>
      <c r="G15136" t="s">
        <v>12</v>
      </c>
      <c r="I15136" t="s">
        <v>1050</v>
      </c>
    </row>
    <row r="15137" spans="1:9" hidden="1" x14ac:dyDescent="0.25">
      <c r="A15137" t="s">
        <v>12827</v>
      </c>
      <c r="B15137" t="s">
        <v>78</v>
      </c>
      <c r="C15137" s="2">
        <f>HYPERLINK("https://cao.dolgi.msk.ru/account/1080295738/", 1080295738)</f>
        <v>1080295738</v>
      </c>
      <c r="D15137" t="s">
        <v>12854</v>
      </c>
      <c r="E15137">
        <v>-32.39</v>
      </c>
      <c r="F15137">
        <v>-0.01</v>
      </c>
      <c r="G15137" t="s">
        <v>12</v>
      </c>
      <c r="I15137" t="s">
        <v>1050</v>
      </c>
    </row>
    <row r="15138" spans="1:9" hidden="1" x14ac:dyDescent="0.25">
      <c r="A15138" t="s">
        <v>12827</v>
      </c>
      <c r="B15138" t="s">
        <v>80</v>
      </c>
      <c r="C15138" s="2">
        <f>HYPERLINK("https://cao.dolgi.msk.ru/account/1080295746/", 1080295746)</f>
        <v>1080295746</v>
      </c>
      <c r="D15138" t="s">
        <v>12855</v>
      </c>
      <c r="E15138">
        <v>-31.8</v>
      </c>
      <c r="F15138">
        <v>0</v>
      </c>
      <c r="G15138" t="s">
        <v>12</v>
      </c>
      <c r="I15138" t="s">
        <v>1050</v>
      </c>
    </row>
    <row r="15139" spans="1:9" hidden="1" x14ac:dyDescent="0.25">
      <c r="A15139" t="s">
        <v>12827</v>
      </c>
      <c r="B15139" t="s">
        <v>82</v>
      </c>
      <c r="C15139" s="2">
        <f>HYPERLINK("https://cao.dolgi.msk.ru/account/1080295754/", 1080295754)</f>
        <v>1080295754</v>
      </c>
      <c r="D15139" t="s">
        <v>12856</v>
      </c>
      <c r="E15139">
        <v>-5539.92</v>
      </c>
      <c r="F15139">
        <v>-1.0900000000000001</v>
      </c>
      <c r="G15139" t="s">
        <v>12</v>
      </c>
      <c r="I15139" t="s">
        <v>1050</v>
      </c>
    </row>
    <row r="15140" spans="1:9" hidden="1" x14ac:dyDescent="0.25">
      <c r="A15140" t="s">
        <v>12827</v>
      </c>
      <c r="B15140" t="s">
        <v>84</v>
      </c>
      <c r="C15140" s="2">
        <f>HYPERLINK("https://cao.dolgi.msk.ru/account/1080295762/", 1080295762)</f>
        <v>1080295762</v>
      </c>
      <c r="D15140" t="s">
        <v>12857</v>
      </c>
      <c r="E15140">
        <v>700.21</v>
      </c>
      <c r="F15140">
        <v>0.26</v>
      </c>
      <c r="G15140" t="s">
        <v>12</v>
      </c>
      <c r="I15140" t="s">
        <v>1050</v>
      </c>
    </row>
    <row r="15141" spans="1:9" hidden="1" x14ac:dyDescent="0.25">
      <c r="A15141" t="s">
        <v>12827</v>
      </c>
      <c r="B15141" t="s">
        <v>86</v>
      </c>
      <c r="C15141" s="2">
        <f>HYPERLINK("https://cao.dolgi.msk.ru/account/1080295789/", 1080295789)</f>
        <v>1080295789</v>
      </c>
      <c r="D15141" t="s">
        <v>12858</v>
      </c>
      <c r="E15141">
        <v>-55752.44</v>
      </c>
      <c r="F15141">
        <v>-9.2200000000000006</v>
      </c>
      <c r="G15141" t="s">
        <v>12</v>
      </c>
      <c r="I15141" t="s">
        <v>1050</v>
      </c>
    </row>
    <row r="15142" spans="1:9" hidden="1" x14ac:dyDescent="0.25">
      <c r="A15142" t="s">
        <v>12827</v>
      </c>
      <c r="B15142" t="s">
        <v>86</v>
      </c>
      <c r="C15142" s="2">
        <f>HYPERLINK("https://cao.dolgi.msk.ru/account/1083270018/", 1083270018)</f>
        <v>1083270018</v>
      </c>
      <c r="D15142" t="s">
        <v>12858</v>
      </c>
      <c r="E15142">
        <v>0</v>
      </c>
      <c r="G15142" t="s">
        <v>14</v>
      </c>
      <c r="I15142" t="s">
        <v>1050</v>
      </c>
    </row>
    <row r="15143" spans="1:9" hidden="1" x14ac:dyDescent="0.25">
      <c r="A15143" t="s">
        <v>12827</v>
      </c>
      <c r="B15143" t="s">
        <v>86</v>
      </c>
      <c r="C15143" s="2">
        <f>HYPERLINK("https://cao.dolgi.msk.ru/account/1089133962/", 1089133962)</f>
        <v>1089133962</v>
      </c>
      <c r="D15143" t="s">
        <v>12858</v>
      </c>
      <c r="E15143">
        <v>-8226.51</v>
      </c>
      <c r="G15143" t="s">
        <v>14</v>
      </c>
      <c r="I15143" t="s">
        <v>1050</v>
      </c>
    </row>
    <row r="15144" spans="1:9" hidden="1" x14ac:dyDescent="0.25">
      <c r="A15144" t="s">
        <v>12827</v>
      </c>
      <c r="B15144" t="s">
        <v>88</v>
      </c>
      <c r="C15144" s="2">
        <f>HYPERLINK("https://cao.dolgi.msk.ru/account/1080295797/", 1080295797)</f>
        <v>1080295797</v>
      </c>
      <c r="D15144" t="s">
        <v>12859</v>
      </c>
      <c r="E15144">
        <v>-3037.11</v>
      </c>
      <c r="F15144">
        <v>-1.0900000000000001</v>
      </c>
      <c r="G15144" t="s">
        <v>12</v>
      </c>
      <c r="I15144" t="s">
        <v>1050</v>
      </c>
    </row>
    <row r="15145" spans="1:9" hidden="1" x14ac:dyDescent="0.25">
      <c r="A15145" t="s">
        <v>12827</v>
      </c>
      <c r="B15145" t="s">
        <v>90</v>
      </c>
      <c r="C15145" s="2">
        <f>HYPERLINK("https://cao.dolgi.msk.ru/account/1080295818/", 1080295818)</f>
        <v>1080295818</v>
      </c>
      <c r="D15145" t="s">
        <v>12860</v>
      </c>
      <c r="E15145">
        <v>-8051.15</v>
      </c>
      <c r="F15145">
        <v>-1.01</v>
      </c>
      <c r="G15145" t="s">
        <v>12</v>
      </c>
      <c r="I15145" t="s">
        <v>1050</v>
      </c>
    </row>
    <row r="15146" spans="1:9" hidden="1" x14ac:dyDescent="0.25">
      <c r="A15146" t="s">
        <v>12827</v>
      </c>
      <c r="B15146" t="s">
        <v>92</v>
      </c>
      <c r="C15146" s="2">
        <f>HYPERLINK("https://cao.dolgi.msk.ru/account/1080295826/", 1080295826)</f>
        <v>1080295826</v>
      </c>
      <c r="D15146" t="s">
        <v>12861</v>
      </c>
      <c r="E15146">
        <v>-3992.49</v>
      </c>
      <c r="F15146">
        <v>-0.85</v>
      </c>
      <c r="G15146" t="s">
        <v>12</v>
      </c>
      <c r="I15146" t="s">
        <v>1050</v>
      </c>
    </row>
    <row r="15147" spans="1:9" hidden="1" x14ac:dyDescent="0.25">
      <c r="A15147" t="s">
        <v>12827</v>
      </c>
      <c r="B15147" t="s">
        <v>94</v>
      </c>
      <c r="C15147" s="2">
        <f>HYPERLINK("https://cao.dolgi.msk.ru/account/1080295834/", 1080295834)</f>
        <v>1080295834</v>
      </c>
      <c r="D15147" t="s">
        <v>12862</v>
      </c>
      <c r="E15147">
        <v>-7946.4</v>
      </c>
      <c r="F15147">
        <v>-1.22</v>
      </c>
      <c r="G15147" t="s">
        <v>12</v>
      </c>
      <c r="I15147" t="s">
        <v>1050</v>
      </c>
    </row>
    <row r="15148" spans="1:9" hidden="1" x14ac:dyDescent="0.25">
      <c r="A15148" t="s">
        <v>12827</v>
      </c>
      <c r="B15148" t="s">
        <v>96</v>
      </c>
      <c r="C15148" s="2">
        <f>HYPERLINK("https://cao.dolgi.msk.ru/account/1080295842/", 1080295842)</f>
        <v>1080295842</v>
      </c>
      <c r="D15148" t="s">
        <v>12863</v>
      </c>
      <c r="E15148">
        <v>-31.8</v>
      </c>
      <c r="F15148">
        <v>-0.01</v>
      </c>
      <c r="G15148" t="s">
        <v>12</v>
      </c>
      <c r="I15148" t="s">
        <v>1050</v>
      </c>
    </row>
    <row r="15149" spans="1:9" hidden="1" x14ac:dyDescent="0.25">
      <c r="A15149" t="s">
        <v>12827</v>
      </c>
      <c r="B15149" t="s">
        <v>98</v>
      </c>
      <c r="C15149" s="2">
        <f>HYPERLINK("https://cao.dolgi.msk.ru/account/1080295869/", 1080295869)</f>
        <v>1080295869</v>
      </c>
      <c r="D15149" t="s">
        <v>12864</v>
      </c>
      <c r="E15149">
        <v>-5800.7</v>
      </c>
      <c r="F15149">
        <v>-1.1499999999999999</v>
      </c>
      <c r="G15149" t="s">
        <v>12</v>
      </c>
      <c r="I15149" t="s">
        <v>1050</v>
      </c>
    </row>
    <row r="15150" spans="1:9" hidden="1" x14ac:dyDescent="0.25">
      <c r="A15150" t="s">
        <v>12827</v>
      </c>
      <c r="B15150" t="s">
        <v>100</v>
      </c>
      <c r="C15150" s="2">
        <f>HYPERLINK("https://cao.dolgi.msk.ru/account/1080295877/", 1080295877)</f>
        <v>1080295877</v>
      </c>
      <c r="D15150" t="s">
        <v>12865</v>
      </c>
      <c r="E15150">
        <v>-6653.35</v>
      </c>
      <c r="F15150">
        <v>-1.22</v>
      </c>
      <c r="G15150" t="s">
        <v>12</v>
      </c>
      <c r="I15150" t="s">
        <v>1050</v>
      </c>
    </row>
    <row r="15151" spans="1:9" hidden="1" x14ac:dyDescent="0.25">
      <c r="A15151" t="s">
        <v>12827</v>
      </c>
      <c r="B15151" t="s">
        <v>102</v>
      </c>
      <c r="C15151" s="2">
        <f>HYPERLINK("https://cao.dolgi.msk.ru/account/1080295885/", 1080295885)</f>
        <v>1080295885</v>
      </c>
      <c r="D15151" t="s">
        <v>12866</v>
      </c>
      <c r="E15151">
        <v>-341.37</v>
      </c>
      <c r="F15151">
        <v>-0.1</v>
      </c>
      <c r="G15151" t="s">
        <v>12</v>
      </c>
      <c r="I15151" t="s">
        <v>1050</v>
      </c>
    </row>
    <row r="15152" spans="1:9" hidden="1" x14ac:dyDescent="0.25">
      <c r="A15152" t="s">
        <v>12827</v>
      </c>
      <c r="B15152" t="s">
        <v>104</v>
      </c>
      <c r="C15152" s="2">
        <f>HYPERLINK("https://cao.dolgi.msk.ru/account/1080295893/", 1080295893)</f>
        <v>1080295893</v>
      </c>
      <c r="D15152" t="s">
        <v>12867</v>
      </c>
      <c r="E15152">
        <v>-17.559999999999999</v>
      </c>
      <c r="F15152">
        <v>0</v>
      </c>
      <c r="G15152" t="s">
        <v>12</v>
      </c>
      <c r="I15152" t="s">
        <v>1050</v>
      </c>
    </row>
    <row r="15153" spans="1:9" hidden="1" x14ac:dyDescent="0.25">
      <c r="A15153" t="s">
        <v>12827</v>
      </c>
      <c r="B15153" t="s">
        <v>106</v>
      </c>
      <c r="C15153" s="2">
        <f>HYPERLINK("https://cao.dolgi.msk.ru/account/1080295906/", 1080295906)</f>
        <v>1080295906</v>
      </c>
      <c r="D15153" t="s">
        <v>12868</v>
      </c>
      <c r="E15153">
        <v>-8055.39</v>
      </c>
      <c r="F15153">
        <v>-1.23</v>
      </c>
      <c r="G15153" t="s">
        <v>12</v>
      </c>
      <c r="I15153" t="s">
        <v>1050</v>
      </c>
    </row>
    <row r="15154" spans="1:9" hidden="1" x14ac:dyDescent="0.25">
      <c r="A15154" t="s">
        <v>12827</v>
      </c>
      <c r="B15154" t="s">
        <v>108</v>
      </c>
      <c r="C15154" s="2">
        <f>HYPERLINK("https://cao.dolgi.msk.ru/account/1080295914/", 1080295914)</f>
        <v>1080295914</v>
      </c>
      <c r="D15154" t="s">
        <v>12869</v>
      </c>
      <c r="E15154">
        <v>-8482.9699999999993</v>
      </c>
      <c r="F15154">
        <v>-1.1000000000000001</v>
      </c>
      <c r="G15154" t="s">
        <v>12</v>
      </c>
      <c r="I15154" t="s">
        <v>1050</v>
      </c>
    </row>
    <row r="15155" spans="1:9" hidden="1" x14ac:dyDescent="0.25">
      <c r="A15155" t="s">
        <v>12827</v>
      </c>
      <c r="B15155" t="s">
        <v>110</v>
      </c>
      <c r="C15155" s="2">
        <f>HYPERLINK("https://cao.dolgi.msk.ru/account/1080295922/", 1080295922)</f>
        <v>1080295922</v>
      </c>
      <c r="D15155" t="s">
        <v>12870</v>
      </c>
      <c r="E15155">
        <v>-5495.75</v>
      </c>
      <c r="F15155">
        <v>-1.1399999999999999</v>
      </c>
      <c r="G15155" t="s">
        <v>12</v>
      </c>
      <c r="I15155" t="s">
        <v>1050</v>
      </c>
    </row>
    <row r="15156" spans="1:9" hidden="1" x14ac:dyDescent="0.25">
      <c r="A15156" t="s">
        <v>12827</v>
      </c>
      <c r="B15156" t="s">
        <v>112</v>
      </c>
      <c r="C15156" s="2">
        <f>HYPERLINK("https://cao.dolgi.msk.ru/account/1080295949/", 1080295949)</f>
        <v>1080295949</v>
      </c>
      <c r="D15156" t="s">
        <v>12871</v>
      </c>
      <c r="E15156">
        <v>6561.65</v>
      </c>
      <c r="F15156">
        <v>0.76</v>
      </c>
      <c r="G15156" t="s">
        <v>12</v>
      </c>
      <c r="I15156" t="s">
        <v>1050</v>
      </c>
    </row>
    <row r="15157" spans="1:9" hidden="1" x14ac:dyDescent="0.25">
      <c r="A15157" t="s">
        <v>12827</v>
      </c>
      <c r="B15157" t="s">
        <v>112</v>
      </c>
      <c r="C15157" s="2">
        <f>HYPERLINK("https://cao.dolgi.msk.ru/account/1080326215/", 1080326215)</f>
        <v>1080326215</v>
      </c>
      <c r="D15157" t="s">
        <v>12871</v>
      </c>
      <c r="E15157">
        <v>-621.32000000000005</v>
      </c>
      <c r="G15157" t="s">
        <v>12</v>
      </c>
      <c r="I15157" t="s">
        <v>1050</v>
      </c>
    </row>
    <row r="15158" spans="1:9" hidden="1" x14ac:dyDescent="0.25">
      <c r="A15158" t="s">
        <v>12827</v>
      </c>
      <c r="B15158" t="s">
        <v>114</v>
      </c>
      <c r="C15158" s="2">
        <f>HYPERLINK("https://cao.dolgi.msk.ru/account/1080295957/", 1080295957)</f>
        <v>1080295957</v>
      </c>
      <c r="D15158" t="s">
        <v>12872</v>
      </c>
      <c r="E15158">
        <v>-6744.8</v>
      </c>
      <c r="F15158">
        <v>-1.25</v>
      </c>
      <c r="G15158" t="s">
        <v>12</v>
      </c>
      <c r="I15158" t="s">
        <v>1050</v>
      </c>
    </row>
    <row r="15159" spans="1:9" hidden="1" x14ac:dyDescent="0.25">
      <c r="A15159" t="s">
        <v>12827</v>
      </c>
      <c r="B15159" t="s">
        <v>116</v>
      </c>
      <c r="C15159" s="2">
        <f>HYPERLINK("https://cao.dolgi.msk.ru/account/1080295965/", 1080295965)</f>
        <v>1080295965</v>
      </c>
      <c r="D15159" t="s">
        <v>12873</v>
      </c>
      <c r="E15159">
        <v>0</v>
      </c>
      <c r="F15159">
        <v>0</v>
      </c>
      <c r="G15159" t="s">
        <v>12</v>
      </c>
      <c r="I15159" t="s">
        <v>1050</v>
      </c>
    </row>
    <row r="15160" spans="1:9" hidden="1" x14ac:dyDescent="0.25">
      <c r="A15160" t="s">
        <v>12827</v>
      </c>
      <c r="B15160" t="s">
        <v>118</v>
      </c>
      <c r="C15160" s="2">
        <f>HYPERLINK("https://cao.dolgi.msk.ru/account/1080295973/", 1080295973)</f>
        <v>1080295973</v>
      </c>
      <c r="D15160" t="s">
        <v>12874</v>
      </c>
      <c r="E15160">
        <v>-5599.59</v>
      </c>
      <c r="F15160">
        <v>-1.1399999999999999</v>
      </c>
      <c r="G15160" t="s">
        <v>12</v>
      </c>
      <c r="I15160" t="s">
        <v>1050</v>
      </c>
    </row>
    <row r="15161" spans="1:9" hidden="1" x14ac:dyDescent="0.25">
      <c r="A15161" t="s">
        <v>12827</v>
      </c>
      <c r="B15161" t="s">
        <v>120</v>
      </c>
      <c r="C15161" s="2">
        <f>HYPERLINK("https://cao.dolgi.msk.ru/account/1080295981/", 1080295981)</f>
        <v>1080295981</v>
      </c>
      <c r="D15161" t="s">
        <v>12875</v>
      </c>
      <c r="E15161">
        <v>-8968.8799999999992</v>
      </c>
      <c r="F15161">
        <v>-1.1100000000000001</v>
      </c>
      <c r="G15161" t="s">
        <v>12</v>
      </c>
      <c r="I15161" t="s">
        <v>1050</v>
      </c>
    </row>
    <row r="15162" spans="1:9" hidden="1" x14ac:dyDescent="0.25">
      <c r="A15162" t="s">
        <v>12827</v>
      </c>
      <c r="B15162" t="s">
        <v>122</v>
      </c>
      <c r="C15162" s="2">
        <f>HYPERLINK("https://cao.dolgi.msk.ru/account/1080296001/", 1080296001)</f>
        <v>1080296001</v>
      </c>
      <c r="D15162" t="s">
        <v>12876</v>
      </c>
      <c r="E15162">
        <v>-6214.2</v>
      </c>
      <c r="F15162">
        <v>-1.1599999999999999</v>
      </c>
      <c r="G15162" t="s">
        <v>12</v>
      </c>
      <c r="I15162" t="s">
        <v>1050</v>
      </c>
    </row>
    <row r="15163" spans="1:9" hidden="1" x14ac:dyDescent="0.25">
      <c r="A15163" t="s">
        <v>12827</v>
      </c>
      <c r="B15163" t="s">
        <v>124</v>
      </c>
      <c r="C15163" s="2">
        <f>HYPERLINK("https://cao.dolgi.msk.ru/account/1080296028/", 1080296028)</f>
        <v>1080296028</v>
      </c>
      <c r="D15163" t="s">
        <v>12877</v>
      </c>
      <c r="E15163">
        <v>38.799999999999997</v>
      </c>
      <c r="F15163">
        <v>0</v>
      </c>
      <c r="G15163" t="s">
        <v>12</v>
      </c>
      <c r="I15163" t="s">
        <v>1050</v>
      </c>
    </row>
    <row r="15164" spans="1:9" hidden="1" x14ac:dyDescent="0.25">
      <c r="A15164" t="s">
        <v>12827</v>
      </c>
      <c r="B15164" t="s">
        <v>126</v>
      </c>
      <c r="C15164" s="2">
        <f>HYPERLINK("https://cao.dolgi.msk.ru/account/1080296036/", 1080296036)</f>
        <v>1080296036</v>
      </c>
      <c r="D15164" t="s">
        <v>12878</v>
      </c>
      <c r="E15164">
        <v>-5878.44</v>
      </c>
      <c r="F15164">
        <v>-1.1399999999999999</v>
      </c>
      <c r="G15164" t="s">
        <v>12</v>
      </c>
      <c r="I15164" t="s">
        <v>1050</v>
      </c>
    </row>
    <row r="15165" spans="1:9" hidden="1" x14ac:dyDescent="0.25">
      <c r="A15165" t="s">
        <v>12827</v>
      </c>
      <c r="B15165" t="s">
        <v>128</v>
      </c>
      <c r="C15165" s="2">
        <f>HYPERLINK("https://cao.dolgi.msk.ru/account/1080296044/", 1080296044)</f>
        <v>1080296044</v>
      </c>
      <c r="D15165" t="s">
        <v>12879</v>
      </c>
      <c r="E15165">
        <v>-8825.24</v>
      </c>
      <c r="F15165">
        <v>-1.1200000000000001</v>
      </c>
      <c r="G15165" t="s">
        <v>12</v>
      </c>
      <c r="I15165" t="s">
        <v>1050</v>
      </c>
    </row>
    <row r="15166" spans="1:9" hidden="1" x14ac:dyDescent="0.25">
      <c r="A15166" t="s">
        <v>12827</v>
      </c>
      <c r="B15166" t="s">
        <v>130</v>
      </c>
      <c r="C15166" s="2">
        <f>HYPERLINK("https://cao.dolgi.msk.ru/account/1080296052/", 1080296052)</f>
        <v>1080296052</v>
      </c>
      <c r="D15166" t="s">
        <v>12880</v>
      </c>
      <c r="E15166">
        <v>-52.18</v>
      </c>
      <c r="F15166">
        <v>-0.01</v>
      </c>
      <c r="G15166" t="s">
        <v>12</v>
      </c>
      <c r="I15166" t="s">
        <v>1050</v>
      </c>
    </row>
    <row r="15167" spans="1:9" x14ac:dyDescent="0.25">
      <c r="A15167" t="s">
        <v>12827</v>
      </c>
      <c r="B15167" t="s">
        <v>132</v>
      </c>
      <c r="C15167" s="2">
        <f>HYPERLINK("https://cao.dolgi.msk.ru/account/1080296079/", 1080296079)</f>
        <v>1080296079</v>
      </c>
      <c r="D15167" t="s">
        <v>12881</v>
      </c>
      <c r="E15167">
        <v>219685.28</v>
      </c>
      <c r="F15167">
        <v>28.23</v>
      </c>
      <c r="G15167" t="s">
        <v>12</v>
      </c>
      <c r="I15167" t="s">
        <v>1050</v>
      </c>
    </row>
    <row r="15168" spans="1:9" hidden="1" x14ac:dyDescent="0.25">
      <c r="A15168" t="s">
        <v>12827</v>
      </c>
      <c r="B15168" t="s">
        <v>133</v>
      </c>
      <c r="C15168" s="2">
        <f>HYPERLINK("https://cao.dolgi.msk.ru/account/1080296087/", 1080296087)</f>
        <v>1080296087</v>
      </c>
      <c r="D15168" t="s">
        <v>12882</v>
      </c>
      <c r="E15168">
        <v>-5349.81</v>
      </c>
      <c r="F15168">
        <v>-1.17</v>
      </c>
      <c r="G15168" t="s">
        <v>12</v>
      </c>
      <c r="I15168" t="s">
        <v>1050</v>
      </c>
    </row>
    <row r="15169" spans="1:9" hidden="1" x14ac:dyDescent="0.25">
      <c r="A15169" t="s">
        <v>12827</v>
      </c>
      <c r="B15169" t="s">
        <v>135</v>
      </c>
      <c r="C15169" s="2">
        <f>HYPERLINK("https://cao.dolgi.msk.ru/account/1080296095/", 1080296095)</f>
        <v>1080296095</v>
      </c>
      <c r="D15169" t="s">
        <v>12883</v>
      </c>
      <c r="E15169">
        <v>-7522.91</v>
      </c>
      <c r="F15169">
        <v>-1.19</v>
      </c>
      <c r="G15169" t="s">
        <v>12</v>
      </c>
      <c r="I15169" t="s">
        <v>1050</v>
      </c>
    </row>
    <row r="15170" spans="1:9" hidden="1" x14ac:dyDescent="0.25">
      <c r="A15170" t="s">
        <v>12827</v>
      </c>
      <c r="B15170" t="s">
        <v>137</v>
      </c>
      <c r="C15170" s="2">
        <f>HYPERLINK("https://cao.dolgi.msk.ru/account/1080296108/", 1080296108)</f>
        <v>1080296108</v>
      </c>
      <c r="D15170" t="s">
        <v>12884</v>
      </c>
      <c r="E15170">
        <v>-7196.58</v>
      </c>
      <c r="F15170">
        <v>-1.1599999999999999</v>
      </c>
      <c r="G15170" t="s">
        <v>12</v>
      </c>
      <c r="I15170" t="s">
        <v>1050</v>
      </c>
    </row>
    <row r="15171" spans="1:9" hidden="1" x14ac:dyDescent="0.25">
      <c r="A15171" t="s">
        <v>12827</v>
      </c>
      <c r="B15171" t="s">
        <v>139</v>
      </c>
      <c r="C15171" s="2">
        <f>HYPERLINK("https://cao.dolgi.msk.ru/account/1080296116/", 1080296116)</f>
        <v>1080296116</v>
      </c>
      <c r="D15171" t="s">
        <v>12885</v>
      </c>
      <c r="E15171">
        <v>2650.13</v>
      </c>
      <c r="F15171">
        <v>0.73</v>
      </c>
      <c r="G15171" t="s">
        <v>12</v>
      </c>
      <c r="I15171" t="s">
        <v>1050</v>
      </c>
    </row>
    <row r="15172" spans="1:9" hidden="1" x14ac:dyDescent="0.25">
      <c r="A15172" t="s">
        <v>12827</v>
      </c>
      <c r="B15172" t="s">
        <v>141</v>
      </c>
      <c r="C15172" s="2">
        <f>HYPERLINK("https://cao.dolgi.msk.ru/account/1080296124/", 1080296124)</f>
        <v>1080296124</v>
      </c>
      <c r="D15172" t="s">
        <v>12886</v>
      </c>
      <c r="E15172">
        <v>5114.5200000000004</v>
      </c>
      <c r="F15172">
        <v>0.73</v>
      </c>
      <c r="G15172" t="s">
        <v>12</v>
      </c>
      <c r="I15172" t="s">
        <v>1050</v>
      </c>
    </row>
    <row r="15173" spans="1:9" hidden="1" x14ac:dyDescent="0.25">
      <c r="A15173" t="s">
        <v>12827</v>
      </c>
      <c r="B15173" t="s">
        <v>143</v>
      </c>
      <c r="C15173" s="2">
        <f>HYPERLINK("https://cao.dolgi.msk.ru/account/1080296132/", 1080296132)</f>
        <v>1080296132</v>
      </c>
      <c r="D15173" t="s">
        <v>12887</v>
      </c>
      <c r="E15173">
        <v>-6362.67</v>
      </c>
      <c r="F15173">
        <v>-1.0900000000000001</v>
      </c>
      <c r="G15173" t="s">
        <v>12</v>
      </c>
      <c r="I15173" t="s">
        <v>1050</v>
      </c>
    </row>
    <row r="15174" spans="1:9" hidden="1" x14ac:dyDescent="0.25">
      <c r="A15174" t="s">
        <v>12827</v>
      </c>
      <c r="B15174" t="s">
        <v>145</v>
      </c>
      <c r="C15174" s="2">
        <f>HYPERLINK("https://cao.dolgi.msk.ru/account/1080296159/", 1080296159)</f>
        <v>1080296159</v>
      </c>
      <c r="D15174" t="s">
        <v>15</v>
      </c>
      <c r="G15174" t="s">
        <v>14</v>
      </c>
      <c r="I15174" t="s">
        <v>1050</v>
      </c>
    </row>
    <row r="15175" spans="1:9" hidden="1" x14ac:dyDescent="0.25">
      <c r="A15175" t="s">
        <v>12827</v>
      </c>
      <c r="B15175" t="s">
        <v>145</v>
      </c>
      <c r="C15175" s="2">
        <f>HYPERLINK("https://cao.dolgi.msk.ru/account/1089122956/", 1089122956)</f>
        <v>1089122956</v>
      </c>
      <c r="D15175" t="s">
        <v>15</v>
      </c>
      <c r="G15175" t="s">
        <v>14</v>
      </c>
      <c r="I15175" t="s">
        <v>1050</v>
      </c>
    </row>
    <row r="15176" spans="1:9" hidden="1" x14ac:dyDescent="0.25">
      <c r="A15176" t="s">
        <v>12827</v>
      </c>
      <c r="B15176" t="s">
        <v>145</v>
      </c>
      <c r="C15176" s="2">
        <f>HYPERLINK("https://cao.dolgi.msk.ru/account/1089123051/", 1089123051)</f>
        <v>1089123051</v>
      </c>
      <c r="D15176" t="s">
        <v>12888</v>
      </c>
      <c r="E15176">
        <v>-10968.01</v>
      </c>
      <c r="F15176">
        <v>-1.1299999999999999</v>
      </c>
      <c r="G15176" t="s">
        <v>12</v>
      </c>
      <c r="I15176" t="s">
        <v>1050</v>
      </c>
    </row>
    <row r="15177" spans="1:9" x14ac:dyDescent="0.25">
      <c r="A15177" t="s">
        <v>12827</v>
      </c>
      <c r="B15177" t="s">
        <v>147</v>
      </c>
      <c r="C15177" s="2">
        <f>HYPERLINK("https://cao.dolgi.msk.ru/account/1080296167/", 1080296167)</f>
        <v>1080296167</v>
      </c>
      <c r="D15177" t="s">
        <v>12889</v>
      </c>
      <c r="E15177">
        <v>8540.2800000000007</v>
      </c>
      <c r="F15177">
        <v>2</v>
      </c>
      <c r="G15177" t="s">
        <v>12</v>
      </c>
      <c r="I15177" t="s">
        <v>1050</v>
      </c>
    </row>
    <row r="15178" spans="1:9" hidden="1" x14ac:dyDescent="0.25">
      <c r="A15178" t="s">
        <v>12827</v>
      </c>
      <c r="B15178" t="s">
        <v>149</v>
      </c>
      <c r="C15178" s="2">
        <f>HYPERLINK("https://cao.dolgi.msk.ru/account/1080296175/", 1080296175)</f>
        <v>1080296175</v>
      </c>
      <c r="D15178" t="s">
        <v>12890</v>
      </c>
      <c r="E15178">
        <v>-7242.27</v>
      </c>
      <c r="F15178">
        <v>-0.9</v>
      </c>
      <c r="G15178" t="s">
        <v>12</v>
      </c>
      <c r="I15178" t="s">
        <v>1050</v>
      </c>
    </row>
    <row r="15179" spans="1:9" hidden="1" x14ac:dyDescent="0.25">
      <c r="A15179" t="s">
        <v>12827</v>
      </c>
      <c r="B15179" t="s">
        <v>151</v>
      </c>
      <c r="C15179" s="2">
        <f>HYPERLINK("https://cao.dolgi.msk.ru/account/1080296183/", 1080296183)</f>
        <v>1080296183</v>
      </c>
      <c r="D15179" t="s">
        <v>15</v>
      </c>
      <c r="E15179">
        <v>45.25</v>
      </c>
      <c r="F15179">
        <v>0.01</v>
      </c>
      <c r="G15179" t="s">
        <v>12</v>
      </c>
      <c r="I15179" t="s">
        <v>1050</v>
      </c>
    </row>
    <row r="15180" spans="1:9" hidden="1" x14ac:dyDescent="0.25">
      <c r="A15180" t="s">
        <v>12827</v>
      </c>
      <c r="B15180" t="s">
        <v>153</v>
      </c>
      <c r="C15180" s="2">
        <f>HYPERLINK("https://cao.dolgi.msk.ru/account/1080296191/", 1080296191)</f>
        <v>1080296191</v>
      </c>
      <c r="D15180" t="s">
        <v>12891</v>
      </c>
      <c r="E15180">
        <v>-4590.6899999999996</v>
      </c>
      <c r="F15180">
        <v>-1.1100000000000001</v>
      </c>
      <c r="G15180" t="s">
        <v>12</v>
      </c>
      <c r="I15180" t="s">
        <v>1050</v>
      </c>
    </row>
    <row r="15181" spans="1:9" hidden="1" x14ac:dyDescent="0.25">
      <c r="A15181" t="s">
        <v>12827</v>
      </c>
      <c r="B15181" t="s">
        <v>155</v>
      </c>
      <c r="C15181" s="2">
        <f>HYPERLINK("https://cao.dolgi.msk.ru/account/1080296984/", 1080296984)</f>
        <v>1080296984</v>
      </c>
      <c r="D15181" t="s">
        <v>12892</v>
      </c>
      <c r="E15181">
        <v>-10007.540000000001</v>
      </c>
      <c r="F15181">
        <v>-1.07</v>
      </c>
      <c r="G15181" t="s">
        <v>12</v>
      </c>
      <c r="I15181" t="s">
        <v>1050</v>
      </c>
    </row>
    <row r="15182" spans="1:9" hidden="1" x14ac:dyDescent="0.25">
      <c r="A15182" t="s">
        <v>12827</v>
      </c>
      <c r="B15182" t="s">
        <v>157</v>
      </c>
      <c r="C15182" s="2">
        <f>HYPERLINK("https://cao.dolgi.msk.ru/account/1080296204/", 1080296204)</f>
        <v>1080296204</v>
      </c>
      <c r="D15182" t="s">
        <v>12893</v>
      </c>
      <c r="E15182">
        <v>-5217.57</v>
      </c>
      <c r="F15182">
        <v>-1.0900000000000001</v>
      </c>
      <c r="G15182" t="s">
        <v>12</v>
      </c>
      <c r="I15182" t="s">
        <v>1050</v>
      </c>
    </row>
    <row r="15183" spans="1:9" hidden="1" x14ac:dyDescent="0.25">
      <c r="A15183" t="s">
        <v>12827</v>
      </c>
      <c r="B15183" t="s">
        <v>159</v>
      </c>
      <c r="C15183" s="2">
        <f>HYPERLINK("https://cao.dolgi.msk.ru/account/1080296212/", 1080296212)</f>
        <v>1080296212</v>
      </c>
      <c r="D15183" t="s">
        <v>12894</v>
      </c>
      <c r="E15183">
        <v>-7368.56</v>
      </c>
      <c r="F15183">
        <v>-1.1399999999999999</v>
      </c>
      <c r="G15183" t="s">
        <v>12</v>
      </c>
      <c r="I15183" t="s">
        <v>1050</v>
      </c>
    </row>
    <row r="15184" spans="1:9" hidden="1" x14ac:dyDescent="0.25">
      <c r="A15184" t="s">
        <v>12827</v>
      </c>
      <c r="B15184" t="s">
        <v>161</v>
      </c>
      <c r="C15184" s="2">
        <f>HYPERLINK("https://cao.dolgi.msk.ru/account/1080296239/", 1080296239)</f>
        <v>1080296239</v>
      </c>
      <c r="D15184" t="s">
        <v>12895</v>
      </c>
      <c r="E15184">
        <v>-7777.85</v>
      </c>
      <c r="F15184">
        <v>-1.2</v>
      </c>
      <c r="G15184" t="s">
        <v>12</v>
      </c>
      <c r="I15184" t="s">
        <v>1050</v>
      </c>
    </row>
    <row r="15185" spans="1:9" hidden="1" x14ac:dyDescent="0.25">
      <c r="A15185" t="s">
        <v>12827</v>
      </c>
      <c r="B15185" t="s">
        <v>163</v>
      </c>
      <c r="C15185" s="2">
        <f>HYPERLINK("https://cao.dolgi.msk.ru/account/1080296247/", 1080296247)</f>
        <v>1080296247</v>
      </c>
      <c r="D15185" t="s">
        <v>12896</v>
      </c>
      <c r="E15185">
        <v>-6431.91</v>
      </c>
      <c r="F15185">
        <v>-1.0900000000000001</v>
      </c>
      <c r="G15185" t="s">
        <v>12</v>
      </c>
      <c r="I15185" t="s">
        <v>1050</v>
      </c>
    </row>
    <row r="15186" spans="1:9" hidden="1" x14ac:dyDescent="0.25">
      <c r="A15186" t="s">
        <v>12827</v>
      </c>
      <c r="B15186" t="s">
        <v>571</v>
      </c>
      <c r="C15186" s="2">
        <f>HYPERLINK("https://cao.dolgi.msk.ru/account/1080296255/", 1080296255)</f>
        <v>1080296255</v>
      </c>
      <c r="D15186" t="s">
        <v>12897</v>
      </c>
      <c r="E15186">
        <v>-7514.82</v>
      </c>
      <c r="F15186">
        <v>-1.29</v>
      </c>
      <c r="G15186" t="s">
        <v>12</v>
      </c>
      <c r="I15186" t="s">
        <v>1050</v>
      </c>
    </row>
    <row r="15187" spans="1:9" hidden="1" x14ac:dyDescent="0.25">
      <c r="A15187" t="s">
        <v>12827</v>
      </c>
      <c r="B15187" t="s">
        <v>682</v>
      </c>
      <c r="C15187" s="2">
        <f>HYPERLINK("https://cao.dolgi.msk.ru/account/1080296263/", 1080296263)</f>
        <v>1080296263</v>
      </c>
      <c r="D15187" t="s">
        <v>12898</v>
      </c>
      <c r="E15187">
        <v>-13348.93</v>
      </c>
      <c r="F15187">
        <v>-1.56</v>
      </c>
      <c r="G15187" t="s">
        <v>12</v>
      </c>
      <c r="I15187" t="s">
        <v>1050</v>
      </c>
    </row>
    <row r="15188" spans="1:9" hidden="1" x14ac:dyDescent="0.25">
      <c r="A15188" t="s">
        <v>12827</v>
      </c>
      <c r="B15188" t="s">
        <v>578</v>
      </c>
      <c r="C15188" s="2">
        <f>HYPERLINK("https://cao.dolgi.msk.ru/account/1080296271/", 1080296271)</f>
        <v>1080296271</v>
      </c>
      <c r="D15188" t="s">
        <v>12899</v>
      </c>
      <c r="E15188">
        <v>-10923.79</v>
      </c>
      <c r="F15188">
        <v>-1.53</v>
      </c>
      <c r="G15188" t="s">
        <v>12</v>
      </c>
      <c r="I15188" t="s">
        <v>1050</v>
      </c>
    </row>
    <row r="15189" spans="1:9" hidden="1" x14ac:dyDescent="0.25">
      <c r="A15189" t="s">
        <v>12827</v>
      </c>
      <c r="B15189" t="s">
        <v>580</v>
      </c>
      <c r="C15189" s="2">
        <f>HYPERLINK("https://cao.dolgi.msk.ru/account/1080296298/", 1080296298)</f>
        <v>1080296298</v>
      </c>
      <c r="D15189" t="s">
        <v>12900</v>
      </c>
      <c r="E15189">
        <v>-5300.08</v>
      </c>
      <c r="F15189">
        <v>-1.54</v>
      </c>
      <c r="G15189" t="s">
        <v>12</v>
      </c>
      <c r="I15189" t="s">
        <v>1050</v>
      </c>
    </row>
    <row r="15190" spans="1:9" hidden="1" x14ac:dyDescent="0.25">
      <c r="A15190" t="s">
        <v>12827</v>
      </c>
      <c r="B15190" t="s">
        <v>686</v>
      </c>
      <c r="C15190" s="2">
        <f>HYPERLINK("https://cao.dolgi.msk.ru/account/1080296319/", 1080296319)</f>
        <v>1080296319</v>
      </c>
      <c r="D15190" t="s">
        <v>12901</v>
      </c>
      <c r="E15190">
        <v>-2445.5300000000002</v>
      </c>
      <c r="F15190">
        <v>-0.53</v>
      </c>
      <c r="G15190" t="s">
        <v>12</v>
      </c>
      <c r="I15190" t="s">
        <v>1050</v>
      </c>
    </row>
    <row r="15191" spans="1:9" hidden="1" x14ac:dyDescent="0.25">
      <c r="A15191" t="s">
        <v>12827</v>
      </c>
      <c r="B15191" t="s">
        <v>582</v>
      </c>
      <c r="C15191" s="2">
        <f>HYPERLINK("https://cao.dolgi.msk.ru/account/1080296327/", 1080296327)</f>
        <v>1080296327</v>
      </c>
      <c r="D15191" t="s">
        <v>12902</v>
      </c>
      <c r="E15191">
        <v>-29.1</v>
      </c>
      <c r="F15191">
        <v>-0.01</v>
      </c>
      <c r="G15191" t="s">
        <v>12</v>
      </c>
      <c r="I15191" t="s">
        <v>1050</v>
      </c>
    </row>
    <row r="15192" spans="1:9" hidden="1" x14ac:dyDescent="0.25">
      <c r="A15192" t="s">
        <v>12827</v>
      </c>
      <c r="B15192" t="s">
        <v>584</v>
      </c>
      <c r="C15192" s="2">
        <f>HYPERLINK("https://cao.dolgi.msk.ru/account/1080296335/", 1080296335)</f>
        <v>1080296335</v>
      </c>
      <c r="D15192" t="s">
        <v>12903</v>
      </c>
      <c r="E15192">
        <v>-9822.8799999999992</v>
      </c>
      <c r="F15192">
        <v>-1.05</v>
      </c>
      <c r="G15192" t="s">
        <v>12</v>
      </c>
      <c r="I15192" t="s">
        <v>1050</v>
      </c>
    </row>
    <row r="15193" spans="1:9" hidden="1" x14ac:dyDescent="0.25">
      <c r="A15193" t="s">
        <v>12827</v>
      </c>
      <c r="B15193" t="s">
        <v>586</v>
      </c>
      <c r="C15193" s="2">
        <f>HYPERLINK("https://cao.dolgi.msk.ru/account/1080296343/", 1080296343)</f>
        <v>1080296343</v>
      </c>
      <c r="D15193" t="s">
        <v>12904</v>
      </c>
      <c r="E15193">
        <v>-6248.59</v>
      </c>
      <c r="F15193">
        <v>-1.05</v>
      </c>
      <c r="G15193" t="s">
        <v>12</v>
      </c>
      <c r="I15193" t="s">
        <v>1050</v>
      </c>
    </row>
    <row r="15194" spans="1:9" hidden="1" x14ac:dyDescent="0.25">
      <c r="A15194" t="s">
        <v>12827</v>
      </c>
      <c r="B15194" t="s">
        <v>588</v>
      </c>
      <c r="C15194" s="2">
        <f>HYPERLINK("https://cao.dolgi.msk.ru/account/1080296351/", 1080296351)</f>
        <v>1080296351</v>
      </c>
      <c r="D15194" t="s">
        <v>12905</v>
      </c>
      <c r="E15194">
        <v>-2260</v>
      </c>
      <c r="F15194">
        <v>-1.17</v>
      </c>
      <c r="G15194" t="s">
        <v>12</v>
      </c>
      <c r="I15194" t="s">
        <v>1050</v>
      </c>
    </row>
    <row r="15195" spans="1:9" hidden="1" x14ac:dyDescent="0.25">
      <c r="A15195" t="s">
        <v>12827</v>
      </c>
      <c r="B15195" t="s">
        <v>588</v>
      </c>
      <c r="C15195" s="2">
        <f>HYPERLINK("https://cao.dolgi.msk.ru/account/1083271248/", 1083271248)</f>
        <v>1083271248</v>
      </c>
      <c r="D15195" t="s">
        <v>15</v>
      </c>
      <c r="E15195">
        <v>-1652.83</v>
      </c>
      <c r="F15195">
        <v>-1.1599999999999999</v>
      </c>
      <c r="G15195" t="s">
        <v>12</v>
      </c>
      <c r="I15195" t="s">
        <v>1050</v>
      </c>
    </row>
    <row r="15196" spans="1:9" hidden="1" x14ac:dyDescent="0.25">
      <c r="A15196" t="s">
        <v>12827</v>
      </c>
      <c r="B15196" t="s">
        <v>590</v>
      </c>
      <c r="C15196" s="2">
        <f>HYPERLINK("https://cao.dolgi.msk.ru/account/1080296378/", 1080296378)</f>
        <v>1080296378</v>
      </c>
      <c r="D15196" t="s">
        <v>12906</v>
      </c>
      <c r="E15196">
        <v>-6197.74</v>
      </c>
      <c r="F15196">
        <v>-1.1200000000000001</v>
      </c>
      <c r="G15196" t="s">
        <v>12</v>
      </c>
      <c r="I15196" t="s">
        <v>1050</v>
      </c>
    </row>
    <row r="15197" spans="1:9" hidden="1" x14ac:dyDescent="0.25">
      <c r="A15197" t="s">
        <v>12827</v>
      </c>
      <c r="B15197" t="s">
        <v>693</v>
      </c>
      <c r="C15197" s="2">
        <f>HYPERLINK("https://cao.dolgi.msk.ru/account/1080296386/", 1080296386)</f>
        <v>1080296386</v>
      </c>
      <c r="D15197" t="s">
        <v>12907</v>
      </c>
      <c r="E15197">
        <v>-7581.22</v>
      </c>
      <c r="F15197">
        <v>-1.1499999999999999</v>
      </c>
      <c r="G15197" t="s">
        <v>12</v>
      </c>
      <c r="I15197" t="s">
        <v>1050</v>
      </c>
    </row>
    <row r="15198" spans="1:9" hidden="1" x14ac:dyDescent="0.25">
      <c r="A15198" t="s">
        <v>12827</v>
      </c>
      <c r="B15198" t="s">
        <v>694</v>
      </c>
      <c r="C15198" s="2">
        <f>HYPERLINK("https://cao.dolgi.msk.ru/account/1080296394/", 1080296394)</f>
        <v>1080296394</v>
      </c>
      <c r="D15198" t="s">
        <v>12908</v>
      </c>
      <c r="E15198">
        <v>-8381.3700000000008</v>
      </c>
      <c r="F15198">
        <v>-1.04</v>
      </c>
      <c r="G15198" t="s">
        <v>12</v>
      </c>
      <c r="I15198" t="s">
        <v>1050</v>
      </c>
    </row>
    <row r="15199" spans="1:9" hidden="1" x14ac:dyDescent="0.25">
      <c r="A15199" t="s">
        <v>12827</v>
      </c>
      <c r="B15199" t="s">
        <v>696</v>
      </c>
      <c r="C15199" s="2">
        <f>HYPERLINK("https://cao.dolgi.msk.ru/account/1080296407/", 1080296407)</f>
        <v>1080296407</v>
      </c>
      <c r="D15199" t="s">
        <v>12909</v>
      </c>
      <c r="E15199">
        <v>-5764.7</v>
      </c>
      <c r="F15199">
        <v>-1.1100000000000001</v>
      </c>
      <c r="G15199" t="s">
        <v>12</v>
      </c>
      <c r="I15199" t="s">
        <v>1050</v>
      </c>
    </row>
    <row r="15200" spans="1:9" hidden="1" x14ac:dyDescent="0.25">
      <c r="A15200" t="s">
        <v>12827</v>
      </c>
      <c r="B15200" t="s">
        <v>698</v>
      </c>
      <c r="C15200" s="2">
        <f>HYPERLINK("https://cao.dolgi.msk.ru/account/1080296415/", 1080296415)</f>
        <v>1080296415</v>
      </c>
      <c r="D15200" t="s">
        <v>12910</v>
      </c>
      <c r="E15200">
        <v>-8658.7000000000007</v>
      </c>
      <c r="F15200">
        <v>-1.28</v>
      </c>
      <c r="G15200" t="s">
        <v>12</v>
      </c>
      <c r="I15200" t="s">
        <v>1050</v>
      </c>
    </row>
    <row r="15201" spans="1:9" hidden="1" x14ac:dyDescent="0.25">
      <c r="A15201" t="s">
        <v>12827</v>
      </c>
      <c r="B15201" t="s">
        <v>700</v>
      </c>
      <c r="C15201" s="2">
        <f>HYPERLINK("https://cao.dolgi.msk.ru/account/1080296423/", 1080296423)</f>
        <v>1080296423</v>
      </c>
      <c r="D15201" t="s">
        <v>12911</v>
      </c>
      <c r="E15201">
        <v>124.67</v>
      </c>
      <c r="F15201">
        <v>0.02</v>
      </c>
      <c r="G15201" t="s">
        <v>12</v>
      </c>
      <c r="I15201" t="s">
        <v>1050</v>
      </c>
    </row>
    <row r="15202" spans="1:9" hidden="1" x14ac:dyDescent="0.25">
      <c r="A15202" t="s">
        <v>12827</v>
      </c>
      <c r="B15202" t="s">
        <v>702</v>
      </c>
      <c r="C15202" s="2">
        <f>HYPERLINK("https://cao.dolgi.msk.ru/account/1080296431/", 1080296431)</f>
        <v>1080296431</v>
      </c>
      <c r="D15202" t="s">
        <v>12912</v>
      </c>
      <c r="E15202">
        <v>-4280.3999999999996</v>
      </c>
      <c r="F15202">
        <v>-1.1000000000000001</v>
      </c>
      <c r="G15202" t="s">
        <v>12</v>
      </c>
      <c r="I15202" t="s">
        <v>1050</v>
      </c>
    </row>
    <row r="15203" spans="1:9" hidden="1" x14ac:dyDescent="0.25">
      <c r="A15203" t="s">
        <v>12827</v>
      </c>
      <c r="B15203" t="s">
        <v>703</v>
      </c>
      <c r="C15203" s="2">
        <f>HYPERLINK("https://cao.dolgi.msk.ru/account/1080296458/", 1080296458)</f>
        <v>1080296458</v>
      </c>
      <c r="D15203" t="s">
        <v>12913</v>
      </c>
      <c r="E15203">
        <v>-6502</v>
      </c>
      <c r="F15203">
        <v>-1.27</v>
      </c>
      <c r="G15203" t="s">
        <v>12</v>
      </c>
      <c r="I15203" t="s">
        <v>1050</v>
      </c>
    </row>
    <row r="15204" spans="1:9" hidden="1" x14ac:dyDescent="0.25">
      <c r="A15204" t="s">
        <v>12827</v>
      </c>
      <c r="B15204" t="s">
        <v>705</v>
      </c>
      <c r="C15204" s="2">
        <f>HYPERLINK("https://cao.dolgi.msk.ru/account/1080296466/", 1080296466)</f>
        <v>1080296466</v>
      </c>
      <c r="D15204" t="s">
        <v>12914</v>
      </c>
      <c r="E15204">
        <v>-1048.8800000000001</v>
      </c>
      <c r="F15204">
        <v>-0.15</v>
      </c>
      <c r="G15204" t="s">
        <v>12</v>
      </c>
      <c r="I15204" t="s">
        <v>1050</v>
      </c>
    </row>
    <row r="15205" spans="1:9" hidden="1" x14ac:dyDescent="0.25">
      <c r="A15205" t="s">
        <v>12827</v>
      </c>
      <c r="B15205" t="s">
        <v>707</v>
      </c>
      <c r="C15205" s="2">
        <f>HYPERLINK("https://cao.dolgi.msk.ru/account/1080296474/", 1080296474)</f>
        <v>1080296474</v>
      </c>
      <c r="D15205" t="s">
        <v>12915</v>
      </c>
      <c r="E15205">
        <v>-7397.79</v>
      </c>
      <c r="F15205">
        <v>-1.07</v>
      </c>
      <c r="G15205" t="s">
        <v>12</v>
      </c>
      <c r="I15205" t="s">
        <v>1050</v>
      </c>
    </row>
    <row r="15206" spans="1:9" hidden="1" x14ac:dyDescent="0.25">
      <c r="A15206" t="s">
        <v>12827</v>
      </c>
      <c r="B15206" t="s">
        <v>709</v>
      </c>
      <c r="C15206" s="2">
        <f>HYPERLINK("https://cao.dolgi.msk.ru/account/1080296482/", 1080296482)</f>
        <v>1080296482</v>
      </c>
      <c r="D15206" t="s">
        <v>12916</v>
      </c>
      <c r="E15206">
        <v>-1810.58</v>
      </c>
      <c r="F15206">
        <v>-1.1100000000000001</v>
      </c>
      <c r="G15206" t="s">
        <v>12</v>
      </c>
      <c r="I15206" t="s">
        <v>1050</v>
      </c>
    </row>
    <row r="15207" spans="1:9" hidden="1" x14ac:dyDescent="0.25">
      <c r="A15207" t="s">
        <v>12827</v>
      </c>
      <c r="B15207" t="s">
        <v>709</v>
      </c>
      <c r="C15207" s="2">
        <f>HYPERLINK("https://cao.dolgi.msk.ru/account/1089124038/", 1089124038)</f>
        <v>1089124038</v>
      </c>
      <c r="D15207" t="s">
        <v>12917</v>
      </c>
      <c r="E15207">
        <v>-2612.5300000000002</v>
      </c>
      <c r="F15207">
        <v>-1.2</v>
      </c>
      <c r="G15207" t="s">
        <v>12</v>
      </c>
      <c r="I15207" t="s">
        <v>1050</v>
      </c>
    </row>
    <row r="15208" spans="1:9" hidden="1" x14ac:dyDescent="0.25">
      <c r="A15208" t="s">
        <v>12827</v>
      </c>
      <c r="B15208" t="s">
        <v>711</v>
      </c>
      <c r="C15208" s="2">
        <f>HYPERLINK("https://cao.dolgi.msk.ru/account/1080296503/", 1080296503)</f>
        <v>1080296503</v>
      </c>
      <c r="D15208" t="s">
        <v>12918</v>
      </c>
      <c r="E15208">
        <v>-336.51</v>
      </c>
      <c r="F15208">
        <v>-0.22</v>
      </c>
      <c r="G15208" t="s">
        <v>12</v>
      </c>
      <c r="I15208" t="s">
        <v>1050</v>
      </c>
    </row>
    <row r="15209" spans="1:9" hidden="1" x14ac:dyDescent="0.25">
      <c r="A15209" t="s">
        <v>12827</v>
      </c>
      <c r="B15209" t="s">
        <v>711</v>
      </c>
      <c r="C15209" s="2">
        <f>HYPERLINK("https://cao.dolgi.msk.ru/account/1080296511/", 1080296511)</f>
        <v>1080296511</v>
      </c>
      <c r="D15209" t="s">
        <v>15</v>
      </c>
      <c r="G15209" t="s">
        <v>14</v>
      </c>
      <c r="I15209" t="s">
        <v>1050</v>
      </c>
    </row>
    <row r="15210" spans="1:9" hidden="1" x14ac:dyDescent="0.25">
      <c r="A15210" t="s">
        <v>12827</v>
      </c>
      <c r="B15210" t="s">
        <v>711</v>
      </c>
      <c r="C15210" s="2">
        <f>HYPERLINK("https://cao.dolgi.msk.ru/account/1089123035/", 1089123035)</f>
        <v>1089123035</v>
      </c>
      <c r="D15210" t="s">
        <v>15</v>
      </c>
      <c r="G15210" t="s">
        <v>14</v>
      </c>
      <c r="I15210" t="s">
        <v>1050</v>
      </c>
    </row>
    <row r="15211" spans="1:9" hidden="1" x14ac:dyDescent="0.25">
      <c r="A15211" t="s">
        <v>12827</v>
      </c>
      <c r="B15211" t="s">
        <v>711</v>
      </c>
      <c r="C15211" s="2">
        <f>HYPERLINK("https://cao.dolgi.msk.ru/account/1089123588/", 1089123588)</f>
        <v>1089123588</v>
      </c>
      <c r="D15211" t="s">
        <v>12919</v>
      </c>
      <c r="E15211">
        <v>-2380.29</v>
      </c>
      <c r="F15211">
        <v>-1.1200000000000001</v>
      </c>
      <c r="G15211" t="s">
        <v>12</v>
      </c>
      <c r="I15211" t="s">
        <v>1050</v>
      </c>
    </row>
    <row r="15212" spans="1:9" hidden="1" x14ac:dyDescent="0.25">
      <c r="A15212" t="s">
        <v>12827</v>
      </c>
      <c r="B15212" t="s">
        <v>713</v>
      </c>
      <c r="C15212" s="2">
        <f>HYPERLINK("https://cao.dolgi.msk.ru/account/1080296538/", 1080296538)</f>
        <v>1080296538</v>
      </c>
      <c r="D15212" t="s">
        <v>12920</v>
      </c>
      <c r="E15212">
        <v>-10442.780000000001</v>
      </c>
      <c r="F15212">
        <v>-1.1200000000000001</v>
      </c>
      <c r="G15212" t="s">
        <v>12</v>
      </c>
      <c r="I15212" t="s">
        <v>1050</v>
      </c>
    </row>
    <row r="15213" spans="1:9" hidden="1" x14ac:dyDescent="0.25">
      <c r="A15213" t="s">
        <v>12827</v>
      </c>
      <c r="B15213" t="s">
        <v>528</v>
      </c>
      <c r="C15213" s="2">
        <f>HYPERLINK("https://cao.dolgi.msk.ru/account/1080296546/", 1080296546)</f>
        <v>1080296546</v>
      </c>
      <c r="D15213" t="s">
        <v>12921</v>
      </c>
      <c r="E15213">
        <v>-7695.65</v>
      </c>
      <c r="F15213">
        <v>-1.0900000000000001</v>
      </c>
      <c r="G15213" t="s">
        <v>12</v>
      </c>
      <c r="I15213" t="s">
        <v>1050</v>
      </c>
    </row>
    <row r="15214" spans="1:9" hidden="1" x14ac:dyDescent="0.25">
      <c r="A15214" t="s">
        <v>12827</v>
      </c>
      <c r="B15214" t="s">
        <v>530</v>
      </c>
      <c r="C15214" s="2">
        <f>HYPERLINK("https://cao.dolgi.msk.ru/account/1080296554/", 1080296554)</f>
        <v>1080296554</v>
      </c>
      <c r="D15214" t="s">
        <v>12922</v>
      </c>
      <c r="E15214">
        <v>4708.38</v>
      </c>
      <c r="F15214">
        <v>0.77</v>
      </c>
      <c r="G15214" t="s">
        <v>12</v>
      </c>
      <c r="I15214" t="s">
        <v>1050</v>
      </c>
    </row>
    <row r="15215" spans="1:9" hidden="1" x14ac:dyDescent="0.25">
      <c r="A15215" t="s">
        <v>12827</v>
      </c>
      <c r="B15215" t="s">
        <v>532</v>
      </c>
      <c r="C15215" s="2">
        <f>HYPERLINK("https://cao.dolgi.msk.ru/account/1080296562/", 1080296562)</f>
        <v>1080296562</v>
      </c>
      <c r="D15215" t="s">
        <v>12923</v>
      </c>
      <c r="E15215">
        <v>-4931.29</v>
      </c>
      <c r="F15215">
        <v>-1.1299999999999999</v>
      </c>
      <c r="G15215" t="s">
        <v>12</v>
      </c>
      <c r="I15215" t="s">
        <v>1050</v>
      </c>
    </row>
    <row r="15216" spans="1:9" hidden="1" x14ac:dyDescent="0.25">
      <c r="A15216" t="s">
        <v>12827</v>
      </c>
      <c r="B15216" t="s">
        <v>534</v>
      </c>
      <c r="C15216" s="2">
        <f>HYPERLINK("https://cao.dolgi.msk.ru/account/1080296589/", 1080296589)</f>
        <v>1080296589</v>
      </c>
      <c r="D15216" t="s">
        <v>12924</v>
      </c>
      <c r="E15216">
        <v>-5750.05</v>
      </c>
      <c r="F15216">
        <v>-1.35</v>
      </c>
      <c r="G15216" t="s">
        <v>12</v>
      </c>
      <c r="I15216" t="s">
        <v>1050</v>
      </c>
    </row>
    <row r="15217" spans="1:9" hidden="1" x14ac:dyDescent="0.25">
      <c r="A15217" t="s">
        <v>12827</v>
      </c>
      <c r="B15217" t="s">
        <v>536</v>
      </c>
      <c r="C15217" s="2">
        <f>HYPERLINK("https://cao.dolgi.msk.ru/account/1080296597/", 1080296597)</f>
        <v>1080296597</v>
      </c>
      <c r="D15217" t="s">
        <v>12925</v>
      </c>
      <c r="E15217">
        <v>-7022.94</v>
      </c>
      <c r="F15217">
        <v>-1.1599999999999999</v>
      </c>
      <c r="G15217" t="s">
        <v>12</v>
      </c>
      <c r="I15217" t="s">
        <v>1050</v>
      </c>
    </row>
    <row r="15218" spans="1:9" hidden="1" x14ac:dyDescent="0.25">
      <c r="A15218" t="s">
        <v>12827</v>
      </c>
      <c r="B15218" t="s">
        <v>538</v>
      </c>
      <c r="C15218" s="2">
        <f>HYPERLINK("https://cao.dolgi.msk.ru/account/1080296618/", 1080296618)</f>
        <v>1080296618</v>
      </c>
      <c r="D15218" t="s">
        <v>12926</v>
      </c>
      <c r="E15218">
        <v>-5063.54</v>
      </c>
      <c r="F15218">
        <v>-1.26</v>
      </c>
      <c r="G15218" t="s">
        <v>12</v>
      </c>
      <c r="I15218" t="s">
        <v>1050</v>
      </c>
    </row>
    <row r="15219" spans="1:9" x14ac:dyDescent="0.25">
      <c r="A15219" t="s">
        <v>12827</v>
      </c>
      <c r="B15219" t="s">
        <v>539</v>
      </c>
      <c r="C15219" s="2">
        <f>HYPERLINK("https://cao.dolgi.msk.ru/account/1080296626/", 1080296626)</f>
        <v>1080296626</v>
      </c>
      <c r="D15219" t="s">
        <v>12927</v>
      </c>
      <c r="E15219">
        <v>8323.9</v>
      </c>
      <c r="F15219">
        <v>1.01</v>
      </c>
      <c r="G15219" t="s">
        <v>12</v>
      </c>
      <c r="I15219" t="s">
        <v>1050</v>
      </c>
    </row>
    <row r="15220" spans="1:9" hidden="1" x14ac:dyDescent="0.25">
      <c r="A15220" t="s">
        <v>12827</v>
      </c>
      <c r="B15220" t="s">
        <v>541</v>
      </c>
      <c r="C15220" s="2">
        <f>HYPERLINK("https://cao.dolgi.msk.ru/account/1080296634/", 1080296634)</f>
        <v>1080296634</v>
      </c>
      <c r="D15220" t="s">
        <v>12928</v>
      </c>
      <c r="E15220">
        <v>-4107.22</v>
      </c>
      <c r="F15220">
        <v>-1.03</v>
      </c>
      <c r="G15220" t="s">
        <v>12</v>
      </c>
      <c r="I15220" t="s">
        <v>1050</v>
      </c>
    </row>
    <row r="15221" spans="1:9" hidden="1" x14ac:dyDescent="0.25">
      <c r="A15221" t="s">
        <v>12827</v>
      </c>
      <c r="B15221" t="s">
        <v>543</v>
      </c>
      <c r="C15221" s="2">
        <f>HYPERLINK("https://cao.dolgi.msk.ru/account/1080296642/", 1080296642)</f>
        <v>1080296642</v>
      </c>
      <c r="D15221" t="s">
        <v>12929</v>
      </c>
      <c r="E15221">
        <v>-5323.1</v>
      </c>
      <c r="F15221">
        <v>-1.0900000000000001</v>
      </c>
      <c r="G15221" t="s">
        <v>12</v>
      </c>
      <c r="I15221" t="s">
        <v>1050</v>
      </c>
    </row>
    <row r="15222" spans="1:9" hidden="1" x14ac:dyDescent="0.25">
      <c r="A15222" t="s">
        <v>12827</v>
      </c>
      <c r="B15222" t="s">
        <v>545</v>
      </c>
      <c r="C15222" s="2">
        <f>HYPERLINK("https://cao.dolgi.msk.ru/account/1080296669/", 1080296669)</f>
        <v>1080296669</v>
      </c>
      <c r="D15222" t="s">
        <v>12930</v>
      </c>
      <c r="E15222">
        <v>-4435.01</v>
      </c>
      <c r="F15222">
        <v>-1.08</v>
      </c>
      <c r="G15222" t="s">
        <v>12</v>
      </c>
      <c r="I15222" t="s">
        <v>1050</v>
      </c>
    </row>
    <row r="15223" spans="1:9" hidden="1" x14ac:dyDescent="0.25">
      <c r="A15223" t="s">
        <v>12827</v>
      </c>
      <c r="B15223" t="s">
        <v>546</v>
      </c>
      <c r="C15223" s="2">
        <f>HYPERLINK("https://cao.dolgi.msk.ru/account/1080296677/", 1080296677)</f>
        <v>1080296677</v>
      </c>
      <c r="D15223" t="s">
        <v>12931</v>
      </c>
      <c r="E15223">
        <v>-6695.47</v>
      </c>
      <c r="F15223">
        <v>-1.1599999999999999</v>
      </c>
      <c r="G15223" t="s">
        <v>12</v>
      </c>
      <c r="I15223" t="s">
        <v>1050</v>
      </c>
    </row>
    <row r="15224" spans="1:9" hidden="1" x14ac:dyDescent="0.25">
      <c r="A15224" t="s">
        <v>12827</v>
      </c>
      <c r="B15224" t="s">
        <v>546</v>
      </c>
      <c r="C15224" s="2">
        <f>HYPERLINK("https://cao.dolgi.msk.ru/account/1080321676/", 1080321676)</f>
        <v>1080321676</v>
      </c>
      <c r="D15224" t="s">
        <v>15</v>
      </c>
      <c r="G15224" t="s">
        <v>14</v>
      </c>
      <c r="I15224" t="s">
        <v>1050</v>
      </c>
    </row>
    <row r="15225" spans="1:9" hidden="1" x14ac:dyDescent="0.25">
      <c r="A15225" t="s">
        <v>12827</v>
      </c>
      <c r="B15225" t="s">
        <v>548</v>
      </c>
      <c r="C15225" s="2">
        <f>HYPERLINK("https://cao.dolgi.msk.ru/account/1080296685/", 1080296685)</f>
        <v>1080296685</v>
      </c>
      <c r="D15225" t="s">
        <v>12932</v>
      </c>
      <c r="E15225">
        <v>-4027.56</v>
      </c>
      <c r="F15225">
        <v>-0.57999999999999996</v>
      </c>
      <c r="G15225" t="s">
        <v>12</v>
      </c>
      <c r="I15225" t="s">
        <v>1050</v>
      </c>
    </row>
    <row r="15226" spans="1:9" hidden="1" x14ac:dyDescent="0.25">
      <c r="A15226" t="s">
        <v>12827</v>
      </c>
      <c r="B15226" t="s">
        <v>727</v>
      </c>
      <c r="C15226" s="2">
        <f>HYPERLINK("https://cao.dolgi.msk.ru/account/1080296693/", 1080296693)</f>
        <v>1080296693</v>
      </c>
      <c r="D15226" t="s">
        <v>12933</v>
      </c>
      <c r="E15226">
        <v>-7647.79</v>
      </c>
      <c r="F15226">
        <v>-1.04</v>
      </c>
      <c r="G15226" t="s">
        <v>12</v>
      </c>
      <c r="I15226" t="s">
        <v>1050</v>
      </c>
    </row>
    <row r="15227" spans="1:9" hidden="1" x14ac:dyDescent="0.25">
      <c r="A15227" t="s">
        <v>12827</v>
      </c>
      <c r="B15227" t="s">
        <v>551</v>
      </c>
      <c r="C15227" s="2">
        <f>HYPERLINK("https://cao.dolgi.msk.ru/account/1080296706/", 1080296706)</f>
        <v>1080296706</v>
      </c>
      <c r="D15227" t="s">
        <v>12934</v>
      </c>
      <c r="E15227">
        <v>-6209.27</v>
      </c>
      <c r="F15227">
        <v>-1.02</v>
      </c>
      <c r="G15227" t="s">
        <v>12</v>
      </c>
      <c r="I15227" t="s">
        <v>1050</v>
      </c>
    </row>
    <row r="15228" spans="1:9" hidden="1" x14ac:dyDescent="0.25">
      <c r="A15228" t="s">
        <v>12827</v>
      </c>
      <c r="B15228" t="s">
        <v>730</v>
      </c>
      <c r="C15228" s="2">
        <f>HYPERLINK("https://cao.dolgi.msk.ru/account/1080296714/", 1080296714)</f>
        <v>1080296714</v>
      </c>
      <c r="D15228" t="s">
        <v>12935</v>
      </c>
      <c r="E15228">
        <v>-9217.5</v>
      </c>
      <c r="F15228">
        <v>-1.35</v>
      </c>
      <c r="G15228" t="s">
        <v>12</v>
      </c>
      <c r="I15228" t="s">
        <v>1050</v>
      </c>
    </row>
    <row r="15229" spans="1:9" hidden="1" x14ac:dyDescent="0.25">
      <c r="A15229" t="s">
        <v>12827</v>
      </c>
      <c r="B15229" t="s">
        <v>732</v>
      </c>
      <c r="C15229" s="2">
        <f>HYPERLINK("https://cao.dolgi.msk.ru/account/1080296722/", 1080296722)</f>
        <v>1080296722</v>
      </c>
      <c r="D15229" t="s">
        <v>12936</v>
      </c>
      <c r="E15229">
        <v>-6866.37</v>
      </c>
      <c r="F15229">
        <v>-1.1000000000000001</v>
      </c>
      <c r="G15229" t="s">
        <v>12</v>
      </c>
      <c r="I15229" t="s">
        <v>1050</v>
      </c>
    </row>
    <row r="15230" spans="1:9" hidden="1" x14ac:dyDescent="0.25">
      <c r="A15230" t="s">
        <v>12827</v>
      </c>
      <c r="B15230" t="s">
        <v>553</v>
      </c>
      <c r="C15230" s="2">
        <f>HYPERLINK("https://cao.dolgi.msk.ru/account/1080296749/", 1080296749)</f>
        <v>1080296749</v>
      </c>
      <c r="D15230" t="s">
        <v>12937</v>
      </c>
      <c r="E15230">
        <v>-6135.11</v>
      </c>
      <c r="F15230">
        <v>-1.1100000000000001</v>
      </c>
      <c r="G15230" t="s">
        <v>12</v>
      </c>
      <c r="I15230" t="s">
        <v>1050</v>
      </c>
    </row>
    <row r="15231" spans="1:9" hidden="1" x14ac:dyDescent="0.25">
      <c r="A15231" t="s">
        <v>12827</v>
      </c>
      <c r="B15231" t="s">
        <v>555</v>
      </c>
      <c r="C15231" s="2">
        <f>HYPERLINK("https://cao.dolgi.msk.ru/account/1080296757/", 1080296757)</f>
        <v>1080296757</v>
      </c>
      <c r="D15231" t="s">
        <v>12938</v>
      </c>
      <c r="E15231">
        <v>-4257.7</v>
      </c>
      <c r="F15231">
        <v>-1.1100000000000001</v>
      </c>
      <c r="G15231" t="s">
        <v>12</v>
      </c>
      <c r="I15231" t="s">
        <v>1050</v>
      </c>
    </row>
    <row r="15232" spans="1:9" hidden="1" x14ac:dyDescent="0.25">
      <c r="A15232" t="s">
        <v>12827</v>
      </c>
      <c r="B15232" t="s">
        <v>736</v>
      </c>
      <c r="C15232" s="2">
        <f>HYPERLINK("https://cao.dolgi.msk.ru/account/1080296765/", 1080296765)</f>
        <v>1080296765</v>
      </c>
      <c r="D15232" t="s">
        <v>12939</v>
      </c>
      <c r="E15232">
        <v>-5103.2700000000004</v>
      </c>
      <c r="F15232">
        <v>-1.1200000000000001</v>
      </c>
      <c r="G15232" t="s">
        <v>12</v>
      </c>
      <c r="I15232" t="s">
        <v>1050</v>
      </c>
    </row>
    <row r="15233" spans="1:9" hidden="1" x14ac:dyDescent="0.25">
      <c r="A15233" t="s">
        <v>12827</v>
      </c>
      <c r="B15233" t="s">
        <v>738</v>
      </c>
      <c r="C15233" s="2">
        <f>HYPERLINK("https://cao.dolgi.msk.ru/account/1080296773/", 1080296773)</f>
        <v>1080296773</v>
      </c>
      <c r="D15233" t="s">
        <v>12940</v>
      </c>
      <c r="E15233">
        <v>-12820.02</v>
      </c>
      <c r="F15233">
        <v>-1.0900000000000001</v>
      </c>
      <c r="G15233" t="s">
        <v>12</v>
      </c>
      <c r="I15233" t="s">
        <v>1050</v>
      </c>
    </row>
    <row r="15234" spans="1:9" hidden="1" x14ac:dyDescent="0.25">
      <c r="A15234" t="s">
        <v>12827</v>
      </c>
      <c r="B15234" t="s">
        <v>740</v>
      </c>
      <c r="C15234" s="2">
        <f>HYPERLINK("https://cao.dolgi.msk.ru/account/1080296781/", 1080296781)</f>
        <v>1080296781</v>
      </c>
      <c r="D15234" t="s">
        <v>12941</v>
      </c>
      <c r="E15234">
        <v>-5586.44</v>
      </c>
      <c r="F15234">
        <v>-1.1599999999999999</v>
      </c>
      <c r="G15234" t="s">
        <v>12</v>
      </c>
      <c r="I15234" t="s">
        <v>1050</v>
      </c>
    </row>
    <row r="15235" spans="1:9" hidden="1" x14ac:dyDescent="0.25">
      <c r="A15235" t="s">
        <v>12827</v>
      </c>
      <c r="B15235" t="s">
        <v>742</v>
      </c>
      <c r="C15235" s="2">
        <f>HYPERLINK("https://cao.dolgi.msk.ru/account/1080296802/", 1080296802)</f>
        <v>1080296802</v>
      </c>
      <c r="D15235" t="s">
        <v>12942</v>
      </c>
      <c r="E15235">
        <v>-38.799999999999997</v>
      </c>
      <c r="F15235">
        <v>-0.01</v>
      </c>
      <c r="G15235" t="s">
        <v>12</v>
      </c>
      <c r="I15235" t="s">
        <v>1050</v>
      </c>
    </row>
    <row r="15236" spans="1:9" hidden="1" x14ac:dyDescent="0.25">
      <c r="A15236" t="s">
        <v>12827</v>
      </c>
      <c r="B15236" t="s">
        <v>557</v>
      </c>
      <c r="C15236" s="2">
        <f>HYPERLINK("https://cao.dolgi.msk.ru/account/1080296829/", 1080296829)</f>
        <v>1080296829</v>
      </c>
      <c r="D15236" t="s">
        <v>12943</v>
      </c>
      <c r="E15236">
        <v>-8712.4599999999991</v>
      </c>
      <c r="F15236">
        <v>-1.0900000000000001</v>
      </c>
      <c r="G15236" t="s">
        <v>12</v>
      </c>
      <c r="I15236" t="s">
        <v>1050</v>
      </c>
    </row>
    <row r="15237" spans="1:9" hidden="1" x14ac:dyDescent="0.25">
      <c r="A15237" t="s">
        <v>12827</v>
      </c>
      <c r="B15237" t="s">
        <v>558</v>
      </c>
      <c r="C15237" s="2">
        <f>HYPERLINK("https://cao.dolgi.msk.ru/account/1080296837/", 1080296837)</f>
        <v>1080296837</v>
      </c>
      <c r="D15237" t="s">
        <v>12944</v>
      </c>
      <c r="E15237">
        <v>5451.32</v>
      </c>
      <c r="F15237">
        <v>0.97</v>
      </c>
      <c r="G15237" t="s">
        <v>12</v>
      </c>
      <c r="I15237" t="s">
        <v>1050</v>
      </c>
    </row>
    <row r="15238" spans="1:9" hidden="1" x14ac:dyDescent="0.25">
      <c r="A15238" t="s">
        <v>12827</v>
      </c>
      <c r="B15238" t="s">
        <v>746</v>
      </c>
      <c r="C15238" s="2">
        <f>HYPERLINK("https://cao.dolgi.msk.ru/account/1080296845/", 1080296845)</f>
        <v>1080296845</v>
      </c>
      <c r="D15238" t="s">
        <v>12945</v>
      </c>
      <c r="E15238">
        <v>-6943.42</v>
      </c>
      <c r="F15238">
        <v>-1.08</v>
      </c>
      <c r="G15238" t="s">
        <v>12</v>
      </c>
      <c r="I15238" t="s">
        <v>1050</v>
      </c>
    </row>
    <row r="15239" spans="1:9" hidden="1" x14ac:dyDescent="0.25">
      <c r="A15239" t="s">
        <v>12827</v>
      </c>
      <c r="B15239" t="s">
        <v>748</v>
      </c>
      <c r="C15239" s="2">
        <f>HYPERLINK("https://cao.dolgi.msk.ru/account/1080296853/", 1080296853)</f>
        <v>1080296853</v>
      </c>
      <c r="D15239" t="s">
        <v>12946</v>
      </c>
      <c r="E15239">
        <v>-8597.64</v>
      </c>
      <c r="F15239">
        <v>-2.87</v>
      </c>
      <c r="G15239" t="s">
        <v>12</v>
      </c>
      <c r="I15239" t="s">
        <v>1050</v>
      </c>
    </row>
    <row r="15240" spans="1:9" hidden="1" x14ac:dyDescent="0.25">
      <c r="A15240" t="s">
        <v>12827</v>
      </c>
      <c r="B15240" t="s">
        <v>750</v>
      </c>
      <c r="C15240" s="2">
        <f>HYPERLINK("https://cao.dolgi.msk.ru/account/1080296861/", 1080296861)</f>
        <v>1080296861</v>
      </c>
      <c r="D15240" t="s">
        <v>12947</v>
      </c>
      <c r="E15240">
        <v>-6151.13</v>
      </c>
      <c r="F15240">
        <v>-1.07</v>
      </c>
      <c r="G15240" t="s">
        <v>12</v>
      </c>
      <c r="I15240" t="s">
        <v>1050</v>
      </c>
    </row>
    <row r="15241" spans="1:9" hidden="1" x14ac:dyDescent="0.25">
      <c r="A15241" t="s">
        <v>12827</v>
      </c>
      <c r="B15241" t="s">
        <v>752</v>
      </c>
      <c r="C15241" s="2">
        <f>HYPERLINK("https://cao.dolgi.msk.ru/account/1080296888/", 1080296888)</f>
        <v>1080296888</v>
      </c>
      <c r="D15241" t="s">
        <v>12948</v>
      </c>
      <c r="E15241">
        <v>-6769.41</v>
      </c>
      <c r="F15241">
        <v>-1.1499999999999999</v>
      </c>
      <c r="G15241" t="s">
        <v>12</v>
      </c>
      <c r="I15241" t="s">
        <v>1050</v>
      </c>
    </row>
    <row r="15242" spans="1:9" hidden="1" x14ac:dyDescent="0.25">
      <c r="A15242" t="s">
        <v>12827</v>
      </c>
      <c r="B15242" t="s">
        <v>754</v>
      </c>
      <c r="C15242" s="2">
        <f>HYPERLINK("https://cao.dolgi.msk.ru/account/1080296896/", 1080296896)</f>
        <v>1080296896</v>
      </c>
      <c r="D15242" t="s">
        <v>12949</v>
      </c>
      <c r="E15242">
        <v>-7723.61</v>
      </c>
      <c r="F15242">
        <v>-1.1299999999999999</v>
      </c>
      <c r="G15242" t="s">
        <v>12</v>
      </c>
      <c r="I15242" t="s">
        <v>1050</v>
      </c>
    </row>
    <row r="15243" spans="1:9" hidden="1" x14ac:dyDescent="0.25">
      <c r="A15243" t="s">
        <v>12827</v>
      </c>
      <c r="B15243" t="s">
        <v>756</v>
      </c>
      <c r="C15243" s="2">
        <f>HYPERLINK("https://cao.dolgi.msk.ru/account/1080296909/", 1080296909)</f>
        <v>1080296909</v>
      </c>
      <c r="D15243" t="s">
        <v>12950</v>
      </c>
      <c r="E15243">
        <v>3.37</v>
      </c>
      <c r="F15243">
        <v>0</v>
      </c>
      <c r="G15243" t="s">
        <v>12</v>
      </c>
      <c r="I15243" t="s">
        <v>1050</v>
      </c>
    </row>
    <row r="15244" spans="1:9" hidden="1" x14ac:dyDescent="0.25">
      <c r="A15244" t="s">
        <v>12827</v>
      </c>
      <c r="B15244" t="s">
        <v>758</v>
      </c>
      <c r="C15244" s="2">
        <f>HYPERLINK("https://cao.dolgi.msk.ru/account/1080296917/", 1080296917)</f>
        <v>1080296917</v>
      </c>
      <c r="D15244" t="s">
        <v>12951</v>
      </c>
      <c r="E15244">
        <v>-8683.7999999999993</v>
      </c>
      <c r="F15244">
        <v>-1.08</v>
      </c>
      <c r="G15244" t="s">
        <v>12</v>
      </c>
      <c r="I15244" t="s">
        <v>1050</v>
      </c>
    </row>
    <row r="15245" spans="1:9" hidden="1" x14ac:dyDescent="0.25">
      <c r="A15245" t="s">
        <v>12827</v>
      </c>
      <c r="B15245" t="s">
        <v>760</v>
      </c>
      <c r="C15245" s="2">
        <f>HYPERLINK("https://cao.dolgi.msk.ru/account/1080296925/", 1080296925)</f>
        <v>1080296925</v>
      </c>
      <c r="D15245" t="s">
        <v>12952</v>
      </c>
      <c r="E15245">
        <v>6170.17</v>
      </c>
      <c r="F15245">
        <v>0.91</v>
      </c>
      <c r="G15245" t="s">
        <v>12</v>
      </c>
      <c r="I15245" t="s">
        <v>1050</v>
      </c>
    </row>
    <row r="15246" spans="1:9" hidden="1" x14ac:dyDescent="0.25">
      <c r="A15246" t="s">
        <v>12827</v>
      </c>
      <c r="B15246" t="s">
        <v>762</v>
      </c>
      <c r="C15246" s="2">
        <f>HYPERLINK("https://cao.dolgi.msk.ru/account/1080296933/", 1080296933)</f>
        <v>1080296933</v>
      </c>
      <c r="D15246" t="s">
        <v>12953</v>
      </c>
      <c r="E15246">
        <v>-14632.58</v>
      </c>
      <c r="F15246">
        <v>-1.1499999999999999</v>
      </c>
      <c r="G15246" t="s">
        <v>12</v>
      </c>
      <c r="I15246" t="s">
        <v>1050</v>
      </c>
    </row>
    <row r="15247" spans="1:9" hidden="1" x14ac:dyDescent="0.25">
      <c r="A15247" t="s">
        <v>12827</v>
      </c>
      <c r="B15247" t="s">
        <v>764</v>
      </c>
      <c r="C15247" s="2">
        <f>HYPERLINK("https://cao.dolgi.msk.ru/account/1080296941/", 1080296941)</f>
        <v>1080296941</v>
      </c>
      <c r="D15247" t="s">
        <v>1082</v>
      </c>
      <c r="E15247">
        <v>0</v>
      </c>
      <c r="G15247" t="s">
        <v>14</v>
      </c>
      <c r="I15247" t="s">
        <v>1050</v>
      </c>
    </row>
    <row r="15248" spans="1:9" hidden="1" x14ac:dyDescent="0.25">
      <c r="A15248" t="s">
        <v>12827</v>
      </c>
      <c r="B15248" t="s">
        <v>766</v>
      </c>
      <c r="C15248" s="2">
        <f>HYPERLINK("https://cao.dolgi.msk.ru/account/1080296968/", 1080296968)</f>
        <v>1080296968</v>
      </c>
      <c r="D15248" t="s">
        <v>12954</v>
      </c>
      <c r="E15248">
        <v>-1812.34</v>
      </c>
      <c r="F15248">
        <v>-1.23</v>
      </c>
      <c r="G15248" t="s">
        <v>12</v>
      </c>
      <c r="I15248" t="s">
        <v>1050</v>
      </c>
    </row>
    <row r="15249" spans="1:9" hidden="1" x14ac:dyDescent="0.25">
      <c r="A15249" t="s">
        <v>12827</v>
      </c>
      <c r="B15249" t="s">
        <v>766</v>
      </c>
      <c r="C15249" s="2">
        <f>HYPERLINK("https://cao.dolgi.msk.ru/account/1083272945/", 1083272945)</f>
        <v>1083272945</v>
      </c>
      <c r="D15249" t="s">
        <v>12955</v>
      </c>
      <c r="E15249">
        <v>-2114.2199999999998</v>
      </c>
      <c r="F15249">
        <v>-1.44</v>
      </c>
      <c r="G15249" t="s">
        <v>12</v>
      </c>
      <c r="I15249" t="s">
        <v>1050</v>
      </c>
    </row>
    <row r="15250" spans="1:9" hidden="1" x14ac:dyDescent="0.25">
      <c r="A15250" t="s">
        <v>12827</v>
      </c>
      <c r="B15250" t="s">
        <v>766</v>
      </c>
      <c r="C15250" s="2">
        <f>HYPERLINK("https://cao.dolgi.msk.ru/account/1089123369/", 1089123369)</f>
        <v>1089123369</v>
      </c>
      <c r="D15250" t="s">
        <v>12954</v>
      </c>
      <c r="E15250">
        <v>-1840.48</v>
      </c>
      <c r="F15250">
        <v>-1.34</v>
      </c>
      <c r="G15250" t="s">
        <v>12</v>
      </c>
      <c r="I15250" t="s">
        <v>1050</v>
      </c>
    </row>
    <row r="15251" spans="1:9" hidden="1" x14ac:dyDescent="0.25">
      <c r="A15251" t="s">
        <v>12827</v>
      </c>
      <c r="B15251" t="s">
        <v>768</v>
      </c>
      <c r="C15251" s="2">
        <f>HYPERLINK("https://cao.dolgi.msk.ru/account/1080296976/", 1080296976)</f>
        <v>1080296976</v>
      </c>
      <c r="D15251" t="s">
        <v>12956</v>
      </c>
      <c r="E15251">
        <v>-8390.76</v>
      </c>
      <c r="F15251">
        <v>-1.18</v>
      </c>
      <c r="G15251" t="s">
        <v>12</v>
      </c>
      <c r="I15251" t="s">
        <v>1050</v>
      </c>
    </row>
    <row r="15252" spans="1:9" hidden="1" x14ac:dyDescent="0.25">
      <c r="A15252" t="s">
        <v>12957</v>
      </c>
      <c r="B15252" t="s">
        <v>10</v>
      </c>
      <c r="C15252" s="2">
        <f>HYPERLINK("https://cao.dolgi.msk.ru/account/1080289653/", 1080289653)</f>
        <v>1080289653</v>
      </c>
      <c r="D15252" t="s">
        <v>15</v>
      </c>
      <c r="E15252">
        <v>-9897.3700000000008</v>
      </c>
      <c r="F15252">
        <v>-2.0699999999999998</v>
      </c>
      <c r="G15252" t="s">
        <v>12</v>
      </c>
      <c r="I15252" t="s">
        <v>1050</v>
      </c>
    </row>
    <row r="15253" spans="1:9" hidden="1" x14ac:dyDescent="0.25">
      <c r="A15253" t="s">
        <v>12957</v>
      </c>
      <c r="B15253" t="s">
        <v>16</v>
      </c>
      <c r="C15253" s="2">
        <f>HYPERLINK("https://cao.dolgi.msk.ru/account/1080289661/", 1080289661)</f>
        <v>1080289661</v>
      </c>
      <c r="D15253" t="s">
        <v>12958</v>
      </c>
      <c r="E15253">
        <v>-4048.82</v>
      </c>
      <c r="F15253">
        <v>-1.02</v>
      </c>
      <c r="G15253" t="s">
        <v>12</v>
      </c>
      <c r="I15253" t="s">
        <v>1050</v>
      </c>
    </row>
    <row r="15254" spans="1:9" hidden="1" x14ac:dyDescent="0.25">
      <c r="A15254" t="s">
        <v>12957</v>
      </c>
      <c r="B15254" t="s">
        <v>18</v>
      </c>
      <c r="C15254" s="2">
        <f>HYPERLINK("https://cao.dolgi.msk.ru/account/1080289688/", 1080289688)</f>
        <v>1080289688</v>
      </c>
      <c r="D15254" t="s">
        <v>12959</v>
      </c>
      <c r="E15254">
        <v>-4421.05</v>
      </c>
      <c r="F15254">
        <v>-1.1100000000000001</v>
      </c>
      <c r="G15254" t="s">
        <v>12</v>
      </c>
      <c r="I15254" t="s">
        <v>1050</v>
      </c>
    </row>
    <row r="15255" spans="1:9" hidden="1" x14ac:dyDescent="0.25">
      <c r="A15255" t="s">
        <v>12957</v>
      </c>
      <c r="B15255" t="s">
        <v>20</v>
      </c>
      <c r="C15255" s="2">
        <f>HYPERLINK("https://cao.dolgi.msk.ru/account/1080289696/", 1080289696)</f>
        <v>1080289696</v>
      </c>
      <c r="D15255" t="s">
        <v>12960</v>
      </c>
      <c r="E15255">
        <v>1545.07</v>
      </c>
      <c r="F15255">
        <v>0.36</v>
      </c>
      <c r="G15255" t="s">
        <v>12</v>
      </c>
      <c r="I15255" t="s">
        <v>1050</v>
      </c>
    </row>
    <row r="15256" spans="1:9" hidden="1" x14ac:dyDescent="0.25">
      <c r="A15256" t="s">
        <v>12957</v>
      </c>
      <c r="B15256" t="s">
        <v>21</v>
      </c>
      <c r="C15256" s="2">
        <f>HYPERLINK("https://cao.dolgi.msk.ru/account/1080289709/", 1080289709)</f>
        <v>1080289709</v>
      </c>
      <c r="D15256" t="s">
        <v>12961</v>
      </c>
      <c r="E15256">
        <v>0</v>
      </c>
      <c r="F15256">
        <v>0</v>
      </c>
      <c r="G15256" t="s">
        <v>12</v>
      </c>
      <c r="I15256" t="s">
        <v>1050</v>
      </c>
    </row>
    <row r="15257" spans="1:9" hidden="1" x14ac:dyDescent="0.25">
      <c r="A15257" t="s">
        <v>12957</v>
      </c>
      <c r="B15257" t="s">
        <v>22</v>
      </c>
      <c r="C15257" s="2">
        <f>HYPERLINK("https://cao.dolgi.msk.ru/account/1080289717/", 1080289717)</f>
        <v>1080289717</v>
      </c>
      <c r="D15257" t="s">
        <v>12962</v>
      </c>
      <c r="E15257">
        <v>-5592.7</v>
      </c>
      <c r="F15257">
        <v>-0.93</v>
      </c>
      <c r="G15257" t="s">
        <v>12</v>
      </c>
      <c r="I15257" t="s">
        <v>1050</v>
      </c>
    </row>
    <row r="15258" spans="1:9" hidden="1" x14ac:dyDescent="0.25">
      <c r="A15258" t="s">
        <v>12957</v>
      </c>
      <c r="B15258" t="s">
        <v>23</v>
      </c>
      <c r="C15258" s="2">
        <f>HYPERLINK("https://cao.dolgi.msk.ru/account/1080289725/", 1080289725)</f>
        <v>1080289725</v>
      </c>
      <c r="D15258" t="s">
        <v>12963</v>
      </c>
      <c r="E15258">
        <v>-11440.72</v>
      </c>
      <c r="F15258">
        <v>-1.1100000000000001</v>
      </c>
      <c r="G15258" t="s">
        <v>12</v>
      </c>
      <c r="I15258" t="s">
        <v>1050</v>
      </c>
    </row>
    <row r="15259" spans="1:9" hidden="1" x14ac:dyDescent="0.25">
      <c r="A15259" t="s">
        <v>12957</v>
      </c>
      <c r="B15259" t="s">
        <v>24</v>
      </c>
      <c r="C15259" s="2">
        <f>HYPERLINK("https://cao.dolgi.msk.ru/account/1080289733/", 1080289733)</f>
        <v>1080289733</v>
      </c>
      <c r="D15259" t="s">
        <v>12964</v>
      </c>
      <c r="E15259">
        <v>-5338.75</v>
      </c>
      <c r="F15259">
        <v>-1.41</v>
      </c>
      <c r="G15259" t="s">
        <v>12</v>
      </c>
      <c r="I15259" t="s">
        <v>1050</v>
      </c>
    </row>
    <row r="15260" spans="1:9" hidden="1" x14ac:dyDescent="0.25">
      <c r="A15260" t="s">
        <v>12957</v>
      </c>
      <c r="B15260" t="s">
        <v>27</v>
      </c>
      <c r="C15260" s="2">
        <f>HYPERLINK("https://cao.dolgi.msk.ru/account/1080289741/", 1080289741)</f>
        <v>1080289741</v>
      </c>
      <c r="D15260" t="s">
        <v>12965</v>
      </c>
      <c r="E15260">
        <v>-213.17</v>
      </c>
      <c r="F15260">
        <v>-0.05</v>
      </c>
      <c r="G15260" t="s">
        <v>12</v>
      </c>
      <c r="I15260" t="s">
        <v>1050</v>
      </c>
    </row>
    <row r="15261" spans="1:9" hidden="1" x14ac:dyDescent="0.25">
      <c r="A15261" t="s">
        <v>12957</v>
      </c>
      <c r="B15261" t="s">
        <v>29</v>
      </c>
      <c r="C15261" s="2">
        <f>HYPERLINK("https://cao.dolgi.msk.ru/account/1080289768/", 1080289768)</f>
        <v>1080289768</v>
      </c>
      <c r="D15261" t="s">
        <v>12966</v>
      </c>
      <c r="E15261">
        <v>-3038.3</v>
      </c>
      <c r="F15261">
        <v>-1.04</v>
      </c>
      <c r="G15261" t="s">
        <v>12</v>
      </c>
      <c r="I15261" t="s">
        <v>1050</v>
      </c>
    </row>
    <row r="15262" spans="1:9" hidden="1" x14ac:dyDescent="0.25">
      <c r="A15262" t="s">
        <v>12957</v>
      </c>
      <c r="B15262" t="s">
        <v>31</v>
      </c>
      <c r="C15262" s="2">
        <f>HYPERLINK("https://cao.dolgi.msk.ru/account/1080289776/", 1080289776)</f>
        <v>1080289776</v>
      </c>
      <c r="D15262" t="s">
        <v>12967</v>
      </c>
      <c r="E15262">
        <v>-8118.1</v>
      </c>
      <c r="F15262">
        <v>-0.99</v>
      </c>
      <c r="G15262" t="s">
        <v>12</v>
      </c>
      <c r="I15262" t="s">
        <v>1050</v>
      </c>
    </row>
    <row r="15263" spans="1:9" hidden="1" x14ac:dyDescent="0.25">
      <c r="A15263" t="s">
        <v>12957</v>
      </c>
      <c r="B15263" t="s">
        <v>33</v>
      </c>
      <c r="C15263" s="2">
        <f>HYPERLINK("https://cao.dolgi.msk.ru/account/1080289784/", 1080289784)</f>
        <v>1080289784</v>
      </c>
      <c r="D15263" t="s">
        <v>12968</v>
      </c>
      <c r="E15263">
        <v>-3105.47</v>
      </c>
      <c r="F15263">
        <v>-1.03</v>
      </c>
      <c r="G15263" t="s">
        <v>12</v>
      </c>
      <c r="I15263" t="s">
        <v>1050</v>
      </c>
    </row>
    <row r="15264" spans="1:9" hidden="1" x14ac:dyDescent="0.25">
      <c r="A15264" t="s">
        <v>12957</v>
      </c>
      <c r="B15264" t="s">
        <v>33</v>
      </c>
      <c r="C15264" s="2">
        <f>HYPERLINK("https://cao.dolgi.msk.ru/account/1080289792/", 1080289792)</f>
        <v>1080289792</v>
      </c>
      <c r="D15264" t="s">
        <v>15</v>
      </c>
      <c r="G15264" t="s">
        <v>14</v>
      </c>
      <c r="I15264" t="s">
        <v>1050</v>
      </c>
    </row>
    <row r="15265" spans="1:9" hidden="1" x14ac:dyDescent="0.25">
      <c r="A15265" t="s">
        <v>12957</v>
      </c>
      <c r="B15265" t="s">
        <v>33</v>
      </c>
      <c r="C15265" s="2">
        <f>HYPERLINK("https://cao.dolgi.msk.ru/account/1089123131/", 1089123131)</f>
        <v>1089123131</v>
      </c>
      <c r="D15265" t="s">
        <v>12969</v>
      </c>
      <c r="E15265">
        <v>-2381.04</v>
      </c>
      <c r="G15265" t="s">
        <v>14</v>
      </c>
      <c r="I15265" t="s">
        <v>1050</v>
      </c>
    </row>
    <row r="15266" spans="1:9" hidden="1" x14ac:dyDescent="0.25">
      <c r="A15266" t="s">
        <v>12957</v>
      </c>
      <c r="B15266" t="s">
        <v>34</v>
      </c>
      <c r="C15266" s="2">
        <f>HYPERLINK("https://cao.dolgi.msk.ru/account/1080289805/", 1080289805)</f>
        <v>1080289805</v>
      </c>
      <c r="D15266" t="s">
        <v>12970</v>
      </c>
      <c r="E15266">
        <v>-38.799999999999997</v>
      </c>
      <c r="F15266">
        <v>-0.01</v>
      </c>
      <c r="G15266" t="s">
        <v>12</v>
      </c>
      <c r="I15266" t="s">
        <v>1050</v>
      </c>
    </row>
    <row r="15267" spans="1:9" hidden="1" x14ac:dyDescent="0.25">
      <c r="A15267" t="s">
        <v>12957</v>
      </c>
      <c r="B15267" t="s">
        <v>36</v>
      </c>
      <c r="C15267" s="2">
        <f>HYPERLINK("https://cao.dolgi.msk.ru/account/1080289813/", 1080289813)</f>
        <v>1080289813</v>
      </c>
      <c r="D15267" t="s">
        <v>12971</v>
      </c>
      <c r="E15267">
        <v>27.23</v>
      </c>
      <c r="F15267">
        <v>0.01</v>
      </c>
      <c r="G15267" t="s">
        <v>12</v>
      </c>
      <c r="I15267" t="s">
        <v>1050</v>
      </c>
    </row>
    <row r="15268" spans="1:9" hidden="1" x14ac:dyDescent="0.25">
      <c r="A15268" t="s">
        <v>12957</v>
      </c>
      <c r="B15268" t="s">
        <v>38</v>
      </c>
      <c r="C15268" s="2">
        <f>HYPERLINK("https://cao.dolgi.msk.ru/account/1080289821/", 1080289821)</f>
        <v>1080289821</v>
      </c>
      <c r="D15268" t="s">
        <v>12972</v>
      </c>
      <c r="E15268">
        <v>-4845.68</v>
      </c>
      <c r="F15268">
        <v>-1.1000000000000001</v>
      </c>
      <c r="G15268" t="s">
        <v>12</v>
      </c>
      <c r="I15268" t="s">
        <v>1050</v>
      </c>
    </row>
    <row r="15269" spans="1:9" hidden="1" x14ac:dyDescent="0.25">
      <c r="A15269" t="s">
        <v>12957</v>
      </c>
      <c r="B15269" t="s">
        <v>39</v>
      </c>
      <c r="C15269" s="2">
        <f>HYPERLINK("https://cao.dolgi.msk.ru/account/1080289848/", 1080289848)</f>
        <v>1080289848</v>
      </c>
      <c r="D15269" t="s">
        <v>12973</v>
      </c>
      <c r="E15269">
        <v>-3248.68</v>
      </c>
      <c r="F15269">
        <v>-0.95</v>
      </c>
      <c r="G15269" t="s">
        <v>12</v>
      </c>
      <c r="I15269" t="s">
        <v>1050</v>
      </c>
    </row>
    <row r="15270" spans="1:9" hidden="1" x14ac:dyDescent="0.25">
      <c r="A15270" t="s">
        <v>12957</v>
      </c>
      <c r="B15270" t="s">
        <v>40</v>
      </c>
      <c r="C15270" s="2">
        <f>HYPERLINK("https://cao.dolgi.msk.ru/account/1080289856/", 1080289856)</f>
        <v>1080289856</v>
      </c>
      <c r="D15270" t="s">
        <v>12974</v>
      </c>
      <c r="E15270">
        <v>-3733.46</v>
      </c>
      <c r="F15270">
        <v>-1.04</v>
      </c>
      <c r="G15270" t="s">
        <v>12</v>
      </c>
      <c r="I15270" t="s">
        <v>1050</v>
      </c>
    </row>
    <row r="15271" spans="1:9" hidden="1" x14ac:dyDescent="0.25">
      <c r="A15271" t="s">
        <v>12957</v>
      </c>
      <c r="B15271" t="s">
        <v>41</v>
      </c>
      <c r="C15271" s="2">
        <f>HYPERLINK("https://cao.dolgi.msk.ru/account/1080289864/", 1080289864)</f>
        <v>1080289864</v>
      </c>
      <c r="D15271" t="s">
        <v>12975</v>
      </c>
      <c r="E15271">
        <v>-2947.88</v>
      </c>
      <c r="F15271">
        <v>-1.06</v>
      </c>
      <c r="G15271" t="s">
        <v>12</v>
      </c>
      <c r="I15271" t="s">
        <v>1050</v>
      </c>
    </row>
    <row r="15272" spans="1:9" hidden="1" x14ac:dyDescent="0.25">
      <c r="A15272" t="s">
        <v>12957</v>
      </c>
      <c r="B15272" t="s">
        <v>42</v>
      </c>
      <c r="C15272" s="2">
        <f>HYPERLINK("https://cao.dolgi.msk.ru/account/1080289872/", 1080289872)</f>
        <v>1080289872</v>
      </c>
      <c r="D15272" t="s">
        <v>12976</v>
      </c>
      <c r="E15272">
        <v>-224.64</v>
      </c>
      <c r="F15272">
        <v>-0.04</v>
      </c>
      <c r="G15272" t="s">
        <v>12</v>
      </c>
      <c r="I15272" t="s">
        <v>1050</v>
      </c>
    </row>
    <row r="15273" spans="1:9" hidden="1" x14ac:dyDescent="0.25">
      <c r="A15273" t="s">
        <v>12957</v>
      </c>
      <c r="B15273" t="s">
        <v>44</v>
      </c>
      <c r="C15273" s="2">
        <f>HYPERLINK("https://cao.dolgi.msk.ru/account/1080289899/", 1080289899)</f>
        <v>1080289899</v>
      </c>
      <c r="D15273" t="s">
        <v>12977</v>
      </c>
      <c r="E15273">
        <v>-8209.8799999999992</v>
      </c>
      <c r="F15273">
        <v>-1.07</v>
      </c>
      <c r="G15273" t="s">
        <v>12</v>
      </c>
      <c r="I15273" t="s">
        <v>1050</v>
      </c>
    </row>
    <row r="15274" spans="1:9" hidden="1" x14ac:dyDescent="0.25">
      <c r="A15274" t="s">
        <v>12957</v>
      </c>
      <c r="B15274" t="s">
        <v>66</v>
      </c>
      <c r="C15274" s="2">
        <f>HYPERLINK("https://cao.dolgi.msk.ru/account/1080289901/", 1080289901)</f>
        <v>1080289901</v>
      </c>
      <c r="D15274" t="s">
        <v>12978</v>
      </c>
      <c r="E15274">
        <v>-472.27</v>
      </c>
      <c r="F15274">
        <v>-0.16</v>
      </c>
      <c r="G15274" t="s">
        <v>12</v>
      </c>
      <c r="I15274" t="s">
        <v>1050</v>
      </c>
    </row>
    <row r="15275" spans="1:9" hidden="1" x14ac:dyDescent="0.25">
      <c r="A15275" t="s">
        <v>12957</v>
      </c>
      <c r="B15275" t="s">
        <v>68</v>
      </c>
      <c r="C15275" s="2">
        <f>HYPERLINK("https://cao.dolgi.msk.ru/account/1080289928/", 1080289928)</f>
        <v>1080289928</v>
      </c>
      <c r="D15275" t="s">
        <v>12979</v>
      </c>
      <c r="E15275">
        <v>-3605.85</v>
      </c>
      <c r="F15275">
        <v>-1</v>
      </c>
      <c r="G15275" t="s">
        <v>12</v>
      </c>
      <c r="I15275" t="s">
        <v>1050</v>
      </c>
    </row>
    <row r="15276" spans="1:9" hidden="1" x14ac:dyDescent="0.25">
      <c r="A15276" t="s">
        <v>12957</v>
      </c>
      <c r="B15276" t="s">
        <v>70</v>
      </c>
      <c r="C15276" s="2">
        <f>HYPERLINK("https://cao.dolgi.msk.ru/account/1080289936/", 1080289936)</f>
        <v>1080289936</v>
      </c>
      <c r="D15276" t="s">
        <v>12980</v>
      </c>
      <c r="E15276">
        <v>0</v>
      </c>
      <c r="F15276">
        <v>0</v>
      </c>
      <c r="G15276" t="s">
        <v>12</v>
      </c>
      <c r="I15276" t="s">
        <v>1050</v>
      </c>
    </row>
    <row r="15277" spans="1:9" hidden="1" x14ac:dyDescent="0.25">
      <c r="A15277" t="s">
        <v>12957</v>
      </c>
      <c r="B15277" t="s">
        <v>72</v>
      </c>
      <c r="C15277" s="2">
        <f>HYPERLINK("https://cao.dolgi.msk.ru/account/1080289944/", 1080289944)</f>
        <v>1080289944</v>
      </c>
      <c r="D15277" t="s">
        <v>12981</v>
      </c>
      <c r="E15277">
        <v>-35.950000000000003</v>
      </c>
      <c r="F15277">
        <v>-0.01</v>
      </c>
      <c r="G15277" t="s">
        <v>12</v>
      </c>
      <c r="I15277" t="s">
        <v>1050</v>
      </c>
    </row>
    <row r="15278" spans="1:9" hidden="1" x14ac:dyDescent="0.25">
      <c r="A15278" t="s">
        <v>12957</v>
      </c>
      <c r="B15278" t="s">
        <v>74</v>
      </c>
      <c r="C15278" s="2">
        <f>HYPERLINK("https://cao.dolgi.msk.ru/account/1080289952/", 1080289952)</f>
        <v>1080289952</v>
      </c>
      <c r="D15278" t="s">
        <v>12982</v>
      </c>
      <c r="E15278">
        <v>-3381.06</v>
      </c>
      <c r="F15278">
        <v>-1.07</v>
      </c>
      <c r="G15278" t="s">
        <v>12</v>
      </c>
      <c r="I15278" t="s">
        <v>1050</v>
      </c>
    </row>
    <row r="15279" spans="1:9" x14ac:dyDescent="0.25">
      <c r="A15279" t="s">
        <v>12957</v>
      </c>
      <c r="B15279" t="s">
        <v>76</v>
      </c>
      <c r="C15279" s="2">
        <f>HYPERLINK("https://cao.dolgi.msk.ru/account/1080289979/", 1080289979)</f>
        <v>1080289979</v>
      </c>
      <c r="D15279" t="s">
        <v>12983</v>
      </c>
      <c r="E15279">
        <v>5973.28</v>
      </c>
      <c r="F15279">
        <v>1.98</v>
      </c>
      <c r="G15279" t="s">
        <v>12</v>
      </c>
      <c r="I15279" t="s">
        <v>1050</v>
      </c>
    </row>
    <row r="15280" spans="1:9" hidden="1" x14ac:dyDescent="0.25">
      <c r="A15280" t="s">
        <v>12957</v>
      </c>
      <c r="B15280" t="s">
        <v>78</v>
      </c>
      <c r="C15280" s="2">
        <f>HYPERLINK("https://cao.dolgi.msk.ru/account/1080289987/", 1080289987)</f>
        <v>1080289987</v>
      </c>
      <c r="D15280" t="s">
        <v>12984</v>
      </c>
      <c r="E15280">
        <v>-4069.46</v>
      </c>
      <c r="F15280">
        <v>-1.03</v>
      </c>
      <c r="G15280" t="s">
        <v>12</v>
      </c>
      <c r="I15280" t="s">
        <v>1050</v>
      </c>
    </row>
    <row r="15281" spans="1:9" hidden="1" x14ac:dyDescent="0.25">
      <c r="A15281" t="s">
        <v>12957</v>
      </c>
      <c r="B15281" t="s">
        <v>80</v>
      </c>
      <c r="C15281" s="2">
        <f>HYPERLINK("https://cao.dolgi.msk.ru/account/1080289995/", 1080289995)</f>
        <v>1080289995</v>
      </c>
      <c r="D15281" t="s">
        <v>12985</v>
      </c>
      <c r="E15281">
        <v>-3223.35</v>
      </c>
      <c r="F15281">
        <v>-0.89</v>
      </c>
      <c r="G15281" t="s">
        <v>12</v>
      </c>
      <c r="I15281" t="s">
        <v>1050</v>
      </c>
    </row>
    <row r="15282" spans="1:9" hidden="1" x14ac:dyDescent="0.25">
      <c r="A15282" t="s">
        <v>12957</v>
      </c>
      <c r="B15282" t="s">
        <v>82</v>
      </c>
      <c r="C15282" s="2">
        <f>HYPERLINK("https://cao.dolgi.msk.ru/account/1080290005/", 1080290005)</f>
        <v>1080290005</v>
      </c>
      <c r="D15282" t="s">
        <v>12986</v>
      </c>
      <c r="E15282">
        <v>-4771.47</v>
      </c>
      <c r="F15282">
        <v>-1.1000000000000001</v>
      </c>
      <c r="G15282" t="s">
        <v>12</v>
      </c>
      <c r="I15282" t="s">
        <v>1050</v>
      </c>
    </row>
    <row r="15283" spans="1:9" hidden="1" x14ac:dyDescent="0.25">
      <c r="A15283" t="s">
        <v>12957</v>
      </c>
      <c r="B15283" t="s">
        <v>84</v>
      </c>
      <c r="C15283" s="2">
        <f>HYPERLINK("https://cao.dolgi.msk.ru/account/1080290013/", 1080290013)</f>
        <v>1080290013</v>
      </c>
      <c r="D15283" t="s">
        <v>12987</v>
      </c>
      <c r="E15283">
        <v>-4129.93</v>
      </c>
      <c r="F15283">
        <v>-1</v>
      </c>
      <c r="G15283" t="s">
        <v>12</v>
      </c>
      <c r="I15283" t="s">
        <v>1050</v>
      </c>
    </row>
    <row r="15284" spans="1:9" hidden="1" x14ac:dyDescent="0.25">
      <c r="A15284" t="s">
        <v>12957</v>
      </c>
      <c r="B15284" t="s">
        <v>86</v>
      </c>
      <c r="C15284" s="2">
        <f>HYPERLINK("https://cao.dolgi.msk.ru/account/1080290021/", 1080290021)</f>
        <v>1080290021</v>
      </c>
      <c r="D15284" t="s">
        <v>12988</v>
      </c>
      <c r="E15284">
        <v>-4176.8900000000003</v>
      </c>
      <c r="F15284">
        <v>-1.7</v>
      </c>
      <c r="G15284" t="s">
        <v>12</v>
      </c>
      <c r="I15284" t="s">
        <v>1050</v>
      </c>
    </row>
    <row r="15285" spans="1:9" hidden="1" x14ac:dyDescent="0.25">
      <c r="A15285" t="s">
        <v>12957</v>
      </c>
      <c r="B15285" t="s">
        <v>88</v>
      </c>
      <c r="C15285" s="2">
        <f>HYPERLINK("https://cao.dolgi.msk.ru/account/1080290048/", 1080290048)</f>
        <v>1080290048</v>
      </c>
      <c r="D15285" t="s">
        <v>12989</v>
      </c>
      <c r="E15285">
        <v>-2227.0300000000002</v>
      </c>
      <c r="F15285">
        <v>-1.01</v>
      </c>
      <c r="G15285" t="s">
        <v>12</v>
      </c>
      <c r="I15285" t="s">
        <v>1050</v>
      </c>
    </row>
    <row r="15286" spans="1:9" hidden="1" x14ac:dyDescent="0.25">
      <c r="A15286" t="s">
        <v>12957</v>
      </c>
      <c r="B15286" t="s">
        <v>90</v>
      </c>
      <c r="C15286" s="2">
        <f>HYPERLINK("https://cao.dolgi.msk.ru/account/1080290056/", 1080290056)</f>
        <v>1080290056</v>
      </c>
      <c r="D15286" t="s">
        <v>12990</v>
      </c>
      <c r="E15286">
        <v>-2521.81</v>
      </c>
      <c r="F15286">
        <v>-0.95</v>
      </c>
      <c r="G15286" t="s">
        <v>12</v>
      </c>
      <c r="I15286" t="s">
        <v>1050</v>
      </c>
    </row>
    <row r="15287" spans="1:9" hidden="1" x14ac:dyDescent="0.25">
      <c r="A15287" t="s">
        <v>12957</v>
      </c>
      <c r="B15287" t="s">
        <v>92</v>
      </c>
      <c r="C15287" s="2">
        <f>HYPERLINK("https://cao.dolgi.msk.ru/account/1080290064/", 1080290064)</f>
        <v>1080290064</v>
      </c>
      <c r="D15287" t="s">
        <v>12991</v>
      </c>
      <c r="E15287">
        <v>-4939.3100000000004</v>
      </c>
      <c r="F15287">
        <v>-1.08</v>
      </c>
      <c r="G15287" t="s">
        <v>12</v>
      </c>
      <c r="I15287" t="s">
        <v>1050</v>
      </c>
    </row>
    <row r="15288" spans="1:9" hidden="1" x14ac:dyDescent="0.25">
      <c r="A15288" t="s">
        <v>12957</v>
      </c>
      <c r="B15288" t="s">
        <v>94</v>
      </c>
      <c r="C15288" s="2">
        <f>HYPERLINK("https://cao.dolgi.msk.ru/account/1080290072/", 1080290072)</f>
        <v>1080290072</v>
      </c>
      <c r="D15288" t="s">
        <v>12992</v>
      </c>
      <c r="E15288">
        <v>-5335.59</v>
      </c>
      <c r="F15288">
        <v>-0.97</v>
      </c>
      <c r="G15288" t="s">
        <v>12</v>
      </c>
      <c r="I15288" t="s">
        <v>1050</v>
      </c>
    </row>
    <row r="15289" spans="1:9" hidden="1" x14ac:dyDescent="0.25">
      <c r="A15289" t="s">
        <v>12957</v>
      </c>
      <c r="B15289" t="s">
        <v>96</v>
      </c>
      <c r="C15289" s="2">
        <f>HYPERLINK("https://cao.dolgi.msk.ru/account/1080290099/", 1080290099)</f>
        <v>1080290099</v>
      </c>
      <c r="D15289" t="s">
        <v>12993</v>
      </c>
      <c r="E15289">
        <v>-4280.71</v>
      </c>
      <c r="F15289">
        <v>-0.72</v>
      </c>
      <c r="G15289" t="s">
        <v>12</v>
      </c>
      <c r="I15289" t="s">
        <v>1050</v>
      </c>
    </row>
    <row r="15290" spans="1:9" hidden="1" x14ac:dyDescent="0.25">
      <c r="A15290" t="s">
        <v>12957</v>
      </c>
      <c r="B15290" t="s">
        <v>98</v>
      </c>
      <c r="C15290" s="2">
        <f>HYPERLINK("https://cao.dolgi.msk.ru/account/1080290101/", 1080290101)</f>
        <v>1080290101</v>
      </c>
      <c r="D15290" t="s">
        <v>12994</v>
      </c>
      <c r="E15290">
        <v>-1059.43</v>
      </c>
      <c r="F15290">
        <v>-0.32</v>
      </c>
      <c r="G15290" t="s">
        <v>12</v>
      </c>
      <c r="I15290" t="s">
        <v>1050</v>
      </c>
    </row>
    <row r="15291" spans="1:9" hidden="1" x14ac:dyDescent="0.25">
      <c r="A15291" t="s">
        <v>12957</v>
      </c>
      <c r="B15291" t="s">
        <v>100</v>
      </c>
      <c r="C15291" s="2">
        <f>HYPERLINK("https://cao.dolgi.msk.ru/account/1080290128/", 1080290128)</f>
        <v>1080290128</v>
      </c>
      <c r="D15291" t="s">
        <v>12995</v>
      </c>
      <c r="E15291">
        <v>-5696.4</v>
      </c>
      <c r="F15291">
        <v>-1.06</v>
      </c>
      <c r="G15291" t="s">
        <v>12</v>
      </c>
      <c r="I15291" t="s">
        <v>1050</v>
      </c>
    </row>
    <row r="15292" spans="1:9" hidden="1" x14ac:dyDescent="0.25">
      <c r="A15292" t="s">
        <v>12957</v>
      </c>
      <c r="B15292" t="s">
        <v>102</v>
      </c>
      <c r="C15292" s="2">
        <f>HYPERLINK("https://cao.dolgi.msk.ru/account/1080290136/", 1080290136)</f>
        <v>1080290136</v>
      </c>
      <c r="D15292" t="s">
        <v>12996</v>
      </c>
      <c r="E15292">
        <v>-2132.4</v>
      </c>
      <c r="F15292">
        <v>-1.45</v>
      </c>
      <c r="G15292" t="s">
        <v>12</v>
      </c>
      <c r="I15292" t="s">
        <v>1050</v>
      </c>
    </row>
    <row r="15293" spans="1:9" hidden="1" x14ac:dyDescent="0.25">
      <c r="A15293" t="s">
        <v>12957</v>
      </c>
      <c r="B15293" t="s">
        <v>102</v>
      </c>
      <c r="C15293" s="2">
        <f>HYPERLINK("https://cao.dolgi.msk.ru/account/1083283919/", 1083283919)</f>
        <v>1083283919</v>
      </c>
      <c r="D15293" t="s">
        <v>12996</v>
      </c>
      <c r="E15293">
        <v>-2365.9699999999998</v>
      </c>
      <c r="F15293">
        <v>-1.17</v>
      </c>
      <c r="G15293" t="s">
        <v>12</v>
      </c>
      <c r="I15293" t="s">
        <v>1050</v>
      </c>
    </row>
    <row r="15294" spans="1:9" hidden="1" x14ac:dyDescent="0.25">
      <c r="A15294" t="s">
        <v>12957</v>
      </c>
      <c r="B15294" t="s">
        <v>104</v>
      </c>
      <c r="C15294" s="2">
        <f>HYPERLINK("https://cao.dolgi.msk.ru/account/1080290144/", 1080290144)</f>
        <v>1080290144</v>
      </c>
      <c r="D15294" t="s">
        <v>12997</v>
      </c>
      <c r="E15294">
        <v>-6288.89</v>
      </c>
      <c r="F15294">
        <v>-1.08</v>
      </c>
      <c r="G15294" t="s">
        <v>12</v>
      </c>
      <c r="I15294" t="s">
        <v>1050</v>
      </c>
    </row>
    <row r="15295" spans="1:9" hidden="1" x14ac:dyDescent="0.25">
      <c r="A15295" t="s">
        <v>12957</v>
      </c>
      <c r="B15295" t="s">
        <v>106</v>
      </c>
      <c r="C15295" s="2">
        <f>HYPERLINK("https://cao.dolgi.msk.ru/account/1080290152/", 1080290152)</f>
        <v>1080290152</v>
      </c>
      <c r="D15295" t="s">
        <v>12998</v>
      </c>
      <c r="E15295">
        <v>-157.97999999999999</v>
      </c>
      <c r="F15295">
        <v>-0.04</v>
      </c>
      <c r="G15295" t="s">
        <v>12</v>
      </c>
      <c r="I15295" t="s">
        <v>1050</v>
      </c>
    </row>
    <row r="15296" spans="1:9" hidden="1" x14ac:dyDescent="0.25">
      <c r="A15296" t="s">
        <v>12957</v>
      </c>
      <c r="B15296" t="s">
        <v>108</v>
      </c>
      <c r="C15296" s="2">
        <f>HYPERLINK("https://cao.dolgi.msk.ru/account/1080290179/", 1080290179)</f>
        <v>1080290179</v>
      </c>
      <c r="D15296" t="s">
        <v>12999</v>
      </c>
      <c r="E15296">
        <v>-5911.91</v>
      </c>
      <c r="F15296">
        <v>-1.01</v>
      </c>
      <c r="G15296" t="s">
        <v>12</v>
      </c>
      <c r="I15296" t="s">
        <v>1050</v>
      </c>
    </row>
    <row r="15297" spans="1:9" hidden="1" x14ac:dyDescent="0.25">
      <c r="A15297" t="s">
        <v>12957</v>
      </c>
      <c r="B15297" t="s">
        <v>110</v>
      </c>
      <c r="C15297" s="2">
        <f>HYPERLINK("https://cao.dolgi.msk.ru/account/1080290187/", 1080290187)</f>
        <v>1080290187</v>
      </c>
      <c r="D15297" t="s">
        <v>13000</v>
      </c>
      <c r="E15297">
        <v>-6225.34</v>
      </c>
      <c r="F15297">
        <v>-1.06</v>
      </c>
      <c r="G15297" t="s">
        <v>12</v>
      </c>
      <c r="I15297" t="s">
        <v>1050</v>
      </c>
    </row>
    <row r="15298" spans="1:9" hidden="1" x14ac:dyDescent="0.25">
      <c r="A15298" t="s">
        <v>12957</v>
      </c>
      <c r="B15298" t="s">
        <v>112</v>
      </c>
      <c r="C15298" s="2">
        <f>HYPERLINK("https://cao.dolgi.msk.ru/account/1080290195/", 1080290195)</f>
        <v>1080290195</v>
      </c>
      <c r="D15298" t="s">
        <v>13001</v>
      </c>
      <c r="E15298">
        <v>-5879.68</v>
      </c>
      <c r="F15298">
        <v>-0.97</v>
      </c>
      <c r="G15298" t="s">
        <v>12</v>
      </c>
      <c r="I15298" t="s">
        <v>1050</v>
      </c>
    </row>
    <row r="15299" spans="1:9" hidden="1" x14ac:dyDescent="0.25">
      <c r="A15299" t="s">
        <v>12957</v>
      </c>
      <c r="B15299" t="s">
        <v>114</v>
      </c>
      <c r="C15299" s="2">
        <f>HYPERLINK("https://cao.dolgi.msk.ru/account/1080290208/", 1080290208)</f>
        <v>1080290208</v>
      </c>
      <c r="D15299" t="s">
        <v>13002</v>
      </c>
      <c r="E15299">
        <v>-2676.02</v>
      </c>
      <c r="F15299">
        <v>-1.02</v>
      </c>
      <c r="G15299" t="s">
        <v>12</v>
      </c>
      <c r="I15299" t="s">
        <v>1050</v>
      </c>
    </row>
    <row r="15300" spans="1:9" hidden="1" x14ac:dyDescent="0.25">
      <c r="A15300" t="s">
        <v>12957</v>
      </c>
      <c r="B15300" t="s">
        <v>116</v>
      </c>
      <c r="C15300" s="2">
        <f>HYPERLINK("https://cao.dolgi.msk.ru/account/1080290216/", 1080290216)</f>
        <v>1080290216</v>
      </c>
      <c r="D15300" t="s">
        <v>13003</v>
      </c>
      <c r="E15300">
        <v>-7400.33</v>
      </c>
      <c r="F15300">
        <v>-0.96</v>
      </c>
      <c r="G15300" t="s">
        <v>12</v>
      </c>
      <c r="I15300" t="s">
        <v>1050</v>
      </c>
    </row>
    <row r="15301" spans="1:9" hidden="1" x14ac:dyDescent="0.25">
      <c r="A15301" t="s">
        <v>12957</v>
      </c>
      <c r="B15301" t="s">
        <v>118</v>
      </c>
      <c r="C15301" s="2">
        <f>HYPERLINK("https://cao.dolgi.msk.ru/account/1080290224/", 1080290224)</f>
        <v>1080290224</v>
      </c>
      <c r="D15301" t="s">
        <v>13004</v>
      </c>
      <c r="E15301">
        <v>-3201.47</v>
      </c>
      <c r="F15301">
        <v>-1.03</v>
      </c>
      <c r="G15301" t="s">
        <v>12</v>
      </c>
      <c r="I15301" t="s">
        <v>1050</v>
      </c>
    </row>
    <row r="15302" spans="1:9" hidden="1" x14ac:dyDescent="0.25">
      <c r="A15302" t="s">
        <v>12957</v>
      </c>
      <c r="B15302" t="s">
        <v>120</v>
      </c>
      <c r="C15302" s="2">
        <f>HYPERLINK("https://cao.dolgi.msk.ru/account/1080290232/", 1080290232)</f>
        <v>1080290232</v>
      </c>
      <c r="D15302" t="s">
        <v>13005</v>
      </c>
      <c r="E15302">
        <v>-15011.98</v>
      </c>
      <c r="F15302">
        <v>-2.2200000000000002</v>
      </c>
      <c r="G15302" t="s">
        <v>12</v>
      </c>
      <c r="I15302" t="s">
        <v>1050</v>
      </c>
    </row>
    <row r="15303" spans="1:9" hidden="1" x14ac:dyDescent="0.25">
      <c r="A15303" t="s">
        <v>12957</v>
      </c>
      <c r="B15303" t="s">
        <v>122</v>
      </c>
      <c r="C15303" s="2">
        <f>HYPERLINK("https://cao.dolgi.msk.ru/account/1080290259/", 1080290259)</f>
        <v>1080290259</v>
      </c>
      <c r="D15303" t="s">
        <v>13006</v>
      </c>
      <c r="E15303">
        <v>-4339.9399999999996</v>
      </c>
      <c r="F15303">
        <v>-1.02</v>
      </c>
      <c r="G15303" t="s">
        <v>12</v>
      </c>
      <c r="I15303" t="s">
        <v>1050</v>
      </c>
    </row>
    <row r="15304" spans="1:9" hidden="1" x14ac:dyDescent="0.25">
      <c r="A15304" t="s">
        <v>12957</v>
      </c>
      <c r="B15304" t="s">
        <v>124</v>
      </c>
      <c r="C15304" s="2">
        <f>HYPERLINK("https://cao.dolgi.msk.ru/account/1080290267/", 1080290267)</f>
        <v>1080290267</v>
      </c>
      <c r="D15304" t="s">
        <v>13007</v>
      </c>
      <c r="E15304">
        <v>-4273.8599999999997</v>
      </c>
      <c r="F15304">
        <v>-1.08</v>
      </c>
      <c r="G15304" t="s">
        <v>12</v>
      </c>
      <c r="I15304" t="s">
        <v>1050</v>
      </c>
    </row>
    <row r="15305" spans="1:9" hidden="1" x14ac:dyDescent="0.25">
      <c r="A15305" t="s">
        <v>12957</v>
      </c>
      <c r="B15305" t="s">
        <v>126</v>
      </c>
      <c r="C15305" s="2">
        <f>HYPERLINK("https://cao.dolgi.msk.ru/account/1080290275/", 1080290275)</f>
        <v>1080290275</v>
      </c>
      <c r="D15305" t="s">
        <v>13008</v>
      </c>
      <c r="E15305">
        <v>-7570.28</v>
      </c>
      <c r="F15305">
        <v>-1.07</v>
      </c>
      <c r="G15305" t="s">
        <v>12</v>
      </c>
      <c r="I15305" t="s">
        <v>1050</v>
      </c>
    </row>
    <row r="15306" spans="1:9" hidden="1" x14ac:dyDescent="0.25">
      <c r="A15306" t="s">
        <v>12957</v>
      </c>
      <c r="B15306" t="s">
        <v>128</v>
      </c>
      <c r="C15306" s="2">
        <f>HYPERLINK("https://cao.dolgi.msk.ru/account/1080290283/", 1080290283)</f>
        <v>1080290283</v>
      </c>
      <c r="D15306" t="s">
        <v>13009</v>
      </c>
      <c r="E15306">
        <v>-3334.12</v>
      </c>
      <c r="F15306">
        <v>-0.98</v>
      </c>
      <c r="G15306" t="s">
        <v>12</v>
      </c>
      <c r="I15306" t="s">
        <v>1050</v>
      </c>
    </row>
    <row r="15307" spans="1:9" x14ac:dyDescent="0.25">
      <c r="A15307" t="s">
        <v>12957</v>
      </c>
      <c r="B15307" t="s">
        <v>130</v>
      </c>
      <c r="C15307" s="2">
        <f>HYPERLINK("https://cao.dolgi.msk.ru/account/1080290291/", 1080290291)</f>
        <v>1080290291</v>
      </c>
      <c r="D15307" t="s">
        <v>13010</v>
      </c>
      <c r="E15307">
        <v>6895.26</v>
      </c>
      <c r="F15307">
        <v>1.87</v>
      </c>
      <c r="G15307" t="s">
        <v>12</v>
      </c>
      <c r="I15307" t="s">
        <v>1050</v>
      </c>
    </row>
    <row r="15308" spans="1:9" hidden="1" x14ac:dyDescent="0.25">
      <c r="A15308" t="s">
        <v>12957</v>
      </c>
      <c r="B15308" t="s">
        <v>132</v>
      </c>
      <c r="C15308" s="2">
        <f>HYPERLINK("https://cao.dolgi.msk.ru/account/1080290304/", 1080290304)</f>
        <v>1080290304</v>
      </c>
      <c r="D15308" t="s">
        <v>13011</v>
      </c>
      <c r="E15308">
        <v>-984.5</v>
      </c>
      <c r="F15308">
        <v>-0.19</v>
      </c>
      <c r="G15308" t="s">
        <v>12</v>
      </c>
      <c r="I15308" t="s">
        <v>1050</v>
      </c>
    </row>
    <row r="15309" spans="1:9" hidden="1" x14ac:dyDescent="0.25">
      <c r="A15309" t="s">
        <v>12957</v>
      </c>
      <c r="B15309" t="s">
        <v>133</v>
      </c>
      <c r="C15309" s="2">
        <f>HYPERLINK("https://cao.dolgi.msk.ru/account/1080290312/", 1080290312)</f>
        <v>1080290312</v>
      </c>
      <c r="D15309" t="s">
        <v>13012</v>
      </c>
      <c r="E15309">
        <v>-4524.62</v>
      </c>
      <c r="F15309">
        <v>-1.03</v>
      </c>
      <c r="G15309" t="s">
        <v>12</v>
      </c>
      <c r="I15309" t="s">
        <v>1050</v>
      </c>
    </row>
    <row r="15310" spans="1:9" hidden="1" x14ac:dyDescent="0.25">
      <c r="A15310" t="s">
        <v>12957</v>
      </c>
      <c r="B15310" t="s">
        <v>135</v>
      </c>
      <c r="C15310" s="2">
        <f>HYPERLINK("https://cao.dolgi.msk.ru/account/1080290339/", 1080290339)</f>
        <v>1080290339</v>
      </c>
      <c r="D15310" t="s">
        <v>13013</v>
      </c>
      <c r="E15310">
        <v>-3247.08</v>
      </c>
      <c r="F15310">
        <v>-1.17</v>
      </c>
      <c r="G15310" t="s">
        <v>12</v>
      </c>
      <c r="I15310" t="s">
        <v>1050</v>
      </c>
    </row>
    <row r="15311" spans="1:9" hidden="1" x14ac:dyDescent="0.25">
      <c r="A15311" t="s">
        <v>12957</v>
      </c>
      <c r="B15311" t="s">
        <v>137</v>
      </c>
      <c r="C15311" s="2">
        <f>HYPERLINK("https://cao.dolgi.msk.ru/account/1080290347/", 1080290347)</f>
        <v>1080290347</v>
      </c>
      <c r="D15311" t="s">
        <v>13014</v>
      </c>
      <c r="E15311">
        <v>-5176</v>
      </c>
      <c r="F15311">
        <v>-1.02</v>
      </c>
      <c r="G15311" t="s">
        <v>12</v>
      </c>
      <c r="I15311" t="s">
        <v>1050</v>
      </c>
    </row>
    <row r="15312" spans="1:9" hidden="1" x14ac:dyDescent="0.25">
      <c r="A15312" t="s">
        <v>12957</v>
      </c>
      <c r="B15312" t="s">
        <v>139</v>
      </c>
      <c r="C15312" s="2">
        <f>HYPERLINK("https://cao.dolgi.msk.ru/account/1080290355/", 1080290355)</f>
        <v>1080290355</v>
      </c>
      <c r="D15312" t="s">
        <v>13015</v>
      </c>
      <c r="E15312">
        <v>-3102.18</v>
      </c>
      <c r="F15312">
        <v>-0.8</v>
      </c>
      <c r="G15312" t="s">
        <v>12</v>
      </c>
      <c r="I15312" t="s">
        <v>1050</v>
      </c>
    </row>
    <row r="15313" spans="1:9" hidden="1" x14ac:dyDescent="0.25">
      <c r="A15313" t="s">
        <v>12957</v>
      </c>
      <c r="B15313" t="s">
        <v>141</v>
      </c>
      <c r="C15313" s="2">
        <f>HYPERLINK("https://cao.dolgi.msk.ru/account/1080290363/", 1080290363)</f>
        <v>1080290363</v>
      </c>
      <c r="D15313" t="s">
        <v>13016</v>
      </c>
      <c r="E15313">
        <v>-2645.76</v>
      </c>
      <c r="F15313">
        <v>-1.06</v>
      </c>
      <c r="G15313" t="s">
        <v>12</v>
      </c>
      <c r="I15313" t="s">
        <v>1050</v>
      </c>
    </row>
    <row r="15314" spans="1:9" hidden="1" x14ac:dyDescent="0.25">
      <c r="A15314" t="s">
        <v>12957</v>
      </c>
      <c r="B15314" t="s">
        <v>143</v>
      </c>
      <c r="C15314" s="2">
        <f>HYPERLINK("https://cao.dolgi.msk.ru/account/1080290371/", 1080290371)</f>
        <v>1080290371</v>
      </c>
      <c r="D15314" t="s">
        <v>13017</v>
      </c>
      <c r="E15314">
        <v>-4077.82</v>
      </c>
      <c r="F15314">
        <v>-1.1200000000000001</v>
      </c>
      <c r="G15314" t="s">
        <v>12</v>
      </c>
      <c r="I15314" t="s">
        <v>1050</v>
      </c>
    </row>
    <row r="15315" spans="1:9" hidden="1" x14ac:dyDescent="0.25">
      <c r="A15315" t="s">
        <v>12957</v>
      </c>
      <c r="B15315" t="s">
        <v>145</v>
      </c>
      <c r="C15315" s="2">
        <f>HYPERLINK("https://cao.dolgi.msk.ru/account/1080290398/", 1080290398)</f>
        <v>1080290398</v>
      </c>
      <c r="D15315" t="s">
        <v>13018</v>
      </c>
      <c r="E15315">
        <v>-4339.25</v>
      </c>
      <c r="F15315">
        <v>-1.06</v>
      </c>
      <c r="G15315" t="s">
        <v>12</v>
      </c>
      <c r="I15315" t="s">
        <v>1050</v>
      </c>
    </row>
    <row r="15316" spans="1:9" hidden="1" x14ac:dyDescent="0.25">
      <c r="A15316" t="s">
        <v>12957</v>
      </c>
      <c r="B15316" t="s">
        <v>147</v>
      </c>
      <c r="C15316" s="2">
        <f>HYPERLINK("https://cao.dolgi.msk.ru/account/1080290419/", 1080290419)</f>
        <v>1080290419</v>
      </c>
      <c r="D15316" t="s">
        <v>13019</v>
      </c>
      <c r="E15316">
        <v>-4327.29</v>
      </c>
      <c r="F15316">
        <v>-0.93</v>
      </c>
      <c r="G15316" t="s">
        <v>12</v>
      </c>
      <c r="I15316" t="s">
        <v>1050</v>
      </c>
    </row>
    <row r="15317" spans="1:9" hidden="1" x14ac:dyDescent="0.25">
      <c r="A15317" t="s">
        <v>12957</v>
      </c>
      <c r="B15317" t="s">
        <v>149</v>
      </c>
      <c r="C15317" s="2">
        <f>HYPERLINK("https://cao.dolgi.msk.ru/account/1080290427/", 1080290427)</f>
        <v>1080290427</v>
      </c>
      <c r="D15317" t="s">
        <v>13020</v>
      </c>
      <c r="E15317">
        <v>-7543.56</v>
      </c>
      <c r="F15317">
        <v>-1.06</v>
      </c>
      <c r="G15317" t="s">
        <v>12</v>
      </c>
      <c r="I15317" t="s">
        <v>1050</v>
      </c>
    </row>
    <row r="15318" spans="1:9" hidden="1" x14ac:dyDescent="0.25">
      <c r="A15318" t="s">
        <v>12957</v>
      </c>
      <c r="B15318" t="s">
        <v>151</v>
      </c>
      <c r="C15318" s="2">
        <f>HYPERLINK("https://cao.dolgi.msk.ru/account/1080290435/", 1080290435)</f>
        <v>1080290435</v>
      </c>
      <c r="D15318" t="s">
        <v>13021</v>
      </c>
      <c r="E15318">
        <v>-7583.29</v>
      </c>
      <c r="F15318">
        <v>-2.4900000000000002</v>
      </c>
      <c r="G15318" t="s">
        <v>12</v>
      </c>
      <c r="I15318" t="s">
        <v>1050</v>
      </c>
    </row>
    <row r="15319" spans="1:9" hidden="1" x14ac:dyDescent="0.25">
      <c r="A15319" t="s">
        <v>12957</v>
      </c>
      <c r="B15319" t="s">
        <v>153</v>
      </c>
      <c r="C15319" s="2">
        <f>HYPERLINK("https://cao.dolgi.msk.ru/account/1080290443/", 1080290443)</f>
        <v>1080290443</v>
      </c>
      <c r="D15319" t="s">
        <v>13022</v>
      </c>
      <c r="E15319">
        <v>-5043.5600000000004</v>
      </c>
      <c r="F15319">
        <v>-1.27</v>
      </c>
      <c r="G15319" t="s">
        <v>12</v>
      </c>
      <c r="I15319" t="s">
        <v>1050</v>
      </c>
    </row>
    <row r="15320" spans="1:9" hidden="1" x14ac:dyDescent="0.25">
      <c r="A15320" t="s">
        <v>12957</v>
      </c>
      <c r="B15320" t="s">
        <v>155</v>
      </c>
      <c r="C15320" s="2">
        <f>HYPERLINK("https://cao.dolgi.msk.ru/account/1080290451/", 1080290451)</f>
        <v>1080290451</v>
      </c>
      <c r="D15320" t="s">
        <v>13023</v>
      </c>
      <c r="E15320">
        <v>-8919.58</v>
      </c>
      <c r="F15320">
        <v>-1.4</v>
      </c>
      <c r="G15320" t="s">
        <v>12</v>
      </c>
      <c r="I15320" t="s">
        <v>1050</v>
      </c>
    </row>
    <row r="15321" spans="1:9" hidden="1" x14ac:dyDescent="0.25">
      <c r="A15321" t="s">
        <v>12957</v>
      </c>
      <c r="B15321" t="s">
        <v>157</v>
      </c>
      <c r="C15321" s="2">
        <f>HYPERLINK("https://cao.dolgi.msk.ru/account/1080290478/", 1080290478)</f>
        <v>1080290478</v>
      </c>
      <c r="D15321" t="s">
        <v>13024</v>
      </c>
      <c r="E15321">
        <v>-4600.53</v>
      </c>
      <c r="F15321">
        <v>-1.0900000000000001</v>
      </c>
      <c r="G15321" t="s">
        <v>12</v>
      </c>
      <c r="I15321" t="s">
        <v>1050</v>
      </c>
    </row>
    <row r="15322" spans="1:9" hidden="1" x14ac:dyDescent="0.25">
      <c r="A15322" t="s">
        <v>12957</v>
      </c>
      <c r="B15322" t="s">
        <v>159</v>
      </c>
      <c r="C15322" s="2">
        <f>HYPERLINK("https://cao.dolgi.msk.ru/account/1080290486/", 1080290486)</f>
        <v>1080290486</v>
      </c>
      <c r="D15322" t="s">
        <v>13025</v>
      </c>
      <c r="E15322">
        <v>-6253.55</v>
      </c>
      <c r="F15322">
        <v>-1.03</v>
      </c>
      <c r="G15322" t="s">
        <v>12</v>
      </c>
      <c r="I15322" t="s">
        <v>1050</v>
      </c>
    </row>
    <row r="15323" spans="1:9" hidden="1" x14ac:dyDescent="0.25">
      <c r="A15323" t="s">
        <v>12957</v>
      </c>
      <c r="B15323" t="s">
        <v>161</v>
      </c>
      <c r="C15323" s="2">
        <f>HYPERLINK("https://cao.dolgi.msk.ru/account/1080290494/", 1080290494)</f>
        <v>1080290494</v>
      </c>
      <c r="D15323" t="s">
        <v>13026</v>
      </c>
      <c r="E15323">
        <v>-3811.47</v>
      </c>
      <c r="F15323">
        <v>-1.05</v>
      </c>
      <c r="G15323" t="s">
        <v>12</v>
      </c>
      <c r="I15323" t="s">
        <v>1050</v>
      </c>
    </row>
    <row r="15324" spans="1:9" hidden="1" x14ac:dyDescent="0.25">
      <c r="A15324" t="s">
        <v>12957</v>
      </c>
      <c r="B15324" t="s">
        <v>163</v>
      </c>
      <c r="C15324" s="2">
        <f>HYPERLINK("https://cao.dolgi.msk.ru/account/1080290507/", 1080290507)</f>
        <v>1080290507</v>
      </c>
      <c r="D15324" t="s">
        <v>15</v>
      </c>
      <c r="E15324">
        <v>-1877.52</v>
      </c>
      <c r="F15324">
        <v>-0.4</v>
      </c>
      <c r="G15324" t="s">
        <v>12</v>
      </c>
      <c r="I15324" t="s">
        <v>1050</v>
      </c>
    </row>
    <row r="15325" spans="1:9" hidden="1" x14ac:dyDescent="0.25">
      <c r="A15325" t="s">
        <v>12957</v>
      </c>
      <c r="B15325" t="s">
        <v>571</v>
      </c>
      <c r="C15325" s="2">
        <f>HYPERLINK("https://cao.dolgi.msk.ru/account/1080290515/", 1080290515)</f>
        <v>1080290515</v>
      </c>
      <c r="D15325" t="s">
        <v>13027</v>
      </c>
      <c r="E15325">
        <v>-3980.34</v>
      </c>
      <c r="F15325">
        <v>-1.01</v>
      </c>
      <c r="G15325" t="s">
        <v>12</v>
      </c>
      <c r="I15325" t="s">
        <v>1050</v>
      </c>
    </row>
    <row r="15326" spans="1:9" hidden="1" x14ac:dyDescent="0.25">
      <c r="A15326" t="s">
        <v>12957</v>
      </c>
      <c r="B15326" t="s">
        <v>682</v>
      </c>
      <c r="C15326" s="2">
        <f>HYPERLINK("https://cao.dolgi.msk.ru/account/1080290523/", 1080290523)</f>
        <v>1080290523</v>
      </c>
      <c r="D15326" t="s">
        <v>13028</v>
      </c>
      <c r="E15326">
        <v>-5529.78</v>
      </c>
      <c r="F15326">
        <v>-0.72</v>
      </c>
      <c r="G15326" t="s">
        <v>12</v>
      </c>
      <c r="I15326" t="s">
        <v>1050</v>
      </c>
    </row>
    <row r="15327" spans="1:9" hidden="1" x14ac:dyDescent="0.25">
      <c r="A15327" t="s">
        <v>13029</v>
      </c>
      <c r="B15327" t="s">
        <v>18</v>
      </c>
      <c r="C15327" s="2">
        <f>HYPERLINK("https://cao.dolgi.msk.ru/account/1080127953/", 1080127953)</f>
        <v>1080127953</v>
      </c>
      <c r="D15327" t="s">
        <v>13030</v>
      </c>
      <c r="E15327">
        <v>-9990.6299999999992</v>
      </c>
      <c r="F15327">
        <v>-1.01</v>
      </c>
      <c r="G15327" t="s">
        <v>12</v>
      </c>
      <c r="I15327" t="s">
        <v>2409</v>
      </c>
    </row>
    <row r="15328" spans="1:9" hidden="1" x14ac:dyDescent="0.25">
      <c r="A15328" t="s">
        <v>13029</v>
      </c>
      <c r="B15328" t="s">
        <v>20</v>
      </c>
      <c r="C15328" s="2">
        <f>HYPERLINK("https://cao.dolgi.msk.ru/account/1080127961/", 1080127961)</f>
        <v>1080127961</v>
      </c>
      <c r="D15328" t="s">
        <v>13031</v>
      </c>
      <c r="E15328">
        <v>-2924.01</v>
      </c>
      <c r="F15328">
        <v>-0.99</v>
      </c>
      <c r="G15328" t="s">
        <v>12</v>
      </c>
      <c r="I15328" t="s">
        <v>2409</v>
      </c>
    </row>
    <row r="15329" spans="1:9" hidden="1" x14ac:dyDescent="0.25">
      <c r="A15329" t="s">
        <v>13029</v>
      </c>
      <c r="B15329" t="s">
        <v>21</v>
      </c>
      <c r="C15329" s="2">
        <f>HYPERLINK("https://cao.dolgi.msk.ru/account/1080127988/", 1080127988)</f>
        <v>1080127988</v>
      </c>
      <c r="D15329" t="s">
        <v>13032</v>
      </c>
      <c r="E15329">
        <v>-256</v>
      </c>
      <c r="F15329">
        <v>-0.03</v>
      </c>
      <c r="G15329" t="s">
        <v>12</v>
      </c>
      <c r="I15329" t="s">
        <v>2409</v>
      </c>
    </row>
    <row r="15330" spans="1:9" x14ac:dyDescent="0.25">
      <c r="A15330" t="s">
        <v>13029</v>
      </c>
      <c r="B15330" t="s">
        <v>22</v>
      </c>
      <c r="C15330" s="2">
        <f>HYPERLINK("https://cao.dolgi.msk.ru/account/1080127996/", 1080127996)</f>
        <v>1080127996</v>
      </c>
      <c r="D15330" t="s">
        <v>13033</v>
      </c>
      <c r="E15330">
        <v>108155.2</v>
      </c>
      <c r="F15330">
        <v>20.53</v>
      </c>
      <c r="G15330" t="s">
        <v>12</v>
      </c>
      <c r="I15330" t="s">
        <v>2409</v>
      </c>
    </row>
    <row r="15331" spans="1:9" hidden="1" x14ac:dyDescent="0.25">
      <c r="A15331" t="s">
        <v>13029</v>
      </c>
      <c r="B15331" t="s">
        <v>23</v>
      </c>
      <c r="C15331" s="2">
        <f>HYPERLINK("https://cao.dolgi.msk.ru/account/1080128008/", 1080128008)</f>
        <v>1080128008</v>
      </c>
      <c r="D15331" t="s">
        <v>13034</v>
      </c>
      <c r="E15331">
        <v>-214.35</v>
      </c>
      <c r="F15331">
        <v>-0.01</v>
      </c>
      <c r="G15331" t="s">
        <v>12</v>
      </c>
      <c r="I15331" t="s">
        <v>2409</v>
      </c>
    </row>
    <row r="15332" spans="1:9" hidden="1" x14ac:dyDescent="0.25">
      <c r="A15332" t="s">
        <v>13029</v>
      </c>
      <c r="B15332" t="s">
        <v>24</v>
      </c>
      <c r="C15332" s="2">
        <f>HYPERLINK("https://cao.dolgi.msk.ru/account/1080128016/", 1080128016)</f>
        <v>1080128016</v>
      </c>
      <c r="D15332" t="s">
        <v>13035</v>
      </c>
      <c r="E15332">
        <v>-4212.62</v>
      </c>
      <c r="F15332">
        <v>-0.77</v>
      </c>
      <c r="G15332" t="s">
        <v>12</v>
      </c>
      <c r="I15332" t="s">
        <v>2409</v>
      </c>
    </row>
    <row r="15333" spans="1:9" hidden="1" x14ac:dyDescent="0.25">
      <c r="A15333" t="s">
        <v>13029</v>
      </c>
      <c r="B15333" t="s">
        <v>27</v>
      </c>
      <c r="C15333" s="2">
        <f>HYPERLINK("https://cao.dolgi.msk.ru/account/1080128024/", 1080128024)</f>
        <v>1080128024</v>
      </c>
      <c r="D15333" t="s">
        <v>13036</v>
      </c>
      <c r="E15333">
        <v>-8059.85</v>
      </c>
      <c r="F15333">
        <v>-1.01</v>
      </c>
      <c r="G15333" t="s">
        <v>12</v>
      </c>
      <c r="I15333" t="s">
        <v>2409</v>
      </c>
    </row>
    <row r="15334" spans="1:9" hidden="1" x14ac:dyDescent="0.25">
      <c r="A15334" t="s">
        <v>13029</v>
      </c>
      <c r="B15334" t="s">
        <v>29</v>
      </c>
      <c r="C15334" s="2">
        <f>HYPERLINK("https://cao.dolgi.msk.ru/account/1080128032/", 1080128032)</f>
        <v>1080128032</v>
      </c>
      <c r="D15334" t="s">
        <v>13037</v>
      </c>
      <c r="E15334">
        <v>-7606.07</v>
      </c>
      <c r="F15334">
        <v>-1.38</v>
      </c>
      <c r="G15334" t="s">
        <v>12</v>
      </c>
      <c r="I15334" t="s">
        <v>2409</v>
      </c>
    </row>
    <row r="15335" spans="1:9" hidden="1" x14ac:dyDescent="0.25">
      <c r="A15335" t="s">
        <v>13029</v>
      </c>
      <c r="B15335" t="s">
        <v>31</v>
      </c>
      <c r="C15335" s="2">
        <f>HYPERLINK("https://cao.dolgi.msk.ru/account/1080128067/", 1080128067)</f>
        <v>1080128067</v>
      </c>
      <c r="D15335" t="s">
        <v>13038</v>
      </c>
      <c r="E15335">
        <v>-3469.31</v>
      </c>
      <c r="F15335">
        <v>-0.87</v>
      </c>
      <c r="G15335" t="s">
        <v>12</v>
      </c>
      <c r="H15335" t="s">
        <v>7</v>
      </c>
      <c r="I15335" t="s">
        <v>2409</v>
      </c>
    </row>
    <row r="15336" spans="1:9" hidden="1" x14ac:dyDescent="0.25">
      <c r="A15336" t="s">
        <v>13029</v>
      </c>
      <c r="B15336" t="s">
        <v>31</v>
      </c>
      <c r="C15336" s="2">
        <f>HYPERLINK("https://cao.dolgi.msk.ru/account/1080128075/", 1080128075)</f>
        <v>1080128075</v>
      </c>
      <c r="D15336" t="s">
        <v>13038</v>
      </c>
      <c r="E15336">
        <v>-5418.41</v>
      </c>
      <c r="F15336">
        <v>-0.91</v>
      </c>
      <c r="G15336" t="s">
        <v>12</v>
      </c>
      <c r="H15336" t="s">
        <v>7</v>
      </c>
      <c r="I15336" t="s">
        <v>2409</v>
      </c>
    </row>
    <row r="15337" spans="1:9" hidden="1" x14ac:dyDescent="0.25">
      <c r="A15337" t="s">
        <v>13029</v>
      </c>
      <c r="B15337" t="s">
        <v>33</v>
      </c>
      <c r="C15337" s="2">
        <f>HYPERLINK("https://cao.dolgi.msk.ru/account/1080128083/", 1080128083)</f>
        <v>1080128083</v>
      </c>
      <c r="D15337" t="s">
        <v>13039</v>
      </c>
      <c r="E15337">
        <v>-6923.46</v>
      </c>
      <c r="F15337">
        <v>-1.1399999999999999</v>
      </c>
      <c r="G15337" t="s">
        <v>12</v>
      </c>
      <c r="I15337" t="s">
        <v>2409</v>
      </c>
    </row>
    <row r="15338" spans="1:9" hidden="1" x14ac:dyDescent="0.25">
      <c r="A15338" t="s">
        <v>13029</v>
      </c>
      <c r="B15338" t="s">
        <v>34</v>
      </c>
      <c r="C15338" s="2">
        <f>HYPERLINK("https://cao.dolgi.msk.ru/account/1080128091/", 1080128091)</f>
        <v>1080128091</v>
      </c>
      <c r="D15338" t="s">
        <v>13040</v>
      </c>
      <c r="E15338">
        <v>-6043.72</v>
      </c>
      <c r="F15338">
        <v>-1.1100000000000001</v>
      </c>
      <c r="G15338" t="s">
        <v>12</v>
      </c>
      <c r="I15338" t="s">
        <v>2409</v>
      </c>
    </row>
    <row r="15339" spans="1:9" hidden="1" x14ac:dyDescent="0.25">
      <c r="A15339" t="s">
        <v>13029</v>
      </c>
      <c r="B15339" t="s">
        <v>36</v>
      </c>
      <c r="C15339" s="2">
        <f>HYPERLINK("https://cao.dolgi.msk.ru/account/1080128104/", 1080128104)</f>
        <v>1080128104</v>
      </c>
      <c r="D15339" t="s">
        <v>13041</v>
      </c>
      <c r="E15339">
        <v>-11072.47</v>
      </c>
      <c r="F15339">
        <v>-0.96</v>
      </c>
      <c r="G15339" t="s">
        <v>12</v>
      </c>
      <c r="I15339" t="s">
        <v>2409</v>
      </c>
    </row>
    <row r="15340" spans="1:9" hidden="1" x14ac:dyDescent="0.25">
      <c r="A15340" t="s">
        <v>13029</v>
      </c>
      <c r="B15340" t="s">
        <v>38</v>
      </c>
      <c r="C15340" s="2">
        <f>HYPERLINK("https://cao.dolgi.msk.ru/account/1080128112/", 1080128112)</f>
        <v>1080128112</v>
      </c>
      <c r="D15340" t="s">
        <v>13042</v>
      </c>
      <c r="E15340">
        <v>2.12</v>
      </c>
      <c r="F15340">
        <v>0</v>
      </c>
      <c r="G15340" t="s">
        <v>12</v>
      </c>
      <c r="I15340" t="s">
        <v>2409</v>
      </c>
    </row>
    <row r="15341" spans="1:9" hidden="1" x14ac:dyDescent="0.25">
      <c r="A15341" t="s">
        <v>13029</v>
      </c>
      <c r="B15341" t="s">
        <v>39</v>
      </c>
      <c r="C15341" s="2">
        <f>HYPERLINK("https://cao.dolgi.msk.ru/account/1080128139/", 1080128139)</f>
        <v>1080128139</v>
      </c>
      <c r="D15341" t="s">
        <v>13043</v>
      </c>
      <c r="E15341">
        <v>-7341.13</v>
      </c>
      <c r="F15341">
        <v>-1.01</v>
      </c>
      <c r="G15341" t="s">
        <v>12</v>
      </c>
      <c r="I15341" t="s">
        <v>2409</v>
      </c>
    </row>
    <row r="15342" spans="1:9" hidden="1" x14ac:dyDescent="0.25">
      <c r="A15342" t="s">
        <v>13029</v>
      </c>
      <c r="B15342" t="s">
        <v>40</v>
      </c>
      <c r="C15342" s="2">
        <f>HYPERLINK("https://cao.dolgi.msk.ru/account/1080128147/", 1080128147)</f>
        <v>1080128147</v>
      </c>
      <c r="D15342" t="s">
        <v>13044</v>
      </c>
      <c r="E15342">
        <v>-6026.35</v>
      </c>
      <c r="F15342">
        <v>-0.94</v>
      </c>
      <c r="G15342" t="s">
        <v>12</v>
      </c>
      <c r="I15342" t="s">
        <v>2409</v>
      </c>
    </row>
    <row r="15343" spans="1:9" hidden="1" x14ac:dyDescent="0.25">
      <c r="A15343" t="s">
        <v>13029</v>
      </c>
      <c r="B15343" t="s">
        <v>41</v>
      </c>
      <c r="C15343" s="2">
        <f>HYPERLINK("https://cao.dolgi.msk.ru/account/1080128155/", 1080128155)</f>
        <v>1080128155</v>
      </c>
      <c r="D15343" t="s">
        <v>13045</v>
      </c>
      <c r="E15343">
        <v>-6311.08</v>
      </c>
      <c r="F15343">
        <v>-1.08</v>
      </c>
      <c r="G15343" t="s">
        <v>12</v>
      </c>
      <c r="I15343" t="s">
        <v>2409</v>
      </c>
    </row>
    <row r="15344" spans="1:9" hidden="1" x14ac:dyDescent="0.25">
      <c r="A15344" t="s">
        <v>13029</v>
      </c>
      <c r="B15344" t="s">
        <v>42</v>
      </c>
      <c r="C15344" s="2">
        <f>HYPERLINK("https://cao.dolgi.msk.ru/account/1080128163/", 1080128163)</f>
        <v>1080128163</v>
      </c>
      <c r="D15344" t="s">
        <v>13046</v>
      </c>
      <c r="E15344">
        <v>-10784.33</v>
      </c>
      <c r="F15344">
        <v>-1.03</v>
      </c>
      <c r="G15344" t="s">
        <v>12</v>
      </c>
      <c r="I15344" t="s">
        <v>2409</v>
      </c>
    </row>
    <row r="15345" spans="1:9" hidden="1" x14ac:dyDescent="0.25">
      <c r="A15345" t="s">
        <v>13029</v>
      </c>
      <c r="B15345" t="s">
        <v>44</v>
      </c>
      <c r="C15345" s="2">
        <f>HYPERLINK("https://cao.dolgi.msk.ru/account/1080128171/", 1080128171)</f>
        <v>1080128171</v>
      </c>
      <c r="D15345" t="s">
        <v>13047</v>
      </c>
      <c r="E15345">
        <v>0</v>
      </c>
      <c r="F15345">
        <v>0</v>
      </c>
      <c r="G15345" t="s">
        <v>12</v>
      </c>
      <c r="I15345" t="s">
        <v>2409</v>
      </c>
    </row>
    <row r="15346" spans="1:9" hidden="1" x14ac:dyDescent="0.25">
      <c r="A15346" t="s">
        <v>13029</v>
      </c>
      <c r="B15346" t="s">
        <v>66</v>
      </c>
      <c r="C15346" s="2">
        <f>HYPERLINK("https://cao.dolgi.msk.ru/account/1080128198/", 1080128198)</f>
        <v>1080128198</v>
      </c>
      <c r="D15346" t="s">
        <v>13048</v>
      </c>
      <c r="E15346">
        <v>-9303.73</v>
      </c>
      <c r="F15346">
        <v>-1.01</v>
      </c>
      <c r="G15346" t="s">
        <v>12</v>
      </c>
      <c r="I15346" t="s">
        <v>2409</v>
      </c>
    </row>
    <row r="15347" spans="1:9" hidden="1" x14ac:dyDescent="0.25">
      <c r="A15347" t="s">
        <v>13029</v>
      </c>
      <c r="B15347" t="s">
        <v>68</v>
      </c>
      <c r="C15347" s="2">
        <f>HYPERLINK("https://cao.dolgi.msk.ru/account/1080128219/", 1080128219)</f>
        <v>1080128219</v>
      </c>
      <c r="D15347" t="s">
        <v>13049</v>
      </c>
      <c r="E15347">
        <v>-10624.97</v>
      </c>
      <c r="F15347">
        <v>-1.05</v>
      </c>
      <c r="G15347" t="s">
        <v>12</v>
      </c>
      <c r="I15347" t="s">
        <v>2409</v>
      </c>
    </row>
    <row r="15348" spans="1:9" hidden="1" x14ac:dyDescent="0.25">
      <c r="A15348" t="s">
        <v>13029</v>
      </c>
      <c r="B15348" t="s">
        <v>70</v>
      </c>
      <c r="C15348" s="2">
        <f>HYPERLINK("https://cao.dolgi.msk.ru/account/1080128243/", 1080128243)</f>
        <v>1080128243</v>
      </c>
      <c r="D15348" t="s">
        <v>13050</v>
      </c>
      <c r="E15348">
        <v>-7764.48</v>
      </c>
      <c r="F15348">
        <v>-1.02</v>
      </c>
      <c r="G15348" t="s">
        <v>12</v>
      </c>
      <c r="I15348" t="s">
        <v>2409</v>
      </c>
    </row>
    <row r="15349" spans="1:9" hidden="1" x14ac:dyDescent="0.25">
      <c r="A15349" t="s">
        <v>13029</v>
      </c>
      <c r="B15349" t="s">
        <v>72</v>
      </c>
      <c r="C15349" s="2">
        <f>HYPERLINK("https://cao.dolgi.msk.ru/account/1080128278/", 1080128278)</f>
        <v>1080128278</v>
      </c>
      <c r="D15349" t="s">
        <v>13051</v>
      </c>
      <c r="E15349">
        <v>-4933.1499999999996</v>
      </c>
      <c r="F15349">
        <v>-0.99</v>
      </c>
      <c r="G15349" t="s">
        <v>12</v>
      </c>
      <c r="I15349" t="s">
        <v>2409</v>
      </c>
    </row>
    <row r="15350" spans="1:9" hidden="1" x14ac:dyDescent="0.25">
      <c r="A15350" t="s">
        <v>13029</v>
      </c>
      <c r="B15350" t="s">
        <v>74</v>
      </c>
      <c r="C15350" s="2">
        <f>HYPERLINK("https://cao.dolgi.msk.ru/account/1080128307/", 1080128307)</f>
        <v>1080128307</v>
      </c>
      <c r="D15350" t="s">
        <v>13052</v>
      </c>
      <c r="E15350">
        <v>-5137.42</v>
      </c>
      <c r="F15350">
        <v>-1.02</v>
      </c>
      <c r="G15350" t="s">
        <v>12</v>
      </c>
      <c r="I15350" t="s">
        <v>2409</v>
      </c>
    </row>
    <row r="15351" spans="1:9" hidden="1" x14ac:dyDescent="0.25">
      <c r="A15351" t="s">
        <v>13029</v>
      </c>
      <c r="B15351" t="s">
        <v>76</v>
      </c>
      <c r="C15351" s="2">
        <f>HYPERLINK("https://cao.dolgi.msk.ru/account/1080128315/", 1080128315)</f>
        <v>1080128315</v>
      </c>
      <c r="D15351" t="s">
        <v>1414</v>
      </c>
      <c r="E15351">
        <v>-1016.11</v>
      </c>
      <c r="F15351">
        <v>-0.14000000000000001</v>
      </c>
      <c r="G15351" t="s">
        <v>12</v>
      </c>
      <c r="I15351" t="s">
        <v>2409</v>
      </c>
    </row>
    <row r="15352" spans="1:9" x14ac:dyDescent="0.25">
      <c r="A15352" t="s">
        <v>13053</v>
      </c>
      <c r="B15352" t="s">
        <v>16</v>
      </c>
      <c r="C15352" s="2">
        <f>HYPERLINK("https://cao.dolgi.msk.ru/account/1080128366/", 1080128366)</f>
        <v>1080128366</v>
      </c>
      <c r="D15352" t="s">
        <v>13054</v>
      </c>
      <c r="E15352">
        <v>94414.55</v>
      </c>
      <c r="F15352">
        <v>13.59</v>
      </c>
      <c r="G15352" t="s">
        <v>12</v>
      </c>
      <c r="I15352" t="s">
        <v>2409</v>
      </c>
    </row>
    <row r="15353" spans="1:9" hidden="1" x14ac:dyDescent="0.25">
      <c r="A15353" t="s">
        <v>13053</v>
      </c>
      <c r="B15353" t="s">
        <v>18</v>
      </c>
      <c r="C15353" s="2">
        <f>HYPERLINK("https://cao.dolgi.msk.ru/account/1080128374/", 1080128374)</f>
        <v>1080128374</v>
      </c>
      <c r="D15353" t="s">
        <v>13055</v>
      </c>
      <c r="E15353">
        <v>-6458.85</v>
      </c>
      <c r="F15353">
        <v>-0.82</v>
      </c>
      <c r="G15353" t="s">
        <v>12</v>
      </c>
      <c r="I15353" t="s">
        <v>2409</v>
      </c>
    </row>
    <row r="15354" spans="1:9" hidden="1" x14ac:dyDescent="0.25">
      <c r="A15354" t="s">
        <v>13053</v>
      </c>
      <c r="B15354" t="s">
        <v>20</v>
      </c>
      <c r="C15354" s="2">
        <f>HYPERLINK("https://cao.dolgi.msk.ru/account/1080128382/", 1080128382)</f>
        <v>1080128382</v>
      </c>
      <c r="D15354" t="s">
        <v>13056</v>
      </c>
      <c r="E15354">
        <v>3099.47</v>
      </c>
      <c r="F15354">
        <v>0.28000000000000003</v>
      </c>
      <c r="G15354" t="s">
        <v>12</v>
      </c>
      <c r="I15354" t="s">
        <v>2409</v>
      </c>
    </row>
    <row r="15355" spans="1:9" hidden="1" x14ac:dyDescent="0.25">
      <c r="A15355" t="s">
        <v>13053</v>
      </c>
      <c r="B15355" t="s">
        <v>21</v>
      </c>
      <c r="C15355" s="2">
        <f>HYPERLINK("https://cao.dolgi.msk.ru/account/1080128411/", 1080128411)</f>
        <v>1080128411</v>
      </c>
      <c r="D15355" t="s">
        <v>15</v>
      </c>
      <c r="E15355">
        <v>-907.89</v>
      </c>
      <c r="F15355">
        <v>-0.14000000000000001</v>
      </c>
      <c r="G15355" t="s">
        <v>12</v>
      </c>
      <c r="I15355" t="s">
        <v>2409</v>
      </c>
    </row>
    <row r="15356" spans="1:9" hidden="1" x14ac:dyDescent="0.25">
      <c r="A15356" t="s">
        <v>13053</v>
      </c>
      <c r="B15356" t="s">
        <v>22</v>
      </c>
      <c r="C15356" s="2">
        <f>HYPERLINK("https://cao.dolgi.msk.ru/account/1080128438/", 1080128438)</f>
        <v>1080128438</v>
      </c>
      <c r="D15356" t="s">
        <v>13057</v>
      </c>
      <c r="E15356">
        <v>-11425.66</v>
      </c>
      <c r="F15356">
        <v>-0.9</v>
      </c>
      <c r="G15356" t="s">
        <v>12</v>
      </c>
      <c r="I15356" t="s">
        <v>2409</v>
      </c>
    </row>
    <row r="15357" spans="1:9" hidden="1" x14ac:dyDescent="0.25">
      <c r="A15357" t="s">
        <v>13053</v>
      </c>
      <c r="B15357" t="s">
        <v>23</v>
      </c>
      <c r="C15357" s="2">
        <f>HYPERLINK("https://cao.dolgi.msk.ru/account/1080128446/", 1080128446)</f>
        <v>1080128446</v>
      </c>
      <c r="D15357" t="s">
        <v>13058</v>
      </c>
      <c r="E15357">
        <v>-11470.08</v>
      </c>
      <c r="F15357">
        <v>-1.1100000000000001</v>
      </c>
      <c r="G15357" t="s">
        <v>12</v>
      </c>
      <c r="I15357" t="s">
        <v>2409</v>
      </c>
    </row>
    <row r="15358" spans="1:9" hidden="1" x14ac:dyDescent="0.25">
      <c r="A15358" t="s">
        <v>13053</v>
      </c>
      <c r="B15358" t="s">
        <v>24</v>
      </c>
      <c r="C15358" s="2">
        <f>HYPERLINK("https://cao.dolgi.msk.ru/account/1080128454/", 1080128454)</f>
        <v>1080128454</v>
      </c>
      <c r="D15358" t="s">
        <v>62</v>
      </c>
      <c r="E15358">
        <v>-936.72</v>
      </c>
      <c r="F15358">
        <v>-0.08</v>
      </c>
      <c r="G15358" t="s">
        <v>12</v>
      </c>
      <c r="I15358" t="s">
        <v>2409</v>
      </c>
    </row>
    <row r="15359" spans="1:9" hidden="1" x14ac:dyDescent="0.25">
      <c r="A15359" t="s">
        <v>13053</v>
      </c>
      <c r="B15359" t="s">
        <v>27</v>
      </c>
      <c r="C15359" s="2">
        <f>HYPERLINK("https://cao.dolgi.msk.ru/account/1080128497/", 1080128497)</f>
        <v>1080128497</v>
      </c>
      <c r="D15359" t="s">
        <v>13059</v>
      </c>
      <c r="E15359">
        <v>-58.2</v>
      </c>
      <c r="F15359">
        <v>-0.01</v>
      </c>
      <c r="G15359" t="s">
        <v>12</v>
      </c>
      <c r="I15359" t="s">
        <v>2409</v>
      </c>
    </row>
    <row r="15360" spans="1:9" hidden="1" x14ac:dyDescent="0.25">
      <c r="A15360" t="s">
        <v>13053</v>
      </c>
      <c r="B15360" t="s">
        <v>29</v>
      </c>
      <c r="C15360" s="2">
        <f>HYPERLINK("https://cao.dolgi.msk.ru/account/1080128518/", 1080128518)</f>
        <v>1080128518</v>
      </c>
      <c r="D15360" t="s">
        <v>13060</v>
      </c>
      <c r="E15360">
        <v>-9611.98</v>
      </c>
      <c r="F15360">
        <v>-1.03</v>
      </c>
      <c r="G15360" t="s">
        <v>12</v>
      </c>
      <c r="I15360" t="s">
        <v>2409</v>
      </c>
    </row>
    <row r="15361" spans="1:9" hidden="1" x14ac:dyDescent="0.25">
      <c r="A15361" t="s">
        <v>13053</v>
      </c>
      <c r="B15361" t="s">
        <v>31</v>
      </c>
      <c r="C15361" s="2">
        <f>HYPERLINK("https://cao.dolgi.msk.ru/account/1080128526/", 1080128526)</f>
        <v>1080128526</v>
      </c>
      <c r="D15361" t="s">
        <v>13061</v>
      </c>
      <c r="E15361">
        <v>-11590.08</v>
      </c>
      <c r="F15361">
        <v>-1.01</v>
      </c>
      <c r="G15361" t="s">
        <v>12</v>
      </c>
      <c r="I15361" t="s">
        <v>2409</v>
      </c>
    </row>
    <row r="15362" spans="1:9" hidden="1" x14ac:dyDescent="0.25">
      <c r="A15362" t="s">
        <v>13053</v>
      </c>
      <c r="B15362" t="s">
        <v>33</v>
      </c>
      <c r="C15362" s="2">
        <f>HYPERLINK("https://cao.dolgi.msk.ru/account/1080128569/", 1080128569)</f>
        <v>1080128569</v>
      </c>
      <c r="D15362" t="s">
        <v>13062</v>
      </c>
      <c r="E15362">
        <v>-8588.49</v>
      </c>
      <c r="F15362">
        <v>-1.03</v>
      </c>
      <c r="G15362" t="s">
        <v>12</v>
      </c>
      <c r="I15362" t="s">
        <v>2409</v>
      </c>
    </row>
    <row r="15363" spans="1:9" hidden="1" x14ac:dyDescent="0.25">
      <c r="A15363" t="s">
        <v>13053</v>
      </c>
      <c r="B15363" t="s">
        <v>34</v>
      </c>
      <c r="C15363" s="2">
        <f>HYPERLINK("https://cao.dolgi.msk.ru/account/1080128577/", 1080128577)</f>
        <v>1080128577</v>
      </c>
      <c r="D15363" t="s">
        <v>13063</v>
      </c>
      <c r="E15363">
        <v>-8018.74</v>
      </c>
      <c r="F15363">
        <v>-0.98</v>
      </c>
      <c r="G15363" t="s">
        <v>12</v>
      </c>
      <c r="I15363" t="s">
        <v>2409</v>
      </c>
    </row>
    <row r="15364" spans="1:9" hidden="1" x14ac:dyDescent="0.25">
      <c r="A15364" t="s">
        <v>13053</v>
      </c>
      <c r="B15364" t="s">
        <v>36</v>
      </c>
      <c r="C15364" s="2">
        <f>HYPERLINK("https://cao.dolgi.msk.ru/account/1080128614/", 1080128614)</f>
        <v>1080128614</v>
      </c>
      <c r="D15364" t="s">
        <v>13064</v>
      </c>
      <c r="E15364">
        <v>53.26</v>
      </c>
      <c r="F15364">
        <v>0</v>
      </c>
      <c r="G15364" t="s">
        <v>12</v>
      </c>
      <c r="I15364" t="s">
        <v>2409</v>
      </c>
    </row>
    <row r="15365" spans="1:9" hidden="1" x14ac:dyDescent="0.25">
      <c r="A15365" t="s">
        <v>13053</v>
      </c>
      <c r="B15365" t="s">
        <v>38</v>
      </c>
      <c r="C15365" s="2">
        <f>HYPERLINK("https://cao.dolgi.msk.ru/account/1080128657/", 1080128657)</f>
        <v>1080128657</v>
      </c>
      <c r="D15365" t="s">
        <v>13065</v>
      </c>
      <c r="E15365">
        <v>-3450.51</v>
      </c>
      <c r="F15365">
        <v>-0.27</v>
      </c>
      <c r="G15365" t="s">
        <v>12</v>
      </c>
      <c r="I15365" t="s">
        <v>2409</v>
      </c>
    </row>
    <row r="15366" spans="1:9" x14ac:dyDescent="0.25">
      <c r="A15366" t="s">
        <v>13053</v>
      </c>
      <c r="B15366" t="s">
        <v>39</v>
      </c>
      <c r="C15366" s="2">
        <f>HYPERLINK("https://cao.dolgi.msk.ru/account/1080128665/", 1080128665)</f>
        <v>1080128665</v>
      </c>
      <c r="D15366" t="s">
        <v>62</v>
      </c>
      <c r="E15366">
        <v>6669.07</v>
      </c>
      <c r="F15366">
        <v>2.99</v>
      </c>
      <c r="G15366" t="s">
        <v>12</v>
      </c>
      <c r="H15366" t="s">
        <v>7</v>
      </c>
      <c r="I15366" t="s">
        <v>2409</v>
      </c>
    </row>
    <row r="15367" spans="1:9" hidden="1" x14ac:dyDescent="0.25">
      <c r="A15367" t="s">
        <v>13053</v>
      </c>
      <c r="B15367" t="s">
        <v>39</v>
      </c>
      <c r="C15367" s="2">
        <f>HYPERLINK("https://cao.dolgi.msk.ru/account/1080128673/", 1080128673)</f>
        <v>1080128673</v>
      </c>
      <c r="D15367" t="s">
        <v>13066</v>
      </c>
      <c r="E15367">
        <v>0</v>
      </c>
      <c r="G15367" t="s">
        <v>14</v>
      </c>
      <c r="H15367" t="s">
        <v>7</v>
      </c>
      <c r="I15367" t="s">
        <v>2409</v>
      </c>
    </row>
    <row r="15368" spans="1:9" x14ac:dyDescent="0.25">
      <c r="A15368" t="s">
        <v>13053</v>
      </c>
      <c r="B15368" t="s">
        <v>39</v>
      </c>
      <c r="C15368" s="2">
        <f>HYPERLINK("https://cao.dolgi.msk.ru/account/1080128681/", 1080128681)</f>
        <v>1080128681</v>
      </c>
      <c r="D15368" t="s">
        <v>15</v>
      </c>
      <c r="E15368">
        <v>4115.05</v>
      </c>
      <c r="F15368">
        <v>2.11</v>
      </c>
      <c r="G15368" t="s">
        <v>12</v>
      </c>
      <c r="H15368" t="s">
        <v>7</v>
      </c>
      <c r="I15368" t="s">
        <v>2409</v>
      </c>
    </row>
    <row r="15369" spans="1:9" hidden="1" x14ac:dyDescent="0.25">
      <c r="A15369" t="s">
        <v>13053</v>
      </c>
      <c r="B15369" t="s">
        <v>39</v>
      </c>
      <c r="C15369" s="2">
        <f>HYPERLINK("https://cao.dolgi.msk.ru/account/1083271037/", 1083271037)</f>
        <v>1083271037</v>
      </c>
      <c r="D15369" t="s">
        <v>15</v>
      </c>
      <c r="E15369">
        <v>-1035.67</v>
      </c>
      <c r="F15369">
        <v>-1.1000000000000001</v>
      </c>
      <c r="G15369" t="s">
        <v>12</v>
      </c>
      <c r="H15369" t="s">
        <v>7</v>
      </c>
      <c r="I15369" t="s">
        <v>2409</v>
      </c>
    </row>
    <row r="15370" spans="1:9" hidden="1" x14ac:dyDescent="0.25">
      <c r="A15370" t="s">
        <v>13053</v>
      </c>
      <c r="B15370" t="s">
        <v>39</v>
      </c>
      <c r="C15370" s="2">
        <f>HYPERLINK("https://cao.dolgi.msk.ru/account/1083271045/", 1083271045)</f>
        <v>1083271045</v>
      </c>
      <c r="D15370" t="s">
        <v>15</v>
      </c>
      <c r="E15370">
        <v>-2956.14</v>
      </c>
      <c r="F15370">
        <v>-1.1200000000000001</v>
      </c>
      <c r="G15370" t="s">
        <v>12</v>
      </c>
      <c r="H15370" t="s">
        <v>7</v>
      </c>
      <c r="I15370" t="s">
        <v>2409</v>
      </c>
    </row>
    <row r="15371" spans="1:9" hidden="1" x14ac:dyDescent="0.25">
      <c r="A15371" t="s">
        <v>13053</v>
      </c>
      <c r="B15371" t="s">
        <v>39</v>
      </c>
      <c r="C15371" s="2">
        <f>HYPERLINK("https://cao.dolgi.msk.ru/account/1083271053/", 1083271053)</f>
        <v>1083271053</v>
      </c>
      <c r="D15371" t="s">
        <v>15</v>
      </c>
      <c r="E15371">
        <v>8376.84</v>
      </c>
      <c r="G15371" t="s">
        <v>14</v>
      </c>
      <c r="H15371" t="s">
        <v>7</v>
      </c>
      <c r="I15371" t="s">
        <v>2409</v>
      </c>
    </row>
    <row r="15372" spans="1:9" hidden="1" x14ac:dyDescent="0.25">
      <c r="A15372" t="s">
        <v>13053</v>
      </c>
      <c r="B15372" t="s">
        <v>40</v>
      </c>
      <c r="C15372" s="2">
        <f>HYPERLINK("https://cao.dolgi.msk.ru/account/1080128702/", 1080128702)</f>
        <v>1080128702</v>
      </c>
      <c r="D15372" t="s">
        <v>13067</v>
      </c>
      <c r="E15372">
        <v>0</v>
      </c>
      <c r="F15372">
        <v>0</v>
      </c>
      <c r="G15372" t="s">
        <v>12</v>
      </c>
      <c r="I15372" t="s">
        <v>2409</v>
      </c>
    </row>
    <row r="15373" spans="1:9" hidden="1" x14ac:dyDescent="0.25">
      <c r="A15373" t="s">
        <v>13053</v>
      </c>
      <c r="B15373" t="s">
        <v>41</v>
      </c>
      <c r="C15373" s="2">
        <f>HYPERLINK("https://cao.dolgi.msk.ru/account/1080128729/", 1080128729)</f>
        <v>1080128729</v>
      </c>
      <c r="D15373" t="s">
        <v>13068</v>
      </c>
      <c r="E15373">
        <v>-14917.96</v>
      </c>
      <c r="F15373">
        <v>-1.25</v>
      </c>
      <c r="G15373" t="s">
        <v>12</v>
      </c>
      <c r="I15373" t="s">
        <v>2409</v>
      </c>
    </row>
    <row r="15374" spans="1:9" hidden="1" x14ac:dyDescent="0.25">
      <c r="A15374" t="s">
        <v>13053</v>
      </c>
      <c r="B15374" t="s">
        <v>42</v>
      </c>
      <c r="C15374" s="2">
        <f>HYPERLINK("https://cao.dolgi.msk.ru/account/1080128745/", 1080128745)</f>
        <v>1080128745</v>
      </c>
      <c r="D15374" t="s">
        <v>13069</v>
      </c>
      <c r="E15374">
        <v>-14949.91</v>
      </c>
      <c r="F15374">
        <v>-1.47</v>
      </c>
      <c r="G15374" t="s">
        <v>12</v>
      </c>
      <c r="I15374" t="s">
        <v>2409</v>
      </c>
    </row>
    <row r="15375" spans="1:9" hidden="1" x14ac:dyDescent="0.25">
      <c r="A15375" t="s">
        <v>13053</v>
      </c>
      <c r="B15375" t="s">
        <v>44</v>
      </c>
      <c r="C15375" s="2">
        <f>HYPERLINK("https://cao.dolgi.msk.ru/account/1080128796/", 1080128796)</f>
        <v>1080128796</v>
      </c>
      <c r="D15375" t="s">
        <v>15</v>
      </c>
      <c r="G15375" t="s">
        <v>14</v>
      </c>
      <c r="H15375" t="s">
        <v>7</v>
      </c>
      <c r="I15375" t="s">
        <v>2409</v>
      </c>
    </row>
    <row r="15376" spans="1:9" hidden="1" x14ac:dyDescent="0.25">
      <c r="A15376" t="s">
        <v>13053</v>
      </c>
      <c r="B15376" t="s">
        <v>66</v>
      </c>
      <c r="C15376" s="2">
        <f>HYPERLINK("https://cao.dolgi.msk.ru/account/1080128817/", 1080128817)</f>
        <v>1080128817</v>
      </c>
      <c r="D15376" t="s">
        <v>15</v>
      </c>
      <c r="G15376" t="s">
        <v>14</v>
      </c>
      <c r="I15376" t="s">
        <v>2409</v>
      </c>
    </row>
    <row r="15377" spans="1:9" hidden="1" x14ac:dyDescent="0.25">
      <c r="A15377" t="s">
        <v>13053</v>
      </c>
      <c r="B15377" t="s">
        <v>68</v>
      </c>
      <c r="C15377" s="2">
        <f>HYPERLINK("https://cao.dolgi.msk.ru/account/1080128825/", 1080128825)</f>
        <v>1080128825</v>
      </c>
      <c r="D15377" t="s">
        <v>13070</v>
      </c>
      <c r="E15377">
        <v>-722.83</v>
      </c>
      <c r="F15377">
        <v>-0.18</v>
      </c>
      <c r="G15377" t="s">
        <v>12</v>
      </c>
      <c r="H15377" t="s">
        <v>7</v>
      </c>
      <c r="I15377" t="s">
        <v>2409</v>
      </c>
    </row>
    <row r="15378" spans="1:9" hidden="1" x14ac:dyDescent="0.25">
      <c r="A15378" t="s">
        <v>13053</v>
      </c>
      <c r="B15378" t="s">
        <v>68</v>
      </c>
      <c r="C15378" s="2">
        <f>HYPERLINK("https://cao.dolgi.msk.ru/account/1080128833/", 1080128833)</f>
        <v>1080128833</v>
      </c>
      <c r="D15378" t="s">
        <v>13071</v>
      </c>
      <c r="E15378">
        <v>-2252.12</v>
      </c>
      <c r="F15378">
        <v>-1.1200000000000001</v>
      </c>
      <c r="G15378" t="s">
        <v>12</v>
      </c>
      <c r="H15378" t="s">
        <v>7</v>
      </c>
      <c r="I15378" t="s">
        <v>2409</v>
      </c>
    </row>
    <row r="15379" spans="1:9" hidden="1" x14ac:dyDescent="0.25">
      <c r="A15379" t="s">
        <v>13053</v>
      </c>
      <c r="B15379" t="s">
        <v>68</v>
      </c>
      <c r="C15379" s="2">
        <f>HYPERLINK("https://cao.dolgi.msk.ru/account/1080128841/", 1080128841)</f>
        <v>1080128841</v>
      </c>
      <c r="D15379" t="s">
        <v>13071</v>
      </c>
      <c r="E15379">
        <v>-2594.69</v>
      </c>
      <c r="F15379">
        <v>-2.12</v>
      </c>
      <c r="G15379" t="s">
        <v>12</v>
      </c>
      <c r="H15379" t="s">
        <v>7</v>
      </c>
      <c r="I15379" t="s">
        <v>2409</v>
      </c>
    </row>
    <row r="15380" spans="1:9" hidden="1" x14ac:dyDescent="0.25">
      <c r="A15380" t="s">
        <v>13053</v>
      </c>
      <c r="B15380" t="s">
        <v>68</v>
      </c>
      <c r="C15380" s="2">
        <f>HYPERLINK("https://cao.dolgi.msk.ru/account/1083284057/", 1083284057)</f>
        <v>1083284057</v>
      </c>
      <c r="D15380" t="s">
        <v>15</v>
      </c>
      <c r="E15380">
        <v>-1592.37</v>
      </c>
      <c r="F15380">
        <v>-0.98</v>
      </c>
      <c r="G15380" t="s">
        <v>12</v>
      </c>
      <c r="H15380" t="s">
        <v>7</v>
      </c>
      <c r="I15380" t="s">
        <v>2409</v>
      </c>
    </row>
    <row r="15381" spans="1:9" hidden="1" x14ac:dyDescent="0.25">
      <c r="A15381" t="s">
        <v>13053</v>
      </c>
      <c r="B15381" t="s">
        <v>70</v>
      </c>
      <c r="C15381" s="2">
        <f>HYPERLINK("https://cao.dolgi.msk.ru/account/1080128868/", 1080128868)</f>
        <v>1080128868</v>
      </c>
      <c r="D15381" t="s">
        <v>13072</v>
      </c>
      <c r="E15381">
        <v>-10306.24</v>
      </c>
      <c r="F15381">
        <v>-1.08</v>
      </c>
      <c r="G15381" t="s">
        <v>12</v>
      </c>
      <c r="I15381" t="s">
        <v>2409</v>
      </c>
    </row>
    <row r="15382" spans="1:9" hidden="1" x14ac:dyDescent="0.25">
      <c r="A15382" t="s">
        <v>13053</v>
      </c>
      <c r="B15382" t="s">
        <v>72</v>
      </c>
      <c r="C15382" s="2">
        <f>HYPERLINK("https://cao.dolgi.msk.ru/account/1080128876/", 1080128876)</f>
        <v>1080128876</v>
      </c>
      <c r="D15382" t="s">
        <v>13073</v>
      </c>
      <c r="E15382">
        <v>-7130.46</v>
      </c>
      <c r="F15382">
        <v>-0.9</v>
      </c>
      <c r="G15382" t="s">
        <v>12</v>
      </c>
      <c r="I15382" t="s">
        <v>2409</v>
      </c>
    </row>
    <row r="15383" spans="1:9" hidden="1" x14ac:dyDescent="0.25">
      <c r="A15383" t="s">
        <v>13053</v>
      </c>
      <c r="B15383" t="s">
        <v>74</v>
      </c>
      <c r="C15383" s="2">
        <f>HYPERLINK("https://cao.dolgi.msk.ru/account/1080128884/", 1080128884)</f>
        <v>1080128884</v>
      </c>
      <c r="D15383" t="s">
        <v>13074</v>
      </c>
      <c r="E15383">
        <v>-19334.48</v>
      </c>
      <c r="F15383">
        <v>-2.29</v>
      </c>
      <c r="G15383" t="s">
        <v>12</v>
      </c>
      <c r="I15383" t="s">
        <v>2409</v>
      </c>
    </row>
    <row r="15384" spans="1:9" hidden="1" x14ac:dyDescent="0.25">
      <c r="A15384" t="s">
        <v>13053</v>
      </c>
      <c r="B15384" t="s">
        <v>76</v>
      </c>
      <c r="C15384" s="2">
        <f>HYPERLINK("https://cao.dolgi.msk.ru/account/1080128948/", 1080128948)</f>
        <v>1080128948</v>
      </c>
      <c r="D15384" t="s">
        <v>13075</v>
      </c>
      <c r="E15384">
        <v>-5843.22</v>
      </c>
      <c r="F15384">
        <v>-0.51</v>
      </c>
      <c r="G15384" t="s">
        <v>12</v>
      </c>
      <c r="I15384" t="s">
        <v>2409</v>
      </c>
    </row>
    <row r="15385" spans="1:9" hidden="1" x14ac:dyDescent="0.25">
      <c r="A15385" t="s">
        <v>13053</v>
      </c>
      <c r="B15385" t="s">
        <v>13076</v>
      </c>
      <c r="C15385" s="2">
        <f>HYPERLINK("https://cao.dolgi.msk.ru/account/1080128956/", 1080128956)</f>
        <v>1080128956</v>
      </c>
      <c r="D15385" t="s">
        <v>13077</v>
      </c>
      <c r="E15385">
        <v>-11828.78</v>
      </c>
      <c r="F15385">
        <v>-1.83</v>
      </c>
      <c r="G15385" t="s">
        <v>12</v>
      </c>
      <c r="I15385" t="s">
        <v>2409</v>
      </c>
    </row>
    <row r="15386" spans="1:9" hidden="1" x14ac:dyDescent="0.25">
      <c r="A15386" t="s">
        <v>13053</v>
      </c>
      <c r="B15386" t="s">
        <v>78</v>
      </c>
      <c r="C15386" s="2">
        <f>HYPERLINK("https://cao.dolgi.msk.ru/account/1080128964/", 1080128964)</f>
        <v>1080128964</v>
      </c>
      <c r="D15386" t="s">
        <v>13078</v>
      </c>
      <c r="E15386">
        <v>-8217.4599999999991</v>
      </c>
      <c r="F15386">
        <v>-0.98</v>
      </c>
      <c r="G15386" t="s">
        <v>12</v>
      </c>
      <c r="I15386" t="s">
        <v>2409</v>
      </c>
    </row>
    <row r="15387" spans="1:9" hidden="1" x14ac:dyDescent="0.25">
      <c r="A15387" t="s">
        <v>13053</v>
      </c>
      <c r="B15387" t="s">
        <v>80</v>
      </c>
      <c r="C15387" s="2">
        <f>HYPERLINK("https://cao.dolgi.msk.ru/account/1080128999/", 1080128999)</f>
        <v>1080128999</v>
      </c>
      <c r="D15387" t="s">
        <v>13079</v>
      </c>
      <c r="E15387">
        <v>0</v>
      </c>
      <c r="G15387" t="s">
        <v>14</v>
      </c>
      <c r="I15387" t="s">
        <v>2409</v>
      </c>
    </row>
    <row r="15388" spans="1:9" hidden="1" x14ac:dyDescent="0.25">
      <c r="A15388" t="s">
        <v>13053</v>
      </c>
      <c r="B15388" t="s">
        <v>80</v>
      </c>
      <c r="C15388" s="2">
        <f>HYPERLINK("https://cao.dolgi.msk.ru/account/1089122702/", 1089122702)</f>
        <v>1089122702</v>
      </c>
      <c r="D15388" t="s">
        <v>13079</v>
      </c>
      <c r="E15388">
        <v>-22104.51</v>
      </c>
      <c r="F15388">
        <v>-1.69</v>
      </c>
      <c r="G15388" t="s">
        <v>12</v>
      </c>
      <c r="I15388" t="s">
        <v>2409</v>
      </c>
    </row>
    <row r="15389" spans="1:9" hidden="1" x14ac:dyDescent="0.25">
      <c r="A15389" t="s">
        <v>13080</v>
      </c>
      <c r="B15389" t="s">
        <v>10</v>
      </c>
      <c r="C15389" s="2">
        <f>HYPERLINK("https://cao.dolgi.msk.ru/account/1083389326/", 1083389326)</f>
        <v>1083389326</v>
      </c>
      <c r="D15389" t="s">
        <v>189</v>
      </c>
      <c r="E15389">
        <v>3572.3</v>
      </c>
      <c r="G15389" t="s">
        <v>12</v>
      </c>
      <c r="I15389" t="s">
        <v>2409</v>
      </c>
    </row>
    <row r="15390" spans="1:9" hidden="1" x14ac:dyDescent="0.25">
      <c r="A15390" t="s">
        <v>13080</v>
      </c>
      <c r="B15390" t="s">
        <v>20</v>
      </c>
      <c r="C15390" s="2">
        <f>HYPERLINK("https://cao.dolgi.msk.ru/account/1083389334/", 1083389334)</f>
        <v>1083389334</v>
      </c>
      <c r="D15390" t="s">
        <v>189</v>
      </c>
      <c r="E15390">
        <v>3572.3</v>
      </c>
      <c r="G15390" t="s">
        <v>12</v>
      </c>
      <c r="I15390" t="s">
        <v>2409</v>
      </c>
    </row>
    <row r="15391" spans="1:9" hidden="1" x14ac:dyDescent="0.25">
      <c r="A15391" t="s">
        <v>13080</v>
      </c>
      <c r="B15391" t="s">
        <v>23</v>
      </c>
      <c r="C15391" s="2">
        <f>HYPERLINK("https://cao.dolgi.msk.ru/account/1080123418/", 1080123418)</f>
        <v>1080123418</v>
      </c>
      <c r="D15391" t="s">
        <v>13081</v>
      </c>
      <c r="E15391">
        <v>-11657.39</v>
      </c>
      <c r="F15391">
        <v>-2.48</v>
      </c>
      <c r="G15391" t="s">
        <v>12</v>
      </c>
      <c r="I15391" t="s">
        <v>2409</v>
      </c>
    </row>
    <row r="15392" spans="1:9" hidden="1" x14ac:dyDescent="0.25">
      <c r="A15392" t="s">
        <v>13080</v>
      </c>
      <c r="B15392" t="s">
        <v>24</v>
      </c>
      <c r="C15392" s="2">
        <f>HYPERLINK("https://cao.dolgi.msk.ru/account/1080124509/", 1080124509)</f>
        <v>1080124509</v>
      </c>
      <c r="D15392" t="s">
        <v>13082</v>
      </c>
      <c r="E15392">
        <v>-5203.91</v>
      </c>
      <c r="F15392">
        <v>-0.86</v>
      </c>
      <c r="G15392" t="s">
        <v>12</v>
      </c>
      <c r="I15392" t="s">
        <v>2409</v>
      </c>
    </row>
    <row r="15393" spans="1:9" hidden="1" x14ac:dyDescent="0.25">
      <c r="A15393" t="s">
        <v>13080</v>
      </c>
      <c r="B15393" t="s">
        <v>27</v>
      </c>
      <c r="C15393" s="2">
        <f>HYPERLINK("https://cao.dolgi.msk.ru/account/1080123434/", 1080123434)</f>
        <v>1080123434</v>
      </c>
      <c r="D15393" t="s">
        <v>15</v>
      </c>
      <c r="E15393">
        <v>-6081.25</v>
      </c>
      <c r="F15393">
        <v>-1.33</v>
      </c>
      <c r="G15393" t="s">
        <v>12</v>
      </c>
      <c r="I15393" t="s">
        <v>2409</v>
      </c>
    </row>
    <row r="15394" spans="1:9" hidden="1" x14ac:dyDescent="0.25">
      <c r="A15394" t="s">
        <v>13080</v>
      </c>
      <c r="B15394" t="s">
        <v>29</v>
      </c>
      <c r="C15394" s="2">
        <f>HYPERLINK("https://cao.dolgi.msk.ru/account/1080123442/", 1080123442)</f>
        <v>1080123442</v>
      </c>
      <c r="D15394" t="s">
        <v>13083</v>
      </c>
      <c r="E15394">
        <v>-3249.78</v>
      </c>
      <c r="F15394">
        <v>-1.03</v>
      </c>
      <c r="G15394" t="s">
        <v>12</v>
      </c>
      <c r="I15394" t="s">
        <v>2409</v>
      </c>
    </row>
    <row r="15395" spans="1:9" hidden="1" x14ac:dyDescent="0.25">
      <c r="A15395" t="s">
        <v>13080</v>
      </c>
      <c r="B15395" t="s">
        <v>31</v>
      </c>
      <c r="C15395" s="2">
        <f>HYPERLINK("https://cao.dolgi.msk.ru/account/1080123469/", 1080123469)</f>
        <v>1080123469</v>
      </c>
      <c r="D15395" t="s">
        <v>13084</v>
      </c>
      <c r="E15395">
        <v>645.11</v>
      </c>
      <c r="F15395">
        <v>0.1</v>
      </c>
      <c r="G15395" t="s">
        <v>12</v>
      </c>
      <c r="I15395" t="s">
        <v>2409</v>
      </c>
    </row>
    <row r="15396" spans="1:9" hidden="1" x14ac:dyDescent="0.25">
      <c r="A15396" t="s">
        <v>13080</v>
      </c>
      <c r="B15396" t="s">
        <v>33</v>
      </c>
      <c r="C15396" s="2">
        <f>HYPERLINK("https://cao.dolgi.msk.ru/account/1080123477/", 1080123477)</f>
        <v>1080123477</v>
      </c>
      <c r="D15396" t="s">
        <v>13085</v>
      </c>
      <c r="E15396">
        <v>-9853.91</v>
      </c>
      <c r="F15396">
        <v>-2.2799999999999998</v>
      </c>
      <c r="G15396" t="s">
        <v>12</v>
      </c>
      <c r="I15396" t="s">
        <v>2409</v>
      </c>
    </row>
    <row r="15397" spans="1:9" hidden="1" x14ac:dyDescent="0.25">
      <c r="A15397" t="s">
        <v>13080</v>
      </c>
      <c r="B15397" t="s">
        <v>34</v>
      </c>
      <c r="C15397" s="2">
        <f>HYPERLINK("https://cao.dolgi.msk.ru/account/1080123485/", 1080123485)</f>
        <v>1080123485</v>
      </c>
      <c r="D15397" t="s">
        <v>13086</v>
      </c>
      <c r="E15397">
        <v>-5999.33</v>
      </c>
      <c r="F15397">
        <v>-1.02</v>
      </c>
      <c r="G15397" t="s">
        <v>12</v>
      </c>
      <c r="I15397" t="s">
        <v>2409</v>
      </c>
    </row>
    <row r="15398" spans="1:9" hidden="1" x14ac:dyDescent="0.25">
      <c r="A15398" t="s">
        <v>13080</v>
      </c>
      <c r="B15398" t="s">
        <v>36</v>
      </c>
      <c r="C15398" s="2">
        <f>HYPERLINK("https://cao.dolgi.msk.ru/account/1080123493/", 1080123493)</f>
        <v>1080123493</v>
      </c>
      <c r="D15398" t="s">
        <v>13087</v>
      </c>
      <c r="E15398">
        <v>-5199.7</v>
      </c>
      <c r="F15398">
        <v>-1</v>
      </c>
      <c r="G15398" t="s">
        <v>12</v>
      </c>
      <c r="I15398" t="s">
        <v>2409</v>
      </c>
    </row>
    <row r="15399" spans="1:9" x14ac:dyDescent="0.25">
      <c r="A15399" t="s">
        <v>13080</v>
      </c>
      <c r="B15399" t="s">
        <v>38</v>
      </c>
      <c r="C15399" s="2">
        <f>HYPERLINK("https://cao.dolgi.msk.ru/account/1080123506/", 1080123506)</f>
        <v>1080123506</v>
      </c>
      <c r="D15399" t="s">
        <v>13088</v>
      </c>
      <c r="E15399">
        <v>4365.09</v>
      </c>
      <c r="F15399">
        <v>1.07</v>
      </c>
      <c r="G15399" t="s">
        <v>12</v>
      </c>
      <c r="I15399" t="s">
        <v>2409</v>
      </c>
    </row>
    <row r="15400" spans="1:9" hidden="1" x14ac:dyDescent="0.25">
      <c r="A15400" t="s">
        <v>13080</v>
      </c>
      <c r="B15400" t="s">
        <v>39</v>
      </c>
      <c r="C15400" s="2">
        <f>HYPERLINK("https://cao.dolgi.msk.ru/account/1080123514/", 1080123514)</f>
        <v>1080123514</v>
      </c>
      <c r="D15400" t="s">
        <v>13089</v>
      </c>
      <c r="E15400">
        <v>2454.46</v>
      </c>
      <c r="F15400">
        <v>0.46</v>
      </c>
      <c r="G15400" t="s">
        <v>12</v>
      </c>
      <c r="I15400" t="s">
        <v>2409</v>
      </c>
    </row>
    <row r="15401" spans="1:9" hidden="1" x14ac:dyDescent="0.25">
      <c r="A15401" t="s">
        <v>13080</v>
      </c>
      <c r="B15401" t="s">
        <v>40</v>
      </c>
      <c r="C15401" s="2">
        <f>HYPERLINK("https://cao.dolgi.msk.ru/account/1080123522/", 1080123522)</f>
        <v>1080123522</v>
      </c>
      <c r="D15401" t="s">
        <v>13090</v>
      </c>
      <c r="E15401">
        <v>-3213.59</v>
      </c>
      <c r="F15401">
        <v>-1.02</v>
      </c>
      <c r="G15401" t="s">
        <v>12</v>
      </c>
      <c r="I15401" t="s">
        <v>2409</v>
      </c>
    </row>
    <row r="15402" spans="1:9" hidden="1" x14ac:dyDescent="0.25">
      <c r="A15402" t="s">
        <v>13080</v>
      </c>
      <c r="B15402" t="s">
        <v>41</v>
      </c>
      <c r="C15402" s="2">
        <f>HYPERLINK("https://cao.dolgi.msk.ru/account/1080123549/", 1080123549)</f>
        <v>1080123549</v>
      </c>
      <c r="D15402" t="s">
        <v>13091</v>
      </c>
      <c r="E15402">
        <v>-4096.43</v>
      </c>
      <c r="F15402">
        <v>-1</v>
      </c>
      <c r="G15402" t="s">
        <v>12</v>
      </c>
      <c r="I15402" t="s">
        <v>2409</v>
      </c>
    </row>
    <row r="15403" spans="1:9" hidden="1" x14ac:dyDescent="0.25">
      <c r="A15403" t="s">
        <v>13080</v>
      </c>
      <c r="B15403" t="s">
        <v>42</v>
      </c>
      <c r="C15403" s="2">
        <f>HYPERLINK("https://cao.dolgi.msk.ru/account/1080123557/", 1080123557)</f>
        <v>1080123557</v>
      </c>
      <c r="D15403" t="s">
        <v>13092</v>
      </c>
      <c r="E15403">
        <v>-6601.84</v>
      </c>
      <c r="F15403">
        <v>-1.1399999999999999</v>
      </c>
      <c r="G15403" t="s">
        <v>12</v>
      </c>
      <c r="I15403" t="s">
        <v>2409</v>
      </c>
    </row>
    <row r="15404" spans="1:9" hidden="1" x14ac:dyDescent="0.25">
      <c r="A15404" t="s">
        <v>13080</v>
      </c>
      <c r="B15404" t="s">
        <v>44</v>
      </c>
      <c r="C15404" s="2">
        <f>HYPERLINK("https://cao.dolgi.msk.ru/account/1080123565/", 1080123565)</f>
        <v>1080123565</v>
      </c>
      <c r="D15404" t="s">
        <v>13093</v>
      </c>
      <c r="E15404">
        <v>-4988.3599999999997</v>
      </c>
      <c r="F15404">
        <v>-1.17</v>
      </c>
      <c r="G15404" t="s">
        <v>12</v>
      </c>
      <c r="I15404" t="s">
        <v>2409</v>
      </c>
    </row>
    <row r="15405" spans="1:9" hidden="1" x14ac:dyDescent="0.25">
      <c r="A15405" t="s">
        <v>13080</v>
      </c>
      <c r="B15405" t="s">
        <v>66</v>
      </c>
      <c r="C15405" s="2">
        <f>HYPERLINK("https://cao.dolgi.msk.ru/account/1080123573/", 1080123573)</f>
        <v>1080123573</v>
      </c>
      <c r="D15405" t="s">
        <v>13094</v>
      </c>
      <c r="E15405">
        <v>-1022.1</v>
      </c>
      <c r="F15405">
        <v>-0.21</v>
      </c>
      <c r="G15405" t="s">
        <v>12</v>
      </c>
      <c r="I15405" t="s">
        <v>2409</v>
      </c>
    </row>
    <row r="15406" spans="1:9" hidden="1" x14ac:dyDescent="0.25">
      <c r="A15406" t="s">
        <v>13080</v>
      </c>
      <c r="B15406" t="s">
        <v>68</v>
      </c>
      <c r="C15406" s="2">
        <f>HYPERLINK("https://cao.dolgi.msk.ru/account/1080123581/", 1080123581)</f>
        <v>1080123581</v>
      </c>
      <c r="D15406" t="s">
        <v>13095</v>
      </c>
      <c r="E15406">
        <v>2607.56</v>
      </c>
      <c r="F15406">
        <v>1</v>
      </c>
      <c r="G15406" t="s">
        <v>12</v>
      </c>
      <c r="I15406" t="s">
        <v>2409</v>
      </c>
    </row>
    <row r="15407" spans="1:9" hidden="1" x14ac:dyDescent="0.25">
      <c r="A15407" t="s">
        <v>13080</v>
      </c>
      <c r="B15407" t="s">
        <v>70</v>
      </c>
      <c r="C15407" s="2">
        <f>HYPERLINK("https://cao.dolgi.msk.ru/account/1080123602/", 1080123602)</f>
        <v>1080123602</v>
      </c>
      <c r="D15407" t="s">
        <v>13096</v>
      </c>
      <c r="E15407">
        <v>-5410.1</v>
      </c>
      <c r="F15407">
        <v>-1.05</v>
      </c>
      <c r="G15407" t="s">
        <v>12</v>
      </c>
      <c r="I15407" t="s">
        <v>2409</v>
      </c>
    </row>
    <row r="15408" spans="1:9" hidden="1" x14ac:dyDescent="0.25">
      <c r="A15408" t="s">
        <v>13080</v>
      </c>
      <c r="B15408" t="s">
        <v>72</v>
      </c>
      <c r="C15408" s="2">
        <f>HYPERLINK("https://cao.dolgi.msk.ru/account/1080123629/", 1080123629)</f>
        <v>1080123629</v>
      </c>
      <c r="D15408" t="s">
        <v>62</v>
      </c>
      <c r="E15408">
        <v>0</v>
      </c>
      <c r="F15408">
        <v>0</v>
      </c>
      <c r="G15408" t="s">
        <v>12</v>
      </c>
      <c r="I15408" t="s">
        <v>2409</v>
      </c>
    </row>
    <row r="15409" spans="1:9" hidden="1" x14ac:dyDescent="0.25">
      <c r="A15409" t="s">
        <v>13080</v>
      </c>
      <c r="B15409" t="s">
        <v>74</v>
      </c>
      <c r="C15409" s="2">
        <f>HYPERLINK("https://cao.dolgi.msk.ru/account/1080123637/", 1080123637)</f>
        <v>1080123637</v>
      </c>
      <c r="D15409" t="s">
        <v>13097</v>
      </c>
      <c r="E15409">
        <v>-3783.16</v>
      </c>
      <c r="F15409">
        <v>-1.01</v>
      </c>
      <c r="G15409" t="s">
        <v>12</v>
      </c>
      <c r="I15409" t="s">
        <v>2409</v>
      </c>
    </row>
    <row r="15410" spans="1:9" hidden="1" x14ac:dyDescent="0.25">
      <c r="A15410" t="s">
        <v>13080</v>
      </c>
      <c r="B15410" t="s">
        <v>76</v>
      </c>
      <c r="C15410" s="2">
        <f>HYPERLINK("https://cao.dolgi.msk.ru/account/1080123645/", 1080123645)</f>
        <v>1080123645</v>
      </c>
      <c r="D15410" t="s">
        <v>13098</v>
      </c>
      <c r="E15410">
        <v>-4163.32</v>
      </c>
      <c r="F15410">
        <v>-1.02</v>
      </c>
      <c r="G15410" t="s">
        <v>12</v>
      </c>
      <c r="I15410" t="s">
        <v>2409</v>
      </c>
    </row>
    <row r="15411" spans="1:9" hidden="1" x14ac:dyDescent="0.25">
      <c r="A15411" t="s">
        <v>13080</v>
      </c>
      <c r="B15411" t="s">
        <v>78</v>
      </c>
      <c r="C15411" s="2">
        <f>HYPERLINK("https://cao.dolgi.msk.ru/account/1080123653/", 1080123653)</f>
        <v>1080123653</v>
      </c>
      <c r="D15411" t="s">
        <v>13099</v>
      </c>
      <c r="E15411">
        <v>-1508.74</v>
      </c>
      <c r="F15411">
        <v>-1.01</v>
      </c>
      <c r="G15411" t="s">
        <v>12</v>
      </c>
      <c r="I15411" t="s">
        <v>2409</v>
      </c>
    </row>
    <row r="15412" spans="1:9" hidden="1" x14ac:dyDescent="0.25">
      <c r="A15412" t="s">
        <v>13080</v>
      </c>
      <c r="B15412" t="s">
        <v>78</v>
      </c>
      <c r="C15412" s="2">
        <f>HYPERLINK("https://cao.dolgi.msk.ru/account/1089125209/", 1089125209)</f>
        <v>1089125209</v>
      </c>
      <c r="D15412" t="s">
        <v>13099</v>
      </c>
      <c r="E15412">
        <v>-2602.11</v>
      </c>
      <c r="F15412">
        <v>-0.92</v>
      </c>
      <c r="G15412" t="s">
        <v>12</v>
      </c>
      <c r="I15412" t="s">
        <v>2409</v>
      </c>
    </row>
    <row r="15413" spans="1:9" hidden="1" x14ac:dyDescent="0.25">
      <c r="A15413" t="s">
        <v>13080</v>
      </c>
      <c r="B15413" t="s">
        <v>80</v>
      </c>
      <c r="C15413" s="2">
        <f>HYPERLINK("https://cao.dolgi.msk.ru/account/1080123661/", 1080123661)</f>
        <v>1080123661</v>
      </c>
      <c r="D15413" t="s">
        <v>13100</v>
      </c>
      <c r="E15413">
        <v>-5482.46</v>
      </c>
      <c r="F15413">
        <v>-0.96</v>
      </c>
      <c r="G15413" t="s">
        <v>12</v>
      </c>
      <c r="I15413" t="s">
        <v>2409</v>
      </c>
    </row>
    <row r="15414" spans="1:9" hidden="1" x14ac:dyDescent="0.25">
      <c r="A15414" t="s">
        <v>13080</v>
      </c>
      <c r="B15414" t="s">
        <v>82</v>
      </c>
      <c r="C15414" s="2">
        <f>HYPERLINK("https://cao.dolgi.msk.ru/account/1080123688/", 1080123688)</f>
        <v>1080123688</v>
      </c>
      <c r="D15414" t="s">
        <v>13101</v>
      </c>
      <c r="E15414">
        <v>-1567.75</v>
      </c>
      <c r="F15414">
        <v>-0.25</v>
      </c>
      <c r="G15414" t="s">
        <v>12</v>
      </c>
      <c r="I15414" t="s">
        <v>2409</v>
      </c>
    </row>
    <row r="15415" spans="1:9" hidden="1" x14ac:dyDescent="0.25">
      <c r="A15415" t="s">
        <v>13080</v>
      </c>
      <c r="B15415" t="s">
        <v>84</v>
      </c>
      <c r="C15415" s="2">
        <f>HYPERLINK("https://cao.dolgi.msk.ru/account/1080123696/", 1080123696)</f>
        <v>1080123696</v>
      </c>
      <c r="D15415" t="s">
        <v>13102</v>
      </c>
      <c r="E15415">
        <v>-6157.02</v>
      </c>
      <c r="F15415">
        <v>-1</v>
      </c>
      <c r="G15415" t="s">
        <v>12</v>
      </c>
      <c r="I15415" t="s">
        <v>2409</v>
      </c>
    </row>
    <row r="15416" spans="1:9" x14ac:dyDescent="0.25">
      <c r="A15416" t="s">
        <v>13080</v>
      </c>
      <c r="B15416" t="s">
        <v>90</v>
      </c>
      <c r="C15416" s="2">
        <f>HYPERLINK("https://cao.dolgi.msk.ru/account/1083389342/", 1083389342)</f>
        <v>1083389342</v>
      </c>
      <c r="D15416" t="s">
        <v>189</v>
      </c>
      <c r="E15416">
        <v>17046.259999999998</v>
      </c>
      <c r="F15416">
        <v>3.92</v>
      </c>
      <c r="G15416" t="s">
        <v>12</v>
      </c>
      <c r="I15416" t="s">
        <v>2409</v>
      </c>
    </row>
    <row r="15417" spans="1:9" x14ac:dyDescent="0.25">
      <c r="A15417" t="s">
        <v>13080</v>
      </c>
      <c r="B15417" t="s">
        <v>92</v>
      </c>
      <c r="C15417" s="2">
        <f>HYPERLINK("https://cao.dolgi.msk.ru/account/1083389369/", 1083389369)</f>
        <v>1083389369</v>
      </c>
      <c r="D15417" t="s">
        <v>189</v>
      </c>
      <c r="E15417">
        <v>16930.490000000002</v>
      </c>
      <c r="F15417">
        <v>3.93</v>
      </c>
      <c r="G15417" t="s">
        <v>12</v>
      </c>
      <c r="I15417" t="s">
        <v>2409</v>
      </c>
    </row>
    <row r="15418" spans="1:9" x14ac:dyDescent="0.25">
      <c r="A15418" t="s">
        <v>13080</v>
      </c>
      <c r="B15418" t="s">
        <v>94</v>
      </c>
      <c r="C15418" s="2">
        <f>HYPERLINK("https://cao.dolgi.msk.ru/account/1083389377/", 1083389377)</f>
        <v>1083389377</v>
      </c>
      <c r="D15418" t="s">
        <v>189</v>
      </c>
      <c r="E15418">
        <v>10895.86</v>
      </c>
      <c r="F15418">
        <v>3.65</v>
      </c>
      <c r="G15418" t="s">
        <v>12</v>
      </c>
      <c r="I15418" t="s">
        <v>2409</v>
      </c>
    </row>
    <row r="15419" spans="1:9" x14ac:dyDescent="0.25">
      <c r="A15419" t="s">
        <v>13080</v>
      </c>
      <c r="B15419" t="s">
        <v>96</v>
      </c>
      <c r="C15419" s="2">
        <f>HYPERLINK("https://cao.dolgi.msk.ru/account/1083389385/", 1083389385)</f>
        <v>1083389385</v>
      </c>
      <c r="D15419" t="s">
        <v>189</v>
      </c>
      <c r="E15419">
        <v>16469.59</v>
      </c>
      <c r="F15419">
        <v>3.4</v>
      </c>
      <c r="G15419" t="s">
        <v>12</v>
      </c>
      <c r="I15419" t="s">
        <v>2409</v>
      </c>
    </row>
    <row r="15420" spans="1:9" x14ac:dyDescent="0.25">
      <c r="A15420" t="s">
        <v>13080</v>
      </c>
      <c r="B15420" t="s">
        <v>98</v>
      </c>
      <c r="C15420" s="2">
        <f>HYPERLINK("https://cao.dolgi.msk.ru/account/1089124863/", 1089124863)</f>
        <v>1089124863</v>
      </c>
      <c r="D15420" t="s">
        <v>13103</v>
      </c>
      <c r="E15420">
        <v>341410.02</v>
      </c>
      <c r="F15420">
        <v>46.6</v>
      </c>
      <c r="G15420" t="s">
        <v>12</v>
      </c>
      <c r="I15420" t="s">
        <v>2409</v>
      </c>
    </row>
    <row r="15421" spans="1:9" hidden="1" x14ac:dyDescent="0.25">
      <c r="A15421" t="s">
        <v>13080</v>
      </c>
      <c r="B15421" t="s">
        <v>100</v>
      </c>
      <c r="C15421" s="2">
        <f>HYPERLINK("https://cao.dolgi.msk.ru/account/1080123709/", 1080123709)</f>
        <v>1080123709</v>
      </c>
      <c r="D15421" t="s">
        <v>13104</v>
      </c>
      <c r="E15421">
        <v>-1590.28</v>
      </c>
      <c r="F15421">
        <v>-0.25</v>
      </c>
      <c r="G15421" t="s">
        <v>12</v>
      </c>
      <c r="I15421" t="s">
        <v>2409</v>
      </c>
    </row>
    <row r="15422" spans="1:9" hidden="1" x14ac:dyDescent="0.25">
      <c r="A15422" t="s">
        <v>13080</v>
      </c>
      <c r="B15422" t="s">
        <v>102</v>
      </c>
      <c r="C15422" s="2">
        <f>HYPERLINK("https://cao.dolgi.msk.ru/account/1080123717/", 1080123717)</f>
        <v>1080123717</v>
      </c>
      <c r="D15422" t="s">
        <v>13057</v>
      </c>
      <c r="E15422">
        <v>-11327.17</v>
      </c>
      <c r="F15422">
        <v>-1.05</v>
      </c>
      <c r="G15422" t="s">
        <v>12</v>
      </c>
      <c r="I15422" t="s">
        <v>2409</v>
      </c>
    </row>
    <row r="15423" spans="1:9" hidden="1" x14ac:dyDescent="0.25">
      <c r="A15423" t="s">
        <v>13080</v>
      </c>
      <c r="B15423" t="s">
        <v>104</v>
      </c>
      <c r="C15423" s="2">
        <f>HYPERLINK("https://cao.dolgi.msk.ru/account/1080123725/", 1080123725)</f>
        <v>1080123725</v>
      </c>
      <c r="D15423" t="s">
        <v>13105</v>
      </c>
      <c r="E15423">
        <v>14.1</v>
      </c>
      <c r="F15423">
        <v>0</v>
      </c>
      <c r="G15423" t="s">
        <v>12</v>
      </c>
      <c r="I15423" t="s">
        <v>2409</v>
      </c>
    </row>
    <row r="15424" spans="1:9" hidden="1" x14ac:dyDescent="0.25">
      <c r="A15424" t="s">
        <v>13080</v>
      </c>
      <c r="B15424" t="s">
        <v>106</v>
      </c>
      <c r="C15424" s="2">
        <f>HYPERLINK("https://cao.dolgi.msk.ru/account/1080123733/", 1080123733)</f>
        <v>1080123733</v>
      </c>
      <c r="D15424" t="s">
        <v>13106</v>
      </c>
      <c r="E15424">
        <v>-5279.41</v>
      </c>
      <c r="F15424">
        <v>-1.07</v>
      </c>
      <c r="G15424" t="s">
        <v>12</v>
      </c>
      <c r="I15424" t="s">
        <v>2409</v>
      </c>
    </row>
    <row r="15425" spans="1:9" hidden="1" x14ac:dyDescent="0.25">
      <c r="A15425" t="s">
        <v>13080</v>
      </c>
      <c r="B15425" t="s">
        <v>108</v>
      </c>
      <c r="C15425" s="2">
        <f>HYPERLINK("https://cao.dolgi.msk.ru/account/1080123741/", 1080123741)</f>
        <v>1080123741</v>
      </c>
      <c r="D15425" t="s">
        <v>13107</v>
      </c>
      <c r="E15425">
        <v>-3972.25</v>
      </c>
      <c r="F15425">
        <v>-1.02</v>
      </c>
      <c r="G15425" t="s">
        <v>12</v>
      </c>
      <c r="I15425" t="s">
        <v>2409</v>
      </c>
    </row>
    <row r="15426" spans="1:9" hidden="1" x14ac:dyDescent="0.25">
      <c r="A15426" t="s">
        <v>13080</v>
      </c>
      <c r="B15426" t="s">
        <v>110</v>
      </c>
      <c r="C15426" s="2">
        <f>HYPERLINK("https://cao.dolgi.msk.ru/account/1080123768/", 1080123768)</f>
        <v>1080123768</v>
      </c>
      <c r="D15426" t="s">
        <v>13108</v>
      </c>
      <c r="E15426">
        <v>-6095.46</v>
      </c>
      <c r="F15426">
        <v>-0.97</v>
      </c>
      <c r="G15426" t="s">
        <v>12</v>
      </c>
      <c r="I15426" t="s">
        <v>2409</v>
      </c>
    </row>
    <row r="15427" spans="1:9" hidden="1" x14ac:dyDescent="0.25">
      <c r="A15427" t="s">
        <v>13080</v>
      </c>
      <c r="B15427" t="s">
        <v>112</v>
      </c>
      <c r="C15427" s="2">
        <f>HYPERLINK("https://cao.dolgi.msk.ru/account/1080123776/", 1080123776)</f>
        <v>1080123776</v>
      </c>
      <c r="D15427" t="s">
        <v>13109</v>
      </c>
      <c r="E15427">
        <v>-4470.84</v>
      </c>
      <c r="F15427">
        <v>-1</v>
      </c>
      <c r="G15427" t="s">
        <v>12</v>
      </c>
      <c r="I15427" t="s">
        <v>2409</v>
      </c>
    </row>
    <row r="15428" spans="1:9" hidden="1" x14ac:dyDescent="0.25">
      <c r="A15428" t="s">
        <v>13080</v>
      </c>
      <c r="B15428" t="s">
        <v>114</v>
      </c>
      <c r="C15428" s="2">
        <f>HYPERLINK("https://cao.dolgi.msk.ru/account/1080123784/", 1080123784)</f>
        <v>1080123784</v>
      </c>
      <c r="D15428" t="s">
        <v>13110</v>
      </c>
      <c r="E15428">
        <v>-10882.64</v>
      </c>
      <c r="F15428">
        <v>-1.01</v>
      </c>
      <c r="G15428" t="s">
        <v>12</v>
      </c>
      <c r="I15428" t="s">
        <v>2409</v>
      </c>
    </row>
    <row r="15429" spans="1:9" hidden="1" x14ac:dyDescent="0.25">
      <c r="A15429" t="s">
        <v>13080</v>
      </c>
      <c r="B15429" t="s">
        <v>116</v>
      </c>
      <c r="C15429" s="2">
        <f>HYPERLINK("https://cao.dolgi.msk.ru/account/1080123792/", 1080123792)</f>
        <v>1080123792</v>
      </c>
      <c r="D15429" t="s">
        <v>13111</v>
      </c>
      <c r="E15429">
        <v>-6726.47</v>
      </c>
      <c r="F15429">
        <v>-1.24</v>
      </c>
      <c r="G15429" t="s">
        <v>12</v>
      </c>
      <c r="I15429" t="s">
        <v>2409</v>
      </c>
    </row>
    <row r="15430" spans="1:9" hidden="1" x14ac:dyDescent="0.25">
      <c r="A15430" t="s">
        <v>13080</v>
      </c>
      <c r="B15430" t="s">
        <v>118</v>
      </c>
      <c r="C15430" s="2">
        <f>HYPERLINK("https://cao.dolgi.msk.ru/account/1080123813/", 1080123813)</f>
        <v>1080123813</v>
      </c>
      <c r="D15430" t="s">
        <v>13112</v>
      </c>
      <c r="E15430">
        <v>0</v>
      </c>
      <c r="F15430">
        <v>0</v>
      </c>
      <c r="G15430" t="s">
        <v>12</v>
      </c>
      <c r="I15430" t="s">
        <v>2409</v>
      </c>
    </row>
    <row r="15431" spans="1:9" hidden="1" x14ac:dyDescent="0.25">
      <c r="A15431" t="s">
        <v>13080</v>
      </c>
      <c r="B15431" t="s">
        <v>120</v>
      </c>
      <c r="C15431" s="2">
        <f>HYPERLINK("https://cao.dolgi.msk.ru/account/1080123821/", 1080123821)</f>
        <v>1080123821</v>
      </c>
      <c r="D15431" t="s">
        <v>13113</v>
      </c>
      <c r="E15431">
        <v>-400.85</v>
      </c>
      <c r="F15431">
        <v>-0.06</v>
      </c>
      <c r="G15431" t="s">
        <v>12</v>
      </c>
      <c r="I15431" t="s">
        <v>2409</v>
      </c>
    </row>
    <row r="15432" spans="1:9" hidden="1" x14ac:dyDescent="0.25">
      <c r="A15432" t="s">
        <v>13080</v>
      </c>
      <c r="B15432" t="s">
        <v>122</v>
      </c>
      <c r="C15432" s="2">
        <f>HYPERLINK("https://cao.dolgi.msk.ru/account/1080123848/", 1080123848)</f>
        <v>1080123848</v>
      </c>
      <c r="D15432" t="s">
        <v>13114</v>
      </c>
      <c r="E15432">
        <v>-6613.69</v>
      </c>
      <c r="F15432">
        <v>-2.93</v>
      </c>
      <c r="G15432" t="s">
        <v>12</v>
      </c>
      <c r="I15432" t="s">
        <v>2409</v>
      </c>
    </row>
    <row r="15433" spans="1:9" hidden="1" x14ac:dyDescent="0.25">
      <c r="A15433" t="s">
        <v>13080</v>
      </c>
      <c r="B15433" t="s">
        <v>122</v>
      </c>
      <c r="C15433" s="2">
        <f>HYPERLINK("https://cao.dolgi.msk.ru/account/1083389182/", 1083389182)</f>
        <v>1083389182</v>
      </c>
      <c r="D15433" t="s">
        <v>13115</v>
      </c>
      <c r="E15433">
        <v>-6102.52</v>
      </c>
      <c r="F15433">
        <v>-2.78</v>
      </c>
      <c r="G15433" t="s">
        <v>12</v>
      </c>
      <c r="I15433" t="s">
        <v>2409</v>
      </c>
    </row>
    <row r="15434" spans="1:9" hidden="1" x14ac:dyDescent="0.25">
      <c r="A15434" t="s">
        <v>13080</v>
      </c>
      <c r="B15434" t="s">
        <v>124</v>
      </c>
      <c r="C15434" s="2">
        <f>HYPERLINK("https://cao.dolgi.msk.ru/account/1080123856/", 1080123856)</f>
        <v>1080123856</v>
      </c>
      <c r="D15434" t="s">
        <v>13116</v>
      </c>
      <c r="E15434">
        <v>-5198.78</v>
      </c>
      <c r="F15434">
        <v>-1.08</v>
      </c>
      <c r="G15434" t="s">
        <v>12</v>
      </c>
      <c r="I15434" t="s">
        <v>2409</v>
      </c>
    </row>
    <row r="15435" spans="1:9" hidden="1" x14ac:dyDescent="0.25">
      <c r="A15435" t="s">
        <v>13080</v>
      </c>
      <c r="B15435" t="s">
        <v>126</v>
      </c>
      <c r="C15435" s="2">
        <f>HYPERLINK("https://cao.dolgi.msk.ru/account/1080123864/", 1080123864)</f>
        <v>1080123864</v>
      </c>
      <c r="D15435" t="s">
        <v>13117</v>
      </c>
      <c r="E15435">
        <v>-21065.75</v>
      </c>
      <c r="F15435">
        <v>-5.38</v>
      </c>
      <c r="G15435" t="s">
        <v>12</v>
      </c>
      <c r="I15435" t="s">
        <v>2409</v>
      </c>
    </row>
    <row r="15436" spans="1:9" hidden="1" x14ac:dyDescent="0.25">
      <c r="A15436" t="s">
        <v>13080</v>
      </c>
      <c r="B15436" t="s">
        <v>128</v>
      </c>
      <c r="C15436" s="2">
        <f>HYPERLINK("https://cao.dolgi.msk.ru/account/1080123872/", 1080123872)</f>
        <v>1080123872</v>
      </c>
      <c r="D15436" t="s">
        <v>13118</v>
      </c>
      <c r="E15436">
        <v>-3485.96</v>
      </c>
      <c r="F15436">
        <v>-1</v>
      </c>
      <c r="G15436" t="s">
        <v>12</v>
      </c>
      <c r="I15436" t="s">
        <v>2409</v>
      </c>
    </row>
    <row r="15437" spans="1:9" hidden="1" x14ac:dyDescent="0.25">
      <c r="A15437" t="s">
        <v>13080</v>
      </c>
      <c r="B15437" t="s">
        <v>130</v>
      </c>
      <c r="C15437" s="2">
        <f>HYPERLINK("https://cao.dolgi.msk.ru/account/1080123899/", 1080123899)</f>
        <v>1080123899</v>
      </c>
      <c r="D15437" t="s">
        <v>13119</v>
      </c>
      <c r="E15437">
        <v>-319.79000000000002</v>
      </c>
      <c r="F15437">
        <v>-0.11</v>
      </c>
      <c r="G15437" t="s">
        <v>12</v>
      </c>
      <c r="I15437" t="s">
        <v>2409</v>
      </c>
    </row>
    <row r="15438" spans="1:9" hidden="1" x14ac:dyDescent="0.25">
      <c r="A15438" t="s">
        <v>13080</v>
      </c>
      <c r="B15438" t="s">
        <v>132</v>
      </c>
      <c r="C15438" s="2">
        <f>HYPERLINK("https://cao.dolgi.msk.ru/account/1080123901/", 1080123901)</f>
        <v>1080123901</v>
      </c>
      <c r="D15438" t="s">
        <v>13120</v>
      </c>
      <c r="E15438">
        <v>-41.68</v>
      </c>
      <c r="F15438">
        <v>-0.01</v>
      </c>
      <c r="G15438" t="s">
        <v>12</v>
      </c>
      <c r="I15438" t="s">
        <v>2409</v>
      </c>
    </row>
    <row r="15439" spans="1:9" hidden="1" x14ac:dyDescent="0.25">
      <c r="A15439" t="s">
        <v>13080</v>
      </c>
      <c r="B15439" t="s">
        <v>133</v>
      </c>
      <c r="C15439" s="2">
        <f>HYPERLINK("https://cao.dolgi.msk.ru/account/1080123928/", 1080123928)</f>
        <v>1080123928</v>
      </c>
      <c r="D15439" t="s">
        <v>13121</v>
      </c>
      <c r="E15439">
        <v>-6705.42</v>
      </c>
      <c r="F15439">
        <v>-1.01</v>
      </c>
      <c r="G15439" t="s">
        <v>12</v>
      </c>
      <c r="I15439" t="s">
        <v>2409</v>
      </c>
    </row>
    <row r="15440" spans="1:9" hidden="1" x14ac:dyDescent="0.25">
      <c r="A15440" t="s">
        <v>13080</v>
      </c>
      <c r="B15440" t="s">
        <v>135</v>
      </c>
      <c r="C15440" s="2">
        <f>HYPERLINK("https://cao.dolgi.msk.ru/account/1080123936/", 1080123936)</f>
        <v>1080123936</v>
      </c>
      <c r="D15440" t="s">
        <v>13122</v>
      </c>
      <c r="E15440">
        <v>-14031.24</v>
      </c>
      <c r="F15440">
        <v>-3.07</v>
      </c>
      <c r="G15440" t="s">
        <v>12</v>
      </c>
      <c r="I15440" t="s">
        <v>2409</v>
      </c>
    </row>
    <row r="15441" spans="1:9" hidden="1" x14ac:dyDescent="0.25">
      <c r="A15441" t="s">
        <v>13080</v>
      </c>
      <c r="B15441" t="s">
        <v>137</v>
      </c>
      <c r="C15441" s="2">
        <f>HYPERLINK("https://cao.dolgi.msk.ru/account/1080124832/", 1080124832)</f>
        <v>1080124832</v>
      </c>
      <c r="D15441" t="s">
        <v>13123</v>
      </c>
      <c r="E15441">
        <v>-7152.93</v>
      </c>
      <c r="F15441">
        <v>-1.2</v>
      </c>
      <c r="G15441" t="s">
        <v>12</v>
      </c>
      <c r="I15441" t="s">
        <v>2409</v>
      </c>
    </row>
    <row r="15442" spans="1:9" hidden="1" x14ac:dyDescent="0.25">
      <c r="A15442" t="s">
        <v>13080</v>
      </c>
      <c r="B15442" t="s">
        <v>139</v>
      </c>
      <c r="C15442" s="2">
        <f>HYPERLINK("https://cao.dolgi.msk.ru/account/1080123944/", 1080123944)</f>
        <v>1080123944</v>
      </c>
      <c r="D15442" t="s">
        <v>13124</v>
      </c>
      <c r="E15442">
        <v>-2941.92</v>
      </c>
      <c r="F15442">
        <v>-1.01</v>
      </c>
      <c r="G15442" t="s">
        <v>12</v>
      </c>
      <c r="I15442" t="s">
        <v>2409</v>
      </c>
    </row>
    <row r="15443" spans="1:9" hidden="1" x14ac:dyDescent="0.25">
      <c r="A15443" t="s">
        <v>13080</v>
      </c>
      <c r="B15443" t="s">
        <v>141</v>
      </c>
      <c r="C15443" s="2">
        <f>HYPERLINK("https://cao.dolgi.msk.ru/account/1080123952/", 1080123952)</f>
        <v>1080123952</v>
      </c>
      <c r="D15443" t="s">
        <v>13125</v>
      </c>
      <c r="E15443">
        <v>-4002.69</v>
      </c>
      <c r="F15443">
        <v>-0.83</v>
      </c>
      <c r="G15443" t="s">
        <v>12</v>
      </c>
      <c r="I15443" t="s">
        <v>2409</v>
      </c>
    </row>
    <row r="15444" spans="1:9" hidden="1" x14ac:dyDescent="0.25">
      <c r="A15444" t="s">
        <v>13080</v>
      </c>
      <c r="B15444" t="s">
        <v>143</v>
      </c>
      <c r="C15444" s="2">
        <f>HYPERLINK("https://cao.dolgi.msk.ru/account/1080123987/", 1080123987)</f>
        <v>1080123987</v>
      </c>
      <c r="D15444" t="s">
        <v>13126</v>
      </c>
      <c r="E15444">
        <v>-8818.16</v>
      </c>
      <c r="F15444">
        <v>-1.2</v>
      </c>
      <c r="G15444" t="s">
        <v>12</v>
      </c>
      <c r="I15444" t="s">
        <v>2409</v>
      </c>
    </row>
    <row r="15445" spans="1:9" hidden="1" x14ac:dyDescent="0.25">
      <c r="A15445" t="s">
        <v>13080</v>
      </c>
      <c r="B15445" t="s">
        <v>147</v>
      </c>
      <c r="C15445" s="2">
        <f>HYPERLINK("https://cao.dolgi.msk.ru/account/1080123995/", 1080123995)</f>
        <v>1080123995</v>
      </c>
      <c r="D15445" t="s">
        <v>62</v>
      </c>
      <c r="E15445">
        <v>0</v>
      </c>
      <c r="G15445" t="s">
        <v>14</v>
      </c>
      <c r="I15445" t="s">
        <v>2409</v>
      </c>
    </row>
    <row r="15446" spans="1:9" hidden="1" x14ac:dyDescent="0.25">
      <c r="A15446" t="s">
        <v>13080</v>
      </c>
      <c r="B15446" t="s">
        <v>147</v>
      </c>
      <c r="C15446" s="2">
        <f>HYPERLINK("https://cao.dolgi.msk.ru/account/1080124007/", 1080124007)</f>
        <v>1080124007</v>
      </c>
      <c r="D15446" t="s">
        <v>13127</v>
      </c>
      <c r="E15446">
        <v>4475.1499999999996</v>
      </c>
      <c r="F15446">
        <v>0.86</v>
      </c>
      <c r="G15446" t="s">
        <v>12</v>
      </c>
      <c r="I15446" t="s">
        <v>2409</v>
      </c>
    </row>
    <row r="15447" spans="1:9" hidden="1" x14ac:dyDescent="0.25">
      <c r="A15447" t="s">
        <v>13080</v>
      </c>
      <c r="B15447" t="s">
        <v>153</v>
      </c>
      <c r="C15447" s="2">
        <f>HYPERLINK("https://cao.dolgi.msk.ru/account/1080124015/", 1080124015)</f>
        <v>1080124015</v>
      </c>
      <c r="D15447" t="s">
        <v>13128</v>
      </c>
      <c r="E15447">
        <v>-3353.03</v>
      </c>
      <c r="F15447">
        <v>-1.1100000000000001</v>
      </c>
      <c r="G15447" t="s">
        <v>12</v>
      </c>
      <c r="I15447" t="s">
        <v>2409</v>
      </c>
    </row>
    <row r="15448" spans="1:9" hidden="1" x14ac:dyDescent="0.25">
      <c r="A15448" t="s">
        <v>13080</v>
      </c>
      <c r="B15448" t="s">
        <v>155</v>
      </c>
      <c r="C15448" s="2">
        <f>HYPERLINK("https://cao.dolgi.msk.ru/account/1080124023/", 1080124023)</f>
        <v>1080124023</v>
      </c>
      <c r="D15448" t="s">
        <v>13129</v>
      </c>
      <c r="E15448">
        <v>-4863.66</v>
      </c>
      <c r="F15448">
        <v>-1.0900000000000001</v>
      </c>
      <c r="G15448" t="s">
        <v>12</v>
      </c>
      <c r="I15448" t="s">
        <v>2409</v>
      </c>
    </row>
    <row r="15449" spans="1:9" hidden="1" x14ac:dyDescent="0.25">
      <c r="A15449" t="s">
        <v>13080</v>
      </c>
      <c r="B15449" t="s">
        <v>157</v>
      </c>
      <c r="C15449" s="2">
        <f>HYPERLINK("https://cao.dolgi.msk.ru/account/1080124031/", 1080124031)</f>
        <v>1080124031</v>
      </c>
      <c r="D15449" t="s">
        <v>13130</v>
      </c>
      <c r="E15449">
        <v>-7085.08</v>
      </c>
      <c r="F15449">
        <v>-0.99</v>
      </c>
      <c r="G15449" t="s">
        <v>12</v>
      </c>
      <c r="I15449" t="s">
        <v>2409</v>
      </c>
    </row>
    <row r="15450" spans="1:9" hidden="1" x14ac:dyDescent="0.25">
      <c r="A15450" t="s">
        <v>13080</v>
      </c>
      <c r="B15450" t="s">
        <v>159</v>
      </c>
      <c r="C15450" s="2">
        <f>HYPERLINK("https://cao.dolgi.msk.ru/account/1080124058/", 1080124058)</f>
        <v>1080124058</v>
      </c>
      <c r="D15450" t="s">
        <v>13131</v>
      </c>
      <c r="E15450">
        <v>-13729.64</v>
      </c>
      <c r="F15450">
        <v>-2.66</v>
      </c>
      <c r="G15450" t="s">
        <v>12</v>
      </c>
      <c r="I15450" t="s">
        <v>2409</v>
      </c>
    </row>
    <row r="15451" spans="1:9" hidden="1" x14ac:dyDescent="0.25">
      <c r="A15451" t="s">
        <v>13080</v>
      </c>
      <c r="B15451" t="s">
        <v>161</v>
      </c>
      <c r="C15451" s="2">
        <f>HYPERLINK("https://cao.dolgi.msk.ru/account/1080124066/", 1080124066)</f>
        <v>1080124066</v>
      </c>
      <c r="D15451" t="s">
        <v>13132</v>
      </c>
      <c r="E15451">
        <v>-5174.9399999999996</v>
      </c>
      <c r="F15451">
        <v>-1</v>
      </c>
      <c r="G15451" t="s">
        <v>12</v>
      </c>
      <c r="I15451" t="s">
        <v>2409</v>
      </c>
    </row>
    <row r="15452" spans="1:9" hidden="1" x14ac:dyDescent="0.25">
      <c r="A15452" t="s">
        <v>13080</v>
      </c>
      <c r="B15452" t="s">
        <v>163</v>
      </c>
      <c r="C15452" s="2">
        <f>HYPERLINK("https://cao.dolgi.msk.ru/account/1080124103/", 1080124103)</f>
        <v>1080124103</v>
      </c>
      <c r="D15452" t="s">
        <v>13133</v>
      </c>
      <c r="E15452">
        <v>-7199.6</v>
      </c>
      <c r="F15452">
        <v>-1.21</v>
      </c>
      <c r="G15452" t="s">
        <v>12</v>
      </c>
      <c r="I15452" t="s">
        <v>2409</v>
      </c>
    </row>
    <row r="15453" spans="1:9" hidden="1" x14ac:dyDescent="0.25">
      <c r="A15453" t="s">
        <v>13080</v>
      </c>
      <c r="B15453" t="s">
        <v>571</v>
      </c>
      <c r="C15453" s="2">
        <f>HYPERLINK("https://cao.dolgi.msk.ru/account/1080124138/", 1080124138)</f>
        <v>1080124138</v>
      </c>
      <c r="D15453" t="s">
        <v>13134</v>
      </c>
      <c r="E15453">
        <v>-10740.64</v>
      </c>
      <c r="F15453">
        <v>-1.68</v>
      </c>
      <c r="G15453" t="s">
        <v>12</v>
      </c>
      <c r="I15453" t="s">
        <v>2409</v>
      </c>
    </row>
    <row r="15454" spans="1:9" hidden="1" x14ac:dyDescent="0.25">
      <c r="A15454" t="s">
        <v>13080</v>
      </c>
      <c r="B15454" t="s">
        <v>682</v>
      </c>
      <c r="C15454" s="2">
        <f>HYPERLINK("https://cao.dolgi.msk.ru/account/1080124146/", 1080124146)</f>
        <v>1080124146</v>
      </c>
      <c r="D15454" t="s">
        <v>13135</v>
      </c>
      <c r="E15454">
        <v>-5046.12</v>
      </c>
      <c r="F15454">
        <v>-1.1000000000000001</v>
      </c>
      <c r="G15454" t="s">
        <v>12</v>
      </c>
      <c r="I15454" t="s">
        <v>2409</v>
      </c>
    </row>
    <row r="15455" spans="1:9" hidden="1" x14ac:dyDescent="0.25">
      <c r="A15455" t="s">
        <v>13080</v>
      </c>
      <c r="B15455" t="s">
        <v>578</v>
      </c>
      <c r="C15455" s="2">
        <f>HYPERLINK("https://cao.dolgi.msk.ru/account/1080124154/", 1080124154)</f>
        <v>1080124154</v>
      </c>
      <c r="D15455" t="s">
        <v>13136</v>
      </c>
      <c r="E15455">
        <v>0.61</v>
      </c>
      <c r="F15455">
        <v>0</v>
      </c>
      <c r="G15455" t="s">
        <v>12</v>
      </c>
      <c r="H15455" t="s">
        <v>7</v>
      </c>
      <c r="I15455" t="s">
        <v>2409</v>
      </c>
    </row>
    <row r="15456" spans="1:9" hidden="1" x14ac:dyDescent="0.25">
      <c r="A15456" t="s">
        <v>13080</v>
      </c>
      <c r="B15456" t="s">
        <v>578</v>
      </c>
      <c r="C15456" s="2">
        <f>HYPERLINK("https://cao.dolgi.msk.ru/account/1080124189/", 1080124189)</f>
        <v>1080124189</v>
      </c>
      <c r="D15456" t="s">
        <v>13136</v>
      </c>
      <c r="E15456">
        <v>-187.1</v>
      </c>
      <c r="G15456" t="s">
        <v>14</v>
      </c>
      <c r="H15456" t="s">
        <v>7</v>
      </c>
      <c r="I15456" t="s">
        <v>2409</v>
      </c>
    </row>
    <row r="15457" spans="1:9" hidden="1" x14ac:dyDescent="0.25">
      <c r="A15457" t="s">
        <v>13080</v>
      </c>
      <c r="B15457" t="s">
        <v>580</v>
      </c>
      <c r="C15457" s="2">
        <f>HYPERLINK("https://cao.dolgi.msk.ru/account/1080124197/", 1080124197)</f>
        <v>1080124197</v>
      </c>
      <c r="D15457" t="s">
        <v>13137</v>
      </c>
      <c r="E15457">
        <v>-6354</v>
      </c>
      <c r="F15457">
        <v>-1.08</v>
      </c>
      <c r="G15457" t="s">
        <v>12</v>
      </c>
      <c r="I15457" t="s">
        <v>2409</v>
      </c>
    </row>
    <row r="15458" spans="1:9" hidden="1" x14ac:dyDescent="0.25">
      <c r="A15458" t="s">
        <v>13080</v>
      </c>
      <c r="B15458" t="s">
        <v>686</v>
      </c>
      <c r="C15458" s="2">
        <f>HYPERLINK("https://cao.dolgi.msk.ru/account/1080124074/", 1080124074)</f>
        <v>1080124074</v>
      </c>
      <c r="D15458" t="s">
        <v>13138</v>
      </c>
      <c r="E15458">
        <v>-5867.69</v>
      </c>
      <c r="F15458">
        <v>-0.95</v>
      </c>
      <c r="G15458" t="s">
        <v>12</v>
      </c>
      <c r="I15458" t="s">
        <v>2409</v>
      </c>
    </row>
    <row r="15459" spans="1:9" hidden="1" x14ac:dyDescent="0.25">
      <c r="A15459" t="s">
        <v>13080</v>
      </c>
      <c r="B15459" t="s">
        <v>582</v>
      </c>
      <c r="C15459" s="2">
        <f>HYPERLINK("https://cao.dolgi.msk.ru/account/1080124226/", 1080124226)</f>
        <v>1080124226</v>
      </c>
      <c r="D15459" t="s">
        <v>13139</v>
      </c>
      <c r="E15459">
        <v>-118.55</v>
      </c>
      <c r="F15459">
        <v>-0.02</v>
      </c>
      <c r="G15459" t="s">
        <v>12</v>
      </c>
      <c r="I15459" t="s">
        <v>2409</v>
      </c>
    </row>
    <row r="15460" spans="1:9" hidden="1" x14ac:dyDescent="0.25">
      <c r="A15460" t="s">
        <v>13080</v>
      </c>
      <c r="B15460" t="s">
        <v>584</v>
      </c>
      <c r="C15460" s="2">
        <f>HYPERLINK("https://cao.dolgi.msk.ru/account/1080124234/", 1080124234)</f>
        <v>1080124234</v>
      </c>
      <c r="D15460" t="s">
        <v>13140</v>
      </c>
      <c r="E15460">
        <v>-7373.18</v>
      </c>
      <c r="F15460">
        <v>-1.1399999999999999</v>
      </c>
      <c r="G15460" t="s">
        <v>12</v>
      </c>
      <c r="H15460" t="s">
        <v>7</v>
      </c>
      <c r="I15460" t="s">
        <v>2409</v>
      </c>
    </row>
    <row r="15461" spans="1:9" hidden="1" x14ac:dyDescent="0.25">
      <c r="A15461" t="s">
        <v>13080</v>
      </c>
      <c r="B15461" t="s">
        <v>584</v>
      </c>
      <c r="C15461" s="2">
        <f>HYPERLINK("https://cao.dolgi.msk.ru/account/1080124242/", 1080124242)</f>
        <v>1080124242</v>
      </c>
      <c r="D15461" t="s">
        <v>13141</v>
      </c>
      <c r="E15461">
        <v>-1243.8599999999999</v>
      </c>
      <c r="G15461" t="s">
        <v>14</v>
      </c>
      <c r="H15461" t="s">
        <v>7</v>
      </c>
      <c r="I15461" t="s">
        <v>2409</v>
      </c>
    </row>
    <row r="15462" spans="1:9" hidden="1" x14ac:dyDescent="0.25">
      <c r="A15462" t="s">
        <v>13080</v>
      </c>
      <c r="B15462" t="s">
        <v>586</v>
      </c>
      <c r="C15462" s="2">
        <f>HYPERLINK("https://cao.dolgi.msk.ru/account/1080124269/", 1080124269)</f>
        <v>1080124269</v>
      </c>
      <c r="D15462" t="s">
        <v>13142</v>
      </c>
      <c r="E15462">
        <v>-4950.0200000000004</v>
      </c>
      <c r="F15462">
        <v>-1.07</v>
      </c>
      <c r="G15462" t="s">
        <v>12</v>
      </c>
      <c r="H15462" t="s">
        <v>7</v>
      </c>
      <c r="I15462" t="s">
        <v>2409</v>
      </c>
    </row>
    <row r="15463" spans="1:9" hidden="1" x14ac:dyDescent="0.25">
      <c r="A15463" t="s">
        <v>13080</v>
      </c>
      <c r="B15463" t="s">
        <v>586</v>
      </c>
      <c r="C15463" s="2">
        <f>HYPERLINK("https://cao.dolgi.msk.ru/account/1080325693/", 1080325693)</f>
        <v>1080325693</v>
      </c>
      <c r="D15463" t="s">
        <v>15</v>
      </c>
      <c r="E15463">
        <v>-2251.4699999999998</v>
      </c>
      <c r="F15463">
        <v>-1.01</v>
      </c>
      <c r="G15463" t="s">
        <v>12</v>
      </c>
      <c r="H15463" t="s">
        <v>7</v>
      </c>
      <c r="I15463" t="s">
        <v>2409</v>
      </c>
    </row>
    <row r="15464" spans="1:9" hidden="1" x14ac:dyDescent="0.25">
      <c r="A15464" t="s">
        <v>13080</v>
      </c>
      <c r="B15464" t="s">
        <v>588</v>
      </c>
      <c r="C15464" s="2">
        <f>HYPERLINK("https://cao.dolgi.msk.ru/account/1080124277/", 1080124277)</f>
        <v>1080124277</v>
      </c>
      <c r="D15464" t="s">
        <v>13143</v>
      </c>
      <c r="G15464" t="s">
        <v>14</v>
      </c>
      <c r="I15464" t="s">
        <v>2409</v>
      </c>
    </row>
    <row r="15465" spans="1:9" hidden="1" x14ac:dyDescent="0.25">
      <c r="A15465" t="s">
        <v>13080</v>
      </c>
      <c r="B15465" t="s">
        <v>588</v>
      </c>
      <c r="C15465" s="2">
        <f>HYPERLINK("https://cao.dolgi.msk.ru/account/1080124285/", 1080124285)</f>
        <v>1080124285</v>
      </c>
      <c r="D15465" t="s">
        <v>13143</v>
      </c>
      <c r="E15465">
        <v>1112.01</v>
      </c>
      <c r="F15465">
        <v>0.15</v>
      </c>
      <c r="G15465" t="s">
        <v>12</v>
      </c>
      <c r="I15465" t="s">
        <v>2409</v>
      </c>
    </row>
    <row r="15466" spans="1:9" hidden="1" x14ac:dyDescent="0.25">
      <c r="A15466" t="s">
        <v>13080</v>
      </c>
      <c r="B15466" t="s">
        <v>590</v>
      </c>
      <c r="C15466" s="2">
        <f>HYPERLINK("https://cao.dolgi.msk.ru/account/1080124306/", 1080124306)</f>
        <v>1080124306</v>
      </c>
      <c r="D15466" t="s">
        <v>15</v>
      </c>
      <c r="G15466" t="s">
        <v>14</v>
      </c>
      <c r="I15466" t="s">
        <v>2409</v>
      </c>
    </row>
    <row r="15467" spans="1:9" hidden="1" x14ac:dyDescent="0.25">
      <c r="A15467" t="s">
        <v>13080</v>
      </c>
      <c r="B15467" t="s">
        <v>590</v>
      </c>
      <c r="C15467" s="2">
        <f>HYPERLINK("https://cao.dolgi.msk.ru/account/1080124314/", 1080124314)</f>
        <v>1080124314</v>
      </c>
      <c r="D15467" t="s">
        <v>15</v>
      </c>
      <c r="G15467" t="s">
        <v>14</v>
      </c>
      <c r="I15467" t="s">
        <v>2409</v>
      </c>
    </row>
    <row r="15468" spans="1:9" hidden="1" x14ac:dyDescent="0.25">
      <c r="A15468" t="s">
        <v>13080</v>
      </c>
      <c r="B15468" t="s">
        <v>693</v>
      </c>
      <c r="C15468" s="2">
        <f>HYPERLINK("https://cao.dolgi.msk.ru/account/1089122366/", 1089122366)</f>
        <v>1089122366</v>
      </c>
      <c r="D15468" t="s">
        <v>13144</v>
      </c>
      <c r="G15468" t="s">
        <v>14</v>
      </c>
      <c r="I15468" t="s">
        <v>2409</v>
      </c>
    </row>
    <row r="15469" spans="1:9" hidden="1" x14ac:dyDescent="0.25">
      <c r="A15469" t="s">
        <v>13080</v>
      </c>
      <c r="B15469" t="s">
        <v>694</v>
      </c>
      <c r="C15469" s="2">
        <f>HYPERLINK("https://cao.dolgi.msk.ru/account/1080124349/", 1080124349)</f>
        <v>1080124349</v>
      </c>
      <c r="D15469" t="s">
        <v>15</v>
      </c>
      <c r="G15469" t="s">
        <v>14</v>
      </c>
      <c r="H15469" t="s">
        <v>7</v>
      </c>
      <c r="I15469" t="s">
        <v>2409</v>
      </c>
    </row>
    <row r="15470" spans="1:9" hidden="1" x14ac:dyDescent="0.25">
      <c r="A15470" t="s">
        <v>13080</v>
      </c>
      <c r="B15470" t="s">
        <v>694</v>
      </c>
      <c r="C15470" s="2">
        <f>HYPERLINK("https://cao.dolgi.msk.ru/account/1080124357/", 1080124357)</f>
        <v>1080124357</v>
      </c>
      <c r="D15470" t="s">
        <v>15</v>
      </c>
      <c r="G15470" t="s">
        <v>14</v>
      </c>
      <c r="H15470" t="s">
        <v>7</v>
      </c>
      <c r="I15470" t="s">
        <v>2409</v>
      </c>
    </row>
    <row r="15471" spans="1:9" hidden="1" x14ac:dyDescent="0.25">
      <c r="A15471" t="s">
        <v>13080</v>
      </c>
      <c r="B15471" t="s">
        <v>698</v>
      </c>
      <c r="C15471" s="2">
        <f>HYPERLINK("https://cao.dolgi.msk.ru/account/1080322804/", 1080322804)</f>
        <v>1080322804</v>
      </c>
      <c r="D15471" t="s">
        <v>13145</v>
      </c>
      <c r="E15471">
        <v>0</v>
      </c>
      <c r="G15471" t="s">
        <v>14</v>
      </c>
      <c r="I15471" t="s">
        <v>2409</v>
      </c>
    </row>
    <row r="15472" spans="1:9" hidden="1" x14ac:dyDescent="0.25">
      <c r="A15472" t="s">
        <v>13080</v>
      </c>
      <c r="B15472" t="s">
        <v>698</v>
      </c>
      <c r="C15472" s="2">
        <f>HYPERLINK("https://cao.dolgi.msk.ru/account/1080322812/", 1080322812)</f>
        <v>1080322812</v>
      </c>
      <c r="D15472" t="s">
        <v>13145</v>
      </c>
      <c r="E15472">
        <v>0</v>
      </c>
      <c r="G15472" t="s">
        <v>14</v>
      </c>
      <c r="I15472" t="s">
        <v>2409</v>
      </c>
    </row>
    <row r="15473" spans="1:9" hidden="1" x14ac:dyDescent="0.25">
      <c r="A15473" t="s">
        <v>13080</v>
      </c>
      <c r="B15473" t="s">
        <v>702</v>
      </c>
      <c r="C15473" s="2">
        <f>HYPERLINK("https://cao.dolgi.msk.ru/account/1080124373/", 1080124373)</f>
        <v>1080124373</v>
      </c>
      <c r="D15473" t="s">
        <v>13146</v>
      </c>
      <c r="E15473">
        <v>178.34</v>
      </c>
      <c r="G15473" t="s">
        <v>14</v>
      </c>
      <c r="I15473" t="s">
        <v>2409</v>
      </c>
    </row>
    <row r="15474" spans="1:9" x14ac:dyDescent="0.25">
      <c r="A15474" t="s">
        <v>13080</v>
      </c>
      <c r="B15474" t="s">
        <v>703</v>
      </c>
      <c r="C15474" s="2">
        <f>HYPERLINK("https://cao.dolgi.msk.ru/account/1080124381/", 1080124381)</f>
        <v>1080124381</v>
      </c>
      <c r="D15474" t="s">
        <v>13147</v>
      </c>
      <c r="E15474">
        <v>7032.24</v>
      </c>
      <c r="F15474">
        <v>1.26</v>
      </c>
      <c r="G15474" t="s">
        <v>12</v>
      </c>
      <c r="I15474" t="s">
        <v>2409</v>
      </c>
    </row>
    <row r="15475" spans="1:9" hidden="1" x14ac:dyDescent="0.25">
      <c r="A15475" t="s">
        <v>13080</v>
      </c>
      <c r="B15475" t="s">
        <v>705</v>
      </c>
      <c r="C15475" s="2">
        <f>HYPERLINK("https://cao.dolgi.msk.ru/account/1080124402/", 1080124402)</f>
        <v>1080124402</v>
      </c>
      <c r="D15475" t="s">
        <v>13148</v>
      </c>
      <c r="E15475">
        <v>-311.68</v>
      </c>
      <c r="F15475">
        <v>-7.0000000000000007E-2</v>
      </c>
      <c r="G15475" t="s">
        <v>12</v>
      </c>
      <c r="I15475" t="s">
        <v>2409</v>
      </c>
    </row>
    <row r="15476" spans="1:9" hidden="1" x14ac:dyDescent="0.25">
      <c r="A15476" t="s">
        <v>13080</v>
      </c>
      <c r="B15476" t="s">
        <v>707</v>
      </c>
      <c r="C15476" s="2">
        <f>HYPERLINK("https://cao.dolgi.msk.ru/account/1080124429/", 1080124429)</f>
        <v>1080124429</v>
      </c>
      <c r="D15476" t="s">
        <v>13149</v>
      </c>
      <c r="E15476">
        <v>47.95</v>
      </c>
      <c r="F15476">
        <v>0.01</v>
      </c>
      <c r="G15476" t="s">
        <v>12</v>
      </c>
      <c r="I15476" t="s">
        <v>2409</v>
      </c>
    </row>
    <row r="15477" spans="1:9" hidden="1" x14ac:dyDescent="0.25">
      <c r="A15477" t="s">
        <v>13080</v>
      </c>
      <c r="B15477" t="s">
        <v>709</v>
      </c>
      <c r="C15477" s="2">
        <f>HYPERLINK("https://cao.dolgi.msk.ru/account/1080124445/", 1080124445)</f>
        <v>1080124445</v>
      </c>
      <c r="D15477" t="s">
        <v>13150</v>
      </c>
      <c r="E15477">
        <v>-8745.18</v>
      </c>
      <c r="F15477">
        <v>-1.0900000000000001</v>
      </c>
      <c r="G15477" t="s">
        <v>12</v>
      </c>
      <c r="I15477" t="s">
        <v>2409</v>
      </c>
    </row>
    <row r="15478" spans="1:9" hidden="1" x14ac:dyDescent="0.25">
      <c r="A15478" t="s">
        <v>13080</v>
      </c>
      <c r="B15478" t="s">
        <v>709</v>
      </c>
      <c r="C15478" s="2">
        <f>HYPERLINK("https://cao.dolgi.msk.ru/account/1080124453/", 1080124453)</f>
        <v>1080124453</v>
      </c>
      <c r="D15478" t="s">
        <v>15</v>
      </c>
      <c r="G15478" t="s">
        <v>14</v>
      </c>
      <c r="I15478" t="s">
        <v>2409</v>
      </c>
    </row>
    <row r="15479" spans="1:9" hidden="1" x14ac:dyDescent="0.25">
      <c r="A15479" t="s">
        <v>13080</v>
      </c>
      <c r="B15479" t="s">
        <v>711</v>
      </c>
      <c r="C15479" s="2">
        <f>HYPERLINK("https://cao.dolgi.msk.ru/account/1080124488/", 1080124488)</f>
        <v>1080124488</v>
      </c>
      <c r="D15479" t="s">
        <v>13151</v>
      </c>
      <c r="E15479">
        <v>1034</v>
      </c>
      <c r="G15479" t="s">
        <v>14</v>
      </c>
      <c r="I15479" t="s">
        <v>2409</v>
      </c>
    </row>
    <row r="15480" spans="1:9" hidden="1" x14ac:dyDescent="0.25">
      <c r="A15480" t="s">
        <v>13080</v>
      </c>
      <c r="B15480" t="s">
        <v>711</v>
      </c>
      <c r="C15480" s="2">
        <f>HYPERLINK("https://cao.dolgi.msk.ru/account/1080124496/", 1080124496)</f>
        <v>1080124496</v>
      </c>
      <c r="D15480" t="s">
        <v>13152</v>
      </c>
      <c r="E15480">
        <v>1851.61</v>
      </c>
      <c r="G15480" t="s">
        <v>14</v>
      </c>
      <c r="I15480" t="s">
        <v>2409</v>
      </c>
    </row>
    <row r="15481" spans="1:9" hidden="1" x14ac:dyDescent="0.25">
      <c r="A15481" t="s">
        <v>13080</v>
      </c>
      <c r="B15481" t="s">
        <v>711</v>
      </c>
      <c r="C15481" s="2">
        <f>HYPERLINK("https://cao.dolgi.msk.ru/account/1080322548/", 1080322548)</f>
        <v>1080322548</v>
      </c>
      <c r="D15481" t="s">
        <v>13153</v>
      </c>
      <c r="E15481">
        <v>2329.85</v>
      </c>
      <c r="G15481" t="s">
        <v>14</v>
      </c>
      <c r="I15481" t="s">
        <v>2409</v>
      </c>
    </row>
    <row r="15482" spans="1:9" hidden="1" x14ac:dyDescent="0.25">
      <c r="A15482" t="s">
        <v>13080</v>
      </c>
      <c r="B15482" t="s">
        <v>711</v>
      </c>
      <c r="C15482" s="2">
        <f>HYPERLINK("https://cao.dolgi.msk.ru/account/1080322556/", 1080322556)</f>
        <v>1080322556</v>
      </c>
      <c r="D15482" t="s">
        <v>13153</v>
      </c>
      <c r="E15482">
        <v>-8779.61</v>
      </c>
      <c r="F15482">
        <v>-0.92</v>
      </c>
      <c r="G15482" t="s">
        <v>12</v>
      </c>
      <c r="I15482" t="s">
        <v>2409</v>
      </c>
    </row>
    <row r="15483" spans="1:9" hidden="1" x14ac:dyDescent="0.25">
      <c r="A15483" t="s">
        <v>13080</v>
      </c>
      <c r="B15483" t="s">
        <v>713</v>
      </c>
      <c r="C15483" s="2">
        <f>HYPERLINK("https://cao.dolgi.msk.ru/account/1080124517/", 1080124517)</f>
        <v>1080124517</v>
      </c>
      <c r="D15483" t="s">
        <v>13154</v>
      </c>
      <c r="E15483">
        <v>917.43</v>
      </c>
      <c r="G15483" t="s">
        <v>14</v>
      </c>
      <c r="I15483" t="s">
        <v>2409</v>
      </c>
    </row>
    <row r="15484" spans="1:9" hidden="1" x14ac:dyDescent="0.25">
      <c r="A15484" t="s">
        <v>13080</v>
      </c>
      <c r="B15484" t="s">
        <v>713</v>
      </c>
      <c r="C15484" s="2">
        <f>HYPERLINK("https://cao.dolgi.msk.ru/account/1080124525/", 1080124525)</f>
        <v>1080124525</v>
      </c>
      <c r="D15484" t="s">
        <v>13154</v>
      </c>
      <c r="E15484">
        <v>312.98</v>
      </c>
      <c r="G15484" t="s">
        <v>14</v>
      </c>
      <c r="I15484" t="s">
        <v>2409</v>
      </c>
    </row>
    <row r="15485" spans="1:9" hidden="1" x14ac:dyDescent="0.25">
      <c r="A15485" t="s">
        <v>13080</v>
      </c>
      <c r="B15485" t="s">
        <v>713</v>
      </c>
      <c r="C15485" s="2">
        <f>HYPERLINK("https://cao.dolgi.msk.ru/account/1080124533/", 1080124533)</f>
        <v>1080124533</v>
      </c>
      <c r="D15485" t="s">
        <v>15</v>
      </c>
      <c r="E15485">
        <v>993.84</v>
      </c>
      <c r="G15485" t="s">
        <v>14</v>
      </c>
      <c r="I15485" t="s">
        <v>2409</v>
      </c>
    </row>
    <row r="15486" spans="1:9" hidden="1" x14ac:dyDescent="0.25">
      <c r="A15486" t="s">
        <v>13080</v>
      </c>
      <c r="B15486" t="s">
        <v>713</v>
      </c>
      <c r="C15486" s="2">
        <f>HYPERLINK("https://cao.dolgi.msk.ru/account/1080321991/", 1080321991)</f>
        <v>1080321991</v>
      </c>
      <c r="D15486" t="s">
        <v>15</v>
      </c>
      <c r="E15486">
        <v>-10944.32</v>
      </c>
      <c r="F15486">
        <v>-1</v>
      </c>
      <c r="G15486" t="s">
        <v>12</v>
      </c>
      <c r="I15486" t="s">
        <v>2409</v>
      </c>
    </row>
    <row r="15487" spans="1:9" hidden="1" x14ac:dyDescent="0.25">
      <c r="A15487" t="s">
        <v>13080</v>
      </c>
      <c r="B15487" t="s">
        <v>528</v>
      </c>
      <c r="C15487" s="2">
        <f>HYPERLINK("https://cao.dolgi.msk.ru/account/1080124541/", 1080124541)</f>
        <v>1080124541</v>
      </c>
      <c r="D15487" t="s">
        <v>13155</v>
      </c>
      <c r="E15487">
        <v>4148.54</v>
      </c>
      <c r="F15487">
        <v>0.89</v>
      </c>
      <c r="G15487" t="s">
        <v>12</v>
      </c>
      <c r="H15487" t="s">
        <v>7</v>
      </c>
      <c r="I15487" t="s">
        <v>2409</v>
      </c>
    </row>
    <row r="15488" spans="1:9" hidden="1" x14ac:dyDescent="0.25">
      <c r="A15488" t="s">
        <v>13080</v>
      </c>
      <c r="B15488" t="s">
        <v>528</v>
      </c>
      <c r="C15488" s="2">
        <f>HYPERLINK("https://cao.dolgi.msk.ru/account/1080124576/", 1080124576)</f>
        <v>1080124576</v>
      </c>
      <c r="D15488" t="s">
        <v>13156</v>
      </c>
      <c r="E15488">
        <v>-3255.35</v>
      </c>
      <c r="F15488">
        <v>-1.01</v>
      </c>
      <c r="G15488" t="s">
        <v>12</v>
      </c>
      <c r="H15488" t="s">
        <v>7</v>
      </c>
      <c r="I15488" t="s">
        <v>2409</v>
      </c>
    </row>
    <row r="15489" spans="1:9" hidden="1" x14ac:dyDescent="0.25">
      <c r="A15489" t="s">
        <v>13080</v>
      </c>
      <c r="B15489" t="s">
        <v>528</v>
      </c>
      <c r="C15489" s="2">
        <f>HYPERLINK("https://cao.dolgi.msk.ru/account/1083274449/", 1083274449)</f>
        <v>1083274449</v>
      </c>
      <c r="D15489" t="s">
        <v>13157</v>
      </c>
      <c r="E15489">
        <v>-3260.46</v>
      </c>
      <c r="F15489">
        <v>-1.01</v>
      </c>
      <c r="G15489" t="s">
        <v>12</v>
      </c>
      <c r="H15489" t="s">
        <v>7</v>
      </c>
      <c r="I15489" t="s">
        <v>2409</v>
      </c>
    </row>
    <row r="15490" spans="1:9" hidden="1" x14ac:dyDescent="0.25">
      <c r="A15490" t="s">
        <v>13080</v>
      </c>
      <c r="B15490" t="s">
        <v>530</v>
      </c>
      <c r="C15490" s="2">
        <f>HYPERLINK("https://cao.dolgi.msk.ru/account/1080124584/", 1080124584)</f>
        <v>1080124584</v>
      </c>
      <c r="D15490" t="s">
        <v>13158</v>
      </c>
      <c r="E15490">
        <v>-9452.01</v>
      </c>
      <c r="F15490">
        <v>-1</v>
      </c>
      <c r="G15490" t="s">
        <v>12</v>
      </c>
      <c r="I15490" t="s">
        <v>2409</v>
      </c>
    </row>
    <row r="15491" spans="1:9" hidden="1" x14ac:dyDescent="0.25">
      <c r="A15491" t="s">
        <v>13080</v>
      </c>
      <c r="B15491" t="s">
        <v>532</v>
      </c>
      <c r="C15491" s="2">
        <f>HYPERLINK("https://cao.dolgi.msk.ru/account/1080124592/", 1080124592)</f>
        <v>1080124592</v>
      </c>
      <c r="D15491" t="s">
        <v>13159</v>
      </c>
      <c r="E15491">
        <v>-9888.9699999999993</v>
      </c>
      <c r="F15491">
        <v>-1.01</v>
      </c>
      <c r="G15491" t="s">
        <v>12</v>
      </c>
      <c r="I15491" t="s">
        <v>2409</v>
      </c>
    </row>
    <row r="15492" spans="1:9" hidden="1" x14ac:dyDescent="0.25">
      <c r="A15492" t="s">
        <v>13080</v>
      </c>
      <c r="B15492" t="s">
        <v>534</v>
      </c>
      <c r="C15492" s="2">
        <f>HYPERLINK("https://cao.dolgi.msk.ru/account/1080124605/", 1080124605)</f>
        <v>1080124605</v>
      </c>
      <c r="D15492" t="s">
        <v>13160</v>
      </c>
      <c r="E15492">
        <v>0</v>
      </c>
      <c r="F15492">
        <v>0</v>
      </c>
      <c r="G15492" t="s">
        <v>12</v>
      </c>
      <c r="I15492" t="s">
        <v>2409</v>
      </c>
    </row>
    <row r="15493" spans="1:9" hidden="1" x14ac:dyDescent="0.25">
      <c r="A15493" t="s">
        <v>13080</v>
      </c>
      <c r="B15493" t="s">
        <v>536</v>
      </c>
      <c r="C15493" s="2">
        <f>HYPERLINK("https://cao.dolgi.msk.ru/account/1080124613/", 1080124613)</f>
        <v>1080124613</v>
      </c>
      <c r="D15493" t="s">
        <v>13161</v>
      </c>
      <c r="E15493">
        <v>-4831.84</v>
      </c>
      <c r="F15493">
        <v>-0.95</v>
      </c>
      <c r="G15493" t="s">
        <v>12</v>
      </c>
      <c r="H15493" t="s">
        <v>7</v>
      </c>
      <c r="I15493" t="s">
        <v>2409</v>
      </c>
    </row>
    <row r="15494" spans="1:9" x14ac:dyDescent="0.25">
      <c r="A15494" t="s">
        <v>13080</v>
      </c>
      <c r="B15494" t="s">
        <v>536</v>
      </c>
      <c r="C15494" s="2">
        <f>HYPERLINK("https://cao.dolgi.msk.ru/account/1080124648/", 1080124648)</f>
        <v>1080124648</v>
      </c>
      <c r="D15494" t="s">
        <v>13161</v>
      </c>
      <c r="E15494">
        <v>6265.37</v>
      </c>
      <c r="F15494">
        <v>1.63</v>
      </c>
      <c r="G15494" t="s">
        <v>12</v>
      </c>
      <c r="H15494" t="s">
        <v>7</v>
      </c>
      <c r="I15494" t="s">
        <v>2409</v>
      </c>
    </row>
    <row r="15495" spans="1:9" hidden="1" x14ac:dyDescent="0.25">
      <c r="A15495" t="s">
        <v>13080</v>
      </c>
      <c r="B15495" t="s">
        <v>536</v>
      </c>
      <c r="C15495" s="2">
        <f>HYPERLINK("https://cao.dolgi.msk.ru/account/1089129832/", 1089129832)</f>
        <v>1089129832</v>
      </c>
      <c r="D15495" t="s">
        <v>15</v>
      </c>
      <c r="G15495" t="s">
        <v>14</v>
      </c>
      <c r="H15495" t="s">
        <v>7</v>
      </c>
      <c r="I15495" t="s">
        <v>2409</v>
      </c>
    </row>
    <row r="15496" spans="1:9" hidden="1" x14ac:dyDescent="0.25">
      <c r="A15496" t="s">
        <v>13080</v>
      </c>
      <c r="B15496" t="s">
        <v>538</v>
      </c>
      <c r="C15496" s="2">
        <f>HYPERLINK("https://cao.dolgi.msk.ru/account/1080124656/", 1080124656)</f>
        <v>1080124656</v>
      </c>
      <c r="D15496" t="s">
        <v>13162</v>
      </c>
      <c r="E15496">
        <v>5547.42</v>
      </c>
      <c r="F15496">
        <v>0.94</v>
      </c>
      <c r="G15496" t="s">
        <v>12</v>
      </c>
      <c r="H15496" t="s">
        <v>7</v>
      </c>
      <c r="I15496" t="s">
        <v>2409</v>
      </c>
    </row>
    <row r="15497" spans="1:9" hidden="1" x14ac:dyDescent="0.25">
      <c r="A15497" t="s">
        <v>13080</v>
      </c>
      <c r="B15497" t="s">
        <v>538</v>
      </c>
      <c r="C15497" s="2">
        <f>HYPERLINK("https://cao.dolgi.msk.ru/account/1080124664/", 1080124664)</f>
        <v>1080124664</v>
      </c>
      <c r="D15497" t="s">
        <v>13163</v>
      </c>
      <c r="E15497">
        <v>-1003.25</v>
      </c>
      <c r="F15497">
        <v>-0.19</v>
      </c>
      <c r="G15497" t="s">
        <v>12</v>
      </c>
      <c r="H15497" t="s">
        <v>7</v>
      </c>
      <c r="I15497" t="s">
        <v>2409</v>
      </c>
    </row>
    <row r="15498" spans="1:9" hidden="1" x14ac:dyDescent="0.25">
      <c r="A15498" t="s">
        <v>13080</v>
      </c>
      <c r="B15498" t="s">
        <v>538</v>
      </c>
      <c r="C15498" s="2">
        <f>HYPERLINK("https://cao.dolgi.msk.ru/account/1080124672/", 1080124672)</f>
        <v>1080124672</v>
      </c>
      <c r="D15498" t="s">
        <v>13164</v>
      </c>
      <c r="E15498">
        <v>-4220.3999999999996</v>
      </c>
      <c r="F15498">
        <v>-1</v>
      </c>
      <c r="G15498" t="s">
        <v>12</v>
      </c>
      <c r="H15498" t="s">
        <v>7</v>
      </c>
      <c r="I15498" t="s">
        <v>2409</v>
      </c>
    </row>
    <row r="15499" spans="1:9" hidden="1" x14ac:dyDescent="0.25">
      <c r="A15499" t="s">
        <v>13080</v>
      </c>
      <c r="B15499" t="s">
        <v>538</v>
      </c>
      <c r="C15499" s="2">
        <f>HYPERLINK("https://cao.dolgi.msk.ru/account/1080124824/", 1080124824)</f>
        <v>1080124824</v>
      </c>
      <c r="D15499" t="s">
        <v>13165</v>
      </c>
      <c r="E15499">
        <v>-4734.93</v>
      </c>
      <c r="F15499">
        <v>-0.82</v>
      </c>
      <c r="G15499" t="s">
        <v>12</v>
      </c>
      <c r="H15499" t="s">
        <v>7</v>
      </c>
      <c r="I15499" t="s">
        <v>2409</v>
      </c>
    </row>
    <row r="15500" spans="1:9" hidden="1" x14ac:dyDescent="0.25">
      <c r="A15500" t="s">
        <v>13080</v>
      </c>
      <c r="B15500" t="s">
        <v>538</v>
      </c>
      <c r="C15500" s="2">
        <f>HYPERLINK("https://cao.dolgi.msk.ru/account/1080321086/", 1080321086)</f>
        <v>1080321086</v>
      </c>
      <c r="D15500" t="s">
        <v>15</v>
      </c>
      <c r="G15500" t="s">
        <v>14</v>
      </c>
      <c r="H15500" t="s">
        <v>7</v>
      </c>
      <c r="I15500" t="s">
        <v>2409</v>
      </c>
    </row>
    <row r="15501" spans="1:9" hidden="1" x14ac:dyDescent="0.25">
      <c r="A15501" t="s">
        <v>13080</v>
      </c>
      <c r="B15501" t="s">
        <v>539</v>
      </c>
      <c r="C15501" s="2">
        <f>HYPERLINK("https://cao.dolgi.msk.ru/account/1080124699/", 1080124699)</f>
        <v>1080124699</v>
      </c>
      <c r="D15501" t="s">
        <v>13166</v>
      </c>
      <c r="E15501">
        <v>-3330.95</v>
      </c>
      <c r="F15501">
        <v>-1.02</v>
      </c>
      <c r="G15501" t="s">
        <v>12</v>
      </c>
      <c r="I15501" t="s">
        <v>2409</v>
      </c>
    </row>
    <row r="15502" spans="1:9" hidden="1" x14ac:dyDescent="0.25">
      <c r="A15502" t="s">
        <v>13080</v>
      </c>
      <c r="B15502" t="s">
        <v>539</v>
      </c>
      <c r="C15502" s="2">
        <f>HYPERLINK("https://cao.dolgi.msk.ru/account/1089125858/", 1089125858)</f>
        <v>1089125858</v>
      </c>
      <c r="D15502" t="s">
        <v>13166</v>
      </c>
      <c r="E15502">
        <v>-3621.18</v>
      </c>
      <c r="F15502">
        <v>-1.01</v>
      </c>
      <c r="G15502" t="s">
        <v>12</v>
      </c>
      <c r="I15502" t="s">
        <v>2409</v>
      </c>
    </row>
    <row r="15503" spans="1:9" hidden="1" x14ac:dyDescent="0.25">
      <c r="A15503" t="s">
        <v>13080</v>
      </c>
      <c r="B15503" t="s">
        <v>541</v>
      </c>
      <c r="C15503" s="2">
        <f>HYPERLINK("https://cao.dolgi.msk.ru/account/1080124701/", 1080124701)</f>
        <v>1080124701</v>
      </c>
      <c r="D15503" t="s">
        <v>13167</v>
      </c>
      <c r="E15503">
        <v>68.3</v>
      </c>
      <c r="F15503">
        <v>0.01</v>
      </c>
      <c r="G15503" t="s">
        <v>12</v>
      </c>
      <c r="I15503" t="s">
        <v>2409</v>
      </c>
    </row>
    <row r="15504" spans="1:9" hidden="1" x14ac:dyDescent="0.25">
      <c r="A15504" t="s">
        <v>13080</v>
      </c>
      <c r="B15504" t="s">
        <v>543</v>
      </c>
      <c r="C15504" s="2">
        <f>HYPERLINK("https://cao.dolgi.msk.ru/account/1080124728/", 1080124728)</f>
        <v>1080124728</v>
      </c>
      <c r="D15504" t="s">
        <v>13168</v>
      </c>
      <c r="E15504">
        <v>0</v>
      </c>
      <c r="F15504">
        <v>0</v>
      </c>
      <c r="G15504" t="s">
        <v>12</v>
      </c>
      <c r="I15504" t="s">
        <v>2409</v>
      </c>
    </row>
    <row r="15505" spans="1:9" hidden="1" x14ac:dyDescent="0.25">
      <c r="A15505" t="s">
        <v>13080</v>
      </c>
      <c r="B15505" t="s">
        <v>545</v>
      </c>
      <c r="C15505" s="2">
        <f>HYPERLINK("https://cao.dolgi.msk.ru/account/1080124736/", 1080124736)</f>
        <v>1080124736</v>
      </c>
      <c r="D15505" t="s">
        <v>13169</v>
      </c>
      <c r="E15505">
        <v>-7524.14</v>
      </c>
      <c r="F15505">
        <v>-0.99</v>
      </c>
      <c r="G15505" t="s">
        <v>12</v>
      </c>
      <c r="I15505" t="s">
        <v>2409</v>
      </c>
    </row>
    <row r="15506" spans="1:9" hidden="1" x14ac:dyDescent="0.25">
      <c r="A15506" t="s">
        <v>13080</v>
      </c>
      <c r="B15506" t="s">
        <v>546</v>
      </c>
      <c r="C15506" s="2">
        <f>HYPERLINK("https://cao.dolgi.msk.ru/account/1080124744/", 1080124744)</f>
        <v>1080124744</v>
      </c>
      <c r="D15506" t="s">
        <v>13170</v>
      </c>
      <c r="E15506">
        <v>-7406.93</v>
      </c>
      <c r="F15506">
        <v>-0.93</v>
      </c>
      <c r="G15506" t="s">
        <v>12</v>
      </c>
      <c r="I15506" t="s">
        <v>2409</v>
      </c>
    </row>
    <row r="15507" spans="1:9" hidden="1" x14ac:dyDescent="0.25">
      <c r="A15507" t="s">
        <v>13080</v>
      </c>
      <c r="B15507" t="s">
        <v>548</v>
      </c>
      <c r="C15507" s="2">
        <f>HYPERLINK("https://cao.dolgi.msk.ru/account/1080124752/", 1080124752)</f>
        <v>1080124752</v>
      </c>
      <c r="D15507" t="s">
        <v>13171</v>
      </c>
      <c r="E15507">
        <v>0</v>
      </c>
      <c r="F15507">
        <v>0</v>
      </c>
      <c r="G15507" t="s">
        <v>12</v>
      </c>
      <c r="H15507" t="s">
        <v>7</v>
      </c>
      <c r="I15507" t="s">
        <v>2409</v>
      </c>
    </row>
    <row r="15508" spans="1:9" x14ac:dyDescent="0.25">
      <c r="A15508" t="s">
        <v>13080</v>
      </c>
      <c r="B15508" t="s">
        <v>548</v>
      </c>
      <c r="C15508" s="2">
        <f>HYPERLINK("https://cao.dolgi.msk.ru/account/1080124779/", 1080124779)</f>
        <v>1080124779</v>
      </c>
      <c r="D15508" t="s">
        <v>13172</v>
      </c>
      <c r="E15508">
        <v>12817.33</v>
      </c>
      <c r="F15508">
        <v>2.69</v>
      </c>
      <c r="G15508" t="s">
        <v>12</v>
      </c>
      <c r="H15508" t="s">
        <v>7</v>
      </c>
      <c r="I15508" t="s">
        <v>2409</v>
      </c>
    </row>
    <row r="15509" spans="1:9" hidden="1" x14ac:dyDescent="0.25">
      <c r="A15509" t="s">
        <v>13080</v>
      </c>
      <c r="B15509" t="s">
        <v>548</v>
      </c>
      <c r="C15509" s="2">
        <f>HYPERLINK("https://cao.dolgi.msk.ru/account/1080124787/", 1080124787)</f>
        <v>1080124787</v>
      </c>
      <c r="D15509" t="s">
        <v>15</v>
      </c>
      <c r="E15509">
        <v>0</v>
      </c>
      <c r="G15509" t="s">
        <v>14</v>
      </c>
      <c r="I15509" t="s">
        <v>2409</v>
      </c>
    </row>
    <row r="15510" spans="1:9" hidden="1" x14ac:dyDescent="0.25">
      <c r="A15510" t="s">
        <v>13080</v>
      </c>
      <c r="B15510" t="s">
        <v>548</v>
      </c>
      <c r="C15510" s="2">
        <f>HYPERLINK("https://cao.dolgi.msk.ru/account/1089129824/", 1089129824)</f>
        <v>1089129824</v>
      </c>
      <c r="D15510" t="s">
        <v>15</v>
      </c>
      <c r="E15510">
        <v>0</v>
      </c>
      <c r="G15510" t="s">
        <v>14</v>
      </c>
      <c r="I15510" t="s">
        <v>2409</v>
      </c>
    </row>
    <row r="15511" spans="1:9" hidden="1" x14ac:dyDescent="0.25">
      <c r="A15511" t="s">
        <v>13080</v>
      </c>
      <c r="B15511" t="s">
        <v>727</v>
      </c>
      <c r="C15511" s="2">
        <f>HYPERLINK("https://cao.dolgi.msk.ru/account/1080124795/", 1080124795)</f>
        <v>1080124795</v>
      </c>
      <c r="D15511" t="s">
        <v>13173</v>
      </c>
      <c r="E15511">
        <v>-3486.74</v>
      </c>
      <c r="F15511">
        <v>-0.38</v>
      </c>
      <c r="G15511" t="s">
        <v>12</v>
      </c>
      <c r="I15511" t="s">
        <v>2409</v>
      </c>
    </row>
    <row r="15512" spans="1:9" hidden="1" x14ac:dyDescent="0.25">
      <c r="A15512" t="s">
        <v>13080</v>
      </c>
      <c r="B15512" t="s">
        <v>551</v>
      </c>
      <c r="C15512" s="2">
        <f>HYPERLINK("https://cao.dolgi.msk.ru/account/1080124808/", 1080124808)</f>
        <v>1080124808</v>
      </c>
      <c r="D15512" t="s">
        <v>1082</v>
      </c>
      <c r="E15512">
        <v>-12201.06</v>
      </c>
      <c r="F15512">
        <v>-1.21</v>
      </c>
      <c r="G15512" t="s">
        <v>12</v>
      </c>
      <c r="I15512" t="s">
        <v>2409</v>
      </c>
    </row>
    <row r="15513" spans="1:9" hidden="1" x14ac:dyDescent="0.25">
      <c r="A15513" t="s">
        <v>13080</v>
      </c>
      <c r="B15513" t="s">
        <v>730</v>
      </c>
      <c r="C15513" s="2">
        <f>HYPERLINK("https://cao.dolgi.msk.ru/account/1080321377/", 1080321377)</f>
        <v>1080321377</v>
      </c>
      <c r="D15513" t="s">
        <v>13174</v>
      </c>
      <c r="E15513">
        <v>-9021.6</v>
      </c>
      <c r="F15513">
        <v>-1.01</v>
      </c>
      <c r="G15513" t="s">
        <v>12</v>
      </c>
      <c r="I15513" t="s">
        <v>2409</v>
      </c>
    </row>
    <row r="15514" spans="1:9" hidden="1" x14ac:dyDescent="0.25">
      <c r="A15514" t="s">
        <v>13080</v>
      </c>
      <c r="B15514" t="s">
        <v>732</v>
      </c>
      <c r="C15514" s="2">
        <f>HYPERLINK("https://cao.dolgi.msk.ru/account/1080319883/", 1080319883)</f>
        <v>1080319883</v>
      </c>
      <c r="D15514" t="s">
        <v>15</v>
      </c>
      <c r="E15514">
        <v>0</v>
      </c>
      <c r="F15514">
        <v>0</v>
      </c>
      <c r="G15514" t="s">
        <v>12</v>
      </c>
      <c r="I15514" t="s">
        <v>2409</v>
      </c>
    </row>
    <row r="15515" spans="1:9" hidden="1" x14ac:dyDescent="0.25">
      <c r="A15515" t="s">
        <v>13175</v>
      </c>
      <c r="B15515" t="s">
        <v>20</v>
      </c>
      <c r="C15515" s="2">
        <f>HYPERLINK("https://cao.dolgi.msk.ru/account/1080124867/", 1080124867)</f>
        <v>1080124867</v>
      </c>
      <c r="D15515" t="s">
        <v>13176</v>
      </c>
      <c r="E15515">
        <v>1224.78</v>
      </c>
      <c r="F15515">
        <v>0.18</v>
      </c>
      <c r="G15515" t="s">
        <v>12</v>
      </c>
      <c r="I15515" t="s">
        <v>2409</v>
      </c>
    </row>
    <row r="15516" spans="1:9" hidden="1" x14ac:dyDescent="0.25">
      <c r="A15516" t="s">
        <v>13175</v>
      </c>
      <c r="B15516" t="s">
        <v>21</v>
      </c>
      <c r="C15516" s="2">
        <f>HYPERLINK("https://cao.dolgi.msk.ru/account/1080124875/", 1080124875)</f>
        <v>1080124875</v>
      </c>
      <c r="D15516" t="s">
        <v>13177</v>
      </c>
      <c r="E15516">
        <v>-58.2</v>
      </c>
      <c r="F15516">
        <v>-0.01</v>
      </c>
      <c r="G15516" t="s">
        <v>12</v>
      </c>
      <c r="I15516" t="s">
        <v>2409</v>
      </c>
    </row>
    <row r="15517" spans="1:9" hidden="1" x14ac:dyDescent="0.25">
      <c r="A15517" t="s">
        <v>13175</v>
      </c>
      <c r="B15517" t="s">
        <v>22</v>
      </c>
      <c r="C15517" s="2">
        <f>HYPERLINK("https://cao.dolgi.msk.ru/account/1080124891/", 1080124891)</f>
        <v>1080124891</v>
      </c>
      <c r="D15517" t="s">
        <v>15</v>
      </c>
      <c r="E15517">
        <v>0</v>
      </c>
      <c r="F15517">
        <v>0</v>
      </c>
      <c r="G15517" t="s">
        <v>12</v>
      </c>
      <c r="I15517" t="s">
        <v>2409</v>
      </c>
    </row>
    <row r="15518" spans="1:9" hidden="1" x14ac:dyDescent="0.25">
      <c r="A15518" t="s">
        <v>13175</v>
      </c>
      <c r="B15518" t="s">
        <v>23</v>
      </c>
      <c r="C15518" s="2">
        <f>HYPERLINK("https://cao.dolgi.msk.ru/account/1080124904/", 1080124904)</f>
        <v>1080124904</v>
      </c>
      <c r="D15518" t="s">
        <v>13178</v>
      </c>
      <c r="E15518">
        <v>-18.510000000000002</v>
      </c>
      <c r="F15518">
        <v>0</v>
      </c>
      <c r="G15518" t="s">
        <v>12</v>
      </c>
      <c r="I15518" t="s">
        <v>2409</v>
      </c>
    </row>
    <row r="15519" spans="1:9" hidden="1" x14ac:dyDescent="0.25">
      <c r="A15519" t="s">
        <v>13175</v>
      </c>
      <c r="B15519" t="s">
        <v>24</v>
      </c>
      <c r="C15519" s="2">
        <f>HYPERLINK("https://cao.dolgi.msk.ru/account/1080124912/", 1080124912)</f>
        <v>1080124912</v>
      </c>
      <c r="D15519" t="s">
        <v>13179</v>
      </c>
      <c r="E15519">
        <v>-7180.72</v>
      </c>
      <c r="F15519">
        <v>-1.04</v>
      </c>
      <c r="G15519" t="s">
        <v>12</v>
      </c>
      <c r="I15519" t="s">
        <v>2409</v>
      </c>
    </row>
    <row r="15520" spans="1:9" hidden="1" x14ac:dyDescent="0.25">
      <c r="A15520" t="s">
        <v>13175</v>
      </c>
      <c r="B15520" t="s">
        <v>27</v>
      </c>
      <c r="C15520" s="2">
        <f>HYPERLINK("https://cao.dolgi.msk.ru/account/1080124939/", 1080124939)</f>
        <v>1080124939</v>
      </c>
      <c r="D15520" t="s">
        <v>13180</v>
      </c>
      <c r="E15520">
        <v>-241.9</v>
      </c>
      <c r="F15520">
        <v>-0.03</v>
      </c>
      <c r="G15520" t="s">
        <v>12</v>
      </c>
      <c r="I15520" t="s">
        <v>2409</v>
      </c>
    </row>
    <row r="15521" spans="1:9" hidden="1" x14ac:dyDescent="0.25">
      <c r="A15521" t="s">
        <v>13175</v>
      </c>
      <c r="B15521" t="s">
        <v>29</v>
      </c>
      <c r="C15521" s="2">
        <f>HYPERLINK("https://cao.dolgi.msk.ru/account/1080124947/", 1080124947)</f>
        <v>1080124947</v>
      </c>
      <c r="D15521" t="s">
        <v>13181</v>
      </c>
      <c r="E15521">
        <v>-6790.44</v>
      </c>
      <c r="F15521">
        <v>-1.03</v>
      </c>
      <c r="G15521" t="s">
        <v>12</v>
      </c>
      <c r="I15521" t="s">
        <v>2409</v>
      </c>
    </row>
    <row r="15522" spans="1:9" hidden="1" x14ac:dyDescent="0.25">
      <c r="A15522" t="s">
        <v>13175</v>
      </c>
      <c r="B15522" t="s">
        <v>31</v>
      </c>
      <c r="C15522" s="2">
        <f>HYPERLINK("https://cao.dolgi.msk.ru/account/1080124955/", 1080124955)</f>
        <v>1080124955</v>
      </c>
      <c r="D15522" t="s">
        <v>13182</v>
      </c>
      <c r="E15522">
        <v>-908.31</v>
      </c>
      <c r="F15522">
        <v>-0.12</v>
      </c>
      <c r="G15522" t="s">
        <v>12</v>
      </c>
      <c r="I15522" t="s">
        <v>2409</v>
      </c>
    </row>
    <row r="15523" spans="1:9" hidden="1" x14ac:dyDescent="0.25">
      <c r="A15523" t="s">
        <v>13175</v>
      </c>
      <c r="B15523" t="s">
        <v>31</v>
      </c>
      <c r="C15523" s="2">
        <f>HYPERLINK("https://cao.dolgi.msk.ru/account/1089131529/", 1089131529)</f>
        <v>1089131529</v>
      </c>
      <c r="D15523" t="s">
        <v>15</v>
      </c>
      <c r="G15523" t="s">
        <v>14</v>
      </c>
      <c r="I15523" t="s">
        <v>2409</v>
      </c>
    </row>
    <row r="15524" spans="1:9" hidden="1" x14ac:dyDescent="0.25">
      <c r="A15524" t="s">
        <v>13175</v>
      </c>
      <c r="B15524" t="s">
        <v>33</v>
      </c>
      <c r="C15524" s="2">
        <f>HYPERLINK("https://cao.dolgi.msk.ru/account/1080124963/", 1080124963)</f>
        <v>1080124963</v>
      </c>
      <c r="D15524" t="s">
        <v>13183</v>
      </c>
      <c r="E15524">
        <v>3724.87</v>
      </c>
      <c r="F15524">
        <v>0.43</v>
      </c>
      <c r="G15524" t="s">
        <v>12</v>
      </c>
      <c r="I15524" t="s">
        <v>2409</v>
      </c>
    </row>
    <row r="15525" spans="1:9" hidden="1" x14ac:dyDescent="0.25">
      <c r="A15525" t="s">
        <v>13175</v>
      </c>
      <c r="B15525" t="s">
        <v>34</v>
      </c>
      <c r="C15525" s="2">
        <f>HYPERLINK("https://cao.dolgi.msk.ru/account/1080124971/", 1080124971)</f>
        <v>1080124971</v>
      </c>
      <c r="D15525" t="s">
        <v>13184</v>
      </c>
      <c r="E15525">
        <v>-7043.91</v>
      </c>
      <c r="F15525">
        <v>-1.1299999999999999</v>
      </c>
      <c r="G15525" t="s">
        <v>12</v>
      </c>
      <c r="I15525" t="s">
        <v>2409</v>
      </c>
    </row>
    <row r="15526" spans="1:9" hidden="1" x14ac:dyDescent="0.25">
      <c r="A15526" t="s">
        <v>13175</v>
      </c>
      <c r="B15526" t="s">
        <v>36</v>
      </c>
      <c r="C15526" s="2">
        <f>HYPERLINK("https://cao.dolgi.msk.ru/account/1080124998/", 1080124998)</f>
        <v>1080124998</v>
      </c>
      <c r="D15526" t="s">
        <v>13185</v>
      </c>
      <c r="E15526">
        <v>21.85</v>
      </c>
      <c r="F15526">
        <v>0.01</v>
      </c>
      <c r="G15526" t="s">
        <v>12</v>
      </c>
      <c r="I15526" t="s">
        <v>2409</v>
      </c>
    </row>
    <row r="15527" spans="1:9" hidden="1" x14ac:dyDescent="0.25">
      <c r="A15527" t="s">
        <v>13175</v>
      </c>
      <c r="B15527" t="s">
        <v>38</v>
      </c>
      <c r="C15527" s="2">
        <f>HYPERLINK("https://cao.dolgi.msk.ru/account/1080125018/", 1080125018)</f>
        <v>1080125018</v>
      </c>
      <c r="D15527" t="s">
        <v>13186</v>
      </c>
      <c r="E15527">
        <v>-19502.330000000002</v>
      </c>
      <c r="F15527">
        <v>-2.82</v>
      </c>
      <c r="G15527" t="s">
        <v>12</v>
      </c>
      <c r="I15527" t="s">
        <v>2409</v>
      </c>
    </row>
    <row r="15528" spans="1:9" hidden="1" x14ac:dyDescent="0.25">
      <c r="A15528" t="s">
        <v>13175</v>
      </c>
      <c r="B15528" t="s">
        <v>39</v>
      </c>
      <c r="C15528" s="2">
        <f>HYPERLINK("https://cao.dolgi.msk.ru/account/1080125026/", 1080125026)</f>
        <v>1080125026</v>
      </c>
      <c r="D15528" t="s">
        <v>13187</v>
      </c>
      <c r="E15528">
        <v>2777.7</v>
      </c>
      <c r="F15528">
        <v>0.68</v>
      </c>
      <c r="G15528" t="s">
        <v>12</v>
      </c>
      <c r="H15528" t="s">
        <v>7</v>
      </c>
      <c r="I15528" t="s">
        <v>2409</v>
      </c>
    </row>
    <row r="15529" spans="1:9" hidden="1" x14ac:dyDescent="0.25">
      <c r="A15529" t="s">
        <v>13175</v>
      </c>
      <c r="B15529" t="s">
        <v>39</v>
      </c>
      <c r="C15529" s="2">
        <f>HYPERLINK("https://cao.dolgi.msk.ru/account/1080125034/", 1080125034)</f>
        <v>1080125034</v>
      </c>
      <c r="D15529" t="s">
        <v>13187</v>
      </c>
      <c r="E15529">
        <v>2696.41</v>
      </c>
      <c r="F15529">
        <v>0.69</v>
      </c>
      <c r="G15529" t="s">
        <v>12</v>
      </c>
      <c r="H15529" t="s">
        <v>7</v>
      </c>
      <c r="I15529" t="s">
        <v>2409</v>
      </c>
    </row>
    <row r="15530" spans="1:9" hidden="1" x14ac:dyDescent="0.25">
      <c r="A15530" t="s">
        <v>13175</v>
      </c>
      <c r="B15530" t="s">
        <v>40</v>
      </c>
      <c r="C15530" s="2">
        <f>HYPERLINK("https://cao.dolgi.msk.ru/account/1080125042/", 1080125042)</f>
        <v>1080125042</v>
      </c>
      <c r="D15530" t="s">
        <v>13188</v>
      </c>
      <c r="E15530">
        <v>-3994.18</v>
      </c>
      <c r="F15530">
        <v>-1.01</v>
      </c>
      <c r="G15530" t="s">
        <v>12</v>
      </c>
      <c r="H15530" t="s">
        <v>7</v>
      </c>
      <c r="I15530" t="s">
        <v>2409</v>
      </c>
    </row>
    <row r="15531" spans="1:9" x14ac:dyDescent="0.25">
      <c r="A15531" t="s">
        <v>13175</v>
      </c>
      <c r="B15531" t="s">
        <v>40</v>
      </c>
      <c r="C15531" s="2">
        <f>HYPERLINK("https://cao.dolgi.msk.ru/account/1080125069/", 1080125069)</f>
        <v>1080125069</v>
      </c>
      <c r="D15531" t="s">
        <v>13189</v>
      </c>
      <c r="E15531">
        <v>4144.59</v>
      </c>
      <c r="F15531">
        <v>2.41</v>
      </c>
      <c r="G15531" t="s">
        <v>12</v>
      </c>
      <c r="H15531" t="s">
        <v>7</v>
      </c>
      <c r="I15531" t="s">
        <v>2409</v>
      </c>
    </row>
    <row r="15532" spans="1:9" x14ac:dyDescent="0.25">
      <c r="A15532" t="s">
        <v>13175</v>
      </c>
      <c r="B15532" t="s">
        <v>40</v>
      </c>
      <c r="C15532" s="2">
        <f>HYPERLINK("https://cao.dolgi.msk.ru/account/1080125317/", 1080125317)</f>
        <v>1080125317</v>
      </c>
      <c r="D15532" t="s">
        <v>13189</v>
      </c>
      <c r="E15532">
        <v>4094.42</v>
      </c>
      <c r="F15532">
        <v>1.92</v>
      </c>
      <c r="G15532" t="s">
        <v>12</v>
      </c>
      <c r="H15532" t="s">
        <v>7</v>
      </c>
      <c r="I15532" t="s">
        <v>2409</v>
      </c>
    </row>
    <row r="15533" spans="1:9" hidden="1" x14ac:dyDescent="0.25">
      <c r="A15533" t="s">
        <v>13175</v>
      </c>
      <c r="B15533" t="s">
        <v>41</v>
      </c>
      <c r="C15533" s="2">
        <f>HYPERLINK("https://cao.dolgi.msk.ru/account/1080125077/", 1080125077)</f>
        <v>1080125077</v>
      </c>
      <c r="D15533" t="s">
        <v>13190</v>
      </c>
      <c r="E15533">
        <v>-2794.7</v>
      </c>
      <c r="F15533">
        <v>-1.79</v>
      </c>
      <c r="G15533" t="s">
        <v>12</v>
      </c>
      <c r="I15533" t="s">
        <v>2409</v>
      </c>
    </row>
    <row r="15534" spans="1:9" hidden="1" x14ac:dyDescent="0.25">
      <c r="A15534" t="s">
        <v>13175</v>
      </c>
      <c r="B15534" t="s">
        <v>41</v>
      </c>
      <c r="C15534" s="2">
        <f>HYPERLINK("https://cao.dolgi.msk.ru/account/1080125085/", 1080125085)</f>
        <v>1080125085</v>
      </c>
      <c r="D15534" t="s">
        <v>13190</v>
      </c>
      <c r="E15534">
        <v>54.87</v>
      </c>
      <c r="F15534">
        <v>0.02</v>
      </c>
      <c r="G15534" t="s">
        <v>14</v>
      </c>
      <c r="I15534" t="s">
        <v>2409</v>
      </c>
    </row>
    <row r="15535" spans="1:9" hidden="1" x14ac:dyDescent="0.25">
      <c r="A15535" t="s">
        <v>13175</v>
      </c>
      <c r="B15535" t="s">
        <v>41</v>
      </c>
      <c r="C15535" s="2">
        <f>HYPERLINK("https://cao.dolgi.msk.ru/account/1080125093/", 1080125093)</f>
        <v>1080125093</v>
      </c>
      <c r="D15535" t="s">
        <v>62</v>
      </c>
      <c r="E15535">
        <v>-3814.84</v>
      </c>
      <c r="F15535">
        <v>-1.1399999999999999</v>
      </c>
      <c r="G15535" t="s">
        <v>14</v>
      </c>
      <c r="I15535" t="s">
        <v>2409</v>
      </c>
    </row>
    <row r="15536" spans="1:9" hidden="1" x14ac:dyDescent="0.25">
      <c r="A15536" t="s">
        <v>13175</v>
      </c>
      <c r="B15536" t="s">
        <v>42</v>
      </c>
      <c r="C15536" s="2">
        <f>HYPERLINK("https://cao.dolgi.msk.ru/account/1080125106/", 1080125106)</f>
        <v>1080125106</v>
      </c>
      <c r="D15536" t="s">
        <v>13191</v>
      </c>
      <c r="E15536">
        <v>-7106.24</v>
      </c>
      <c r="F15536">
        <v>-0.95</v>
      </c>
      <c r="G15536" t="s">
        <v>12</v>
      </c>
      <c r="I15536" t="s">
        <v>2409</v>
      </c>
    </row>
    <row r="15537" spans="1:9" hidden="1" x14ac:dyDescent="0.25">
      <c r="A15537" t="s">
        <v>13175</v>
      </c>
      <c r="B15537" t="s">
        <v>42</v>
      </c>
      <c r="C15537" s="2">
        <f>HYPERLINK("https://cao.dolgi.msk.ru/account/1080125114/", 1080125114)</f>
        <v>1080125114</v>
      </c>
      <c r="D15537" t="s">
        <v>15</v>
      </c>
      <c r="G15537" t="s">
        <v>14</v>
      </c>
      <c r="I15537" t="s">
        <v>2409</v>
      </c>
    </row>
    <row r="15538" spans="1:9" hidden="1" x14ac:dyDescent="0.25">
      <c r="A15538" t="s">
        <v>13175</v>
      </c>
      <c r="B15538" t="s">
        <v>68</v>
      </c>
      <c r="C15538" s="2">
        <f>HYPERLINK("https://cao.dolgi.msk.ru/account/1080125122/", 1080125122)</f>
        <v>1080125122</v>
      </c>
      <c r="D15538" t="s">
        <v>13192</v>
      </c>
      <c r="E15538">
        <v>-5429.08</v>
      </c>
      <c r="F15538">
        <v>-0.53</v>
      </c>
      <c r="G15538" t="s">
        <v>12</v>
      </c>
      <c r="I15538" t="s">
        <v>2409</v>
      </c>
    </row>
    <row r="15539" spans="1:9" hidden="1" x14ac:dyDescent="0.25">
      <c r="A15539" t="s">
        <v>13175</v>
      </c>
      <c r="B15539" t="s">
        <v>68</v>
      </c>
      <c r="C15539" s="2">
        <f>HYPERLINK("https://cao.dolgi.msk.ru/account/1080125149/", 1080125149)</f>
        <v>1080125149</v>
      </c>
      <c r="D15539" t="s">
        <v>13192</v>
      </c>
      <c r="E15539">
        <v>945.34</v>
      </c>
      <c r="F15539">
        <v>0.5</v>
      </c>
      <c r="G15539" t="s">
        <v>12</v>
      </c>
      <c r="I15539" t="s">
        <v>2409</v>
      </c>
    </row>
    <row r="15540" spans="1:9" hidden="1" x14ac:dyDescent="0.25">
      <c r="A15540" t="s">
        <v>13175</v>
      </c>
      <c r="B15540" t="s">
        <v>68</v>
      </c>
      <c r="C15540" s="2">
        <f>HYPERLINK("https://cao.dolgi.msk.ru/account/1080125325/", 1080125325)</f>
        <v>1080125325</v>
      </c>
      <c r="D15540" t="s">
        <v>13193</v>
      </c>
      <c r="E15540">
        <v>0</v>
      </c>
      <c r="G15540" t="s">
        <v>14</v>
      </c>
      <c r="H15540" t="s">
        <v>7</v>
      </c>
      <c r="I15540" t="s">
        <v>2409</v>
      </c>
    </row>
    <row r="15541" spans="1:9" hidden="1" x14ac:dyDescent="0.25">
      <c r="A15541" t="s">
        <v>13175</v>
      </c>
      <c r="B15541" t="s">
        <v>68</v>
      </c>
      <c r="C15541" s="2">
        <f>HYPERLINK("https://cao.dolgi.msk.ru/account/1083270894/", 1083270894)</f>
        <v>1083270894</v>
      </c>
      <c r="D15541" t="s">
        <v>15</v>
      </c>
      <c r="E15541">
        <v>2826.95</v>
      </c>
      <c r="F15541">
        <v>0.78</v>
      </c>
      <c r="G15541" t="s">
        <v>12</v>
      </c>
      <c r="I15541" t="s">
        <v>2409</v>
      </c>
    </row>
    <row r="15542" spans="1:9" hidden="1" x14ac:dyDescent="0.25">
      <c r="A15542" t="s">
        <v>13175</v>
      </c>
      <c r="B15542" t="s">
        <v>68</v>
      </c>
      <c r="C15542" s="2">
        <f>HYPERLINK("https://cao.dolgi.msk.ru/account/1083271416/", 1083271416)</f>
        <v>1083271416</v>
      </c>
      <c r="D15542" t="s">
        <v>15</v>
      </c>
      <c r="E15542">
        <v>10442.99</v>
      </c>
      <c r="G15542" t="s">
        <v>14</v>
      </c>
      <c r="I15542" t="s">
        <v>2409</v>
      </c>
    </row>
    <row r="15543" spans="1:9" hidden="1" x14ac:dyDescent="0.25">
      <c r="A15543" t="s">
        <v>13175</v>
      </c>
      <c r="B15543" t="s">
        <v>68</v>
      </c>
      <c r="C15543" s="2">
        <f>HYPERLINK("https://cao.dolgi.msk.ru/account/1083391661/", 1083391661)</f>
        <v>1083391661</v>
      </c>
      <c r="D15543" t="s">
        <v>189</v>
      </c>
      <c r="E15543">
        <v>1397.69</v>
      </c>
      <c r="F15543">
        <v>0.86</v>
      </c>
      <c r="G15543" t="s">
        <v>12</v>
      </c>
      <c r="I15543" t="s">
        <v>2409</v>
      </c>
    </row>
    <row r="15544" spans="1:9" hidden="1" x14ac:dyDescent="0.25">
      <c r="A15544" t="s">
        <v>13175</v>
      </c>
      <c r="B15544" t="s">
        <v>70</v>
      </c>
      <c r="C15544" s="2">
        <f>HYPERLINK("https://cao.dolgi.msk.ru/account/1080125157/", 1080125157)</f>
        <v>1080125157</v>
      </c>
      <c r="D15544" t="s">
        <v>13194</v>
      </c>
      <c r="E15544">
        <v>-12185.66</v>
      </c>
      <c r="F15544">
        <v>-1.03</v>
      </c>
      <c r="G15544" t="s">
        <v>12</v>
      </c>
      <c r="I15544" t="s">
        <v>2409</v>
      </c>
    </row>
    <row r="15545" spans="1:9" hidden="1" x14ac:dyDescent="0.25">
      <c r="A15545" t="s">
        <v>13175</v>
      </c>
      <c r="B15545" t="s">
        <v>72</v>
      </c>
      <c r="C15545" s="2">
        <f>HYPERLINK("https://cao.dolgi.msk.ru/account/1080125165/", 1080125165)</f>
        <v>1080125165</v>
      </c>
      <c r="D15545" t="s">
        <v>13195</v>
      </c>
      <c r="E15545">
        <v>-782.84</v>
      </c>
      <c r="F15545">
        <v>-0.09</v>
      </c>
      <c r="G15545" t="s">
        <v>12</v>
      </c>
      <c r="I15545" t="s">
        <v>2409</v>
      </c>
    </row>
    <row r="15546" spans="1:9" hidden="1" x14ac:dyDescent="0.25">
      <c r="A15546" t="s">
        <v>13175</v>
      </c>
      <c r="B15546" t="s">
        <v>74</v>
      </c>
      <c r="C15546" s="2">
        <f>HYPERLINK("https://cao.dolgi.msk.ru/account/1080125173/", 1080125173)</f>
        <v>1080125173</v>
      </c>
      <c r="D15546" t="s">
        <v>13196</v>
      </c>
      <c r="E15546">
        <v>-5617.51</v>
      </c>
      <c r="G15546" t="s">
        <v>14</v>
      </c>
      <c r="I15546" t="s">
        <v>2409</v>
      </c>
    </row>
    <row r="15547" spans="1:9" hidden="1" x14ac:dyDescent="0.25">
      <c r="A15547" t="s">
        <v>13175</v>
      </c>
      <c r="B15547" t="s">
        <v>74</v>
      </c>
      <c r="C15547" s="2">
        <f>HYPERLINK("https://cao.dolgi.msk.ru/account/1089123596/", 1089123596)</f>
        <v>1089123596</v>
      </c>
      <c r="D15547" t="s">
        <v>15</v>
      </c>
      <c r="E15547">
        <v>-11022.01</v>
      </c>
      <c r="F15547">
        <v>-0.92</v>
      </c>
      <c r="G15547" t="s">
        <v>12</v>
      </c>
      <c r="I15547" t="s">
        <v>2409</v>
      </c>
    </row>
    <row r="15548" spans="1:9" x14ac:dyDescent="0.25">
      <c r="A15548" t="s">
        <v>13175</v>
      </c>
      <c r="B15548" t="s">
        <v>76</v>
      </c>
      <c r="C15548" s="2">
        <f>HYPERLINK("https://cao.dolgi.msk.ru/account/1080125202/", 1080125202)</f>
        <v>1080125202</v>
      </c>
      <c r="D15548" t="s">
        <v>13197</v>
      </c>
      <c r="E15548">
        <v>7460.38</v>
      </c>
      <c r="F15548">
        <v>1.18</v>
      </c>
      <c r="G15548" t="s">
        <v>12</v>
      </c>
      <c r="H15548" t="s">
        <v>7</v>
      </c>
      <c r="I15548" t="s">
        <v>2409</v>
      </c>
    </row>
    <row r="15549" spans="1:9" hidden="1" x14ac:dyDescent="0.25">
      <c r="A15549" t="s">
        <v>13175</v>
      </c>
      <c r="B15549" t="s">
        <v>76</v>
      </c>
      <c r="C15549" s="2">
        <f>HYPERLINK("https://cao.dolgi.msk.ru/account/1080125237/", 1080125237)</f>
        <v>1080125237</v>
      </c>
      <c r="D15549" t="s">
        <v>13197</v>
      </c>
      <c r="E15549">
        <v>-7676.93</v>
      </c>
      <c r="F15549">
        <v>-1.01</v>
      </c>
      <c r="G15549" t="s">
        <v>12</v>
      </c>
      <c r="H15549" t="s">
        <v>7</v>
      </c>
      <c r="I15549" t="s">
        <v>2409</v>
      </c>
    </row>
    <row r="15550" spans="1:9" hidden="1" x14ac:dyDescent="0.25">
      <c r="A15550" t="s">
        <v>13175</v>
      </c>
      <c r="B15550" t="s">
        <v>78</v>
      </c>
      <c r="C15550" s="2">
        <f>HYPERLINK("https://cao.dolgi.msk.ru/account/1080125245/", 1080125245)</f>
        <v>1080125245</v>
      </c>
      <c r="D15550" t="s">
        <v>13198</v>
      </c>
      <c r="E15550">
        <v>-5649.9</v>
      </c>
      <c r="F15550">
        <v>-1.72</v>
      </c>
      <c r="G15550" t="s">
        <v>12</v>
      </c>
      <c r="H15550" t="s">
        <v>7</v>
      </c>
      <c r="I15550" t="s">
        <v>2409</v>
      </c>
    </row>
    <row r="15551" spans="1:9" hidden="1" x14ac:dyDescent="0.25">
      <c r="A15551" t="s">
        <v>13175</v>
      </c>
      <c r="B15551" t="s">
        <v>78</v>
      </c>
      <c r="C15551" s="2">
        <f>HYPERLINK("https://cao.dolgi.msk.ru/account/1080125253/", 1080125253)</f>
        <v>1080125253</v>
      </c>
      <c r="D15551" t="s">
        <v>13198</v>
      </c>
      <c r="E15551">
        <v>-326.67</v>
      </c>
      <c r="F15551">
        <v>-0.06</v>
      </c>
      <c r="G15551" t="s">
        <v>12</v>
      </c>
      <c r="H15551" t="s">
        <v>7</v>
      </c>
      <c r="I15551" t="s">
        <v>2409</v>
      </c>
    </row>
    <row r="15552" spans="1:9" hidden="1" x14ac:dyDescent="0.25">
      <c r="A15552" t="s">
        <v>13175</v>
      </c>
      <c r="B15552" t="s">
        <v>80</v>
      </c>
      <c r="C15552" s="2">
        <f>HYPERLINK("https://cao.dolgi.msk.ru/account/1080125261/", 1080125261)</f>
        <v>1080125261</v>
      </c>
      <c r="D15552" t="s">
        <v>13199</v>
      </c>
      <c r="E15552">
        <v>34.549999999999997</v>
      </c>
      <c r="F15552">
        <v>0</v>
      </c>
      <c r="G15552" t="s">
        <v>12</v>
      </c>
      <c r="I15552" t="s">
        <v>2409</v>
      </c>
    </row>
    <row r="15553" spans="1:9" hidden="1" x14ac:dyDescent="0.25">
      <c r="A15553" t="s">
        <v>13175</v>
      </c>
      <c r="B15553" t="s">
        <v>80</v>
      </c>
      <c r="C15553" s="2">
        <f>HYPERLINK("https://cao.dolgi.msk.ru/account/1080125288/", 1080125288)</f>
        <v>1080125288</v>
      </c>
      <c r="D15553" t="s">
        <v>13199</v>
      </c>
      <c r="E15553">
        <v>425.41</v>
      </c>
      <c r="G15553" t="s">
        <v>14</v>
      </c>
      <c r="I15553" t="s">
        <v>2409</v>
      </c>
    </row>
    <row r="15554" spans="1:9" hidden="1" x14ac:dyDescent="0.25">
      <c r="A15554" t="s">
        <v>13175</v>
      </c>
      <c r="B15554" t="s">
        <v>82</v>
      </c>
      <c r="C15554" s="2">
        <f>HYPERLINK("https://cao.dolgi.msk.ru/account/1080125296/", 1080125296)</f>
        <v>1080125296</v>
      </c>
      <c r="D15554" t="s">
        <v>13200</v>
      </c>
      <c r="E15554">
        <v>35.53</v>
      </c>
      <c r="F15554">
        <v>0.01</v>
      </c>
      <c r="G15554" t="s">
        <v>12</v>
      </c>
      <c r="I15554" t="s">
        <v>2409</v>
      </c>
    </row>
    <row r="15555" spans="1:9" hidden="1" x14ac:dyDescent="0.25">
      <c r="A15555" t="s">
        <v>13175</v>
      </c>
      <c r="B15555" t="s">
        <v>84</v>
      </c>
      <c r="C15555" s="2">
        <f>HYPERLINK("https://cao.dolgi.msk.ru/account/1080125309/", 1080125309)</f>
        <v>1080125309</v>
      </c>
      <c r="D15555" t="s">
        <v>13201</v>
      </c>
      <c r="E15555">
        <v>-12190.22</v>
      </c>
      <c r="F15555">
        <v>-1.08</v>
      </c>
      <c r="G15555" t="s">
        <v>12</v>
      </c>
      <c r="I15555" t="s">
        <v>2409</v>
      </c>
    </row>
    <row r="15556" spans="1:9" hidden="1" x14ac:dyDescent="0.25">
      <c r="A15556" t="s">
        <v>13202</v>
      </c>
      <c r="B15556" t="s">
        <v>10</v>
      </c>
      <c r="C15556" s="2">
        <f>HYPERLINK("https://cao.dolgi.msk.ru/account/1080137721/", 1080137721)</f>
        <v>1080137721</v>
      </c>
      <c r="D15556" t="s">
        <v>13203</v>
      </c>
      <c r="E15556">
        <v>0</v>
      </c>
      <c r="F15556">
        <v>0</v>
      </c>
      <c r="G15556" t="s">
        <v>14</v>
      </c>
      <c r="I15556" t="s">
        <v>2409</v>
      </c>
    </row>
    <row r="15557" spans="1:9" hidden="1" x14ac:dyDescent="0.25">
      <c r="A15557" t="s">
        <v>13202</v>
      </c>
      <c r="B15557" t="s">
        <v>10</v>
      </c>
      <c r="C15557" s="2">
        <f>HYPERLINK("https://cao.dolgi.msk.ru/account/1083393739/", 1083393739)</f>
        <v>1083393739</v>
      </c>
      <c r="D15557" t="s">
        <v>13203</v>
      </c>
      <c r="E15557">
        <v>4549.97</v>
      </c>
      <c r="F15557">
        <v>0.98</v>
      </c>
      <c r="G15557" t="s">
        <v>12</v>
      </c>
      <c r="I15557" t="s">
        <v>2409</v>
      </c>
    </row>
    <row r="15558" spans="1:9" hidden="1" x14ac:dyDescent="0.25">
      <c r="A15558" t="s">
        <v>13202</v>
      </c>
      <c r="B15558" t="s">
        <v>16</v>
      </c>
      <c r="C15558" s="2">
        <f>HYPERLINK("https://cao.dolgi.msk.ru/account/1080137748/", 1080137748)</f>
        <v>1080137748</v>
      </c>
      <c r="D15558" t="s">
        <v>13204</v>
      </c>
      <c r="E15558">
        <v>-3154.87</v>
      </c>
      <c r="G15558" t="s">
        <v>14</v>
      </c>
      <c r="I15558" t="s">
        <v>2409</v>
      </c>
    </row>
    <row r="15559" spans="1:9" hidden="1" x14ac:dyDescent="0.25">
      <c r="A15559" t="s">
        <v>13202</v>
      </c>
      <c r="B15559" t="s">
        <v>16</v>
      </c>
      <c r="C15559" s="2">
        <f>HYPERLINK("https://cao.dolgi.msk.ru/account/1083393413/", 1083393413)</f>
        <v>1083393413</v>
      </c>
      <c r="D15559" t="s">
        <v>13204</v>
      </c>
      <c r="E15559">
        <v>-215.89</v>
      </c>
      <c r="F15559">
        <v>-0.04</v>
      </c>
      <c r="G15559" t="s">
        <v>12</v>
      </c>
      <c r="I15559" t="s">
        <v>2409</v>
      </c>
    </row>
    <row r="15560" spans="1:9" hidden="1" x14ac:dyDescent="0.25">
      <c r="A15560" t="s">
        <v>13202</v>
      </c>
      <c r="B15560" t="s">
        <v>18</v>
      </c>
      <c r="C15560" s="2">
        <f>HYPERLINK("https://cao.dolgi.msk.ru/account/1080137756/", 1080137756)</f>
        <v>1080137756</v>
      </c>
      <c r="D15560" t="s">
        <v>13205</v>
      </c>
      <c r="E15560">
        <v>0</v>
      </c>
      <c r="F15560">
        <v>0</v>
      </c>
      <c r="G15560" t="s">
        <v>14</v>
      </c>
      <c r="I15560" t="s">
        <v>2409</v>
      </c>
    </row>
    <row r="15561" spans="1:9" hidden="1" x14ac:dyDescent="0.25">
      <c r="A15561" t="s">
        <v>13202</v>
      </c>
      <c r="B15561" t="s">
        <v>18</v>
      </c>
      <c r="C15561" s="2">
        <f>HYPERLINK("https://cao.dolgi.msk.ru/account/1083393536/", 1083393536)</f>
        <v>1083393536</v>
      </c>
      <c r="D15561" t="s">
        <v>13205</v>
      </c>
      <c r="E15561">
        <v>-3074.39</v>
      </c>
      <c r="F15561">
        <v>-1.08</v>
      </c>
      <c r="G15561" t="s">
        <v>12</v>
      </c>
      <c r="I15561" t="s">
        <v>2409</v>
      </c>
    </row>
    <row r="15562" spans="1:9" hidden="1" x14ac:dyDescent="0.25">
      <c r="A15562" t="s">
        <v>13202</v>
      </c>
      <c r="B15562" t="s">
        <v>20</v>
      </c>
      <c r="C15562" s="2">
        <f>HYPERLINK("https://cao.dolgi.msk.ru/account/1080137764/", 1080137764)</f>
        <v>1080137764</v>
      </c>
      <c r="D15562" t="s">
        <v>13206</v>
      </c>
      <c r="E15562">
        <v>3304.65</v>
      </c>
      <c r="G15562" t="s">
        <v>14</v>
      </c>
      <c r="I15562" t="s">
        <v>2409</v>
      </c>
    </row>
    <row r="15563" spans="1:9" hidden="1" x14ac:dyDescent="0.25">
      <c r="A15563" t="s">
        <v>13202</v>
      </c>
      <c r="B15563" t="s">
        <v>20</v>
      </c>
      <c r="C15563" s="2">
        <f>HYPERLINK("https://cao.dolgi.msk.ru/account/1083393309/", 1083393309)</f>
        <v>1083393309</v>
      </c>
      <c r="D15563" t="s">
        <v>13206</v>
      </c>
      <c r="E15563">
        <v>-2364.31</v>
      </c>
      <c r="F15563">
        <v>-1.02</v>
      </c>
      <c r="G15563" t="s">
        <v>12</v>
      </c>
      <c r="I15563" t="s">
        <v>2409</v>
      </c>
    </row>
    <row r="15564" spans="1:9" hidden="1" x14ac:dyDescent="0.25">
      <c r="A15564" t="s">
        <v>13202</v>
      </c>
      <c r="B15564" t="s">
        <v>21</v>
      </c>
      <c r="C15564" s="2">
        <f>HYPERLINK("https://cao.dolgi.msk.ru/account/1080137772/", 1080137772)</f>
        <v>1080137772</v>
      </c>
      <c r="D15564" t="s">
        <v>13207</v>
      </c>
      <c r="E15564">
        <v>-829.89</v>
      </c>
      <c r="G15564" t="s">
        <v>14</v>
      </c>
      <c r="I15564" t="s">
        <v>2409</v>
      </c>
    </row>
    <row r="15565" spans="1:9" hidden="1" x14ac:dyDescent="0.25">
      <c r="A15565" t="s">
        <v>13202</v>
      </c>
      <c r="B15565" t="s">
        <v>21</v>
      </c>
      <c r="C15565" s="2">
        <f>HYPERLINK("https://cao.dolgi.msk.ru/account/1083393747/", 1083393747)</f>
        <v>1083393747</v>
      </c>
      <c r="D15565" t="s">
        <v>13207</v>
      </c>
      <c r="E15565">
        <v>0</v>
      </c>
      <c r="F15565">
        <v>0</v>
      </c>
      <c r="G15565" t="s">
        <v>12</v>
      </c>
      <c r="I15565" t="s">
        <v>2409</v>
      </c>
    </row>
    <row r="15566" spans="1:9" hidden="1" x14ac:dyDescent="0.25">
      <c r="A15566" t="s">
        <v>13202</v>
      </c>
      <c r="B15566" t="s">
        <v>22</v>
      </c>
      <c r="C15566" s="2">
        <f>HYPERLINK("https://cao.dolgi.msk.ru/account/1080137799/", 1080137799)</f>
        <v>1080137799</v>
      </c>
      <c r="D15566" t="s">
        <v>13208</v>
      </c>
      <c r="E15566">
        <v>0</v>
      </c>
      <c r="F15566">
        <v>0</v>
      </c>
      <c r="G15566" t="s">
        <v>14</v>
      </c>
      <c r="I15566" t="s">
        <v>2409</v>
      </c>
    </row>
    <row r="15567" spans="1:9" hidden="1" x14ac:dyDescent="0.25">
      <c r="A15567" t="s">
        <v>13202</v>
      </c>
      <c r="B15567" t="s">
        <v>22</v>
      </c>
      <c r="C15567" s="2">
        <f>HYPERLINK("https://cao.dolgi.msk.ru/account/1083393851/", 1083393851)</f>
        <v>1083393851</v>
      </c>
      <c r="D15567" t="s">
        <v>13208</v>
      </c>
      <c r="E15567">
        <v>-3690.45</v>
      </c>
      <c r="F15567">
        <v>-1.04</v>
      </c>
      <c r="G15567" t="s">
        <v>12</v>
      </c>
      <c r="I15567" t="s">
        <v>2409</v>
      </c>
    </row>
    <row r="15568" spans="1:9" hidden="1" x14ac:dyDescent="0.25">
      <c r="A15568" t="s">
        <v>13202</v>
      </c>
      <c r="B15568" t="s">
        <v>23</v>
      </c>
      <c r="C15568" s="2">
        <f>HYPERLINK("https://cao.dolgi.msk.ru/account/1080137801/", 1080137801)</f>
        <v>1080137801</v>
      </c>
      <c r="D15568" t="s">
        <v>13209</v>
      </c>
      <c r="E15568">
        <v>8474.09</v>
      </c>
      <c r="G15568" t="s">
        <v>14</v>
      </c>
      <c r="I15568" t="s">
        <v>2409</v>
      </c>
    </row>
    <row r="15569" spans="1:9" x14ac:dyDescent="0.25">
      <c r="A15569" t="s">
        <v>13202</v>
      </c>
      <c r="B15569" t="s">
        <v>23</v>
      </c>
      <c r="C15569" s="2">
        <f>HYPERLINK("https://cao.dolgi.msk.ru/account/1083393755/", 1083393755)</f>
        <v>1083393755</v>
      </c>
      <c r="D15569" t="s">
        <v>13209</v>
      </c>
      <c r="E15569">
        <v>4967.6899999999996</v>
      </c>
      <c r="F15569">
        <v>1.02</v>
      </c>
      <c r="G15569" t="s">
        <v>12</v>
      </c>
      <c r="I15569" t="s">
        <v>2409</v>
      </c>
    </row>
    <row r="15570" spans="1:9" hidden="1" x14ac:dyDescent="0.25">
      <c r="A15570" t="s">
        <v>13202</v>
      </c>
      <c r="B15570" t="s">
        <v>24</v>
      </c>
      <c r="C15570" s="2">
        <f>HYPERLINK("https://cao.dolgi.msk.ru/account/1080137828/", 1080137828)</f>
        <v>1080137828</v>
      </c>
      <c r="D15570" t="s">
        <v>13210</v>
      </c>
      <c r="E15570">
        <v>0</v>
      </c>
      <c r="G15570" t="s">
        <v>14</v>
      </c>
      <c r="I15570" t="s">
        <v>2409</v>
      </c>
    </row>
    <row r="15571" spans="1:9" hidden="1" x14ac:dyDescent="0.25">
      <c r="A15571" t="s">
        <v>13202</v>
      </c>
      <c r="B15571" t="s">
        <v>24</v>
      </c>
      <c r="C15571" s="2">
        <f>HYPERLINK("https://cao.dolgi.msk.ru/account/1083393173/", 1083393173)</f>
        <v>1083393173</v>
      </c>
      <c r="D15571" t="s">
        <v>13210</v>
      </c>
      <c r="E15571">
        <v>-263.61</v>
      </c>
      <c r="F15571">
        <v>-0.06</v>
      </c>
      <c r="G15571" t="s">
        <v>12</v>
      </c>
      <c r="I15571" t="s">
        <v>2409</v>
      </c>
    </row>
    <row r="15572" spans="1:9" hidden="1" x14ac:dyDescent="0.25">
      <c r="A15572" t="s">
        <v>13202</v>
      </c>
      <c r="B15572" t="s">
        <v>27</v>
      </c>
      <c r="C15572" s="2">
        <f>HYPERLINK("https://cao.dolgi.msk.ru/account/1080137836/", 1080137836)</f>
        <v>1080137836</v>
      </c>
      <c r="D15572" t="s">
        <v>13211</v>
      </c>
      <c r="E15572">
        <v>0</v>
      </c>
      <c r="F15572">
        <v>0</v>
      </c>
      <c r="G15572" t="s">
        <v>14</v>
      </c>
      <c r="I15572" t="s">
        <v>2409</v>
      </c>
    </row>
    <row r="15573" spans="1:9" hidden="1" x14ac:dyDescent="0.25">
      <c r="A15573" t="s">
        <v>13202</v>
      </c>
      <c r="B15573" t="s">
        <v>27</v>
      </c>
      <c r="C15573" s="2">
        <f>HYPERLINK("https://cao.dolgi.msk.ru/account/1083393763/", 1083393763)</f>
        <v>1083393763</v>
      </c>
      <c r="D15573" t="s">
        <v>13211</v>
      </c>
      <c r="E15573">
        <v>-6709.81</v>
      </c>
      <c r="F15573">
        <v>-1.1200000000000001</v>
      </c>
      <c r="G15573" t="s">
        <v>12</v>
      </c>
      <c r="I15573" t="s">
        <v>2409</v>
      </c>
    </row>
    <row r="15574" spans="1:9" hidden="1" x14ac:dyDescent="0.25">
      <c r="A15574" t="s">
        <v>13202</v>
      </c>
      <c r="B15574" t="s">
        <v>29</v>
      </c>
      <c r="C15574" s="2">
        <f>HYPERLINK("https://cao.dolgi.msk.ru/account/1080137844/", 1080137844)</f>
        <v>1080137844</v>
      </c>
      <c r="D15574" t="s">
        <v>13212</v>
      </c>
      <c r="E15574">
        <v>0</v>
      </c>
      <c r="G15574" t="s">
        <v>14</v>
      </c>
      <c r="I15574" t="s">
        <v>2409</v>
      </c>
    </row>
    <row r="15575" spans="1:9" hidden="1" x14ac:dyDescent="0.25">
      <c r="A15575" t="s">
        <v>13202</v>
      </c>
      <c r="B15575" t="s">
        <v>29</v>
      </c>
      <c r="C15575" s="2">
        <f>HYPERLINK("https://cao.dolgi.msk.ru/account/1083393544/", 1083393544)</f>
        <v>1083393544</v>
      </c>
      <c r="D15575" t="s">
        <v>13212</v>
      </c>
      <c r="E15575">
        <v>-5254.75</v>
      </c>
      <c r="F15575">
        <v>-1</v>
      </c>
      <c r="G15575" t="s">
        <v>12</v>
      </c>
      <c r="I15575" t="s">
        <v>2409</v>
      </c>
    </row>
    <row r="15576" spans="1:9" hidden="1" x14ac:dyDescent="0.25">
      <c r="A15576" t="s">
        <v>13202</v>
      </c>
      <c r="B15576" t="s">
        <v>31</v>
      </c>
      <c r="C15576" s="2">
        <f>HYPERLINK("https://cao.dolgi.msk.ru/account/1080137852/", 1080137852)</f>
        <v>1080137852</v>
      </c>
      <c r="D15576" t="s">
        <v>13213</v>
      </c>
      <c r="E15576">
        <v>0</v>
      </c>
      <c r="G15576" t="s">
        <v>14</v>
      </c>
      <c r="I15576" t="s">
        <v>2409</v>
      </c>
    </row>
    <row r="15577" spans="1:9" hidden="1" x14ac:dyDescent="0.25">
      <c r="A15577" t="s">
        <v>13202</v>
      </c>
      <c r="B15577" t="s">
        <v>31</v>
      </c>
      <c r="C15577" s="2">
        <f>HYPERLINK("https://cao.dolgi.msk.ru/account/1083393616/", 1083393616)</f>
        <v>1083393616</v>
      </c>
      <c r="D15577" t="s">
        <v>13213</v>
      </c>
      <c r="E15577">
        <v>-4226.32</v>
      </c>
      <c r="F15577">
        <v>-1.02</v>
      </c>
      <c r="G15577" t="s">
        <v>12</v>
      </c>
      <c r="I15577" t="s">
        <v>2409</v>
      </c>
    </row>
    <row r="15578" spans="1:9" hidden="1" x14ac:dyDescent="0.25">
      <c r="A15578" t="s">
        <v>13202</v>
      </c>
      <c r="B15578" t="s">
        <v>33</v>
      </c>
      <c r="C15578" s="2">
        <f>HYPERLINK("https://cao.dolgi.msk.ru/account/1080137879/", 1080137879)</f>
        <v>1080137879</v>
      </c>
      <c r="D15578" t="s">
        <v>13214</v>
      </c>
      <c r="E15578">
        <v>-176.08</v>
      </c>
      <c r="G15578" t="s">
        <v>14</v>
      </c>
      <c r="I15578" t="s">
        <v>2409</v>
      </c>
    </row>
    <row r="15579" spans="1:9" hidden="1" x14ac:dyDescent="0.25">
      <c r="A15579" t="s">
        <v>13202</v>
      </c>
      <c r="B15579" t="s">
        <v>33</v>
      </c>
      <c r="C15579" s="2">
        <f>HYPERLINK("https://cao.dolgi.msk.ru/account/1083393675/", 1083393675)</f>
        <v>1083393675</v>
      </c>
      <c r="D15579" t="s">
        <v>13214</v>
      </c>
      <c r="E15579">
        <v>-3444.44</v>
      </c>
      <c r="F15579">
        <v>-1.02</v>
      </c>
      <c r="G15579" t="s">
        <v>12</v>
      </c>
      <c r="I15579" t="s">
        <v>2409</v>
      </c>
    </row>
    <row r="15580" spans="1:9" hidden="1" x14ac:dyDescent="0.25">
      <c r="A15580" t="s">
        <v>13202</v>
      </c>
      <c r="B15580" t="s">
        <v>34</v>
      </c>
      <c r="C15580" s="2">
        <f>HYPERLINK("https://cao.dolgi.msk.ru/account/1080137887/", 1080137887)</f>
        <v>1080137887</v>
      </c>
      <c r="D15580" t="s">
        <v>13215</v>
      </c>
      <c r="E15580">
        <v>-249.53</v>
      </c>
      <c r="G15580" t="s">
        <v>14</v>
      </c>
      <c r="I15580" t="s">
        <v>2409</v>
      </c>
    </row>
    <row r="15581" spans="1:9" hidden="1" x14ac:dyDescent="0.25">
      <c r="A15581" t="s">
        <v>13202</v>
      </c>
      <c r="B15581" t="s">
        <v>34</v>
      </c>
      <c r="C15581" s="2">
        <f>HYPERLINK("https://cao.dolgi.msk.ru/account/1083393181/", 1083393181)</f>
        <v>1083393181</v>
      </c>
      <c r="D15581" t="s">
        <v>13215</v>
      </c>
      <c r="E15581">
        <v>0</v>
      </c>
      <c r="F15581">
        <v>0</v>
      </c>
      <c r="G15581" t="s">
        <v>12</v>
      </c>
      <c r="I15581" t="s">
        <v>2409</v>
      </c>
    </row>
    <row r="15582" spans="1:9" hidden="1" x14ac:dyDescent="0.25">
      <c r="A15582" t="s">
        <v>13202</v>
      </c>
      <c r="B15582" t="s">
        <v>36</v>
      </c>
      <c r="C15582" s="2">
        <f>HYPERLINK("https://cao.dolgi.msk.ru/account/1080137895/", 1080137895)</f>
        <v>1080137895</v>
      </c>
      <c r="D15582" t="s">
        <v>13216</v>
      </c>
      <c r="E15582">
        <v>0</v>
      </c>
      <c r="F15582">
        <v>0</v>
      </c>
      <c r="G15582" t="s">
        <v>14</v>
      </c>
      <c r="I15582" t="s">
        <v>2409</v>
      </c>
    </row>
    <row r="15583" spans="1:9" hidden="1" x14ac:dyDescent="0.25">
      <c r="A15583" t="s">
        <v>13202</v>
      </c>
      <c r="B15583" t="s">
        <v>36</v>
      </c>
      <c r="C15583" s="2">
        <f>HYPERLINK("https://cao.dolgi.msk.ru/account/1083393878/", 1083393878)</f>
        <v>1083393878</v>
      </c>
      <c r="D15583" t="s">
        <v>13216</v>
      </c>
      <c r="E15583">
        <v>-5707.76</v>
      </c>
      <c r="F15583">
        <v>-0.96</v>
      </c>
      <c r="G15583" t="s">
        <v>12</v>
      </c>
      <c r="I15583" t="s">
        <v>2409</v>
      </c>
    </row>
    <row r="15584" spans="1:9" hidden="1" x14ac:dyDescent="0.25">
      <c r="A15584" t="s">
        <v>13202</v>
      </c>
      <c r="B15584" t="s">
        <v>38</v>
      </c>
      <c r="C15584" s="2">
        <f>HYPERLINK("https://cao.dolgi.msk.ru/account/1080137908/", 1080137908)</f>
        <v>1080137908</v>
      </c>
      <c r="D15584" t="s">
        <v>13217</v>
      </c>
      <c r="E15584">
        <v>-35.81</v>
      </c>
      <c r="G15584" t="s">
        <v>14</v>
      </c>
      <c r="I15584" t="s">
        <v>2409</v>
      </c>
    </row>
    <row r="15585" spans="1:9" hidden="1" x14ac:dyDescent="0.25">
      <c r="A15585" t="s">
        <v>13202</v>
      </c>
      <c r="B15585" t="s">
        <v>38</v>
      </c>
      <c r="C15585" s="2">
        <f>HYPERLINK("https://cao.dolgi.msk.ru/account/1083393317/", 1083393317)</f>
        <v>1083393317</v>
      </c>
      <c r="D15585" t="s">
        <v>13217</v>
      </c>
      <c r="E15585">
        <v>-6323.34</v>
      </c>
      <c r="F15585">
        <v>-1.34</v>
      </c>
      <c r="G15585" t="s">
        <v>12</v>
      </c>
      <c r="I15585" t="s">
        <v>2409</v>
      </c>
    </row>
    <row r="15586" spans="1:9" hidden="1" x14ac:dyDescent="0.25">
      <c r="A15586" t="s">
        <v>13202</v>
      </c>
      <c r="B15586" t="s">
        <v>39</v>
      </c>
      <c r="C15586" s="2">
        <f>HYPERLINK("https://cao.dolgi.msk.ru/account/1080137916/", 1080137916)</f>
        <v>1080137916</v>
      </c>
      <c r="D15586" t="s">
        <v>13218</v>
      </c>
      <c r="E15586">
        <v>-536.74</v>
      </c>
      <c r="G15586" t="s">
        <v>14</v>
      </c>
      <c r="I15586" t="s">
        <v>2409</v>
      </c>
    </row>
    <row r="15587" spans="1:9" hidden="1" x14ac:dyDescent="0.25">
      <c r="A15587" t="s">
        <v>13202</v>
      </c>
      <c r="B15587" t="s">
        <v>39</v>
      </c>
      <c r="C15587" s="2">
        <f>HYPERLINK("https://cao.dolgi.msk.ru/account/1083274502/", 1083274502)</f>
        <v>1083274502</v>
      </c>
      <c r="D15587" t="s">
        <v>15</v>
      </c>
      <c r="E15587">
        <v>-1793.7</v>
      </c>
      <c r="G15587" t="s">
        <v>14</v>
      </c>
      <c r="I15587" t="s">
        <v>2409</v>
      </c>
    </row>
    <row r="15588" spans="1:9" hidden="1" x14ac:dyDescent="0.25">
      <c r="A15588" t="s">
        <v>13202</v>
      </c>
      <c r="B15588" t="s">
        <v>39</v>
      </c>
      <c r="C15588" s="2">
        <f>HYPERLINK("https://cao.dolgi.msk.ru/account/1083393405/", 1083393405)</f>
        <v>1083393405</v>
      </c>
      <c r="D15588" t="s">
        <v>15</v>
      </c>
      <c r="E15588">
        <v>-3522.7</v>
      </c>
      <c r="F15588">
        <v>-1.01</v>
      </c>
      <c r="G15588" t="s">
        <v>12</v>
      </c>
      <c r="I15588" t="s">
        <v>2409</v>
      </c>
    </row>
    <row r="15589" spans="1:9" hidden="1" x14ac:dyDescent="0.25">
      <c r="A15589" t="s">
        <v>13202</v>
      </c>
      <c r="B15589" t="s">
        <v>39</v>
      </c>
      <c r="C15589" s="2">
        <f>HYPERLINK("https://cao.dolgi.msk.ru/account/1083393683/", 1083393683)</f>
        <v>1083393683</v>
      </c>
      <c r="D15589" t="s">
        <v>13218</v>
      </c>
      <c r="E15589">
        <v>3365.31</v>
      </c>
      <c r="F15589">
        <v>1</v>
      </c>
      <c r="G15589" t="s">
        <v>12</v>
      </c>
      <c r="I15589" t="s">
        <v>2409</v>
      </c>
    </row>
    <row r="15590" spans="1:9" hidden="1" x14ac:dyDescent="0.25">
      <c r="A15590" t="s">
        <v>13202</v>
      </c>
      <c r="B15590" t="s">
        <v>40</v>
      </c>
      <c r="C15590" s="2">
        <f>HYPERLINK("https://cao.dolgi.msk.ru/account/1080137924/", 1080137924)</f>
        <v>1080137924</v>
      </c>
      <c r="D15590" t="s">
        <v>62</v>
      </c>
      <c r="E15590">
        <v>-594.17999999999995</v>
      </c>
      <c r="G15590" t="s">
        <v>14</v>
      </c>
      <c r="I15590" t="s">
        <v>2409</v>
      </c>
    </row>
    <row r="15591" spans="1:9" hidden="1" x14ac:dyDescent="0.25">
      <c r="A15591" t="s">
        <v>13202</v>
      </c>
      <c r="B15591" t="s">
        <v>40</v>
      </c>
      <c r="C15591" s="2">
        <f>HYPERLINK("https://cao.dolgi.msk.ru/account/1083393421/", 1083393421)</f>
        <v>1083393421</v>
      </c>
      <c r="D15591" t="s">
        <v>62</v>
      </c>
      <c r="E15591">
        <v>-6189.15</v>
      </c>
      <c r="F15591">
        <v>-0.9</v>
      </c>
      <c r="G15591" t="s">
        <v>12</v>
      </c>
      <c r="I15591" t="s">
        <v>2409</v>
      </c>
    </row>
    <row r="15592" spans="1:9" hidden="1" x14ac:dyDescent="0.25">
      <c r="A15592" t="s">
        <v>13202</v>
      </c>
      <c r="B15592" t="s">
        <v>41</v>
      </c>
      <c r="C15592" s="2">
        <f>HYPERLINK("https://cao.dolgi.msk.ru/account/1080137932/", 1080137932)</f>
        <v>1080137932</v>
      </c>
      <c r="D15592" t="s">
        <v>13219</v>
      </c>
      <c r="E15592">
        <v>-490.06</v>
      </c>
      <c r="G15592" t="s">
        <v>14</v>
      </c>
      <c r="I15592" t="s">
        <v>2409</v>
      </c>
    </row>
    <row r="15593" spans="1:9" hidden="1" x14ac:dyDescent="0.25">
      <c r="A15593" t="s">
        <v>13202</v>
      </c>
      <c r="B15593" t="s">
        <v>41</v>
      </c>
      <c r="C15593" s="2">
        <f>HYPERLINK("https://cao.dolgi.msk.ru/account/1083393202/", 1083393202)</f>
        <v>1083393202</v>
      </c>
      <c r="D15593" t="s">
        <v>13219</v>
      </c>
      <c r="E15593">
        <v>-9551.25</v>
      </c>
      <c r="F15593">
        <v>-0.87</v>
      </c>
      <c r="G15593" t="s">
        <v>12</v>
      </c>
      <c r="I15593" t="s">
        <v>2409</v>
      </c>
    </row>
    <row r="15594" spans="1:9" hidden="1" x14ac:dyDescent="0.25">
      <c r="A15594" t="s">
        <v>13202</v>
      </c>
      <c r="B15594" t="s">
        <v>42</v>
      </c>
      <c r="C15594" s="2">
        <f>HYPERLINK("https://cao.dolgi.msk.ru/account/1080137959/", 1080137959)</f>
        <v>1080137959</v>
      </c>
      <c r="D15594" t="s">
        <v>13220</v>
      </c>
      <c r="E15594">
        <v>0</v>
      </c>
      <c r="F15594">
        <v>0</v>
      </c>
      <c r="G15594" t="s">
        <v>14</v>
      </c>
      <c r="I15594" t="s">
        <v>2409</v>
      </c>
    </row>
    <row r="15595" spans="1:9" hidden="1" x14ac:dyDescent="0.25">
      <c r="A15595" t="s">
        <v>13202</v>
      </c>
      <c r="B15595" t="s">
        <v>42</v>
      </c>
      <c r="C15595" s="2">
        <f>HYPERLINK("https://cao.dolgi.msk.ru/account/1083393624/", 1083393624)</f>
        <v>1083393624</v>
      </c>
      <c r="D15595" t="s">
        <v>13220</v>
      </c>
      <c r="E15595">
        <v>-410.42</v>
      </c>
      <c r="F15595">
        <v>-0.06</v>
      </c>
      <c r="G15595" t="s">
        <v>12</v>
      </c>
      <c r="I15595" t="s">
        <v>2409</v>
      </c>
    </row>
    <row r="15596" spans="1:9" hidden="1" x14ac:dyDescent="0.25">
      <c r="A15596" t="s">
        <v>13202</v>
      </c>
      <c r="B15596" t="s">
        <v>44</v>
      </c>
      <c r="C15596" s="2">
        <f>HYPERLINK("https://cao.dolgi.msk.ru/account/1080137967/", 1080137967)</f>
        <v>1080137967</v>
      </c>
      <c r="D15596" t="s">
        <v>13221</v>
      </c>
      <c r="E15596">
        <v>607.35</v>
      </c>
      <c r="G15596" t="s">
        <v>14</v>
      </c>
      <c r="I15596" t="s">
        <v>2409</v>
      </c>
    </row>
    <row r="15597" spans="1:9" hidden="1" x14ac:dyDescent="0.25">
      <c r="A15597" t="s">
        <v>13202</v>
      </c>
      <c r="B15597" t="s">
        <v>44</v>
      </c>
      <c r="C15597" s="2">
        <f>HYPERLINK("https://cao.dolgi.msk.ru/account/1083270819/", 1083270819)</f>
        <v>1083270819</v>
      </c>
      <c r="D15597" t="s">
        <v>15</v>
      </c>
      <c r="E15597">
        <v>136620.99</v>
      </c>
      <c r="G15597" t="s">
        <v>14</v>
      </c>
      <c r="I15597" t="s">
        <v>2409</v>
      </c>
    </row>
    <row r="15598" spans="1:9" hidden="1" x14ac:dyDescent="0.25">
      <c r="A15598" t="s">
        <v>13202</v>
      </c>
      <c r="B15598" t="s">
        <v>44</v>
      </c>
      <c r="C15598" s="2">
        <f>HYPERLINK("https://cao.dolgi.msk.ru/account/1083393325/", 1083393325)</f>
        <v>1083393325</v>
      </c>
      <c r="D15598" t="s">
        <v>13221</v>
      </c>
      <c r="E15598">
        <v>-3829.16</v>
      </c>
      <c r="F15598">
        <v>-1.05</v>
      </c>
      <c r="G15598" t="s">
        <v>12</v>
      </c>
      <c r="I15598" t="s">
        <v>2409</v>
      </c>
    </row>
    <row r="15599" spans="1:9" hidden="1" x14ac:dyDescent="0.25">
      <c r="A15599" t="s">
        <v>13202</v>
      </c>
      <c r="B15599" t="s">
        <v>44</v>
      </c>
      <c r="C15599" s="2">
        <f>HYPERLINK("https://cao.dolgi.msk.ru/account/1083393595/", 1083393595)</f>
        <v>1083393595</v>
      </c>
      <c r="D15599" t="s">
        <v>15</v>
      </c>
      <c r="E15599">
        <v>-1256.42</v>
      </c>
      <c r="F15599">
        <v>-1.02</v>
      </c>
      <c r="G15599" t="s">
        <v>12</v>
      </c>
      <c r="I15599" t="s">
        <v>2409</v>
      </c>
    </row>
    <row r="15600" spans="1:9" hidden="1" x14ac:dyDescent="0.25">
      <c r="A15600" t="s">
        <v>13202</v>
      </c>
      <c r="B15600" t="s">
        <v>44</v>
      </c>
      <c r="C15600" s="2">
        <f>HYPERLINK("https://cao.dolgi.msk.ru/account/1083393608/", 1083393608)</f>
        <v>1083393608</v>
      </c>
      <c r="D15600" t="s">
        <v>15</v>
      </c>
      <c r="E15600">
        <v>-1287.94</v>
      </c>
      <c r="F15600">
        <v>-1.02</v>
      </c>
      <c r="G15600" t="s">
        <v>12</v>
      </c>
      <c r="I15600" t="s">
        <v>2409</v>
      </c>
    </row>
    <row r="15601" spans="1:9" hidden="1" x14ac:dyDescent="0.25">
      <c r="A15601" t="s">
        <v>13202</v>
      </c>
      <c r="B15601" t="s">
        <v>44</v>
      </c>
      <c r="C15601" s="2">
        <f>HYPERLINK("https://cao.dolgi.msk.ru/account/1089127001/", 1089127001)</f>
        <v>1089127001</v>
      </c>
      <c r="D15601" t="s">
        <v>15</v>
      </c>
      <c r="E15601">
        <v>-477.5</v>
      </c>
      <c r="G15601" t="s">
        <v>14</v>
      </c>
      <c r="I15601" t="s">
        <v>2409</v>
      </c>
    </row>
    <row r="15602" spans="1:9" hidden="1" x14ac:dyDescent="0.25">
      <c r="A15602" t="s">
        <v>13202</v>
      </c>
      <c r="B15602" t="s">
        <v>66</v>
      </c>
      <c r="C15602" s="2">
        <f>HYPERLINK("https://cao.dolgi.msk.ru/account/1080137975/", 1080137975)</f>
        <v>1080137975</v>
      </c>
      <c r="D15602" t="s">
        <v>13222</v>
      </c>
      <c r="E15602">
        <v>-11.8</v>
      </c>
      <c r="G15602" t="s">
        <v>14</v>
      </c>
      <c r="I15602" t="s">
        <v>2409</v>
      </c>
    </row>
    <row r="15603" spans="1:9" hidden="1" x14ac:dyDescent="0.25">
      <c r="A15603" t="s">
        <v>13202</v>
      </c>
      <c r="B15603" t="s">
        <v>66</v>
      </c>
      <c r="C15603" s="2">
        <f>HYPERLINK("https://cao.dolgi.msk.ru/account/1083393771/", 1083393771)</f>
        <v>1083393771</v>
      </c>
      <c r="D15603" t="s">
        <v>13222</v>
      </c>
      <c r="E15603">
        <v>-5860.64</v>
      </c>
      <c r="F15603">
        <v>-1.21</v>
      </c>
      <c r="G15603" t="s">
        <v>12</v>
      </c>
      <c r="I15603" t="s">
        <v>2409</v>
      </c>
    </row>
    <row r="15604" spans="1:9" hidden="1" x14ac:dyDescent="0.25">
      <c r="A15604" t="s">
        <v>13202</v>
      </c>
      <c r="B15604" t="s">
        <v>68</v>
      </c>
      <c r="C15604" s="2">
        <f>HYPERLINK("https://cao.dolgi.msk.ru/account/1080137983/", 1080137983)</f>
        <v>1080137983</v>
      </c>
      <c r="D15604" t="s">
        <v>13223</v>
      </c>
      <c r="E15604">
        <v>0</v>
      </c>
      <c r="F15604">
        <v>0</v>
      </c>
      <c r="G15604" t="s">
        <v>14</v>
      </c>
      <c r="I15604" t="s">
        <v>2409</v>
      </c>
    </row>
    <row r="15605" spans="1:9" hidden="1" x14ac:dyDescent="0.25">
      <c r="A15605" t="s">
        <v>13202</v>
      </c>
      <c r="B15605" t="s">
        <v>68</v>
      </c>
      <c r="C15605" s="2">
        <f>HYPERLINK("https://cao.dolgi.msk.ru/account/1083393448/", 1083393448)</f>
        <v>1083393448</v>
      </c>
      <c r="D15605" t="s">
        <v>13223</v>
      </c>
      <c r="E15605">
        <v>-1897.52</v>
      </c>
      <c r="F15605">
        <v>-1.03</v>
      </c>
      <c r="G15605" t="s">
        <v>12</v>
      </c>
      <c r="I15605" t="s">
        <v>2409</v>
      </c>
    </row>
    <row r="15606" spans="1:9" hidden="1" x14ac:dyDescent="0.25">
      <c r="A15606" t="s">
        <v>13202</v>
      </c>
      <c r="B15606" t="s">
        <v>70</v>
      </c>
      <c r="C15606" s="2">
        <f>HYPERLINK("https://cao.dolgi.msk.ru/account/1080137991/", 1080137991)</f>
        <v>1080137991</v>
      </c>
      <c r="D15606" t="s">
        <v>13224</v>
      </c>
      <c r="E15606">
        <v>4846.25</v>
      </c>
      <c r="G15606" t="s">
        <v>14</v>
      </c>
      <c r="I15606" t="s">
        <v>2409</v>
      </c>
    </row>
    <row r="15607" spans="1:9" hidden="1" x14ac:dyDescent="0.25">
      <c r="A15607" t="s">
        <v>13202</v>
      </c>
      <c r="B15607" t="s">
        <v>70</v>
      </c>
      <c r="C15607" s="2">
        <f>HYPERLINK("https://cao.dolgi.msk.ru/account/1083393798/", 1083393798)</f>
        <v>1083393798</v>
      </c>
      <c r="D15607" t="s">
        <v>13224</v>
      </c>
      <c r="E15607">
        <v>-4805.7299999999996</v>
      </c>
      <c r="F15607">
        <v>-1.04</v>
      </c>
      <c r="G15607" t="s">
        <v>12</v>
      </c>
      <c r="I15607" t="s">
        <v>2409</v>
      </c>
    </row>
    <row r="15608" spans="1:9" hidden="1" x14ac:dyDescent="0.25">
      <c r="A15608" t="s">
        <v>13202</v>
      </c>
      <c r="B15608" t="s">
        <v>72</v>
      </c>
      <c r="C15608" s="2">
        <f>HYPERLINK("https://cao.dolgi.msk.ru/account/1080138003/", 1080138003)</f>
        <v>1080138003</v>
      </c>
      <c r="D15608" t="s">
        <v>13225</v>
      </c>
      <c r="E15608">
        <v>0</v>
      </c>
      <c r="F15608">
        <v>0</v>
      </c>
      <c r="G15608" t="s">
        <v>14</v>
      </c>
      <c r="I15608" t="s">
        <v>2409</v>
      </c>
    </row>
    <row r="15609" spans="1:9" hidden="1" x14ac:dyDescent="0.25">
      <c r="A15609" t="s">
        <v>13202</v>
      </c>
      <c r="B15609" t="s">
        <v>72</v>
      </c>
      <c r="C15609" s="2">
        <f>HYPERLINK("https://cao.dolgi.msk.ru/account/1083393333/", 1083393333)</f>
        <v>1083393333</v>
      </c>
      <c r="D15609" t="s">
        <v>13225</v>
      </c>
      <c r="E15609">
        <v>-6231.48</v>
      </c>
      <c r="F15609">
        <v>-1.02</v>
      </c>
      <c r="G15609" t="s">
        <v>12</v>
      </c>
      <c r="I15609" t="s">
        <v>2409</v>
      </c>
    </row>
    <row r="15610" spans="1:9" hidden="1" x14ac:dyDescent="0.25">
      <c r="A15610" t="s">
        <v>13202</v>
      </c>
      <c r="B15610" t="s">
        <v>74</v>
      </c>
      <c r="C15610" s="2">
        <f>HYPERLINK("https://cao.dolgi.msk.ru/account/1080138011/", 1080138011)</f>
        <v>1080138011</v>
      </c>
      <c r="D15610" t="s">
        <v>13226</v>
      </c>
      <c r="E15610">
        <v>-62.36</v>
      </c>
      <c r="G15610" t="s">
        <v>14</v>
      </c>
      <c r="I15610" t="s">
        <v>2409</v>
      </c>
    </row>
    <row r="15611" spans="1:9" hidden="1" x14ac:dyDescent="0.25">
      <c r="A15611" t="s">
        <v>13202</v>
      </c>
      <c r="B15611" t="s">
        <v>74</v>
      </c>
      <c r="C15611" s="2">
        <f>HYPERLINK("https://cao.dolgi.msk.ru/account/1083393229/", 1083393229)</f>
        <v>1083393229</v>
      </c>
      <c r="D15611" t="s">
        <v>13226</v>
      </c>
      <c r="E15611">
        <v>-5636.66</v>
      </c>
      <c r="F15611">
        <v>-2.04</v>
      </c>
      <c r="G15611" t="s">
        <v>12</v>
      </c>
      <c r="I15611" t="s">
        <v>2409</v>
      </c>
    </row>
    <row r="15612" spans="1:9" hidden="1" x14ac:dyDescent="0.25">
      <c r="A15612" t="s">
        <v>13202</v>
      </c>
      <c r="B15612" t="s">
        <v>76</v>
      </c>
      <c r="C15612" s="2">
        <f>HYPERLINK("https://cao.dolgi.msk.ru/account/1080138038/", 1080138038)</f>
        <v>1080138038</v>
      </c>
      <c r="D15612" t="s">
        <v>13227</v>
      </c>
      <c r="E15612">
        <v>0</v>
      </c>
      <c r="F15612">
        <v>0</v>
      </c>
      <c r="G15612" t="s">
        <v>14</v>
      </c>
      <c r="I15612" t="s">
        <v>2409</v>
      </c>
    </row>
    <row r="15613" spans="1:9" hidden="1" x14ac:dyDescent="0.25">
      <c r="A15613" t="s">
        <v>13202</v>
      </c>
      <c r="B15613" t="s">
        <v>76</v>
      </c>
      <c r="C15613" s="2">
        <f>HYPERLINK("https://cao.dolgi.msk.ru/account/1083393237/", 1083393237)</f>
        <v>1083393237</v>
      </c>
      <c r="D15613" t="s">
        <v>13227</v>
      </c>
      <c r="E15613">
        <v>-2365.37</v>
      </c>
      <c r="F15613">
        <v>-1.02</v>
      </c>
      <c r="G15613" t="s">
        <v>12</v>
      </c>
      <c r="I15613" t="s">
        <v>2409</v>
      </c>
    </row>
    <row r="15614" spans="1:9" hidden="1" x14ac:dyDescent="0.25">
      <c r="A15614" t="s">
        <v>13202</v>
      </c>
      <c r="B15614" t="s">
        <v>78</v>
      </c>
      <c r="C15614" s="2">
        <f>HYPERLINK("https://cao.dolgi.msk.ru/account/1080138046/", 1080138046)</f>
        <v>1080138046</v>
      </c>
      <c r="D15614" t="s">
        <v>13228</v>
      </c>
      <c r="E15614">
        <v>-1319.82</v>
      </c>
      <c r="G15614" t="s">
        <v>14</v>
      </c>
      <c r="I15614" t="s">
        <v>2409</v>
      </c>
    </row>
    <row r="15615" spans="1:9" hidden="1" x14ac:dyDescent="0.25">
      <c r="A15615" t="s">
        <v>13202</v>
      </c>
      <c r="B15615" t="s">
        <v>78</v>
      </c>
      <c r="C15615" s="2">
        <f>HYPERLINK("https://cao.dolgi.msk.ru/account/1083393819/", 1083393819)</f>
        <v>1083393819</v>
      </c>
      <c r="D15615" t="s">
        <v>13228</v>
      </c>
      <c r="E15615">
        <v>0</v>
      </c>
      <c r="F15615">
        <v>0</v>
      </c>
      <c r="G15615" t="s">
        <v>12</v>
      </c>
      <c r="I15615" t="s">
        <v>2409</v>
      </c>
    </row>
    <row r="15616" spans="1:9" hidden="1" x14ac:dyDescent="0.25">
      <c r="A15616" t="s">
        <v>13202</v>
      </c>
      <c r="B15616" t="s">
        <v>80</v>
      </c>
      <c r="C15616" s="2">
        <f>HYPERLINK("https://cao.dolgi.msk.ru/account/1080138054/", 1080138054)</f>
        <v>1080138054</v>
      </c>
      <c r="D15616" t="s">
        <v>13229</v>
      </c>
      <c r="E15616">
        <v>0</v>
      </c>
      <c r="G15616" t="s">
        <v>14</v>
      </c>
      <c r="I15616" t="s">
        <v>2409</v>
      </c>
    </row>
    <row r="15617" spans="1:9" hidden="1" x14ac:dyDescent="0.25">
      <c r="A15617" t="s">
        <v>13202</v>
      </c>
      <c r="B15617" t="s">
        <v>80</v>
      </c>
      <c r="C15617" s="2">
        <f>HYPERLINK("https://cao.dolgi.msk.ru/account/1083393632/", 1083393632)</f>
        <v>1083393632</v>
      </c>
      <c r="D15617" t="s">
        <v>13229</v>
      </c>
      <c r="E15617">
        <v>-5462.86</v>
      </c>
      <c r="F15617">
        <v>-0.98</v>
      </c>
      <c r="G15617" t="s">
        <v>12</v>
      </c>
      <c r="I15617" t="s">
        <v>2409</v>
      </c>
    </row>
    <row r="15618" spans="1:9" hidden="1" x14ac:dyDescent="0.25">
      <c r="A15618" t="s">
        <v>13202</v>
      </c>
      <c r="B15618" t="s">
        <v>82</v>
      </c>
      <c r="C15618" s="2">
        <f>HYPERLINK("https://cao.dolgi.msk.ru/account/1080138062/", 1080138062)</f>
        <v>1080138062</v>
      </c>
      <c r="D15618" t="s">
        <v>13230</v>
      </c>
      <c r="E15618">
        <v>-8591.7099999999991</v>
      </c>
      <c r="G15618" t="s">
        <v>14</v>
      </c>
      <c r="I15618" t="s">
        <v>2409</v>
      </c>
    </row>
    <row r="15619" spans="1:9" hidden="1" x14ac:dyDescent="0.25">
      <c r="A15619" t="s">
        <v>13202</v>
      </c>
      <c r="B15619" t="s">
        <v>82</v>
      </c>
      <c r="C15619" s="2">
        <f>HYPERLINK("https://cao.dolgi.msk.ru/account/1083393245/", 1083393245)</f>
        <v>1083393245</v>
      </c>
      <c r="D15619" t="s">
        <v>13230</v>
      </c>
      <c r="E15619">
        <v>0</v>
      </c>
      <c r="F15619">
        <v>0</v>
      </c>
      <c r="G15619" t="s">
        <v>12</v>
      </c>
      <c r="I15619" t="s">
        <v>2409</v>
      </c>
    </row>
    <row r="15620" spans="1:9" hidden="1" x14ac:dyDescent="0.25">
      <c r="A15620" t="s">
        <v>13202</v>
      </c>
      <c r="B15620" t="s">
        <v>84</v>
      </c>
      <c r="C15620" s="2">
        <f>HYPERLINK("https://cao.dolgi.msk.ru/account/1080138089/", 1080138089)</f>
        <v>1080138089</v>
      </c>
      <c r="D15620" t="s">
        <v>13231</v>
      </c>
      <c r="E15620">
        <v>-323.54000000000002</v>
      </c>
      <c r="F15620">
        <v>-0.74</v>
      </c>
      <c r="G15620" t="s">
        <v>14</v>
      </c>
      <c r="I15620" t="s">
        <v>2409</v>
      </c>
    </row>
    <row r="15621" spans="1:9" hidden="1" x14ac:dyDescent="0.25">
      <c r="A15621" t="s">
        <v>13202</v>
      </c>
      <c r="B15621" t="s">
        <v>84</v>
      </c>
      <c r="C15621" s="2">
        <f>HYPERLINK("https://cao.dolgi.msk.ru/account/1083393827/", 1083393827)</f>
        <v>1083393827</v>
      </c>
      <c r="D15621" t="s">
        <v>13231</v>
      </c>
      <c r="E15621">
        <v>-4780.91</v>
      </c>
      <c r="F15621">
        <v>-1.0900000000000001</v>
      </c>
      <c r="G15621" t="s">
        <v>12</v>
      </c>
      <c r="I15621" t="s">
        <v>2409</v>
      </c>
    </row>
    <row r="15622" spans="1:9" hidden="1" x14ac:dyDescent="0.25">
      <c r="A15622" t="s">
        <v>13202</v>
      </c>
      <c r="B15622" t="s">
        <v>86</v>
      </c>
      <c r="C15622" s="2">
        <f>HYPERLINK("https://cao.dolgi.msk.ru/account/1080138097/", 1080138097)</f>
        <v>1080138097</v>
      </c>
      <c r="D15622" t="s">
        <v>13232</v>
      </c>
      <c r="E15622">
        <v>5717.96</v>
      </c>
      <c r="F15622">
        <v>11.26</v>
      </c>
      <c r="G15622" t="s">
        <v>14</v>
      </c>
      <c r="I15622" t="s">
        <v>2409</v>
      </c>
    </row>
    <row r="15623" spans="1:9" hidden="1" x14ac:dyDescent="0.25">
      <c r="A15623" t="s">
        <v>13202</v>
      </c>
      <c r="B15623" t="s">
        <v>86</v>
      </c>
      <c r="C15623" s="2">
        <f>HYPERLINK("https://cao.dolgi.msk.ru/account/1083393341/", 1083393341)</f>
        <v>1083393341</v>
      </c>
      <c r="D15623" t="s">
        <v>13232</v>
      </c>
      <c r="E15623">
        <v>-3964.61</v>
      </c>
      <c r="F15623">
        <v>-1.08</v>
      </c>
      <c r="G15623" t="s">
        <v>12</v>
      </c>
      <c r="I15623" t="s">
        <v>2409</v>
      </c>
    </row>
    <row r="15624" spans="1:9" hidden="1" x14ac:dyDescent="0.25">
      <c r="A15624" t="s">
        <v>13202</v>
      </c>
      <c r="B15624" t="s">
        <v>88</v>
      </c>
      <c r="C15624" s="2">
        <f>HYPERLINK("https://cao.dolgi.msk.ru/account/1080138118/", 1080138118)</f>
        <v>1080138118</v>
      </c>
      <c r="D15624" t="s">
        <v>13233</v>
      </c>
      <c r="E15624">
        <v>2245.9699999999998</v>
      </c>
      <c r="F15624">
        <v>7.54</v>
      </c>
      <c r="G15624" t="s">
        <v>14</v>
      </c>
      <c r="I15624" t="s">
        <v>2409</v>
      </c>
    </row>
    <row r="15625" spans="1:9" hidden="1" x14ac:dyDescent="0.25">
      <c r="A15625" t="s">
        <v>13202</v>
      </c>
      <c r="B15625" t="s">
        <v>88</v>
      </c>
      <c r="C15625" s="2">
        <f>HYPERLINK("https://cao.dolgi.msk.ru/account/1083393253/", 1083393253)</f>
        <v>1083393253</v>
      </c>
      <c r="D15625" t="s">
        <v>13233</v>
      </c>
      <c r="E15625">
        <v>-3290.13</v>
      </c>
      <c r="F15625">
        <v>-0.79</v>
      </c>
      <c r="G15625" t="s">
        <v>12</v>
      </c>
      <c r="I15625" t="s">
        <v>2409</v>
      </c>
    </row>
    <row r="15626" spans="1:9" hidden="1" x14ac:dyDescent="0.25">
      <c r="A15626" t="s">
        <v>13202</v>
      </c>
      <c r="B15626" t="s">
        <v>90</v>
      </c>
      <c r="C15626" s="2">
        <f>HYPERLINK("https://cao.dolgi.msk.ru/account/1080138126/", 1080138126)</f>
        <v>1080138126</v>
      </c>
      <c r="D15626" t="s">
        <v>13234</v>
      </c>
      <c r="E15626">
        <v>-466.8</v>
      </c>
      <c r="F15626">
        <v>-0.72</v>
      </c>
      <c r="G15626" t="s">
        <v>14</v>
      </c>
      <c r="I15626" t="s">
        <v>2409</v>
      </c>
    </row>
    <row r="15627" spans="1:9" hidden="1" x14ac:dyDescent="0.25">
      <c r="A15627" t="s">
        <v>13202</v>
      </c>
      <c r="B15627" t="s">
        <v>90</v>
      </c>
      <c r="C15627" s="2">
        <f>HYPERLINK("https://cao.dolgi.msk.ru/account/1083393552/", 1083393552)</f>
        <v>1083393552</v>
      </c>
      <c r="D15627" t="s">
        <v>13234</v>
      </c>
      <c r="E15627">
        <v>-3124.06</v>
      </c>
      <c r="F15627">
        <v>-1.47</v>
      </c>
      <c r="G15627" t="s">
        <v>12</v>
      </c>
      <c r="I15627" t="s">
        <v>2409</v>
      </c>
    </row>
    <row r="15628" spans="1:9" hidden="1" x14ac:dyDescent="0.25">
      <c r="A15628" t="s">
        <v>13202</v>
      </c>
      <c r="B15628" t="s">
        <v>92</v>
      </c>
      <c r="C15628" s="2">
        <f>HYPERLINK("https://cao.dolgi.msk.ru/account/1080138134/", 1080138134)</f>
        <v>1080138134</v>
      </c>
      <c r="D15628" t="s">
        <v>13235</v>
      </c>
      <c r="E15628">
        <v>250734.83</v>
      </c>
      <c r="G15628" t="s">
        <v>14</v>
      </c>
      <c r="I15628" t="s">
        <v>2409</v>
      </c>
    </row>
    <row r="15629" spans="1:9" hidden="1" x14ac:dyDescent="0.25">
      <c r="A15629" t="s">
        <v>13202</v>
      </c>
      <c r="B15629" t="s">
        <v>92</v>
      </c>
      <c r="C15629" s="2">
        <f>HYPERLINK("https://cao.dolgi.msk.ru/account/1083271272/", 1083271272)</f>
        <v>1083271272</v>
      </c>
      <c r="D15629" t="s">
        <v>15</v>
      </c>
      <c r="E15629">
        <v>169137.83</v>
      </c>
      <c r="G15629" t="s">
        <v>14</v>
      </c>
      <c r="I15629" t="s">
        <v>2409</v>
      </c>
    </row>
    <row r="15630" spans="1:9" hidden="1" x14ac:dyDescent="0.25">
      <c r="A15630" t="s">
        <v>13202</v>
      </c>
      <c r="B15630" t="s">
        <v>92</v>
      </c>
      <c r="C15630" s="2">
        <f>HYPERLINK("https://cao.dolgi.msk.ru/account/1083393368/", 1083393368)</f>
        <v>1083393368</v>
      </c>
      <c r="D15630" t="s">
        <v>13235</v>
      </c>
      <c r="E15630">
        <v>-5635.96</v>
      </c>
      <c r="F15630">
        <v>-1.02</v>
      </c>
      <c r="G15630" t="s">
        <v>12</v>
      </c>
      <c r="I15630" t="s">
        <v>2409</v>
      </c>
    </row>
    <row r="15631" spans="1:9" hidden="1" x14ac:dyDescent="0.25">
      <c r="A15631" t="s">
        <v>13202</v>
      </c>
      <c r="B15631" t="s">
        <v>92</v>
      </c>
      <c r="C15631" s="2">
        <f>HYPERLINK("https://cao.dolgi.msk.ru/account/1083393528/", 1083393528)</f>
        <v>1083393528</v>
      </c>
      <c r="D15631" t="s">
        <v>15</v>
      </c>
      <c r="E15631">
        <v>1166.33</v>
      </c>
      <c r="G15631" t="s">
        <v>14</v>
      </c>
      <c r="I15631" t="s">
        <v>2409</v>
      </c>
    </row>
    <row r="15632" spans="1:9" hidden="1" x14ac:dyDescent="0.25">
      <c r="A15632" t="s">
        <v>13202</v>
      </c>
      <c r="B15632" t="s">
        <v>94</v>
      </c>
      <c r="C15632" s="2">
        <f>HYPERLINK("https://cao.dolgi.msk.ru/account/1080138142/", 1080138142)</f>
        <v>1080138142</v>
      </c>
      <c r="D15632" t="s">
        <v>15</v>
      </c>
      <c r="E15632">
        <v>132449.75</v>
      </c>
      <c r="G15632" t="s">
        <v>14</v>
      </c>
      <c r="I15632" t="s">
        <v>2409</v>
      </c>
    </row>
    <row r="15633" spans="1:9" x14ac:dyDescent="0.25">
      <c r="A15633" t="s">
        <v>13202</v>
      </c>
      <c r="B15633" t="s">
        <v>94</v>
      </c>
      <c r="C15633" s="2">
        <f>HYPERLINK("https://cao.dolgi.msk.ru/account/1083393659/", 1083393659)</f>
        <v>1083393659</v>
      </c>
      <c r="D15633" t="s">
        <v>15</v>
      </c>
      <c r="E15633">
        <v>85888.63</v>
      </c>
      <c r="F15633">
        <v>14.76</v>
      </c>
      <c r="G15633" t="s">
        <v>12</v>
      </c>
      <c r="I15633" t="s">
        <v>2409</v>
      </c>
    </row>
    <row r="15634" spans="1:9" hidden="1" x14ac:dyDescent="0.25">
      <c r="A15634" t="s">
        <v>13202</v>
      </c>
      <c r="B15634" t="s">
        <v>96</v>
      </c>
      <c r="C15634" s="2">
        <f>HYPERLINK("https://cao.dolgi.msk.ru/account/1080138169/", 1080138169)</f>
        <v>1080138169</v>
      </c>
      <c r="D15634" t="s">
        <v>13236</v>
      </c>
      <c r="E15634">
        <v>-542.89</v>
      </c>
      <c r="G15634" t="s">
        <v>14</v>
      </c>
      <c r="I15634" t="s">
        <v>2409</v>
      </c>
    </row>
    <row r="15635" spans="1:9" hidden="1" x14ac:dyDescent="0.25">
      <c r="A15635" t="s">
        <v>13202</v>
      </c>
      <c r="B15635" t="s">
        <v>96</v>
      </c>
      <c r="C15635" s="2">
        <f>HYPERLINK("https://cao.dolgi.msk.ru/account/1083393456/", 1083393456)</f>
        <v>1083393456</v>
      </c>
      <c r="D15635" t="s">
        <v>13236</v>
      </c>
      <c r="E15635">
        <v>-475</v>
      </c>
      <c r="F15635">
        <v>-0.1</v>
      </c>
      <c r="G15635" t="s">
        <v>12</v>
      </c>
      <c r="I15635" t="s">
        <v>2409</v>
      </c>
    </row>
    <row r="15636" spans="1:9" hidden="1" x14ac:dyDescent="0.25">
      <c r="A15636" t="s">
        <v>13202</v>
      </c>
      <c r="B15636" t="s">
        <v>98</v>
      </c>
      <c r="C15636" s="2">
        <f>HYPERLINK("https://cao.dolgi.msk.ru/account/1080138177/", 1080138177)</f>
        <v>1080138177</v>
      </c>
      <c r="D15636" t="s">
        <v>13237</v>
      </c>
      <c r="E15636">
        <v>-90.86</v>
      </c>
      <c r="F15636">
        <v>-0.08</v>
      </c>
      <c r="G15636" t="s">
        <v>14</v>
      </c>
      <c r="I15636" t="s">
        <v>2409</v>
      </c>
    </row>
    <row r="15637" spans="1:9" hidden="1" x14ac:dyDescent="0.25">
      <c r="A15637" t="s">
        <v>13202</v>
      </c>
      <c r="B15637" t="s">
        <v>98</v>
      </c>
      <c r="C15637" s="2">
        <f>HYPERLINK("https://cao.dolgi.msk.ru/account/1083393667/", 1083393667)</f>
        <v>1083393667</v>
      </c>
      <c r="D15637" t="s">
        <v>13237</v>
      </c>
      <c r="E15637">
        <v>-3803.12</v>
      </c>
      <c r="F15637">
        <v>-1</v>
      </c>
      <c r="G15637" t="s">
        <v>12</v>
      </c>
      <c r="I15637" t="s">
        <v>2409</v>
      </c>
    </row>
    <row r="15638" spans="1:9" hidden="1" x14ac:dyDescent="0.25">
      <c r="A15638" t="s">
        <v>13202</v>
      </c>
      <c r="B15638" t="s">
        <v>100</v>
      </c>
      <c r="C15638" s="2">
        <f>HYPERLINK("https://cao.dolgi.msk.ru/account/1080138185/", 1080138185)</f>
        <v>1080138185</v>
      </c>
      <c r="D15638" t="s">
        <v>13238</v>
      </c>
      <c r="E15638">
        <v>2482.5500000000002</v>
      </c>
      <c r="G15638" t="s">
        <v>14</v>
      </c>
      <c r="I15638" t="s">
        <v>2409</v>
      </c>
    </row>
    <row r="15639" spans="1:9" hidden="1" x14ac:dyDescent="0.25">
      <c r="A15639" t="s">
        <v>13202</v>
      </c>
      <c r="B15639" t="s">
        <v>100</v>
      </c>
      <c r="C15639" s="2">
        <f>HYPERLINK("https://cao.dolgi.msk.ru/account/1083393464/", 1083393464)</f>
        <v>1083393464</v>
      </c>
      <c r="D15639" t="s">
        <v>13238</v>
      </c>
      <c r="E15639">
        <v>-3678</v>
      </c>
      <c r="F15639">
        <v>-1.04</v>
      </c>
      <c r="G15639" t="s">
        <v>12</v>
      </c>
      <c r="I15639" t="s">
        <v>2409</v>
      </c>
    </row>
    <row r="15640" spans="1:9" hidden="1" x14ac:dyDescent="0.25">
      <c r="A15640" t="s">
        <v>13202</v>
      </c>
      <c r="B15640" t="s">
        <v>102</v>
      </c>
      <c r="C15640" s="2">
        <f>HYPERLINK("https://cao.dolgi.msk.ru/account/1080138193/", 1080138193)</f>
        <v>1080138193</v>
      </c>
      <c r="D15640" t="s">
        <v>13239</v>
      </c>
      <c r="E15640">
        <v>-22.42</v>
      </c>
      <c r="F15640">
        <v>-0.01</v>
      </c>
      <c r="G15640" t="s">
        <v>14</v>
      </c>
      <c r="I15640" t="s">
        <v>2409</v>
      </c>
    </row>
    <row r="15641" spans="1:9" hidden="1" x14ac:dyDescent="0.25">
      <c r="A15641" t="s">
        <v>13202</v>
      </c>
      <c r="B15641" t="s">
        <v>102</v>
      </c>
      <c r="C15641" s="2">
        <f>HYPERLINK("https://cao.dolgi.msk.ru/account/1083393376/", 1083393376)</f>
        <v>1083393376</v>
      </c>
      <c r="D15641" t="s">
        <v>13239</v>
      </c>
      <c r="E15641">
        <v>-6353.51</v>
      </c>
      <c r="F15641">
        <v>-1.01</v>
      </c>
      <c r="G15641" t="s">
        <v>12</v>
      </c>
      <c r="I15641" t="s">
        <v>2409</v>
      </c>
    </row>
    <row r="15642" spans="1:9" hidden="1" x14ac:dyDescent="0.25">
      <c r="A15642" t="s">
        <v>13202</v>
      </c>
      <c r="B15642" t="s">
        <v>104</v>
      </c>
      <c r="C15642" s="2">
        <f>HYPERLINK("https://cao.dolgi.msk.ru/account/1080138206/", 1080138206)</f>
        <v>1080138206</v>
      </c>
      <c r="D15642" t="s">
        <v>13240</v>
      </c>
      <c r="E15642">
        <v>0</v>
      </c>
      <c r="F15642">
        <v>0</v>
      </c>
      <c r="G15642" t="s">
        <v>14</v>
      </c>
      <c r="I15642" t="s">
        <v>2409</v>
      </c>
    </row>
    <row r="15643" spans="1:9" hidden="1" x14ac:dyDescent="0.25">
      <c r="A15643" t="s">
        <v>13202</v>
      </c>
      <c r="B15643" t="s">
        <v>104</v>
      </c>
      <c r="C15643" s="2">
        <f>HYPERLINK("https://cao.dolgi.msk.ru/account/1083393472/", 1083393472)</f>
        <v>1083393472</v>
      </c>
      <c r="D15643" t="s">
        <v>13240</v>
      </c>
      <c r="E15643">
        <v>-3158.32</v>
      </c>
      <c r="F15643">
        <v>-1.03</v>
      </c>
      <c r="G15643" t="s">
        <v>12</v>
      </c>
      <c r="I15643" t="s">
        <v>2409</v>
      </c>
    </row>
    <row r="15644" spans="1:9" hidden="1" x14ac:dyDescent="0.25">
      <c r="A15644" t="s">
        <v>13202</v>
      </c>
      <c r="B15644" t="s">
        <v>106</v>
      </c>
      <c r="C15644" s="2">
        <f>HYPERLINK("https://cao.dolgi.msk.ru/account/1080138214/", 1080138214)</f>
        <v>1080138214</v>
      </c>
      <c r="D15644" t="s">
        <v>13241</v>
      </c>
      <c r="E15644">
        <v>20752.8</v>
      </c>
      <c r="G15644" t="s">
        <v>14</v>
      </c>
      <c r="I15644" t="s">
        <v>2409</v>
      </c>
    </row>
    <row r="15645" spans="1:9" hidden="1" x14ac:dyDescent="0.25">
      <c r="A15645" t="s">
        <v>13202</v>
      </c>
      <c r="B15645" t="s">
        <v>106</v>
      </c>
      <c r="C15645" s="2">
        <f>HYPERLINK("https://cao.dolgi.msk.ru/account/1083393886/", 1083393886)</f>
        <v>1083393886</v>
      </c>
      <c r="D15645" t="s">
        <v>13241</v>
      </c>
      <c r="E15645">
        <v>-8205.92</v>
      </c>
      <c r="F15645">
        <v>-1.01</v>
      </c>
      <c r="G15645" t="s">
        <v>12</v>
      </c>
      <c r="I15645" t="s">
        <v>2409</v>
      </c>
    </row>
    <row r="15646" spans="1:9" hidden="1" x14ac:dyDescent="0.25">
      <c r="A15646" t="s">
        <v>13202</v>
      </c>
      <c r="B15646" t="s">
        <v>108</v>
      </c>
      <c r="C15646" s="2">
        <f>HYPERLINK("https://cao.dolgi.msk.ru/account/1080138222/", 1080138222)</f>
        <v>1080138222</v>
      </c>
      <c r="D15646" t="s">
        <v>13242</v>
      </c>
      <c r="E15646">
        <v>0</v>
      </c>
      <c r="G15646" t="s">
        <v>14</v>
      </c>
      <c r="I15646" t="s">
        <v>2409</v>
      </c>
    </row>
    <row r="15647" spans="1:9" hidden="1" x14ac:dyDescent="0.25">
      <c r="A15647" t="s">
        <v>13202</v>
      </c>
      <c r="B15647" t="s">
        <v>108</v>
      </c>
      <c r="C15647" s="2">
        <f>HYPERLINK("https://cao.dolgi.msk.ru/account/1083393894/", 1083393894)</f>
        <v>1083393894</v>
      </c>
      <c r="D15647" t="s">
        <v>13242</v>
      </c>
      <c r="E15647">
        <v>-2780.22</v>
      </c>
      <c r="F15647">
        <v>-1.02</v>
      </c>
      <c r="G15647" t="s">
        <v>12</v>
      </c>
      <c r="I15647" t="s">
        <v>2409</v>
      </c>
    </row>
    <row r="15648" spans="1:9" hidden="1" x14ac:dyDescent="0.25">
      <c r="A15648" t="s">
        <v>13202</v>
      </c>
      <c r="B15648" t="s">
        <v>110</v>
      </c>
      <c r="C15648" s="2">
        <f>HYPERLINK("https://cao.dolgi.msk.ru/account/1080138249/", 1080138249)</f>
        <v>1080138249</v>
      </c>
      <c r="D15648" t="s">
        <v>13243</v>
      </c>
      <c r="E15648">
        <v>-1818.01</v>
      </c>
      <c r="G15648" t="s">
        <v>14</v>
      </c>
      <c r="I15648" t="s">
        <v>2409</v>
      </c>
    </row>
    <row r="15649" spans="1:9" hidden="1" x14ac:dyDescent="0.25">
      <c r="A15649" t="s">
        <v>13202</v>
      </c>
      <c r="B15649" t="s">
        <v>110</v>
      </c>
      <c r="C15649" s="2">
        <f>HYPERLINK("https://cao.dolgi.msk.ru/account/1083393907/", 1083393907)</f>
        <v>1083393907</v>
      </c>
      <c r="D15649" t="s">
        <v>13243</v>
      </c>
      <c r="E15649">
        <v>1532.59</v>
      </c>
      <c r="F15649">
        <v>0.25</v>
      </c>
      <c r="G15649" t="s">
        <v>12</v>
      </c>
      <c r="I15649" t="s">
        <v>2409</v>
      </c>
    </row>
    <row r="15650" spans="1:9" hidden="1" x14ac:dyDescent="0.25">
      <c r="A15650" t="s">
        <v>13202</v>
      </c>
      <c r="B15650" t="s">
        <v>112</v>
      </c>
      <c r="C15650" s="2">
        <f>HYPERLINK("https://cao.dolgi.msk.ru/account/1080138257/", 1080138257)</f>
        <v>1080138257</v>
      </c>
      <c r="D15650" t="s">
        <v>13244</v>
      </c>
      <c r="E15650">
        <v>-89.5</v>
      </c>
      <c r="G15650" t="s">
        <v>14</v>
      </c>
      <c r="I15650" t="s">
        <v>2409</v>
      </c>
    </row>
    <row r="15651" spans="1:9" hidden="1" x14ac:dyDescent="0.25">
      <c r="A15651" t="s">
        <v>13202</v>
      </c>
      <c r="B15651" t="s">
        <v>112</v>
      </c>
      <c r="C15651" s="2">
        <f>HYPERLINK("https://cao.dolgi.msk.ru/account/1083393691/", 1083393691)</f>
        <v>1083393691</v>
      </c>
      <c r="D15651" t="s">
        <v>13244</v>
      </c>
      <c r="E15651">
        <v>-6080.99</v>
      </c>
      <c r="F15651">
        <v>-0.93</v>
      </c>
      <c r="G15651" t="s">
        <v>12</v>
      </c>
      <c r="I15651" t="s">
        <v>2409</v>
      </c>
    </row>
    <row r="15652" spans="1:9" hidden="1" x14ac:dyDescent="0.25">
      <c r="A15652" t="s">
        <v>13202</v>
      </c>
      <c r="B15652" t="s">
        <v>114</v>
      </c>
      <c r="C15652" s="2">
        <f>HYPERLINK("https://cao.dolgi.msk.ru/account/1080138265/", 1080138265)</f>
        <v>1080138265</v>
      </c>
      <c r="D15652" t="s">
        <v>13245</v>
      </c>
      <c r="E15652">
        <v>2929.98</v>
      </c>
      <c r="G15652" t="s">
        <v>14</v>
      </c>
      <c r="I15652" t="s">
        <v>2409</v>
      </c>
    </row>
    <row r="15653" spans="1:9" hidden="1" x14ac:dyDescent="0.25">
      <c r="A15653" t="s">
        <v>13202</v>
      </c>
      <c r="B15653" t="s">
        <v>114</v>
      </c>
      <c r="C15653" s="2">
        <f>HYPERLINK("https://cao.dolgi.msk.ru/account/1083393261/", 1083393261)</f>
        <v>1083393261</v>
      </c>
      <c r="D15653" t="s">
        <v>13245</v>
      </c>
      <c r="E15653">
        <v>-3897.51</v>
      </c>
      <c r="F15653">
        <v>-1.42</v>
      </c>
      <c r="G15653" t="s">
        <v>12</v>
      </c>
      <c r="I15653" t="s">
        <v>2409</v>
      </c>
    </row>
    <row r="15654" spans="1:9" hidden="1" x14ac:dyDescent="0.25">
      <c r="A15654" t="s">
        <v>13202</v>
      </c>
      <c r="B15654" t="s">
        <v>116</v>
      </c>
      <c r="C15654" s="2">
        <f>HYPERLINK("https://cao.dolgi.msk.ru/account/1080138273/", 1080138273)</f>
        <v>1080138273</v>
      </c>
      <c r="D15654" t="s">
        <v>62</v>
      </c>
      <c r="E15654">
        <v>0</v>
      </c>
      <c r="G15654" t="s">
        <v>14</v>
      </c>
      <c r="I15654" t="s">
        <v>2409</v>
      </c>
    </row>
    <row r="15655" spans="1:9" hidden="1" x14ac:dyDescent="0.25">
      <c r="A15655" t="s">
        <v>13202</v>
      </c>
      <c r="B15655" t="s">
        <v>116</v>
      </c>
      <c r="C15655" s="2">
        <f>HYPERLINK("https://cao.dolgi.msk.ru/account/1083393915/", 1083393915)</f>
        <v>1083393915</v>
      </c>
      <c r="D15655" t="s">
        <v>62</v>
      </c>
      <c r="E15655">
        <v>-4308.6099999999997</v>
      </c>
      <c r="F15655">
        <v>-1.02</v>
      </c>
      <c r="G15655" t="s">
        <v>12</v>
      </c>
      <c r="I15655" t="s">
        <v>2409</v>
      </c>
    </row>
    <row r="15656" spans="1:9" hidden="1" x14ac:dyDescent="0.25">
      <c r="A15656" t="s">
        <v>13202</v>
      </c>
      <c r="B15656" t="s">
        <v>118</v>
      </c>
      <c r="C15656" s="2">
        <f>HYPERLINK("https://cao.dolgi.msk.ru/account/1080138281/", 1080138281)</f>
        <v>1080138281</v>
      </c>
      <c r="D15656" t="s">
        <v>13246</v>
      </c>
      <c r="E15656">
        <v>-1558.22</v>
      </c>
      <c r="G15656" t="s">
        <v>14</v>
      </c>
      <c r="I15656" t="s">
        <v>2409</v>
      </c>
    </row>
    <row r="15657" spans="1:9" hidden="1" x14ac:dyDescent="0.25">
      <c r="A15657" t="s">
        <v>13202</v>
      </c>
      <c r="B15657" t="s">
        <v>118</v>
      </c>
      <c r="C15657" s="2">
        <f>HYPERLINK("https://cao.dolgi.msk.ru/account/1083393704/", 1083393704)</f>
        <v>1083393704</v>
      </c>
      <c r="D15657" t="s">
        <v>13246</v>
      </c>
      <c r="E15657">
        <v>-172.62</v>
      </c>
      <c r="F15657">
        <v>-0.05</v>
      </c>
      <c r="G15657" t="s">
        <v>12</v>
      </c>
      <c r="I15657" t="s">
        <v>2409</v>
      </c>
    </row>
    <row r="15658" spans="1:9" hidden="1" x14ac:dyDescent="0.25">
      <c r="A15658" t="s">
        <v>13202</v>
      </c>
      <c r="B15658" t="s">
        <v>120</v>
      </c>
      <c r="C15658" s="2">
        <f>HYPERLINK("https://cao.dolgi.msk.ru/account/1080138302/", 1080138302)</f>
        <v>1080138302</v>
      </c>
      <c r="D15658" t="s">
        <v>13247</v>
      </c>
      <c r="E15658">
        <v>413.95</v>
      </c>
      <c r="G15658" t="s">
        <v>14</v>
      </c>
      <c r="I15658" t="s">
        <v>2409</v>
      </c>
    </row>
    <row r="15659" spans="1:9" hidden="1" x14ac:dyDescent="0.25">
      <c r="A15659" t="s">
        <v>13202</v>
      </c>
      <c r="B15659" t="s">
        <v>120</v>
      </c>
      <c r="C15659" s="2">
        <f>HYPERLINK("https://cao.dolgi.msk.ru/account/1083393835/", 1083393835)</f>
        <v>1083393835</v>
      </c>
      <c r="D15659" t="s">
        <v>13247</v>
      </c>
      <c r="E15659">
        <v>-3500.37</v>
      </c>
      <c r="F15659">
        <v>-1.03</v>
      </c>
      <c r="G15659" t="s">
        <v>12</v>
      </c>
      <c r="I15659" t="s">
        <v>2409</v>
      </c>
    </row>
    <row r="15660" spans="1:9" hidden="1" x14ac:dyDescent="0.25">
      <c r="A15660" t="s">
        <v>13202</v>
      </c>
      <c r="B15660" t="s">
        <v>122</v>
      </c>
      <c r="C15660" s="2">
        <f>HYPERLINK("https://cao.dolgi.msk.ru/account/1080138329/", 1080138329)</f>
        <v>1080138329</v>
      </c>
      <c r="D15660" t="s">
        <v>13248</v>
      </c>
      <c r="E15660">
        <v>-538.71</v>
      </c>
      <c r="G15660" t="s">
        <v>14</v>
      </c>
      <c r="I15660" t="s">
        <v>2409</v>
      </c>
    </row>
    <row r="15661" spans="1:9" hidden="1" x14ac:dyDescent="0.25">
      <c r="A15661" t="s">
        <v>13202</v>
      </c>
      <c r="B15661" t="s">
        <v>122</v>
      </c>
      <c r="C15661" s="2">
        <f>HYPERLINK("https://cao.dolgi.msk.ru/account/1083393923/", 1083393923)</f>
        <v>1083393923</v>
      </c>
      <c r="D15661" t="s">
        <v>13248</v>
      </c>
      <c r="E15661">
        <v>-5914.82</v>
      </c>
      <c r="F15661">
        <v>-1.03</v>
      </c>
      <c r="G15661" t="s">
        <v>12</v>
      </c>
      <c r="I15661" t="s">
        <v>2409</v>
      </c>
    </row>
    <row r="15662" spans="1:9" hidden="1" x14ac:dyDescent="0.25">
      <c r="A15662" t="s">
        <v>13202</v>
      </c>
      <c r="B15662" t="s">
        <v>124</v>
      </c>
      <c r="C15662" s="2">
        <f>HYPERLINK("https://cao.dolgi.msk.ru/account/1080138337/", 1080138337)</f>
        <v>1080138337</v>
      </c>
      <c r="D15662" t="s">
        <v>13249</v>
      </c>
      <c r="E15662">
        <v>84.31</v>
      </c>
      <c r="G15662" t="s">
        <v>14</v>
      </c>
      <c r="I15662" t="s">
        <v>2409</v>
      </c>
    </row>
    <row r="15663" spans="1:9" hidden="1" x14ac:dyDescent="0.25">
      <c r="A15663" t="s">
        <v>13202</v>
      </c>
      <c r="B15663" t="s">
        <v>124</v>
      </c>
      <c r="C15663" s="2">
        <f>HYPERLINK("https://cao.dolgi.msk.ru/account/1083393499/", 1083393499)</f>
        <v>1083393499</v>
      </c>
      <c r="D15663" t="s">
        <v>13249</v>
      </c>
      <c r="E15663">
        <v>-3757.56</v>
      </c>
      <c r="F15663">
        <v>-0.96</v>
      </c>
      <c r="G15663" t="s">
        <v>12</v>
      </c>
      <c r="I15663" t="s">
        <v>2409</v>
      </c>
    </row>
    <row r="15664" spans="1:9" hidden="1" x14ac:dyDescent="0.25">
      <c r="A15664" t="s">
        <v>13202</v>
      </c>
      <c r="B15664" t="s">
        <v>126</v>
      </c>
      <c r="C15664" s="2">
        <f>HYPERLINK("https://cao.dolgi.msk.ru/account/1080138345/", 1080138345)</f>
        <v>1080138345</v>
      </c>
      <c r="D15664" t="s">
        <v>13250</v>
      </c>
      <c r="E15664">
        <v>5291.84</v>
      </c>
      <c r="G15664" t="s">
        <v>14</v>
      </c>
      <c r="I15664" t="s">
        <v>2409</v>
      </c>
    </row>
    <row r="15665" spans="1:9" hidden="1" x14ac:dyDescent="0.25">
      <c r="A15665" t="s">
        <v>13202</v>
      </c>
      <c r="B15665" t="s">
        <v>126</v>
      </c>
      <c r="C15665" s="2">
        <f>HYPERLINK("https://cao.dolgi.msk.ru/account/1083393843/", 1083393843)</f>
        <v>1083393843</v>
      </c>
      <c r="D15665" t="s">
        <v>13250</v>
      </c>
      <c r="E15665">
        <v>-22187.52</v>
      </c>
      <c r="F15665">
        <v>-5.84</v>
      </c>
      <c r="G15665" t="s">
        <v>12</v>
      </c>
      <c r="I15665" t="s">
        <v>2409</v>
      </c>
    </row>
    <row r="15666" spans="1:9" hidden="1" x14ac:dyDescent="0.25">
      <c r="A15666" t="s">
        <v>13202</v>
      </c>
      <c r="B15666" t="s">
        <v>128</v>
      </c>
      <c r="C15666" s="2">
        <f>HYPERLINK("https://cao.dolgi.msk.ru/account/1080138353/", 1080138353)</f>
        <v>1080138353</v>
      </c>
      <c r="D15666" t="s">
        <v>13251</v>
      </c>
      <c r="E15666">
        <v>1469.58</v>
      </c>
      <c r="G15666" t="s">
        <v>14</v>
      </c>
      <c r="I15666" t="s">
        <v>2409</v>
      </c>
    </row>
    <row r="15667" spans="1:9" hidden="1" x14ac:dyDescent="0.25">
      <c r="A15667" t="s">
        <v>13202</v>
      </c>
      <c r="B15667" t="s">
        <v>128</v>
      </c>
      <c r="C15667" s="2">
        <f>HYPERLINK("https://cao.dolgi.msk.ru/account/1083393384/", 1083393384)</f>
        <v>1083393384</v>
      </c>
      <c r="D15667" t="s">
        <v>13251</v>
      </c>
      <c r="E15667">
        <v>-3225.92</v>
      </c>
      <c r="F15667">
        <v>-1.23</v>
      </c>
      <c r="G15667" t="s">
        <v>12</v>
      </c>
      <c r="I15667" t="s">
        <v>2409</v>
      </c>
    </row>
    <row r="15668" spans="1:9" hidden="1" x14ac:dyDescent="0.25">
      <c r="A15668" t="s">
        <v>13202</v>
      </c>
      <c r="B15668" t="s">
        <v>130</v>
      </c>
      <c r="C15668" s="2">
        <f>HYPERLINK("https://cao.dolgi.msk.ru/account/1080138361/", 1080138361)</f>
        <v>1080138361</v>
      </c>
      <c r="D15668" t="s">
        <v>15</v>
      </c>
      <c r="E15668">
        <v>192939.44</v>
      </c>
      <c r="G15668" t="s">
        <v>14</v>
      </c>
      <c r="I15668" t="s">
        <v>2409</v>
      </c>
    </row>
    <row r="15669" spans="1:9" hidden="1" x14ac:dyDescent="0.25">
      <c r="A15669" t="s">
        <v>13202</v>
      </c>
      <c r="B15669" t="s">
        <v>130</v>
      </c>
      <c r="C15669" s="2">
        <f>HYPERLINK("https://cao.dolgi.msk.ru/account/1083393392/", 1083393392)</f>
        <v>1083393392</v>
      </c>
      <c r="D15669" t="s">
        <v>15</v>
      </c>
      <c r="E15669">
        <v>0</v>
      </c>
      <c r="F15669">
        <v>0</v>
      </c>
      <c r="G15669" t="s">
        <v>12</v>
      </c>
      <c r="I15669" t="s">
        <v>2409</v>
      </c>
    </row>
    <row r="15670" spans="1:9" hidden="1" x14ac:dyDescent="0.25">
      <c r="A15670" t="s">
        <v>13202</v>
      </c>
      <c r="B15670" t="s">
        <v>132</v>
      </c>
      <c r="C15670" s="2">
        <f>HYPERLINK("https://cao.dolgi.msk.ru/account/1080138388/", 1080138388)</f>
        <v>1080138388</v>
      </c>
      <c r="D15670" t="s">
        <v>13252</v>
      </c>
      <c r="E15670">
        <v>39.17</v>
      </c>
      <c r="G15670" t="s">
        <v>14</v>
      </c>
      <c r="I15670" t="s">
        <v>2409</v>
      </c>
    </row>
    <row r="15671" spans="1:9" hidden="1" x14ac:dyDescent="0.25">
      <c r="A15671" t="s">
        <v>13202</v>
      </c>
      <c r="B15671" t="s">
        <v>132</v>
      </c>
      <c r="C15671" s="2">
        <f>HYPERLINK("https://cao.dolgi.msk.ru/account/1083393288/", 1083393288)</f>
        <v>1083393288</v>
      </c>
      <c r="D15671" t="s">
        <v>13252</v>
      </c>
      <c r="E15671">
        <v>-5786.37</v>
      </c>
      <c r="F15671">
        <v>-1.02</v>
      </c>
      <c r="G15671" t="s">
        <v>12</v>
      </c>
      <c r="I15671" t="s">
        <v>2409</v>
      </c>
    </row>
    <row r="15672" spans="1:9" hidden="1" x14ac:dyDescent="0.25">
      <c r="A15672" t="s">
        <v>13202</v>
      </c>
      <c r="B15672" t="s">
        <v>133</v>
      </c>
      <c r="C15672" s="2">
        <f>HYPERLINK("https://cao.dolgi.msk.ru/account/1080138396/", 1080138396)</f>
        <v>1080138396</v>
      </c>
      <c r="D15672" t="s">
        <v>13253</v>
      </c>
      <c r="E15672">
        <v>1319.52</v>
      </c>
      <c r="G15672" t="s">
        <v>14</v>
      </c>
      <c r="I15672" t="s">
        <v>2409</v>
      </c>
    </row>
    <row r="15673" spans="1:9" hidden="1" x14ac:dyDescent="0.25">
      <c r="A15673" t="s">
        <v>13202</v>
      </c>
      <c r="B15673" t="s">
        <v>133</v>
      </c>
      <c r="C15673" s="2">
        <f>HYPERLINK("https://cao.dolgi.msk.ru/account/1083393501/", 1083393501)</f>
        <v>1083393501</v>
      </c>
      <c r="D15673" t="s">
        <v>13253</v>
      </c>
      <c r="E15673">
        <v>5459.62</v>
      </c>
      <c r="F15673">
        <v>1</v>
      </c>
      <c r="G15673" t="s">
        <v>12</v>
      </c>
      <c r="I15673" t="s">
        <v>2409</v>
      </c>
    </row>
    <row r="15674" spans="1:9" hidden="1" x14ac:dyDescent="0.25">
      <c r="A15674" t="s">
        <v>13202</v>
      </c>
      <c r="B15674" t="s">
        <v>135</v>
      </c>
      <c r="C15674" s="2">
        <f>HYPERLINK("https://cao.dolgi.msk.ru/account/1080138409/", 1080138409)</f>
        <v>1080138409</v>
      </c>
      <c r="D15674" t="s">
        <v>13254</v>
      </c>
      <c r="E15674">
        <v>8618.15</v>
      </c>
      <c r="G15674" t="s">
        <v>14</v>
      </c>
      <c r="I15674" t="s">
        <v>2409</v>
      </c>
    </row>
    <row r="15675" spans="1:9" hidden="1" x14ac:dyDescent="0.25">
      <c r="A15675" t="s">
        <v>13202</v>
      </c>
      <c r="B15675" t="s">
        <v>135</v>
      </c>
      <c r="C15675" s="2">
        <f>HYPERLINK("https://cao.dolgi.msk.ru/account/1083393579/", 1083393579)</f>
        <v>1083393579</v>
      </c>
      <c r="D15675" t="s">
        <v>13254</v>
      </c>
      <c r="E15675">
        <v>-3273.15</v>
      </c>
      <c r="F15675">
        <v>-0.75</v>
      </c>
      <c r="G15675" t="s">
        <v>12</v>
      </c>
      <c r="I15675" t="s">
        <v>2409</v>
      </c>
    </row>
    <row r="15676" spans="1:9" hidden="1" x14ac:dyDescent="0.25">
      <c r="A15676" t="s">
        <v>13202</v>
      </c>
      <c r="B15676" t="s">
        <v>137</v>
      </c>
      <c r="C15676" s="2">
        <f>HYPERLINK("https://cao.dolgi.msk.ru/account/1080138417/", 1080138417)</f>
        <v>1080138417</v>
      </c>
      <c r="D15676" t="s">
        <v>13255</v>
      </c>
      <c r="E15676">
        <v>0</v>
      </c>
      <c r="G15676" t="s">
        <v>14</v>
      </c>
      <c r="I15676" t="s">
        <v>2409</v>
      </c>
    </row>
    <row r="15677" spans="1:9" hidden="1" x14ac:dyDescent="0.25">
      <c r="A15677" t="s">
        <v>13202</v>
      </c>
      <c r="B15677" t="s">
        <v>137</v>
      </c>
      <c r="C15677" s="2">
        <f>HYPERLINK("https://cao.dolgi.msk.ru/account/1083393587/", 1083393587)</f>
        <v>1083393587</v>
      </c>
      <c r="D15677" t="s">
        <v>13255</v>
      </c>
      <c r="E15677">
        <v>0</v>
      </c>
      <c r="F15677">
        <v>0</v>
      </c>
      <c r="G15677" t="s">
        <v>12</v>
      </c>
      <c r="I15677" t="s">
        <v>2409</v>
      </c>
    </row>
    <row r="15678" spans="1:9" hidden="1" x14ac:dyDescent="0.25">
      <c r="A15678" t="s">
        <v>13202</v>
      </c>
      <c r="B15678" t="s">
        <v>139</v>
      </c>
      <c r="C15678" s="2">
        <f>HYPERLINK("https://cao.dolgi.msk.ru/account/1080138425/", 1080138425)</f>
        <v>1080138425</v>
      </c>
      <c r="D15678" t="s">
        <v>13256</v>
      </c>
      <c r="E15678">
        <v>-967.84</v>
      </c>
      <c r="G15678" t="s">
        <v>14</v>
      </c>
      <c r="I15678" t="s">
        <v>2409</v>
      </c>
    </row>
    <row r="15679" spans="1:9" hidden="1" x14ac:dyDescent="0.25">
      <c r="A15679" t="s">
        <v>13202</v>
      </c>
      <c r="B15679" t="s">
        <v>139</v>
      </c>
      <c r="C15679" s="2">
        <f>HYPERLINK("https://cao.dolgi.msk.ru/account/1083393931/", 1083393931)</f>
        <v>1083393931</v>
      </c>
      <c r="D15679" t="s">
        <v>13256</v>
      </c>
      <c r="E15679">
        <v>0</v>
      </c>
      <c r="F15679">
        <v>0</v>
      </c>
      <c r="G15679" t="s">
        <v>12</v>
      </c>
      <c r="I15679" t="s">
        <v>2409</v>
      </c>
    </row>
    <row r="15680" spans="1:9" hidden="1" x14ac:dyDescent="0.25">
      <c r="A15680" t="s">
        <v>13202</v>
      </c>
      <c r="B15680" t="s">
        <v>141</v>
      </c>
      <c r="C15680" s="2">
        <f>HYPERLINK("https://cao.dolgi.msk.ru/account/1080138433/", 1080138433)</f>
        <v>1080138433</v>
      </c>
      <c r="D15680" t="s">
        <v>13257</v>
      </c>
      <c r="E15680">
        <v>-32350.31</v>
      </c>
      <c r="F15680">
        <v>-100.75</v>
      </c>
      <c r="G15680" t="s">
        <v>14</v>
      </c>
      <c r="I15680" t="s">
        <v>2409</v>
      </c>
    </row>
    <row r="15681" spans="1:9" hidden="1" x14ac:dyDescent="0.25">
      <c r="A15681" t="s">
        <v>13202</v>
      </c>
      <c r="B15681" t="s">
        <v>141</v>
      </c>
      <c r="C15681" s="2">
        <f>HYPERLINK("https://cao.dolgi.msk.ru/account/1083393296/", 1083393296)</f>
        <v>1083393296</v>
      </c>
      <c r="D15681" t="s">
        <v>13257</v>
      </c>
      <c r="E15681">
        <v>-5682.57</v>
      </c>
      <c r="F15681">
        <v>-1.05</v>
      </c>
      <c r="G15681" t="s">
        <v>12</v>
      </c>
      <c r="I15681" t="s">
        <v>2409</v>
      </c>
    </row>
    <row r="15682" spans="1:9" hidden="1" x14ac:dyDescent="0.25">
      <c r="A15682" t="s">
        <v>13202</v>
      </c>
      <c r="B15682" t="s">
        <v>143</v>
      </c>
      <c r="C15682" s="2">
        <f>HYPERLINK("https://cao.dolgi.msk.ru/account/1080138441/", 1080138441)</f>
        <v>1080138441</v>
      </c>
      <c r="D15682" t="s">
        <v>13258</v>
      </c>
      <c r="E15682">
        <v>0</v>
      </c>
      <c r="F15682">
        <v>0</v>
      </c>
      <c r="G15682" t="s">
        <v>14</v>
      </c>
      <c r="I15682" t="s">
        <v>2409</v>
      </c>
    </row>
    <row r="15683" spans="1:9" hidden="1" x14ac:dyDescent="0.25">
      <c r="A15683" t="s">
        <v>13202</v>
      </c>
      <c r="B15683" t="s">
        <v>143</v>
      </c>
      <c r="C15683" s="2">
        <f>HYPERLINK("https://cao.dolgi.msk.ru/account/1083393712/", 1083393712)</f>
        <v>1083393712</v>
      </c>
      <c r="D15683" t="s">
        <v>13258</v>
      </c>
      <c r="E15683">
        <v>-4023.67</v>
      </c>
      <c r="F15683">
        <v>-1.06</v>
      </c>
      <c r="G15683" t="s">
        <v>12</v>
      </c>
      <c r="I15683" t="s">
        <v>2409</v>
      </c>
    </row>
    <row r="15684" spans="1:9" hidden="1" x14ac:dyDescent="0.25">
      <c r="A15684" t="s">
        <v>13259</v>
      </c>
      <c r="B15684" t="s">
        <v>10</v>
      </c>
      <c r="C15684" s="2">
        <f>HYPERLINK("https://cao.dolgi.msk.ru/account/1083394256/", 1083394256)</f>
        <v>1083394256</v>
      </c>
      <c r="D15684" t="s">
        <v>15</v>
      </c>
      <c r="E15684">
        <v>-2435.02</v>
      </c>
      <c r="F15684">
        <v>-0.31</v>
      </c>
      <c r="G15684" t="s">
        <v>12</v>
      </c>
      <c r="I15684" t="s">
        <v>2409</v>
      </c>
    </row>
    <row r="15685" spans="1:9" hidden="1" x14ac:dyDescent="0.25">
      <c r="A15685" t="s">
        <v>13259</v>
      </c>
      <c r="B15685" t="s">
        <v>10</v>
      </c>
      <c r="C15685" s="2">
        <f>HYPERLINK("https://cao.dolgi.msk.ru/account/1089109313/", 1089109313)</f>
        <v>1089109313</v>
      </c>
      <c r="D15685" t="s">
        <v>15</v>
      </c>
      <c r="E15685">
        <v>2705</v>
      </c>
      <c r="F15685">
        <v>1</v>
      </c>
      <c r="G15685" t="s">
        <v>14</v>
      </c>
      <c r="I15685" t="s">
        <v>2409</v>
      </c>
    </row>
    <row r="15686" spans="1:9" hidden="1" x14ac:dyDescent="0.25">
      <c r="A15686" t="s">
        <v>13259</v>
      </c>
      <c r="B15686" t="s">
        <v>16</v>
      </c>
      <c r="C15686" s="2">
        <f>HYPERLINK("https://cao.dolgi.msk.ru/account/1083394707/", 1083394707)</f>
        <v>1083394707</v>
      </c>
      <c r="D15686" t="s">
        <v>15</v>
      </c>
      <c r="E15686">
        <v>0</v>
      </c>
      <c r="F15686">
        <v>0</v>
      </c>
      <c r="G15686" t="s">
        <v>12</v>
      </c>
      <c r="I15686" t="s">
        <v>2409</v>
      </c>
    </row>
    <row r="15687" spans="1:9" hidden="1" x14ac:dyDescent="0.25">
      <c r="A15687" t="s">
        <v>13259</v>
      </c>
      <c r="B15687" t="s">
        <v>16</v>
      </c>
      <c r="C15687" s="2">
        <f>HYPERLINK("https://cao.dolgi.msk.ru/account/1089109321/", 1089109321)</f>
        <v>1089109321</v>
      </c>
      <c r="D15687" t="s">
        <v>15</v>
      </c>
      <c r="E15687">
        <v>-1651.73</v>
      </c>
      <c r="G15687" t="s">
        <v>14</v>
      </c>
      <c r="I15687" t="s">
        <v>2409</v>
      </c>
    </row>
    <row r="15688" spans="1:9" hidden="1" x14ac:dyDescent="0.25">
      <c r="A15688" t="s">
        <v>13259</v>
      </c>
      <c r="B15688" t="s">
        <v>18</v>
      </c>
      <c r="C15688" s="2">
        <f>HYPERLINK("https://cao.dolgi.msk.ru/account/1083394803/", 1083394803)</f>
        <v>1083394803</v>
      </c>
      <c r="D15688" t="s">
        <v>15</v>
      </c>
      <c r="E15688">
        <v>-4463.66</v>
      </c>
      <c r="F15688">
        <v>-1.06</v>
      </c>
      <c r="G15688" t="s">
        <v>12</v>
      </c>
      <c r="I15688" t="s">
        <v>2409</v>
      </c>
    </row>
    <row r="15689" spans="1:9" hidden="1" x14ac:dyDescent="0.25">
      <c r="A15689" t="s">
        <v>13259</v>
      </c>
      <c r="B15689" t="s">
        <v>18</v>
      </c>
      <c r="C15689" s="2">
        <f>HYPERLINK("https://cao.dolgi.msk.ru/account/1089109348/", 1089109348)</f>
        <v>1089109348</v>
      </c>
      <c r="D15689" t="s">
        <v>15</v>
      </c>
      <c r="E15689">
        <v>-235.61</v>
      </c>
      <c r="G15689" t="s">
        <v>14</v>
      </c>
      <c r="I15689" t="s">
        <v>2409</v>
      </c>
    </row>
    <row r="15690" spans="1:9" hidden="1" x14ac:dyDescent="0.25">
      <c r="A15690" t="s">
        <v>13259</v>
      </c>
      <c r="B15690" t="s">
        <v>20</v>
      </c>
      <c r="C15690" s="2">
        <f>HYPERLINK("https://cao.dolgi.msk.ru/account/1083394483/", 1083394483)</f>
        <v>1083394483</v>
      </c>
      <c r="D15690" t="s">
        <v>15</v>
      </c>
      <c r="E15690">
        <v>-17894.900000000001</v>
      </c>
      <c r="F15690">
        <v>-2.0499999999999998</v>
      </c>
      <c r="G15690" t="s">
        <v>12</v>
      </c>
      <c r="I15690" t="s">
        <v>2409</v>
      </c>
    </row>
    <row r="15691" spans="1:9" hidden="1" x14ac:dyDescent="0.25">
      <c r="A15691" t="s">
        <v>13259</v>
      </c>
      <c r="B15691" t="s">
        <v>20</v>
      </c>
      <c r="C15691" s="2">
        <f>HYPERLINK("https://cao.dolgi.msk.ru/account/1089109356/", 1089109356)</f>
        <v>1089109356</v>
      </c>
      <c r="D15691" t="s">
        <v>15</v>
      </c>
      <c r="E15691">
        <v>1137.81</v>
      </c>
      <c r="G15691" t="s">
        <v>14</v>
      </c>
      <c r="I15691" t="s">
        <v>2409</v>
      </c>
    </row>
    <row r="15692" spans="1:9" hidden="1" x14ac:dyDescent="0.25">
      <c r="A15692" t="s">
        <v>13259</v>
      </c>
      <c r="B15692" t="s">
        <v>21</v>
      </c>
      <c r="C15692" s="2">
        <f>HYPERLINK("https://cao.dolgi.msk.ru/account/1083394491/", 1083394491)</f>
        <v>1083394491</v>
      </c>
      <c r="D15692" t="s">
        <v>13260</v>
      </c>
      <c r="E15692">
        <v>-4576.74</v>
      </c>
      <c r="F15692">
        <v>-1.1399999999999999</v>
      </c>
      <c r="G15692" t="s">
        <v>12</v>
      </c>
      <c r="I15692" t="s">
        <v>2409</v>
      </c>
    </row>
    <row r="15693" spans="1:9" hidden="1" x14ac:dyDescent="0.25">
      <c r="A15693" t="s">
        <v>13259</v>
      </c>
      <c r="B15693" t="s">
        <v>21</v>
      </c>
      <c r="C15693" s="2">
        <f>HYPERLINK("https://cao.dolgi.msk.ru/account/1089109364/", 1089109364)</f>
        <v>1089109364</v>
      </c>
      <c r="D15693" t="s">
        <v>13260</v>
      </c>
      <c r="E15693">
        <v>0</v>
      </c>
      <c r="G15693" t="s">
        <v>14</v>
      </c>
      <c r="I15693" t="s">
        <v>2409</v>
      </c>
    </row>
    <row r="15694" spans="1:9" hidden="1" x14ac:dyDescent="0.25">
      <c r="A15694" t="s">
        <v>13259</v>
      </c>
      <c r="B15694" t="s">
        <v>22</v>
      </c>
      <c r="C15694" s="2">
        <f>HYPERLINK("https://cao.dolgi.msk.ru/account/1083394395/", 1083394395)</f>
        <v>1083394395</v>
      </c>
      <c r="D15694" t="s">
        <v>15</v>
      </c>
      <c r="E15694">
        <v>-6335.21</v>
      </c>
      <c r="F15694">
        <v>-1.05</v>
      </c>
      <c r="G15694" t="s">
        <v>12</v>
      </c>
      <c r="I15694" t="s">
        <v>2409</v>
      </c>
    </row>
    <row r="15695" spans="1:9" hidden="1" x14ac:dyDescent="0.25">
      <c r="A15695" t="s">
        <v>13259</v>
      </c>
      <c r="B15695" t="s">
        <v>22</v>
      </c>
      <c r="C15695" s="2">
        <f>HYPERLINK("https://cao.dolgi.msk.ru/account/1089109372/", 1089109372)</f>
        <v>1089109372</v>
      </c>
      <c r="D15695" t="s">
        <v>15</v>
      </c>
      <c r="E15695">
        <v>3094.25</v>
      </c>
      <c r="F15695">
        <v>0.99</v>
      </c>
      <c r="G15695" t="s">
        <v>14</v>
      </c>
      <c r="I15695" t="s">
        <v>2409</v>
      </c>
    </row>
    <row r="15696" spans="1:9" hidden="1" x14ac:dyDescent="0.25">
      <c r="A15696" t="s">
        <v>13259</v>
      </c>
      <c r="B15696" t="s">
        <v>23</v>
      </c>
      <c r="C15696" s="2">
        <f>HYPERLINK("https://cao.dolgi.msk.ru/account/1083394408/", 1083394408)</f>
        <v>1083394408</v>
      </c>
      <c r="D15696" t="s">
        <v>13261</v>
      </c>
      <c r="E15696">
        <v>-1115.48</v>
      </c>
      <c r="F15696">
        <v>-0.33</v>
      </c>
      <c r="G15696" t="s">
        <v>12</v>
      </c>
      <c r="I15696" t="s">
        <v>2409</v>
      </c>
    </row>
    <row r="15697" spans="1:9" hidden="1" x14ac:dyDescent="0.25">
      <c r="A15697" t="s">
        <v>13259</v>
      </c>
      <c r="B15697" t="s">
        <v>23</v>
      </c>
      <c r="C15697" s="2">
        <f>HYPERLINK("https://cao.dolgi.msk.ru/account/1089109399/", 1089109399)</f>
        <v>1089109399</v>
      </c>
      <c r="D15697" t="s">
        <v>13261</v>
      </c>
      <c r="E15697">
        <v>585.17999999999995</v>
      </c>
      <c r="G15697" t="s">
        <v>14</v>
      </c>
      <c r="I15697" t="s">
        <v>2409</v>
      </c>
    </row>
    <row r="15698" spans="1:9" hidden="1" x14ac:dyDescent="0.25">
      <c r="A15698" t="s">
        <v>13259</v>
      </c>
      <c r="B15698" t="s">
        <v>24</v>
      </c>
      <c r="C15698" s="2">
        <f>HYPERLINK("https://cao.dolgi.msk.ru/account/1083394627/", 1083394627)</f>
        <v>1083394627</v>
      </c>
      <c r="D15698" t="s">
        <v>13262</v>
      </c>
      <c r="E15698">
        <v>-6559.1</v>
      </c>
      <c r="F15698">
        <v>-1.34</v>
      </c>
      <c r="G15698" t="s">
        <v>12</v>
      </c>
      <c r="I15698" t="s">
        <v>2409</v>
      </c>
    </row>
    <row r="15699" spans="1:9" hidden="1" x14ac:dyDescent="0.25">
      <c r="A15699" t="s">
        <v>13259</v>
      </c>
      <c r="B15699" t="s">
        <v>24</v>
      </c>
      <c r="C15699" s="2">
        <f>HYPERLINK("https://cao.dolgi.msk.ru/account/1089109401/", 1089109401)</f>
        <v>1089109401</v>
      </c>
      <c r="D15699" t="s">
        <v>13262</v>
      </c>
      <c r="E15699">
        <v>-29.1</v>
      </c>
      <c r="F15699">
        <v>-0.02</v>
      </c>
      <c r="G15699" t="s">
        <v>14</v>
      </c>
      <c r="I15699" t="s">
        <v>2409</v>
      </c>
    </row>
    <row r="15700" spans="1:9" hidden="1" x14ac:dyDescent="0.25">
      <c r="A15700" t="s">
        <v>13259</v>
      </c>
      <c r="B15700" t="s">
        <v>27</v>
      </c>
      <c r="C15700" s="2">
        <f>HYPERLINK("https://cao.dolgi.msk.ru/account/1083394299/", 1083394299)</f>
        <v>1083394299</v>
      </c>
      <c r="D15700" t="s">
        <v>15</v>
      </c>
      <c r="E15700">
        <v>-3733.9</v>
      </c>
      <c r="F15700">
        <v>-1</v>
      </c>
      <c r="G15700" t="s">
        <v>12</v>
      </c>
      <c r="I15700" t="s">
        <v>2409</v>
      </c>
    </row>
    <row r="15701" spans="1:9" hidden="1" x14ac:dyDescent="0.25">
      <c r="A15701" t="s">
        <v>13259</v>
      </c>
      <c r="B15701" t="s">
        <v>27</v>
      </c>
      <c r="C15701" s="2">
        <f>HYPERLINK("https://cao.dolgi.msk.ru/account/1089109428/", 1089109428)</f>
        <v>1089109428</v>
      </c>
      <c r="D15701" t="s">
        <v>15</v>
      </c>
      <c r="E15701">
        <v>-1116.78</v>
      </c>
      <c r="F15701">
        <v>-1</v>
      </c>
      <c r="G15701" t="s">
        <v>14</v>
      </c>
      <c r="I15701" t="s">
        <v>2409</v>
      </c>
    </row>
    <row r="15702" spans="1:9" hidden="1" x14ac:dyDescent="0.25">
      <c r="A15702" t="s">
        <v>13259</v>
      </c>
      <c r="B15702" t="s">
        <v>29</v>
      </c>
      <c r="C15702" s="2">
        <f>HYPERLINK("https://cao.dolgi.msk.ru/account/1083394635/", 1083394635)</f>
        <v>1083394635</v>
      </c>
      <c r="D15702" t="s">
        <v>15</v>
      </c>
      <c r="E15702">
        <v>0</v>
      </c>
      <c r="F15702">
        <v>0</v>
      </c>
      <c r="G15702" t="s">
        <v>12</v>
      </c>
      <c r="I15702" t="s">
        <v>2409</v>
      </c>
    </row>
    <row r="15703" spans="1:9" hidden="1" x14ac:dyDescent="0.25">
      <c r="A15703" t="s">
        <v>13259</v>
      </c>
      <c r="B15703" t="s">
        <v>29</v>
      </c>
      <c r="C15703" s="2">
        <f>HYPERLINK("https://cao.dolgi.msk.ru/account/1089109436/", 1089109436)</f>
        <v>1089109436</v>
      </c>
      <c r="D15703" t="s">
        <v>15</v>
      </c>
      <c r="E15703">
        <v>-248.4</v>
      </c>
      <c r="G15703" t="s">
        <v>14</v>
      </c>
      <c r="I15703" t="s">
        <v>2409</v>
      </c>
    </row>
    <row r="15704" spans="1:9" hidden="1" x14ac:dyDescent="0.25">
      <c r="A15704" t="s">
        <v>13259</v>
      </c>
      <c r="B15704" t="s">
        <v>31</v>
      </c>
      <c r="C15704" s="2">
        <f>HYPERLINK("https://cao.dolgi.msk.ru/account/1083394416/", 1083394416)</f>
        <v>1083394416</v>
      </c>
      <c r="D15704" t="s">
        <v>13263</v>
      </c>
      <c r="E15704">
        <v>0</v>
      </c>
      <c r="F15704">
        <v>0</v>
      </c>
      <c r="G15704" t="s">
        <v>12</v>
      </c>
      <c r="I15704" t="s">
        <v>2409</v>
      </c>
    </row>
    <row r="15705" spans="1:9" hidden="1" x14ac:dyDescent="0.25">
      <c r="A15705" t="s">
        <v>13259</v>
      </c>
      <c r="B15705" t="s">
        <v>31</v>
      </c>
      <c r="C15705" s="2">
        <f>HYPERLINK("https://cao.dolgi.msk.ru/account/1089109444/", 1089109444)</f>
        <v>1089109444</v>
      </c>
      <c r="D15705" t="s">
        <v>13263</v>
      </c>
      <c r="E15705">
        <v>0</v>
      </c>
      <c r="F15705">
        <v>0</v>
      </c>
      <c r="G15705" t="s">
        <v>14</v>
      </c>
      <c r="I15705" t="s">
        <v>2409</v>
      </c>
    </row>
    <row r="15706" spans="1:9" hidden="1" x14ac:dyDescent="0.25">
      <c r="A15706" t="s">
        <v>13259</v>
      </c>
      <c r="B15706" t="s">
        <v>33</v>
      </c>
      <c r="C15706" s="2">
        <f>HYPERLINK("https://cao.dolgi.msk.ru/account/1083394424/", 1083394424)</f>
        <v>1083394424</v>
      </c>
      <c r="D15706" t="s">
        <v>15</v>
      </c>
      <c r="E15706">
        <v>0</v>
      </c>
      <c r="F15706">
        <v>0</v>
      </c>
      <c r="G15706" t="s">
        <v>12</v>
      </c>
      <c r="I15706" t="s">
        <v>2409</v>
      </c>
    </row>
    <row r="15707" spans="1:9" hidden="1" x14ac:dyDescent="0.25">
      <c r="A15707" t="s">
        <v>13259</v>
      </c>
      <c r="B15707" t="s">
        <v>33</v>
      </c>
      <c r="C15707" s="2">
        <f>HYPERLINK("https://cao.dolgi.msk.ru/account/1089109452/", 1089109452)</f>
        <v>1089109452</v>
      </c>
      <c r="D15707" t="s">
        <v>15</v>
      </c>
      <c r="E15707">
        <v>0</v>
      </c>
      <c r="G15707" t="s">
        <v>14</v>
      </c>
      <c r="I15707" t="s">
        <v>2409</v>
      </c>
    </row>
    <row r="15708" spans="1:9" hidden="1" x14ac:dyDescent="0.25">
      <c r="A15708" t="s">
        <v>13259</v>
      </c>
      <c r="B15708" t="s">
        <v>34</v>
      </c>
      <c r="C15708" s="2">
        <f>HYPERLINK("https://cao.dolgi.msk.ru/account/1083394715/", 1083394715)</f>
        <v>1083394715</v>
      </c>
      <c r="D15708" t="s">
        <v>13264</v>
      </c>
      <c r="E15708">
        <v>-3677.52</v>
      </c>
      <c r="F15708">
        <v>-1.34</v>
      </c>
      <c r="G15708" t="s">
        <v>12</v>
      </c>
      <c r="I15708" t="s">
        <v>2409</v>
      </c>
    </row>
    <row r="15709" spans="1:9" hidden="1" x14ac:dyDescent="0.25">
      <c r="A15709" t="s">
        <v>13259</v>
      </c>
      <c r="B15709" t="s">
        <v>34</v>
      </c>
      <c r="C15709" s="2">
        <f>HYPERLINK("https://cao.dolgi.msk.ru/account/1089109479/", 1089109479)</f>
        <v>1089109479</v>
      </c>
      <c r="D15709" t="s">
        <v>13264</v>
      </c>
      <c r="E15709">
        <v>0</v>
      </c>
      <c r="F15709">
        <v>0</v>
      </c>
      <c r="G15709" t="s">
        <v>14</v>
      </c>
      <c r="I15709" t="s">
        <v>2409</v>
      </c>
    </row>
    <row r="15710" spans="1:9" hidden="1" x14ac:dyDescent="0.25">
      <c r="A15710" t="s">
        <v>13259</v>
      </c>
      <c r="B15710" t="s">
        <v>36</v>
      </c>
      <c r="C15710" s="2">
        <f>HYPERLINK("https://cao.dolgi.msk.ru/account/1083394897/", 1083394897)</f>
        <v>1083394897</v>
      </c>
      <c r="D15710" t="s">
        <v>15</v>
      </c>
      <c r="E15710">
        <v>0</v>
      </c>
      <c r="F15710">
        <v>0</v>
      </c>
      <c r="G15710" t="s">
        <v>12</v>
      </c>
      <c r="I15710" t="s">
        <v>2409</v>
      </c>
    </row>
    <row r="15711" spans="1:9" hidden="1" x14ac:dyDescent="0.25">
      <c r="A15711" t="s">
        <v>13259</v>
      </c>
      <c r="B15711" t="s">
        <v>36</v>
      </c>
      <c r="C15711" s="2">
        <f>HYPERLINK("https://cao.dolgi.msk.ru/account/1089109487/", 1089109487)</f>
        <v>1089109487</v>
      </c>
      <c r="D15711" t="s">
        <v>15</v>
      </c>
      <c r="E15711">
        <v>3845.11</v>
      </c>
      <c r="F15711">
        <v>1.19</v>
      </c>
      <c r="G15711" t="s">
        <v>14</v>
      </c>
      <c r="I15711" t="s">
        <v>2409</v>
      </c>
    </row>
    <row r="15712" spans="1:9" hidden="1" x14ac:dyDescent="0.25">
      <c r="A15712" t="s">
        <v>13259</v>
      </c>
      <c r="B15712" t="s">
        <v>38</v>
      </c>
      <c r="C15712" s="2">
        <f>HYPERLINK("https://cao.dolgi.msk.ru/account/1083394301/", 1083394301)</f>
        <v>1083394301</v>
      </c>
      <c r="D15712" t="s">
        <v>15</v>
      </c>
      <c r="E15712">
        <v>-4645.91</v>
      </c>
      <c r="F15712">
        <v>-1.07</v>
      </c>
      <c r="G15712" t="s">
        <v>12</v>
      </c>
      <c r="I15712" t="s">
        <v>2409</v>
      </c>
    </row>
    <row r="15713" spans="1:9" hidden="1" x14ac:dyDescent="0.25">
      <c r="A15713" t="s">
        <v>13259</v>
      </c>
      <c r="B15713" t="s">
        <v>38</v>
      </c>
      <c r="C15713" s="2">
        <f>HYPERLINK("https://cao.dolgi.msk.ru/account/1089109495/", 1089109495)</f>
        <v>1089109495</v>
      </c>
      <c r="D15713" t="s">
        <v>15</v>
      </c>
      <c r="E15713">
        <v>0</v>
      </c>
      <c r="F15713">
        <v>0</v>
      </c>
      <c r="G15713" t="s">
        <v>14</v>
      </c>
      <c r="I15713" t="s">
        <v>2409</v>
      </c>
    </row>
    <row r="15714" spans="1:9" hidden="1" x14ac:dyDescent="0.25">
      <c r="A15714" t="s">
        <v>13259</v>
      </c>
      <c r="B15714" t="s">
        <v>39</v>
      </c>
      <c r="C15714" s="2">
        <f>HYPERLINK("https://cao.dolgi.msk.ru/account/1083394723/", 1083394723)</f>
        <v>1083394723</v>
      </c>
      <c r="D15714" t="s">
        <v>15</v>
      </c>
      <c r="E15714">
        <v>-227.52</v>
      </c>
      <c r="F15714">
        <v>-0.08</v>
      </c>
      <c r="G15714" t="s">
        <v>12</v>
      </c>
      <c r="I15714" t="s">
        <v>2409</v>
      </c>
    </row>
    <row r="15715" spans="1:9" hidden="1" x14ac:dyDescent="0.25">
      <c r="A15715" t="s">
        <v>13259</v>
      </c>
      <c r="B15715" t="s">
        <v>39</v>
      </c>
      <c r="C15715" s="2">
        <f>HYPERLINK("https://cao.dolgi.msk.ru/account/1089109508/", 1089109508)</f>
        <v>1089109508</v>
      </c>
      <c r="D15715" t="s">
        <v>15</v>
      </c>
      <c r="E15715">
        <v>-203.81</v>
      </c>
      <c r="G15715" t="s">
        <v>14</v>
      </c>
      <c r="I15715" t="s">
        <v>2409</v>
      </c>
    </row>
    <row r="15716" spans="1:9" hidden="1" x14ac:dyDescent="0.25">
      <c r="A15716" t="s">
        <v>13259</v>
      </c>
      <c r="B15716" t="s">
        <v>40</v>
      </c>
      <c r="C15716" s="2">
        <f>HYPERLINK("https://cao.dolgi.msk.ru/account/1083394731/", 1083394731)</f>
        <v>1083394731</v>
      </c>
      <c r="D15716" t="s">
        <v>13265</v>
      </c>
      <c r="E15716">
        <v>-5957.86</v>
      </c>
      <c r="F15716">
        <v>-1.07</v>
      </c>
      <c r="G15716" t="s">
        <v>12</v>
      </c>
      <c r="I15716" t="s">
        <v>2409</v>
      </c>
    </row>
    <row r="15717" spans="1:9" hidden="1" x14ac:dyDescent="0.25">
      <c r="A15717" t="s">
        <v>13259</v>
      </c>
      <c r="B15717" t="s">
        <v>40</v>
      </c>
      <c r="C15717" s="2">
        <f>HYPERLINK("https://cao.dolgi.msk.ru/account/1089109516/", 1089109516)</f>
        <v>1089109516</v>
      </c>
      <c r="D15717" t="s">
        <v>13265</v>
      </c>
      <c r="E15717">
        <v>-156.62</v>
      </c>
      <c r="F15717">
        <v>-0.22</v>
      </c>
      <c r="G15717" t="s">
        <v>14</v>
      </c>
      <c r="I15717" t="s">
        <v>2409</v>
      </c>
    </row>
    <row r="15718" spans="1:9" hidden="1" x14ac:dyDescent="0.25">
      <c r="A15718" t="s">
        <v>13259</v>
      </c>
      <c r="B15718" t="s">
        <v>41</v>
      </c>
      <c r="C15718" s="2">
        <f>HYPERLINK("https://cao.dolgi.msk.ru/account/1083394328/", 1083394328)</f>
        <v>1083394328</v>
      </c>
      <c r="D15718" t="s">
        <v>13266</v>
      </c>
      <c r="E15718">
        <v>-4141.13</v>
      </c>
      <c r="F15718">
        <v>-1.08</v>
      </c>
      <c r="G15718" t="s">
        <v>12</v>
      </c>
      <c r="I15718" t="s">
        <v>2409</v>
      </c>
    </row>
    <row r="15719" spans="1:9" hidden="1" x14ac:dyDescent="0.25">
      <c r="A15719" t="s">
        <v>13259</v>
      </c>
      <c r="B15719" t="s">
        <v>41</v>
      </c>
      <c r="C15719" s="2">
        <f>HYPERLINK("https://cao.dolgi.msk.ru/account/1089109524/", 1089109524)</f>
        <v>1089109524</v>
      </c>
      <c r="D15719" t="s">
        <v>13266</v>
      </c>
      <c r="E15719">
        <v>25</v>
      </c>
      <c r="G15719" t="s">
        <v>14</v>
      </c>
      <c r="I15719" t="s">
        <v>2409</v>
      </c>
    </row>
    <row r="15720" spans="1:9" hidden="1" x14ac:dyDescent="0.25">
      <c r="A15720" t="s">
        <v>13259</v>
      </c>
      <c r="B15720" t="s">
        <v>42</v>
      </c>
      <c r="C15720" s="2">
        <f>HYPERLINK("https://cao.dolgi.msk.ru/account/1083394264/", 1083394264)</f>
        <v>1083394264</v>
      </c>
      <c r="D15720" t="s">
        <v>13267</v>
      </c>
      <c r="E15720">
        <v>-43.92</v>
      </c>
      <c r="F15720">
        <v>-0.01</v>
      </c>
      <c r="G15720" t="s">
        <v>12</v>
      </c>
      <c r="I15720" t="s">
        <v>2409</v>
      </c>
    </row>
    <row r="15721" spans="1:9" hidden="1" x14ac:dyDescent="0.25">
      <c r="A15721" t="s">
        <v>13259</v>
      </c>
      <c r="B15721" t="s">
        <v>42</v>
      </c>
      <c r="C15721" s="2">
        <f>HYPERLINK("https://cao.dolgi.msk.ru/account/1089109532/", 1089109532)</f>
        <v>1089109532</v>
      </c>
      <c r="D15721" t="s">
        <v>13267</v>
      </c>
      <c r="E15721">
        <v>-543.49</v>
      </c>
      <c r="F15721">
        <v>-0.35</v>
      </c>
      <c r="G15721" t="s">
        <v>14</v>
      </c>
      <c r="I15721" t="s">
        <v>2409</v>
      </c>
    </row>
    <row r="15722" spans="1:9" hidden="1" x14ac:dyDescent="0.25">
      <c r="A15722" t="s">
        <v>13259</v>
      </c>
      <c r="B15722" t="s">
        <v>44</v>
      </c>
      <c r="C15722" s="2">
        <f>HYPERLINK("https://cao.dolgi.msk.ru/account/1083394918/", 1083394918)</f>
        <v>1083394918</v>
      </c>
      <c r="D15722" t="s">
        <v>13268</v>
      </c>
      <c r="E15722">
        <v>-4494.95</v>
      </c>
      <c r="F15722">
        <v>-1.1200000000000001</v>
      </c>
      <c r="G15722" t="s">
        <v>12</v>
      </c>
      <c r="I15722" t="s">
        <v>2409</v>
      </c>
    </row>
    <row r="15723" spans="1:9" hidden="1" x14ac:dyDescent="0.25">
      <c r="A15723" t="s">
        <v>13259</v>
      </c>
      <c r="B15723" t="s">
        <v>44</v>
      </c>
      <c r="C15723" s="2">
        <f>HYPERLINK("https://cao.dolgi.msk.ru/account/1089109559/", 1089109559)</f>
        <v>1089109559</v>
      </c>
      <c r="D15723" t="s">
        <v>13268</v>
      </c>
      <c r="E15723">
        <v>0.56999999999999995</v>
      </c>
      <c r="G15723" t="s">
        <v>14</v>
      </c>
      <c r="I15723" t="s">
        <v>2409</v>
      </c>
    </row>
    <row r="15724" spans="1:9" hidden="1" x14ac:dyDescent="0.25">
      <c r="A15724" t="s">
        <v>13259</v>
      </c>
      <c r="B15724" t="s">
        <v>66</v>
      </c>
      <c r="C15724" s="2">
        <f>HYPERLINK("https://cao.dolgi.msk.ru/account/1083394619/", 1083394619)</f>
        <v>1083394619</v>
      </c>
      <c r="D15724" t="s">
        <v>13269</v>
      </c>
      <c r="E15724">
        <v>-46.82</v>
      </c>
      <c r="F15724">
        <v>-0.02</v>
      </c>
      <c r="G15724" t="s">
        <v>12</v>
      </c>
      <c r="I15724" t="s">
        <v>2409</v>
      </c>
    </row>
    <row r="15725" spans="1:9" hidden="1" x14ac:dyDescent="0.25">
      <c r="A15725" t="s">
        <v>13259</v>
      </c>
      <c r="B15725" t="s">
        <v>66</v>
      </c>
      <c r="C15725" s="2">
        <f>HYPERLINK("https://cao.dolgi.msk.ru/account/1089005223/", 1089005223)</f>
        <v>1089005223</v>
      </c>
      <c r="D15725" t="s">
        <v>13269</v>
      </c>
      <c r="E15725">
        <v>-3427.17</v>
      </c>
      <c r="G15725" t="s">
        <v>14</v>
      </c>
      <c r="I15725" t="s">
        <v>2409</v>
      </c>
    </row>
    <row r="15726" spans="1:9" hidden="1" x14ac:dyDescent="0.25">
      <c r="A15726" t="s">
        <v>13259</v>
      </c>
      <c r="B15726" t="s">
        <v>68</v>
      </c>
      <c r="C15726" s="2">
        <f>HYPERLINK("https://cao.dolgi.msk.ru/account/1083394811/", 1083394811)</f>
        <v>1083394811</v>
      </c>
      <c r="D15726" t="s">
        <v>13270</v>
      </c>
      <c r="E15726">
        <v>-5207.68</v>
      </c>
      <c r="F15726">
        <v>-1.08</v>
      </c>
      <c r="G15726" t="s">
        <v>12</v>
      </c>
      <c r="I15726" t="s">
        <v>2409</v>
      </c>
    </row>
    <row r="15727" spans="1:9" hidden="1" x14ac:dyDescent="0.25">
      <c r="A15727" t="s">
        <v>13259</v>
      </c>
      <c r="B15727" t="s">
        <v>68</v>
      </c>
      <c r="C15727" s="2">
        <f>HYPERLINK("https://cao.dolgi.msk.ru/account/1089109575/", 1089109575)</f>
        <v>1089109575</v>
      </c>
      <c r="D15727" t="s">
        <v>13270</v>
      </c>
      <c r="E15727">
        <v>-1566.52</v>
      </c>
      <c r="F15727">
        <v>-1</v>
      </c>
      <c r="G15727" t="s">
        <v>14</v>
      </c>
      <c r="I15727" t="s">
        <v>2409</v>
      </c>
    </row>
    <row r="15728" spans="1:9" hidden="1" x14ac:dyDescent="0.25">
      <c r="A15728" t="s">
        <v>13259</v>
      </c>
      <c r="B15728" t="s">
        <v>70</v>
      </c>
      <c r="C15728" s="2">
        <f>HYPERLINK("https://cao.dolgi.msk.ru/account/1083394504/", 1083394504)</f>
        <v>1083394504</v>
      </c>
      <c r="D15728" t="s">
        <v>13271</v>
      </c>
      <c r="E15728">
        <v>-7181.44</v>
      </c>
      <c r="F15728">
        <v>-1.27</v>
      </c>
      <c r="G15728" t="s">
        <v>12</v>
      </c>
      <c r="I15728" t="s">
        <v>2409</v>
      </c>
    </row>
    <row r="15729" spans="1:9" hidden="1" x14ac:dyDescent="0.25">
      <c r="A15729" t="s">
        <v>13259</v>
      </c>
      <c r="B15729" t="s">
        <v>70</v>
      </c>
      <c r="C15729" s="2">
        <f>HYPERLINK("https://cao.dolgi.msk.ru/account/1089109583/", 1089109583)</f>
        <v>1089109583</v>
      </c>
      <c r="D15729" t="s">
        <v>13271</v>
      </c>
      <c r="E15729">
        <v>2452.9499999999998</v>
      </c>
      <c r="G15729" t="s">
        <v>14</v>
      </c>
      <c r="I15729" t="s">
        <v>2409</v>
      </c>
    </row>
    <row r="15730" spans="1:9" hidden="1" x14ac:dyDescent="0.25">
      <c r="A15730" t="s">
        <v>13259</v>
      </c>
      <c r="B15730" t="s">
        <v>72</v>
      </c>
      <c r="C15730" s="2">
        <f>HYPERLINK("https://cao.dolgi.msk.ru/account/1083394926/", 1083394926)</f>
        <v>1083394926</v>
      </c>
      <c r="D15730" t="s">
        <v>13272</v>
      </c>
      <c r="E15730">
        <v>1870.08</v>
      </c>
      <c r="F15730">
        <v>0.36</v>
      </c>
      <c r="G15730" t="s">
        <v>12</v>
      </c>
      <c r="I15730" t="s">
        <v>2409</v>
      </c>
    </row>
    <row r="15731" spans="1:9" hidden="1" x14ac:dyDescent="0.25">
      <c r="A15731" t="s">
        <v>13259</v>
      </c>
      <c r="B15731" t="s">
        <v>72</v>
      </c>
      <c r="C15731" s="2">
        <f>HYPERLINK("https://cao.dolgi.msk.ru/account/1089109591/", 1089109591)</f>
        <v>1089109591</v>
      </c>
      <c r="D15731" t="s">
        <v>13272</v>
      </c>
      <c r="E15731">
        <v>0</v>
      </c>
      <c r="G15731" t="s">
        <v>14</v>
      </c>
      <c r="I15731" t="s">
        <v>2409</v>
      </c>
    </row>
    <row r="15732" spans="1:9" x14ac:dyDescent="0.25">
      <c r="A15732" t="s">
        <v>13259</v>
      </c>
      <c r="B15732" t="s">
        <v>74</v>
      </c>
      <c r="C15732" s="2">
        <f>HYPERLINK("https://cao.dolgi.msk.ru/account/1083394512/", 1083394512)</f>
        <v>1083394512</v>
      </c>
      <c r="D15732" t="s">
        <v>1082</v>
      </c>
      <c r="E15732">
        <v>12147.18</v>
      </c>
      <c r="F15732">
        <v>2</v>
      </c>
      <c r="G15732" t="s">
        <v>12</v>
      </c>
      <c r="I15732" t="s">
        <v>2409</v>
      </c>
    </row>
    <row r="15733" spans="1:9" hidden="1" x14ac:dyDescent="0.25">
      <c r="A15733" t="s">
        <v>13259</v>
      </c>
      <c r="B15733" t="s">
        <v>74</v>
      </c>
      <c r="C15733" s="2">
        <f>HYPERLINK("https://cao.dolgi.msk.ru/account/1089109604/", 1089109604)</f>
        <v>1089109604</v>
      </c>
      <c r="D15733" t="s">
        <v>1082</v>
      </c>
      <c r="E15733">
        <v>17959.53</v>
      </c>
      <c r="F15733">
        <v>5.83</v>
      </c>
      <c r="G15733" t="s">
        <v>14</v>
      </c>
      <c r="I15733" t="s">
        <v>2409</v>
      </c>
    </row>
    <row r="15734" spans="1:9" hidden="1" x14ac:dyDescent="0.25">
      <c r="A15734" t="s">
        <v>13259</v>
      </c>
      <c r="B15734" t="s">
        <v>76</v>
      </c>
      <c r="C15734" s="2">
        <f>HYPERLINK("https://cao.dolgi.msk.ru/account/1083394387/", 1083394387)</f>
        <v>1083394387</v>
      </c>
      <c r="D15734" t="s">
        <v>13273</v>
      </c>
      <c r="E15734">
        <v>-3538.76</v>
      </c>
      <c r="F15734">
        <v>-1.88</v>
      </c>
      <c r="G15734" t="s">
        <v>12</v>
      </c>
      <c r="I15734" t="s">
        <v>2409</v>
      </c>
    </row>
    <row r="15735" spans="1:9" hidden="1" x14ac:dyDescent="0.25">
      <c r="A15735" t="s">
        <v>13259</v>
      </c>
      <c r="B15735" t="s">
        <v>76</v>
      </c>
      <c r="C15735" s="2">
        <f>HYPERLINK("https://cao.dolgi.msk.ru/account/1089005258/", 1089005258)</f>
        <v>1089005258</v>
      </c>
      <c r="D15735" t="s">
        <v>13273</v>
      </c>
      <c r="E15735">
        <v>-772.49</v>
      </c>
      <c r="G15735" t="s">
        <v>14</v>
      </c>
      <c r="I15735" t="s">
        <v>2409</v>
      </c>
    </row>
    <row r="15736" spans="1:9" hidden="1" x14ac:dyDescent="0.25">
      <c r="A15736" t="s">
        <v>13259</v>
      </c>
      <c r="B15736" t="s">
        <v>78</v>
      </c>
      <c r="C15736" s="2">
        <f>HYPERLINK("https://cao.dolgi.msk.ru/account/1083394758/", 1083394758)</f>
        <v>1083394758</v>
      </c>
      <c r="D15736" t="s">
        <v>15</v>
      </c>
      <c r="E15736">
        <v>-5369.25</v>
      </c>
      <c r="F15736">
        <v>-1.05</v>
      </c>
      <c r="G15736" t="s">
        <v>12</v>
      </c>
      <c r="I15736" t="s">
        <v>2409</v>
      </c>
    </row>
    <row r="15737" spans="1:9" hidden="1" x14ac:dyDescent="0.25">
      <c r="A15737" t="s">
        <v>13259</v>
      </c>
      <c r="B15737" t="s">
        <v>78</v>
      </c>
      <c r="C15737" s="2">
        <f>HYPERLINK("https://cao.dolgi.msk.ru/account/1089109639/", 1089109639)</f>
        <v>1089109639</v>
      </c>
      <c r="D15737" t="s">
        <v>15</v>
      </c>
      <c r="E15737">
        <v>0</v>
      </c>
      <c r="F15737">
        <v>0</v>
      </c>
      <c r="G15737" t="s">
        <v>14</v>
      </c>
      <c r="I15737" t="s">
        <v>2409</v>
      </c>
    </row>
    <row r="15738" spans="1:9" hidden="1" x14ac:dyDescent="0.25">
      <c r="A15738" t="s">
        <v>13259</v>
      </c>
      <c r="B15738" t="s">
        <v>80</v>
      </c>
      <c r="C15738" s="2">
        <f>HYPERLINK("https://cao.dolgi.msk.ru/account/1083394539/", 1083394539)</f>
        <v>1083394539</v>
      </c>
      <c r="D15738" t="s">
        <v>13274</v>
      </c>
      <c r="E15738">
        <v>-4109.18</v>
      </c>
      <c r="F15738">
        <v>-1.08</v>
      </c>
      <c r="G15738" t="s">
        <v>12</v>
      </c>
      <c r="I15738" t="s">
        <v>2409</v>
      </c>
    </row>
    <row r="15739" spans="1:9" hidden="1" x14ac:dyDescent="0.25">
      <c r="A15739" t="s">
        <v>13259</v>
      </c>
      <c r="B15739" t="s">
        <v>80</v>
      </c>
      <c r="C15739" s="2">
        <f>HYPERLINK("https://cao.dolgi.msk.ru/account/1089109647/", 1089109647)</f>
        <v>1089109647</v>
      </c>
      <c r="D15739" t="s">
        <v>13274</v>
      </c>
      <c r="E15739">
        <v>0</v>
      </c>
      <c r="G15739" t="s">
        <v>14</v>
      </c>
      <c r="I15739" t="s">
        <v>2409</v>
      </c>
    </row>
    <row r="15740" spans="1:9" hidden="1" x14ac:dyDescent="0.25">
      <c r="A15740" t="s">
        <v>13259</v>
      </c>
      <c r="B15740" t="s">
        <v>82</v>
      </c>
      <c r="C15740" s="2">
        <f>HYPERLINK("https://cao.dolgi.msk.ru/account/1083394432/", 1083394432)</f>
        <v>1083394432</v>
      </c>
      <c r="D15740" t="s">
        <v>15</v>
      </c>
      <c r="E15740">
        <v>-13222.17</v>
      </c>
      <c r="F15740">
        <v>-2.25</v>
      </c>
      <c r="G15740" t="s">
        <v>12</v>
      </c>
      <c r="I15740" t="s">
        <v>2409</v>
      </c>
    </row>
    <row r="15741" spans="1:9" hidden="1" x14ac:dyDescent="0.25">
      <c r="A15741" t="s">
        <v>13259</v>
      </c>
      <c r="B15741" t="s">
        <v>82</v>
      </c>
      <c r="C15741" s="2">
        <f>HYPERLINK("https://cao.dolgi.msk.ru/account/1089109655/", 1089109655)</f>
        <v>1089109655</v>
      </c>
      <c r="D15741" t="s">
        <v>15</v>
      </c>
      <c r="E15741">
        <v>-9256.2099999999991</v>
      </c>
      <c r="G15741" t="s">
        <v>14</v>
      </c>
      <c r="I15741" t="s">
        <v>2409</v>
      </c>
    </row>
    <row r="15742" spans="1:9" hidden="1" x14ac:dyDescent="0.25">
      <c r="A15742" t="s">
        <v>13259</v>
      </c>
      <c r="B15742" t="s">
        <v>84</v>
      </c>
      <c r="C15742" s="2">
        <f>HYPERLINK("https://cao.dolgi.msk.ru/account/1083394336/", 1083394336)</f>
        <v>1083394336</v>
      </c>
      <c r="D15742" t="s">
        <v>13275</v>
      </c>
      <c r="E15742">
        <v>-5139.87</v>
      </c>
      <c r="F15742">
        <v>-1.07</v>
      </c>
      <c r="G15742" t="s">
        <v>12</v>
      </c>
      <c r="I15742" t="s">
        <v>2409</v>
      </c>
    </row>
    <row r="15743" spans="1:9" hidden="1" x14ac:dyDescent="0.25">
      <c r="A15743" t="s">
        <v>13259</v>
      </c>
      <c r="B15743" t="s">
        <v>84</v>
      </c>
      <c r="C15743" s="2">
        <f>HYPERLINK("https://cao.dolgi.msk.ru/account/1089109663/", 1089109663)</f>
        <v>1089109663</v>
      </c>
      <c r="D15743" t="s">
        <v>13275</v>
      </c>
      <c r="E15743">
        <v>4467.3999999999996</v>
      </c>
      <c r="G15743" t="s">
        <v>14</v>
      </c>
      <c r="I15743" t="s">
        <v>2409</v>
      </c>
    </row>
    <row r="15744" spans="1:9" hidden="1" x14ac:dyDescent="0.25">
      <c r="A15744" t="s">
        <v>13259</v>
      </c>
      <c r="B15744" t="s">
        <v>86</v>
      </c>
      <c r="C15744" s="2">
        <f>HYPERLINK("https://cao.dolgi.msk.ru/account/1083394643/", 1083394643)</f>
        <v>1083394643</v>
      </c>
      <c r="D15744" t="s">
        <v>13276</v>
      </c>
      <c r="E15744">
        <v>-2740.14</v>
      </c>
      <c r="F15744">
        <v>-0.98</v>
      </c>
      <c r="G15744" t="s">
        <v>12</v>
      </c>
      <c r="I15744" t="s">
        <v>2409</v>
      </c>
    </row>
    <row r="15745" spans="1:9" hidden="1" x14ac:dyDescent="0.25">
      <c r="A15745" t="s">
        <v>13259</v>
      </c>
      <c r="B15745" t="s">
        <v>86</v>
      </c>
      <c r="C15745" s="2">
        <f>HYPERLINK("https://cao.dolgi.msk.ru/account/1089109671/", 1089109671)</f>
        <v>1089109671</v>
      </c>
      <c r="D15745" t="s">
        <v>13276</v>
      </c>
      <c r="E15745">
        <v>-2498.71</v>
      </c>
      <c r="F15745">
        <v>-22.89</v>
      </c>
      <c r="G15745" t="s">
        <v>14</v>
      </c>
      <c r="I15745" t="s">
        <v>2409</v>
      </c>
    </row>
    <row r="15746" spans="1:9" hidden="1" x14ac:dyDescent="0.25">
      <c r="A15746" t="s">
        <v>13259</v>
      </c>
      <c r="B15746" t="s">
        <v>88</v>
      </c>
      <c r="C15746" s="2">
        <f>HYPERLINK("https://cao.dolgi.msk.ru/account/1083394934/", 1083394934)</f>
        <v>1083394934</v>
      </c>
      <c r="D15746" t="s">
        <v>13277</v>
      </c>
      <c r="E15746">
        <v>-4706.68</v>
      </c>
      <c r="F15746">
        <v>-1.05</v>
      </c>
      <c r="G15746" t="s">
        <v>12</v>
      </c>
      <c r="I15746" t="s">
        <v>2409</v>
      </c>
    </row>
    <row r="15747" spans="1:9" hidden="1" x14ac:dyDescent="0.25">
      <c r="A15747" t="s">
        <v>13259</v>
      </c>
      <c r="B15747" t="s">
        <v>88</v>
      </c>
      <c r="C15747" s="2">
        <f>HYPERLINK("https://cao.dolgi.msk.ru/account/1089109698/", 1089109698)</f>
        <v>1089109698</v>
      </c>
      <c r="D15747" t="s">
        <v>13277</v>
      </c>
      <c r="E15747">
        <v>3033.13</v>
      </c>
      <c r="F15747">
        <v>2.12</v>
      </c>
      <c r="G15747" t="s">
        <v>14</v>
      </c>
      <c r="I15747" t="s">
        <v>2409</v>
      </c>
    </row>
    <row r="15748" spans="1:9" hidden="1" x14ac:dyDescent="0.25">
      <c r="A15748" t="s">
        <v>13259</v>
      </c>
      <c r="B15748" t="s">
        <v>90</v>
      </c>
      <c r="C15748" s="2">
        <f>HYPERLINK("https://cao.dolgi.msk.ru/account/1083394651/", 1083394651)</f>
        <v>1083394651</v>
      </c>
      <c r="D15748" t="s">
        <v>13278</v>
      </c>
      <c r="E15748">
        <v>-6604.04</v>
      </c>
      <c r="F15748">
        <v>-1.03</v>
      </c>
      <c r="G15748" t="s">
        <v>12</v>
      </c>
      <c r="I15748" t="s">
        <v>2409</v>
      </c>
    </row>
    <row r="15749" spans="1:9" hidden="1" x14ac:dyDescent="0.25">
      <c r="A15749" t="s">
        <v>13259</v>
      </c>
      <c r="B15749" t="s">
        <v>90</v>
      </c>
      <c r="C15749" s="2">
        <f>HYPERLINK("https://cao.dolgi.msk.ru/account/1089109719/", 1089109719)</f>
        <v>1089109719</v>
      </c>
      <c r="D15749" t="s">
        <v>13278</v>
      </c>
      <c r="E15749">
        <v>-446.61</v>
      </c>
      <c r="F15749">
        <v>-0.5</v>
      </c>
      <c r="G15749" t="s">
        <v>14</v>
      </c>
      <c r="I15749" t="s">
        <v>2409</v>
      </c>
    </row>
    <row r="15750" spans="1:9" hidden="1" x14ac:dyDescent="0.25">
      <c r="A15750" t="s">
        <v>13259</v>
      </c>
      <c r="B15750" t="s">
        <v>92</v>
      </c>
      <c r="C15750" s="2">
        <f>HYPERLINK("https://cao.dolgi.msk.ru/account/1083394344/", 1083394344)</f>
        <v>1083394344</v>
      </c>
      <c r="D15750" t="s">
        <v>13279</v>
      </c>
      <c r="E15750">
        <v>-3129.21</v>
      </c>
      <c r="F15750">
        <v>-1.1000000000000001</v>
      </c>
      <c r="G15750" t="s">
        <v>12</v>
      </c>
      <c r="I15750" t="s">
        <v>2409</v>
      </c>
    </row>
    <row r="15751" spans="1:9" hidden="1" x14ac:dyDescent="0.25">
      <c r="A15751" t="s">
        <v>13259</v>
      </c>
      <c r="B15751" t="s">
        <v>92</v>
      </c>
      <c r="C15751" s="2">
        <f>HYPERLINK("https://cao.dolgi.msk.ru/account/1089109727/", 1089109727)</f>
        <v>1089109727</v>
      </c>
      <c r="D15751" t="s">
        <v>13279</v>
      </c>
      <c r="E15751">
        <v>0</v>
      </c>
      <c r="F15751">
        <v>0</v>
      </c>
      <c r="G15751" t="s">
        <v>14</v>
      </c>
      <c r="I15751" t="s">
        <v>2409</v>
      </c>
    </row>
    <row r="15752" spans="1:9" hidden="1" x14ac:dyDescent="0.25">
      <c r="A15752" t="s">
        <v>13259</v>
      </c>
      <c r="B15752" t="s">
        <v>94</v>
      </c>
      <c r="C15752" s="2">
        <f>HYPERLINK("https://cao.dolgi.msk.ru/account/1083394766/", 1083394766)</f>
        <v>1083394766</v>
      </c>
      <c r="D15752" t="s">
        <v>13280</v>
      </c>
      <c r="E15752">
        <v>-8466.7099999999991</v>
      </c>
      <c r="F15752">
        <v>-1.04</v>
      </c>
      <c r="G15752" t="s">
        <v>12</v>
      </c>
      <c r="I15752" t="s">
        <v>2409</v>
      </c>
    </row>
    <row r="15753" spans="1:9" hidden="1" x14ac:dyDescent="0.25">
      <c r="A15753" t="s">
        <v>13259</v>
      </c>
      <c r="B15753" t="s">
        <v>94</v>
      </c>
      <c r="C15753" s="2">
        <f>HYPERLINK("https://cao.dolgi.msk.ru/account/1089109735/", 1089109735)</f>
        <v>1089109735</v>
      </c>
      <c r="D15753" t="s">
        <v>13280</v>
      </c>
      <c r="E15753">
        <v>-8131.68</v>
      </c>
      <c r="G15753" t="s">
        <v>14</v>
      </c>
      <c r="I15753" t="s">
        <v>2409</v>
      </c>
    </row>
    <row r="15754" spans="1:9" hidden="1" x14ac:dyDescent="0.25">
      <c r="A15754" t="s">
        <v>13259</v>
      </c>
      <c r="B15754" t="s">
        <v>96</v>
      </c>
      <c r="C15754" s="2">
        <f>HYPERLINK("https://cao.dolgi.msk.ru/account/1083394459/", 1083394459)</f>
        <v>1083394459</v>
      </c>
      <c r="D15754" t="s">
        <v>13281</v>
      </c>
      <c r="E15754">
        <v>-3046.48</v>
      </c>
      <c r="F15754">
        <v>-1.1399999999999999</v>
      </c>
      <c r="G15754" t="s">
        <v>12</v>
      </c>
      <c r="I15754" t="s">
        <v>2409</v>
      </c>
    </row>
    <row r="15755" spans="1:9" hidden="1" x14ac:dyDescent="0.25">
      <c r="A15755" t="s">
        <v>13259</v>
      </c>
      <c r="B15755" t="s">
        <v>96</v>
      </c>
      <c r="C15755" s="2">
        <f>HYPERLINK("https://cao.dolgi.msk.ru/account/1089109743/", 1089109743)</f>
        <v>1089109743</v>
      </c>
      <c r="D15755" t="s">
        <v>13281</v>
      </c>
      <c r="E15755">
        <v>0</v>
      </c>
      <c r="F15755">
        <v>0</v>
      </c>
      <c r="G15755" t="s">
        <v>14</v>
      </c>
      <c r="I15755" t="s">
        <v>2409</v>
      </c>
    </row>
    <row r="15756" spans="1:9" hidden="1" x14ac:dyDescent="0.25">
      <c r="A15756" t="s">
        <v>13259</v>
      </c>
      <c r="B15756" t="s">
        <v>98</v>
      </c>
      <c r="C15756" s="2">
        <f>HYPERLINK("https://cao.dolgi.msk.ru/account/1083394547/", 1083394547)</f>
        <v>1083394547</v>
      </c>
      <c r="D15756" t="s">
        <v>13282</v>
      </c>
      <c r="E15756">
        <v>479.07</v>
      </c>
      <c r="F15756">
        <v>0.16</v>
      </c>
      <c r="G15756" t="s">
        <v>12</v>
      </c>
      <c r="I15756" t="s">
        <v>2409</v>
      </c>
    </row>
    <row r="15757" spans="1:9" hidden="1" x14ac:dyDescent="0.25">
      <c r="A15757" t="s">
        <v>13259</v>
      </c>
      <c r="B15757" t="s">
        <v>98</v>
      </c>
      <c r="C15757" s="2">
        <f>HYPERLINK("https://cao.dolgi.msk.ru/account/1089109751/", 1089109751)</f>
        <v>1089109751</v>
      </c>
      <c r="D15757" t="s">
        <v>13282</v>
      </c>
      <c r="E15757">
        <v>0</v>
      </c>
      <c r="G15757" t="s">
        <v>14</v>
      </c>
      <c r="I15757" t="s">
        <v>2409</v>
      </c>
    </row>
    <row r="15758" spans="1:9" hidden="1" x14ac:dyDescent="0.25">
      <c r="A15758" t="s">
        <v>13259</v>
      </c>
      <c r="B15758" t="s">
        <v>100</v>
      </c>
      <c r="C15758" s="2">
        <f>HYPERLINK("https://cao.dolgi.msk.ru/account/1083394352/", 1083394352)</f>
        <v>1083394352</v>
      </c>
      <c r="D15758" t="s">
        <v>13283</v>
      </c>
      <c r="E15758">
        <v>-3293.44</v>
      </c>
      <c r="F15758">
        <v>-1.1299999999999999</v>
      </c>
      <c r="G15758" t="s">
        <v>12</v>
      </c>
      <c r="I15758" t="s">
        <v>2409</v>
      </c>
    </row>
    <row r="15759" spans="1:9" hidden="1" x14ac:dyDescent="0.25">
      <c r="A15759" t="s">
        <v>13259</v>
      </c>
      <c r="B15759" t="s">
        <v>100</v>
      </c>
      <c r="C15759" s="2">
        <f>HYPERLINK("https://cao.dolgi.msk.ru/account/1089109778/", 1089109778)</f>
        <v>1089109778</v>
      </c>
      <c r="D15759" t="s">
        <v>13283</v>
      </c>
      <c r="E15759">
        <v>0</v>
      </c>
      <c r="F15759">
        <v>0</v>
      </c>
      <c r="G15759" t="s">
        <v>14</v>
      </c>
      <c r="I15759" t="s">
        <v>2409</v>
      </c>
    </row>
    <row r="15760" spans="1:9" hidden="1" x14ac:dyDescent="0.25">
      <c r="A15760" t="s">
        <v>13259</v>
      </c>
      <c r="B15760" t="s">
        <v>102</v>
      </c>
      <c r="C15760" s="2">
        <f>HYPERLINK("https://cao.dolgi.msk.ru/account/1083394838/", 1083394838)</f>
        <v>1083394838</v>
      </c>
      <c r="D15760" t="s">
        <v>13284</v>
      </c>
      <c r="E15760">
        <v>-468.74</v>
      </c>
      <c r="F15760">
        <v>-0.09</v>
      </c>
      <c r="G15760" t="s">
        <v>12</v>
      </c>
      <c r="I15760" t="s">
        <v>2409</v>
      </c>
    </row>
    <row r="15761" spans="1:9" hidden="1" x14ac:dyDescent="0.25">
      <c r="A15761" t="s">
        <v>13259</v>
      </c>
      <c r="B15761" t="s">
        <v>102</v>
      </c>
      <c r="C15761" s="2">
        <f>HYPERLINK("https://cao.dolgi.msk.ru/account/1089109786/", 1089109786)</f>
        <v>1089109786</v>
      </c>
      <c r="D15761" t="s">
        <v>13284</v>
      </c>
      <c r="E15761">
        <v>17209.3</v>
      </c>
      <c r="F15761">
        <v>10.99</v>
      </c>
      <c r="G15761" t="s">
        <v>14</v>
      </c>
      <c r="I15761" t="s">
        <v>2409</v>
      </c>
    </row>
    <row r="15762" spans="1:9" hidden="1" x14ac:dyDescent="0.25">
      <c r="A15762" t="s">
        <v>13259</v>
      </c>
      <c r="B15762" t="s">
        <v>104</v>
      </c>
      <c r="C15762" s="2">
        <f>HYPERLINK("https://cao.dolgi.msk.ru/account/1083394555/", 1083394555)</f>
        <v>1083394555</v>
      </c>
      <c r="D15762" t="s">
        <v>13285</v>
      </c>
      <c r="E15762">
        <v>-1753.44</v>
      </c>
      <c r="F15762">
        <v>-0.53</v>
      </c>
      <c r="G15762" t="s">
        <v>12</v>
      </c>
      <c r="I15762" t="s">
        <v>2409</v>
      </c>
    </row>
    <row r="15763" spans="1:9" hidden="1" x14ac:dyDescent="0.25">
      <c r="A15763" t="s">
        <v>13259</v>
      </c>
      <c r="B15763" t="s">
        <v>104</v>
      </c>
      <c r="C15763" s="2">
        <f>HYPERLINK("https://cao.dolgi.msk.ru/account/1089109794/", 1089109794)</f>
        <v>1089109794</v>
      </c>
      <c r="D15763" t="s">
        <v>13285</v>
      </c>
      <c r="E15763">
        <v>0</v>
      </c>
      <c r="F15763">
        <v>0</v>
      </c>
      <c r="G15763" t="s">
        <v>14</v>
      </c>
      <c r="I15763" t="s">
        <v>2409</v>
      </c>
    </row>
    <row r="15764" spans="1:9" hidden="1" x14ac:dyDescent="0.25">
      <c r="A15764" t="s">
        <v>13259</v>
      </c>
      <c r="B15764" t="s">
        <v>106</v>
      </c>
      <c r="C15764" s="2">
        <f>HYPERLINK("https://cao.dolgi.msk.ru/account/1083394846/", 1083394846)</f>
        <v>1083394846</v>
      </c>
      <c r="D15764" t="s">
        <v>15</v>
      </c>
      <c r="E15764">
        <v>-2948.67</v>
      </c>
      <c r="F15764">
        <v>-1.1000000000000001</v>
      </c>
      <c r="G15764" t="s">
        <v>12</v>
      </c>
      <c r="I15764" t="s">
        <v>2409</v>
      </c>
    </row>
    <row r="15765" spans="1:9" hidden="1" x14ac:dyDescent="0.25">
      <c r="A15765" t="s">
        <v>13259</v>
      </c>
      <c r="B15765" t="s">
        <v>106</v>
      </c>
      <c r="C15765" s="2">
        <f>HYPERLINK("https://cao.dolgi.msk.ru/account/1089109807/", 1089109807)</f>
        <v>1089109807</v>
      </c>
      <c r="D15765" t="s">
        <v>15</v>
      </c>
      <c r="E15765">
        <v>-429.26</v>
      </c>
      <c r="G15765" t="s">
        <v>14</v>
      </c>
      <c r="I15765" t="s">
        <v>2409</v>
      </c>
    </row>
    <row r="15766" spans="1:9" x14ac:dyDescent="0.25">
      <c r="A15766" t="s">
        <v>13259</v>
      </c>
      <c r="B15766" t="s">
        <v>108</v>
      </c>
      <c r="C15766" s="2">
        <f>HYPERLINK("https://cao.dolgi.msk.ru/account/1083394563/", 1083394563)</f>
        <v>1083394563</v>
      </c>
      <c r="D15766" t="s">
        <v>13286</v>
      </c>
      <c r="E15766">
        <v>6453.11</v>
      </c>
      <c r="F15766">
        <v>1.66</v>
      </c>
      <c r="G15766" t="s">
        <v>12</v>
      </c>
      <c r="I15766" t="s">
        <v>2409</v>
      </c>
    </row>
    <row r="15767" spans="1:9" hidden="1" x14ac:dyDescent="0.25">
      <c r="A15767" t="s">
        <v>13259</v>
      </c>
      <c r="B15767" t="s">
        <v>108</v>
      </c>
      <c r="C15767" s="2">
        <f>HYPERLINK("https://cao.dolgi.msk.ru/account/1089109815/", 1089109815)</f>
        <v>1089109815</v>
      </c>
      <c r="D15767" t="s">
        <v>13286</v>
      </c>
      <c r="E15767">
        <v>7.52</v>
      </c>
      <c r="G15767" t="s">
        <v>14</v>
      </c>
      <c r="I15767" t="s">
        <v>2409</v>
      </c>
    </row>
    <row r="15768" spans="1:9" hidden="1" x14ac:dyDescent="0.25">
      <c r="A15768" t="s">
        <v>13259</v>
      </c>
      <c r="B15768" t="s">
        <v>110</v>
      </c>
      <c r="C15768" s="2">
        <f>HYPERLINK("https://cao.dolgi.msk.ru/account/1083394942/", 1083394942)</f>
        <v>1083394942</v>
      </c>
      <c r="D15768" t="s">
        <v>13287</v>
      </c>
      <c r="E15768">
        <v>-7421.21</v>
      </c>
      <c r="F15768">
        <v>-1.23</v>
      </c>
      <c r="G15768" t="s">
        <v>12</v>
      </c>
      <c r="I15768" t="s">
        <v>2409</v>
      </c>
    </row>
    <row r="15769" spans="1:9" hidden="1" x14ac:dyDescent="0.25">
      <c r="A15769" t="s">
        <v>13259</v>
      </c>
      <c r="B15769" t="s">
        <v>110</v>
      </c>
      <c r="C15769" s="2">
        <f>HYPERLINK("https://cao.dolgi.msk.ru/account/1089109823/", 1089109823)</f>
        <v>1089109823</v>
      </c>
      <c r="D15769" t="s">
        <v>13287</v>
      </c>
      <c r="E15769">
        <v>0</v>
      </c>
      <c r="G15769" t="s">
        <v>14</v>
      </c>
      <c r="I15769" t="s">
        <v>2409</v>
      </c>
    </row>
    <row r="15770" spans="1:9" hidden="1" x14ac:dyDescent="0.25">
      <c r="A15770" t="s">
        <v>13259</v>
      </c>
      <c r="B15770" t="s">
        <v>112</v>
      </c>
      <c r="C15770" s="2">
        <f>HYPERLINK("https://cao.dolgi.msk.ru/account/1083394854/", 1083394854)</f>
        <v>1083394854</v>
      </c>
      <c r="D15770" t="s">
        <v>13288</v>
      </c>
      <c r="E15770">
        <v>-6660.13</v>
      </c>
      <c r="F15770">
        <v>-1.22</v>
      </c>
      <c r="G15770" t="s">
        <v>12</v>
      </c>
      <c r="I15770" t="s">
        <v>2409</v>
      </c>
    </row>
    <row r="15771" spans="1:9" hidden="1" x14ac:dyDescent="0.25">
      <c r="A15771" t="s">
        <v>13259</v>
      </c>
      <c r="B15771" t="s">
        <v>112</v>
      </c>
      <c r="C15771" s="2">
        <f>HYPERLINK("https://cao.dolgi.msk.ru/account/1089109831/", 1089109831)</f>
        <v>1089109831</v>
      </c>
      <c r="D15771" t="s">
        <v>13288</v>
      </c>
      <c r="E15771">
        <v>-1520.58</v>
      </c>
      <c r="G15771" t="s">
        <v>14</v>
      </c>
      <c r="I15771" t="s">
        <v>2409</v>
      </c>
    </row>
    <row r="15772" spans="1:9" hidden="1" x14ac:dyDescent="0.25">
      <c r="A15772" t="s">
        <v>13259</v>
      </c>
      <c r="B15772" t="s">
        <v>114</v>
      </c>
      <c r="C15772" s="2">
        <f>HYPERLINK("https://cao.dolgi.msk.ru/account/1083394248/", 1083394248)</f>
        <v>1083394248</v>
      </c>
      <c r="D15772" t="s">
        <v>13289</v>
      </c>
      <c r="E15772">
        <v>-4096.05</v>
      </c>
      <c r="F15772">
        <v>-1.04</v>
      </c>
      <c r="G15772" t="s">
        <v>12</v>
      </c>
      <c r="I15772" t="s">
        <v>2409</v>
      </c>
    </row>
    <row r="15773" spans="1:9" hidden="1" x14ac:dyDescent="0.25">
      <c r="A15773" t="s">
        <v>13259</v>
      </c>
      <c r="B15773" t="s">
        <v>114</v>
      </c>
      <c r="C15773" s="2">
        <f>HYPERLINK("https://cao.dolgi.msk.ru/account/1089005215/", 1089005215)</f>
        <v>1089005215</v>
      </c>
      <c r="D15773" t="s">
        <v>13289</v>
      </c>
      <c r="E15773">
        <v>0</v>
      </c>
      <c r="F15773">
        <v>0</v>
      </c>
      <c r="G15773" t="s">
        <v>14</v>
      </c>
      <c r="I15773" t="s">
        <v>2409</v>
      </c>
    </row>
    <row r="15774" spans="1:9" hidden="1" x14ac:dyDescent="0.25">
      <c r="A15774" t="s">
        <v>13259</v>
      </c>
      <c r="B15774" t="s">
        <v>116</v>
      </c>
      <c r="C15774" s="2">
        <f>HYPERLINK("https://cao.dolgi.msk.ru/account/1083394782/", 1083394782)</f>
        <v>1083394782</v>
      </c>
      <c r="D15774" t="s">
        <v>13290</v>
      </c>
      <c r="E15774">
        <v>0</v>
      </c>
      <c r="F15774">
        <v>0</v>
      </c>
      <c r="G15774" t="s">
        <v>12</v>
      </c>
      <c r="I15774" t="s">
        <v>2409</v>
      </c>
    </row>
    <row r="15775" spans="1:9" hidden="1" x14ac:dyDescent="0.25">
      <c r="A15775" t="s">
        <v>13259</v>
      </c>
      <c r="B15775" t="s">
        <v>116</v>
      </c>
      <c r="C15775" s="2">
        <f>HYPERLINK("https://cao.dolgi.msk.ru/account/1089005266/", 1089005266)</f>
        <v>1089005266</v>
      </c>
      <c r="D15775" t="s">
        <v>13290</v>
      </c>
      <c r="E15775">
        <v>5457.06</v>
      </c>
      <c r="F15775">
        <v>10.77</v>
      </c>
      <c r="G15775" t="s">
        <v>14</v>
      </c>
      <c r="I15775" t="s">
        <v>2409</v>
      </c>
    </row>
    <row r="15776" spans="1:9" hidden="1" x14ac:dyDescent="0.25">
      <c r="A15776" t="s">
        <v>13259</v>
      </c>
      <c r="B15776" t="s">
        <v>118</v>
      </c>
      <c r="C15776" s="2">
        <f>HYPERLINK("https://cao.dolgi.msk.ru/account/1083394678/", 1083394678)</f>
        <v>1083394678</v>
      </c>
      <c r="D15776" t="s">
        <v>13291</v>
      </c>
      <c r="E15776">
        <v>-9184.91</v>
      </c>
      <c r="F15776">
        <v>-2.1</v>
      </c>
      <c r="G15776" t="s">
        <v>12</v>
      </c>
      <c r="I15776" t="s">
        <v>2409</v>
      </c>
    </row>
    <row r="15777" spans="1:9" hidden="1" x14ac:dyDescent="0.25">
      <c r="A15777" t="s">
        <v>13259</v>
      </c>
      <c r="B15777" t="s">
        <v>118</v>
      </c>
      <c r="C15777" s="2">
        <f>HYPERLINK("https://cao.dolgi.msk.ru/account/1089109874/", 1089109874)</f>
        <v>1089109874</v>
      </c>
      <c r="D15777" t="s">
        <v>13291</v>
      </c>
      <c r="E15777">
        <v>0</v>
      </c>
      <c r="F15777">
        <v>0</v>
      </c>
      <c r="G15777" t="s">
        <v>14</v>
      </c>
      <c r="I15777" t="s">
        <v>2409</v>
      </c>
    </row>
    <row r="15778" spans="1:9" hidden="1" x14ac:dyDescent="0.25">
      <c r="A15778" t="s">
        <v>13259</v>
      </c>
      <c r="B15778" t="s">
        <v>120</v>
      </c>
      <c r="C15778" s="2">
        <f>HYPERLINK("https://cao.dolgi.msk.ru/account/1083394969/", 1083394969)</f>
        <v>1083394969</v>
      </c>
      <c r="D15778" t="s">
        <v>15</v>
      </c>
      <c r="E15778">
        <v>-8259.83</v>
      </c>
      <c r="F15778">
        <v>-1.05</v>
      </c>
      <c r="G15778" t="s">
        <v>12</v>
      </c>
      <c r="I15778" t="s">
        <v>2409</v>
      </c>
    </row>
    <row r="15779" spans="1:9" hidden="1" x14ac:dyDescent="0.25">
      <c r="A15779" t="s">
        <v>13259</v>
      </c>
      <c r="B15779" t="s">
        <v>120</v>
      </c>
      <c r="C15779" s="2">
        <f>HYPERLINK("https://cao.dolgi.msk.ru/account/1089109882/", 1089109882)</f>
        <v>1089109882</v>
      </c>
      <c r="D15779" t="s">
        <v>15</v>
      </c>
      <c r="E15779">
        <v>7118.32</v>
      </c>
      <c r="G15779" t="s">
        <v>14</v>
      </c>
      <c r="I15779" t="s">
        <v>2409</v>
      </c>
    </row>
    <row r="15780" spans="1:9" hidden="1" x14ac:dyDescent="0.25">
      <c r="A15780" t="s">
        <v>13259</v>
      </c>
      <c r="B15780" t="s">
        <v>122</v>
      </c>
      <c r="C15780" s="2">
        <f>HYPERLINK("https://cao.dolgi.msk.ru/account/1083394686/", 1083394686)</f>
        <v>1083394686</v>
      </c>
      <c r="D15780" t="s">
        <v>13292</v>
      </c>
      <c r="E15780">
        <v>-6484.36</v>
      </c>
      <c r="F15780">
        <v>-1.4</v>
      </c>
      <c r="G15780" t="s">
        <v>12</v>
      </c>
      <c r="I15780" t="s">
        <v>2409</v>
      </c>
    </row>
    <row r="15781" spans="1:9" hidden="1" x14ac:dyDescent="0.25">
      <c r="A15781" t="s">
        <v>13259</v>
      </c>
      <c r="B15781" t="s">
        <v>122</v>
      </c>
      <c r="C15781" s="2">
        <f>HYPERLINK("https://cao.dolgi.msk.ru/account/1089109903/", 1089109903)</f>
        <v>1089109903</v>
      </c>
      <c r="D15781" t="s">
        <v>13292</v>
      </c>
      <c r="E15781">
        <v>4657.8500000000004</v>
      </c>
      <c r="G15781" t="s">
        <v>14</v>
      </c>
      <c r="I15781" t="s">
        <v>2409</v>
      </c>
    </row>
    <row r="15782" spans="1:9" hidden="1" x14ac:dyDescent="0.25">
      <c r="A15782" t="s">
        <v>13259</v>
      </c>
      <c r="B15782" t="s">
        <v>124</v>
      </c>
      <c r="C15782" s="2">
        <f>HYPERLINK("https://cao.dolgi.msk.ru/account/1083394272/", 1083394272)</f>
        <v>1083394272</v>
      </c>
      <c r="D15782" t="s">
        <v>13293</v>
      </c>
      <c r="E15782">
        <v>-8484.8700000000008</v>
      </c>
      <c r="F15782">
        <v>-1.04</v>
      </c>
      <c r="G15782" t="s">
        <v>12</v>
      </c>
      <c r="I15782" t="s">
        <v>2409</v>
      </c>
    </row>
    <row r="15783" spans="1:9" hidden="1" x14ac:dyDescent="0.25">
      <c r="A15783" t="s">
        <v>13259</v>
      </c>
      <c r="B15783" t="s">
        <v>124</v>
      </c>
      <c r="C15783" s="2">
        <f>HYPERLINK("https://cao.dolgi.msk.ru/account/1089109911/", 1089109911)</f>
        <v>1089109911</v>
      </c>
      <c r="D15783" t="s">
        <v>13293</v>
      </c>
      <c r="E15783">
        <v>0</v>
      </c>
      <c r="G15783" t="s">
        <v>14</v>
      </c>
      <c r="I15783" t="s">
        <v>2409</v>
      </c>
    </row>
    <row r="15784" spans="1:9" hidden="1" x14ac:dyDescent="0.25">
      <c r="A15784" t="s">
        <v>13259</v>
      </c>
      <c r="B15784" t="s">
        <v>126</v>
      </c>
      <c r="C15784" s="2">
        <f>HYPERLINK("https://cao.dolgi.msk.ru/account/1083394379/", 1083394379)</f>
        <v>1083394379</v>
      </c>
      <c r="D15784" t="s">
        <v>13294</v>
      </c>
      <c r="E15784">
        <v>-3422.5</v>
      </c>
      <c r="F15784">
        <v>-1.1100000000000001</v>
      </c>
      <c r="G15784" t="s">
        <v>12</v>
      </c>
      <c r="I15784" t="s">
        <v>2409</v>
      </c>
    </row>
    <row r="15785" spans="1:9" hidden="1" x14ac:dyDescent="0.25">
      <c r="A15785" t="s">
        <v>13259</v>
      </c>
      <c r="B15785" t="s">
        <v>126</v>
      </c>
      <c r="C15785" s="2">
        <f>HYPERLINK("https://cao.dolgi.msk.ru/account/1089109938/", 1089109938)</f>
        <v>1089109938</v>
      </c>
      <c r="D15785" t="s">
        <v>13294</v>
      </c>
      <c r="E15785">
        <v>0</v>
      </c>
      <c r="G15785" t="s">
        <v>14</v>
      </c>
      <c r="I15785" t="s">
        <v>2409</v>
      </c>
    </row>
    <row r="15786" spans="1:9" hidden="1" x14ac:dyDescent="0.25">
      <c r="A15786" t="s">
        <v>13259</v>
      </c>
      <c r="B15786" t="s">
        <v>128</v>
      </c>
      <c r="C15786" s="2">
        <f>HYPERLINK("https://cao.dolgi.msk.ru/account/1083394467/", 1083394467)</f>
        <v>1083394467</v>
      </c>
      <c r="D15786" t="s">
        <v>13295</v>
      </c>
      <c r="E15786">
        <v>-2373.11</v>
      </c>
      <c r="F15786">
        <v>-0.38</v>
      </c>
      <c r="G15786" t="s">
        <v>12</v>
      </c>
      <c r="I15786" t="s">
        <v>2409</v>
      </c>
    </row>
    <row r="15787" spans="1:9" hidden="1" x14ac:dyDescent="0.25">
      <c r="A15787" t="s">
        <v>13259</v>
      </c>
      <c r="B15787" t="s">
        <v>128</v>
      </c>
      <c r="C15787" s="2">
        <f>HYPERLINK("https://cao.dolgi.msk.ru/account/1089109946/", 1089109946)</f>
        <v>1089109946</v>
      </c>
      <c r="D15787" t="s">
        <v>13295</v>
      </c>
      <c r="E15787">
        <v>4335.8</v>
      </c>
      <c r="G15787" t="s">
        <v>14</v>
      </c>
      <c r="I15787" t="s">
        <v>2409</v>
      </c>
    </row>
    <row r="15788" spans="1:9" hidden="1" x14ac:dyDescent="0.25">
      <c r="A15788" t="s">
        <v>13259</v>
      </c>
      <c r="B15788" t="s">
        <v>130</v>
      </c>
      <c r="C15788" s="2">
        <f>HYPERLINK("https://cao.dolgi.msk.ru/account/1083394862/", 1083394862)</f>
        <v>1083394862</v>
      </c>
      <c r="D15788" t="s">
        <v>13296</v>
      </c>
      <c r="E15788">
        <v>-5098.8599999999997</v>
      </c>
      <c r="F15788">
        <v>-1.08</v>
      </c>
      <c r="G15788" t="s">
        <v>12</v>
      </c>
      <c r="I15788" t="s">
        <v>2409</v>
      </c>
    </row>
    <row r="15789" spans="1:9" hidden="1" x14ac:dyDescent="0.25">
      <c r="A15789" t="s">
        <v>13259</v>
      </c>
      <c r="B15789" t="s">
        <v>130</v>
      </c>
      <c r="C15789" s="2">
        <f>HYPERLINK("https://cao.dolgi.msk.ru/account/1089109954/", 1089109954)</f>
        <v>1089109954</v>
      </c>
      <c r="D15789" t="s">
        <v>13296</v>
      </c>
      <c r="E15789">
        <v>37.200000000000003</v>
      </c>
      <c r="F15789">
        <v>0.04</v>
      </c>
      <c r="G15789" t="s">
        <v>14</v>
      </c>
      <c r="I15789" t="s">
        <v>2409</v>
      </c>
    </row>
    <row r="15790" spans="1:9" hidden="1" x14ac:dyDescent="0.25">
      <c r="A15790" t="s">
        <v>13259</v>
      </c>
      <c r="B15790" t="s">
        <v>132</v>
      </c>
      <c r="C15790" s="2">
        <f>HYPERLINK("https://cao.dolgi.msk.ru/account/1083394694/", 1083394694)</f>
        <v>1083394694</v>
      </c>
      <c r="D15790" t="s">
        <v>13297</v>
      </c>
      <c r="E15790">
        <v>-4733.42</v>
      </c>
      <c r="F15790">
        <v>-0.99</v>
      </c>
      <c r="G15790" t="s">
        <v>12</v>
      </c>
      <c r="I15790" t="s">
        <v>2409</v>
      </c>
    </row>
    <row r="15791" spans="1:9" hidden="1" x14ac:dyDescent="0.25">
      <c r="A15791" t="s">
        <v>13259</v>
      </c>
      <c r="B15791" t="s">
        <v>132</v>
      </c>
      <c r="C15791" s="2">
        <f>HYPERLINK("https://cao.dolgi.msk.ru/account/1089109962/", 1089109962)</f>
        <v>1089109962</v>
      </c>
      <c r="D15791" t="s">
        <v>13297</v>
      </c>
      <c r="E15791">
        <v>21.47</v>
      </c>
      <c r="F15791">
        <v>0.02</v>
      </c>
      <c r="G15791" t="s">
        <v>14</v>
      </c>
      <c r="I15791" t="s">
        <v>2409</v>
      </c>
    </row>
    <row r="15792" spans="1:9" hidden="1" x14ac:dyDescent="0.25">
      <c r="A15792" t="s">
        <v>13259</v>
      </c>
      <c r="B15792" t="s">
        <v>133</v>
      </c>
      <c r="C15792" s="2">
        <f>HYPERLINK("https://cao.dolgi.msk.ru/account/1083394571/", 1083394571)</f>
        <v>1083394571</v>
      </c>
      <c r="D15792" t="s">
        <v>13298</v>
      </c>
      <c r="E15792">
        <v>-3490.76</v>
      </c>
      <c r="F15792">
        <v>-1.08</v>
      </c>
      <c r="G15792" t="s">
        <v>12</v>
      </c>
      <c r="I15792" t="s">
        <v>2409</v>
      </c>
    </row>
    <row r="15793" spans="1:9" hidden="1" x14ac:dyDescent="0.25">
      <c r="A15793" t="s">
        <v>13259</v>
      </c>
      <c r="B15793" t="s">
        <v>133</v>
      </c>
      <c r="C15793" s="2">
        <f>HYPERLINK("https://cao.dolgi.msk.ru/account/1089109989/", 1089109989)</f>
        <v>1089109989</v>
      </c>
      <c r="D15793" t="s">
        <v>13298</v>
      </c>
      <c r="E15793">
        <v>-8331.11</v>
      </c>
      <c r="G15793" t="s">
        <v>14</v>
      </c>
      <c r="I15793" t="s">
        <v>2409</v>
      </c>
    </row>
    <row r="15794" spans="1:9" hidden="1" x14ac:dyDescent="0.25">
      <c r="A15794" t="s">
        <v>13259</v>
      </c>
      <c r="B15794" t="s">
        <v>135</v>
      </c>
      <c r="C15794" s="2">
        <f>HYPERLINK("https://cao.dolgi.msk.ru/account/1083394774/", 1083394774)</f>
        <v>1083394774</v>
      </c>
      <c r="D15794" t="s">
        <v>13299</v>
      </c>
      <c r="E15794">
        <v>-1679.19</v>
      </c>
      <c r="F15794">
        <v>-1.02</v>
      </c>
      <c r="G15794" t="s">
        <v>12</v>
      </c>
      <c r="I15794" t="s">
        <v>2409</v>
      </c>
    </row>
    <row r="15795" spans="1:9" hidden="1" x14ac:dyDescent="0.25">
      <c r="A15795" t="s">
        <v>13259</v>
      </c>
      <c r="B15795" t="s">
        <v>135</v>
      </c>
      <c r="C15795" s="2">
        <f>HYPERLINK("https://cao.dolgi.msk.ru/account/1089005231/", 1089005231)</f>
        <v>1089005231</v>
      </c>
      <c r="D15795" t="s">
        <v>13299</v>
      </c>
      <c r="E15795">
        <v>1469.74</v>
      </c>
      <c r="F15795">
        <v>6.71</v>
      </c>
      <c r="G15795" t="s">
        <v>14</v>
      </c>
      <c r="I15795" t="s">
        <v>2409</v>
      </c>
    </row>
    <row r="15796" spans="1:9" hidden="1" x14ac:dyDescent="0.25">
      <c r="A15796" t="s">
        <v>13259</v>
      </c>
      <c r="B15796" t="s">
        <v>137</v>
      </c>
      <c r="C15796" s="2">
        <f>HYPERLINK("https://cao.dolgi.msk.ru/account/1083394889/", 1083394889)</f>
        <v>1083394889</v>
      </c>
      <c r="D15796" t="s">
        <v>13300</v>
      </c>
      <c r="E15796">
        <v>-3593.22</v>
      </c>
      <c r="F15796">
        <v>-1.07</v>
      </c>
      <c r="G15796" t="s">
        <v>12</v>
      </c>
      <c r="I15796" t="s">
        <v>2409</v>
      </c>
    </row>
    <row r="15797" spans="1:9" hidden="1" x14ac:dyDescent="0.25">
      <c r="A15797" t="s">
        <v>13259</v>
      </c>
      <c r="B15797" t="s">
        <v>137</v>
      </c>
      <c r="C15797" s="2">
        <f>HYPERLINK("https://cao.dolgi.msk.ru/account/1089110007/", 1089110007)</f>
        <v>1089110007</v>
      </c>
      <c r="D15797" t="s">
        <v>13300</v>
      </c>
      <c r="E15797">
        <v>0</v>
      </c>
      <c r="F15797">
        <v>0</v>
      </c>
      <c r="G15797" t="s">
        <v>14</v>
      </c>
      <c r="I15797" t="s">
        <v>2409</v>
      </c>
    </row>
    <row r="15798" spans="1:9" hidden="1" x14ac:dyDescent="0.25">
      <c r="A15798" t="s">
        <v>13259</v>
      </c>
      <c r="B15798" t="s">
        <v>139</v>
      </c>
      <c r="C15798" s="2">
        <f>HYPERLINK("https://cao.dolgi.msk.ru/account/1083394475/", 1083394475)</f>
        <v>1083394475</v>
      </c>
      <c r="D15798" t="s">
        <v>13301</v>
      </c>
      <c r="E15798">
        <v>-7166.68</v>
      </c>
      <c r="F15798">
        <v>-1.08</v>
      </c>
      <c r="G15798" t="s">
        <v>12</v>
      </c>
      <c r="I15798" t="s">
        <v>2409</v>
      </c>
    </row>
    <row r="15799" spans="1:9" hidden="1" x14ac:dyDescent="0.25">
      <c r="A15799" t="s">
        <v>13259</v>
      </c>
      <c r="B15799" t="s">
        <v>139</v>
      </c>
      <c r="C15799" s="2">
        <f>HYPERLINK("https://cao.dolgi.msk.ru/account/1089110015/", 1089110015)</f>
        <v>1089110015</v>
      </c>
      <c r="D15799" t="s">
        <v>13301</v>
      </c>
      <c r="E15799">
        <v>6567.18</v>
      </c>
      <c r="F15799">
        <v>4.1900000000000004</v>
      </c>
      <c r="G15799" t="s">
        <v>14</v>
      </c>
      <c r="I15799" t="s">
        <v>2409</v>
      </c>
    </row>
    <row r="15800" spans="1:9" hidden="1" x14ac:dyDescent="0.25">
      <c r="A15800" t="s">
        <v>13259</v>
      </c>
      <c r="B15800" t="s">
        <v>141</v>
      </c>
      <c r="C15800" s="2">
        <f>HYPERLINK("https://cao.dolgi.msk.ru/account/1083394598/", 1083394598)</f>
        <v>1083394598</v>
      </c>
      <c r="D15800" t="s">
        <v>13302</v>
      </c>
      <c r="E15800">
        <v>-5821.53</v>
      </c>
      <c r="F15800">
        <v>-1.07</v>
      </c>
      <c r="G15800" t="s">
        <v>12</v>
      </c>
      <c r="I15800" t="s">
        <v>2409</v>
      </c>
    </row>
    <row r="15801" spans="1:9" hidden="1" x14ac:dyDescent="0.25">
      <c r="A15801" t="s">
        <v>13259</v>
      </c>
      <c r="B15801" t="s">
        <v>141</v>
      </c>
      <c r="C15801" s="2">
        <f>HYPERLINK("https://cao.dolgi.msk.ru/account/1089110023/", 1089110023)</f>
        <v>1089110023</v>
      </c>
      <c r="D15801" t="s">
        <v>13302</v>
      </c>
      <c r="E15801">
        <v>-5801.62</v>
      </c>
      <c r="F15801">
        <v>-3.7</v>
      </c>
      <c r="G15801" t="s">
        <v>14</v>
      </c>
      <c r="I15801" t="s">
        <v>2409</v>
      </c>
    </row>
    <row r="15802" spans="1:9" hidden="1" x14ac:dyDescent="0.25">
      <c r="A15802" t="s">
        <v>13303</v>
      </c>
      <c r="B15802" t="s">
        <v>10</v>
      </c>
      <c r="C15802" s="2">
        <f>HYPERLINK("https://cao.dolgi.msk.ru/account/1080221202/", 1080221202)</f>
        <v>1080221202</v>
      </c>
      <c r="D15802" t="s">
        <v>13304</v>
      </c>
      <c r="E15802">
        <v>-9.6999999999999993</v>
      </c>
      <c r="F15802">
        <v>-0.01</v>
      </c>
      <c r="G15802" t="s">
        <v>12</v>
      </c>
      <c r="I15802" t="s">
        <v>1428</v>
      </c>
    </row>
    <row r="15803" spans="1:9" hidden="1" x14ac:dyDescent="0.25">
      <c r="A15803" t="s">
        <v>13303</v>
      </c>
      <c r="B15803" t="s">
        <v>16</v>
      </c>
      <c r="C15803" s="2">
        <f>HYPERLINK("https://cao.dolgi.msk.ru/account/1080204437/", 1080204437)</f>
        <v>1080204437</v>
      </c>
      <c r="D15803" t="s">
        <v>15</v>
      </c>
      <c r="E15803">
        <v>-3.14</v>
      </c>
      <c r="F15803">
        <v>0</v>
      </c>
      <c r="G15803" t="s">
        <v>12</v>
      </c>
      <c r="I15803" t="s">
        <v>1428</v>
      </c>
    </row>
    <row r="15804" spans="1:9" hidden="1" x14ac:dyDescent="0.25">
      <c r="A15804" t="s">
        <v>13303</v>
      </c>
      <c r="B15804" t="s">
        <v>18</v>
      </c>
      <c r="C15804" s="2">
        <f>HYPERLINK("https://cao.dolgi.msk.ru/account/1080202423/", 1080202423)</f>
        <v>1080202423</v>
      </c>
      <c r="D15804" t="s">
        <v>13305</v>
      </c>
      <c r="E15804">
        <v>-7443.69</v>
      </c>
      <c r="F15804">
        <v>-1.19</v>
      </c>
      <c r="G15804" t="s">
        <v>12</v>
      </c>
      <c r="I15804" t="s">
        <v>1428</v>
      </c>
    </row>
    <row r="15805" spans="1:9" hidden="1" x14ac:dyDescent="0.25">
      <c r="A15805" t="s">
        <v>13303</v>
      </c>
      <c r="B15805" t="s">
        <v>20</v>
      </c>
      <c r="C15805" s="2">
        <f>HYPERLINK("https://cao.dolgi.msk.ru/account/1080202431/", 1080202431)</f>
        <v>1080202431</v>
      </c>
      <c r="D15805" t="s">
        <v>4179</v>
      </c>
      <c r="E15805">
        <v>-5249.07</v>
      </c>
      <c r="F15805">
        <v>-1.21</v>
      </c>
      <c r="G15805" t="s">
        <v>12</v>
      </c>
      <c r="I15805" t="s">
        <v>1428</v>
      </c>
    </row>
    <row r="15806" spans="1:9" hidden="1" x14ac:dyDescent="0.25">
      <c r="A15806" t="s">
        <v>13303</v>
      </c>
      <c r="B15806" t="s">
        <v>21</v>
      </c>
      <c r="C15806" s="2">
        <f>HYPERLINK("https://cao.dolgi.msk.ru/account/1080202458/", 1080202458)</f>
        <v>1080202458</v>
      </c>
      <c r="D15806" t="s">
        <v>13306</v>
      </c>
      <c r="E15806">
        <v>-9572.36</v>
      </c>
      <c r="F15806">
        <v>-1.25</v>
      </c>
      <c r="G15806" t="s">
        <v>12</v>
      </c>
      <c r="I15806" t="s">
        <v>1428</v>
      </c>
    </row>
    <row r="15807" spans="1:9" hidden="1" x14ac:dyDescent="0.25">
      <c r="A15807" t="s">
        <v>13303</v>
      </c>
      <c r="B15807" t="s">
        <v>22</v>
      </c>
      <c r="C15807" s="2">
        <f>HYPERLINK("https://cao.dolgi.msk.ru/account/1080202466/", 1080202466)</f>
        <v>1080202466</v>
      </c>
      <c r="D15807" t="s">
        <v>13307</v>
      </c>
      <c r="E15807">
        <v>-239.7</v>
      </c>
      <c r="F15807">
        <v>-0.04</v>
      </c>
      <c r="G15807" t="s">
        <v>12</v>
      </c>
      <c r="I15807" t="s">
        <v>1428</v>
      </c>
    </row>
    <row r="15808" spans="1:9" hidden="1" x14ac:dyDescent="0.25">
      <c r="A15808" t="s">
        <v>13303</v>
      </c>
      <c r="B15808" t="s">
        <v>23</v>
      </c>
      <c r="C15808" s="2">
        <f>HYPERLINK("https://cao.dolgi.msk.ru/account/1080202474/", 1080202474)</f>
        <v>1080202474</v>
      </c>
      <c r="D15808" t="s">
        <v>13308</v>
      </c>
      <c r="E15808">
        <v>0</v>
      </c>
      <c r="F15808">
        <v>0</v>
      </c>
      <c r="G15808" t="s">
        <v>12</v>
      </c>
      <c r="I15808" t="s">
        <v>1428</v>
      </c>
    </row>
    <row r="15809" spans="1:9" hidden="1" x14ac:dyDescent="0.25">
      <c r="A15809" t="s">
        <v>13303</v>
      </c>
      <c r="B15809" t="s">
        <v>24</v>
      </c>
      <c r="C15809" s="2">
        <f>HYPERLINK("https://cao.dolgi.msk.ru/account/1080202482/", 1080202482)</f>
        <v>1080202482</v>
      </c>
      <c r="D15809" t="s">
        <v>13309</v>
      </c>
      <c r="E15809">
        <v>-9800.7800000000007</v>
      </c>
      <c r="F15809">
        <v>-1.19</v>
      </c>
      <c r="G15809" t="s">
        <v>12</v>
      </c>
      <c r="I15809" t="s">
        <v>1428</v>
      </c>
    </row>
    <row r="15810" spans="1:9" hidden="1" x14ac:dyDescent="0.25">
      <c r="A15810" t="s">
        <v>13303</v>
      </c>
      <c r="B15810" t="s">
        <v>27</v>
      </c>
      <c r="C15810" s="2">
        <f>HYPERLINK("https://cao.dolgi.msk.ru/account/1080202503/", 1080202503)</f>
        <v>1080202503</v>
      </c>
      <c r="D15810" t="s">
        <v>13310</v>
      </c>
      <c r="E15810">
        <v>-4033.53</v>
      </c>
      <c r="F15810">
        <v>-1.18</v>
      </c>
      <c r="G15810" t="s">
        <v>12</v>
      </c>
      <c r="I15810" t="s">
        <v>1428</v>
      </c>
    </row>
    <row r="15811" spans="1:9" hidden="1" x14ac:dyDescent="0.25">
      <c r="A15811" t="s">
        <v>13303</v>
      </c>
      <c r="B15811" t="s">
        <v>29</v>
      </c>
      <c r="C15811" s="2">
        <f>HYPERLINK("https://cao.dolgi.msk.ru/account/1080202511/", 1080202511)</f>
        <v>1080202511</v>
      </c>
      <c r="D15811" t="s">
        <v>13311</v>
      </c>
      <c r="E15811">
        <v>-4060.71</v>
      </c>
      <c r="F15811">
        <v>-1.07</v>
      </c>
      <c r="G15811" t="s">
        <v>12</v>
      </c>
      <c r="I15811" t="s">
        <v>1428</v>
      </c>
    </row>
    <row r="15812" spans="1:9" hidden="1" x14ac:dyDescent="0.25">
      <c r="A15812" t="s">
        <v>13303</v>
      </c>
      <c r="B15812" t="s">
        <v>31</v>
      </c>
      <c r="C15812" s="2">
        <f>HYPERLINK("https://cao.dolgi.msk.ru/account/1080202538/", 1080202538)</f>
        <v>1080202538</v>
      </c>
      <c r="D15812" t="s">
        <v>13312</v>
      </c>
      <c r="E15812">
        <v>-8527.0400000000009</v>
      </c>
      <c r="F15812">
        <v>-1.1499999999999999</v>
      </c>
      <c r="G15812" t="s">
        <v>12</v>
      </c>
      <c r="I15812" t="s">
        <v>1428</v>
      </c>
    </row>
    <row r="15813" spans="1:9" hidden="1" x14ac:dyDescent="0.25">
      <c r="A15813" t="s">
        <v>13303</v>
      </c>
      <c r="B15813" t="s">
        <v>33</v>
      </c>
      <c r="C15813" s="2">
        <f>HYPERLINK("https://cao.dolgi.msk.ru/account/1080202546/", 1080202546)</f>
        <v>1080202546</v>
      </c>
      <c r="D15813" t="s">
        <v>13313</v>
      </c>
      <c r="E15813">
        <v>-23.27</v>
      </c>
      <c r="F15813">
        <v>0</v>
      </c>
      <c r="G15813" t="s">
        <v>12</v>
      </c>
      <c r="I15813" t="s">
        <v>1428</v>
      </c>
    </row>
    <row r="15814" spans="1:9" hidden="1" x14ac:dyDescent="0.25">
      <c r="A15814" t="s">
        <v>13303</v>
      </c>
      <c r="B15814" t="s">
        <v>34</v>
      </c>
      <c r="C15814" s="2">
        <f>HYPERLINK("https://cao.dolgi.msk.ru/account/1080202554/", 1080202554)</f>
        <v>1080202554</v>
      </c>
      <c r="D15814" t="s">
        <v>13314</v>
      </c>
      <c r="E15814">
        <v>-8027.26</v>
      </c>
      <c r="F15814">
        <v>-1.1599999999999999</v>
      </c>
      <c r="G15814" t="s">
        <v>12</v>
      </c>
      <c r="I15814" t="s">
        <v>1428</v>
      </c>
    </row>
    <row r="15815" spans="1:9" hidden="1" x14ac:dyDescent="0.25">
      <c r="A15815" t="s">
        <v>13303</v>
      </c>
      <c r="B15815" t="s">
        <v>36</v>
      </c>
      <c r="C15815" s="2">
        <f>HYPERLINK("https://cao.dolgi.msk.ru/account/1080202562/", 1080202562)</f>
        <v>1080202562</v>
      </c>
      <c r="D15815" t="s">
        <v>13315</v>
      </c>
      <c r="E15815">
        <v>-9772.86</v>
      </c>
      <c r="F15815">
        <v>-1.2</v>
      </c>
      <c r="G15815" t="s">
        <v>12</v>
      </c>
      <c r="I15815" t="s">
        <v>1428</v>
      </c>
    </row>
    <row r="15816" spans="1:9" hidden="1" x14ac:dyDescent="0.25">
      <c r="A15816" t="s">
        <v>13303</v>
      </c>
      <c r="B15816" t="s">
        <v>38</v>
      </c>
      <c r="C15816" s="2">
        <f>HYPERLINK("https://cao.dolgi.msk.ru/account/1080202589/", 1080202589)</f>
        <v>1080202589</v>
      </c>
      <c r="D15816" t="s">
        <v>13316</v>
      </c>
      <c r="E15816">
        <v>-4004.45</v>
      </c>
      <c r="F15816">
        <v>-1.1599999999999999</v>
      </c>
      <c r="G15816" t="s">
        <v>12</v>
      </c>
      <c r="I15816" t="s">
        <v>1428</v>
      </c>
    </row>
    <row r="15817" spans="1:9" hidden="1" x14ac:dyDescent="0.25">
      <c r="A15817" t="s">
        <v>13303</v>
      </c>
      <c r="B15817" t="s">
        <v>39</v>
      </c>
      <c r="C15817" s="2">
        <f>HYPERLINK("https://cao.dolgi.msk.ru/account/1080202597/", 1080202597)</f>
        <v>1080202597</v>
      </c>
      <c r="D15817" t="s">
        <v>13317</v>
      </c>
      <c r="E15817">
        <v>-5376.08</v>
      </c>
      <c r="F15817">
        <v>-1.2</v>
      </c>
      <c r="G15817" t="s">
        <v>12</v>
      </c>
      <c r="I15817" t="s">
        <v>1428</v>
      </c>
    </row>
    <row r="15818" spans="1:9" x14ac:dyDescent="0.25">
      <c r="A15818" t="s">
        <v>13303</v>
      </c>
      <c r="B15818" t="s">
        <v>40</v>
      </c>
      <c r="C15818" s="2">
        <f>HYPERLINK("https://cao.dolgi.msk.ru/account/1080202618/", 1080202618)</f>
        <v>1080202618</v>
      </c>
      <c r="D15818" t="s">
        <v>13318</v>
      </c>
      <c r="E15818">
        <v>34681.01</v>
      </c>
      <c r="F15818">
        <v>2.57</v>
      </c>
      <c r="G15818" t="s">
        <v>12</v>
      </c>
      <c r="I15818" t="s">
        <v>1428</v>
      </c>
    </row>
    <row r="15819" spans="1:9" hidden="1" x14ac:dyDescent="0.25">
      <c r="A15819" t="s">
        <v>13303</v>
      </c>
      <c r="B15819" t="s">
        <v>41</v>
      </c>
      <c r="C15819" s="2">
        <f>HYPERLINK("https://cao.dolgi.msk.ru/account/1080202626/", 1080202626)</f>
        <v>1080202626</v>
      </c>
      <c r="D15819" t="s">
        <v>13319</v>
      </c>
      <c r="E15819">
        <v>-60.81</v>
      </c>
      <c r="F15819">
        <v>-0.01</v>
      </c>
      <c r="G15819" t="s">
        <v>12</v>
      </c>
      <c r="I15819" t="s">
        <v>1428</v>
      </c>
    </row>
    <row r="15820" spans="1:9" hidden="1" x14ac:dyDescent="0.25">
      <c r="A15820" t="s">
        <v>13303</v>
      </c>
      <c r="B15820" t="s">
        <v>42</v>
      </c>
      <c r="C15820" s="2">
        <f>HYPERLINK("https://cao.dolgi.msk.ru/account/1080202634/", 1080202634)</f>
        <v>1080202634</v>
      </c>
      <c r="D15820" t="s">
        <v>13320</v>
      </c>
      <c r="E15820">
        <v>-1163.47</v>
      </c>
      <c r="F15820">
        <v>-0.23</v>
      </c>
      <c r="G15820" t="s">
        <v>12</v>
      </c>
      <c r="I15820" t="s">
        <v>1428</v>
      </c>
    </row>
    <row r="15821" spans="1:9" hidden="1" x14ac:dyDescent="0.25">
      <c r="A15821" t="s">
        <v>13303</v>
      </c>
      <c r="B15821" t="s">
        <v>44</v>
      </c>
      <c r="C15821" s="2">
        <f>HYPERLINK("https://cao.dolgi.msk.ru/account/1080202642/", 1080202642)</f>
        <v>1080202642</v>
      </c>
      <c r="D15821" t="s">
        <v>13321</v>
      </c>
      <c r="E15821">
        <v>0</v>
      </c>
      <c r="F15821">
        <v>0</v>
      </c>
      <c r="G15821" t="s">
        <v>12</v>
      </c>
      <c r="I15821" t="s">
        <v>1428</v>
      </c>
    </row>
    <row r="15822" spans="1:9" hidden="1" x14ac:dyDescent="0.25">
      <c r="A15822" t="s">
        <v>13303</v>
      </c>
      <c r="B15822" t="s">
        <v>66</v>
      </c>
      <c r="C15822" s="2">
        <f>HYPERLINK("https://cao.dolgi.msk.ru/account/1080202677/", 1080202677)</f>
        <v>1080202677</v>
      </c>
      <c r="D15822" t="s">
        <v>13322</v>
      </c>
      <c r="E15822">
        <v>-58.23</v>
      </c>
      <c r="F15822">
        <v>-0.01</v>
      </c>
      <c r="G15822" t="s">
        <v>12</v>
      </c>
      <c r="I15822" t="s">
        <v>1428</v>
      </c>
    </row>
    <row r="15823" spans="1:9" hidden="1" x14ac:dyDescent="0.25">
      <c r="A15823" t="s">
        <v>13303</v>
      </c>
      <c r="B15823" t="s">
        <v>68</v>
      </c>
      <c r="C15823" s="2">
        <f>HYPERLINK("https://cao.dolgi.msk.ru/account/1080202685/", 1080202685)</f>
        <v>1080202685</v>
      </c>
      <c r="D15823" t="s">
        <v>13323</v>
      </c>
      <c r="E15823">
        <v>-4986.34</v>
      </c>
      <c r="F15823">
        <v>-1.05</v>
      </c>
      <c r="G15823" t="s">
        <v>12</v>
      </c>
      <c r="I15823" t="s">
        <v>1428</v>
      </c>
    </row>
    <row r="15824" spans="1:9" x14ac:dyDescent="0.25">
      <c r="A15824" t="s">
        <v>13303</v>
      </c>
      <c r="B15824" t="s">
        <v>70</v>
      </c>
      <c r="C15824" s="2">
        <f>HYPERLINK("https://cao.dolgi.msk.ru/account/1080202693/", 1080202693)</f>
        <v>1080202693</v>
      </c>
      <c r="D15824" t="s">
        <v>13324</v>
      </c>
      <c r="E15824">
        <v>11099.82</v>
      </c>
      <c r="F15824">
        <v>1.01</v>
      </c>
      <c r="G15824" t="s">
        <v>12</v>
      </c>
      <c r="I15824" t="s">
        <v>1428</v>
      </c>
    </row>
    <row r="15825" spans="1:9" hidden="1" x14ac:dyDescent="0.25">
      <c r="A15825" t="s">
        <v>13303</v>
      </c>
      <c r="B15825" t="s">
        <v>72</v>
      </c>
      <c r="C15825" s="2">
        <f>HYPERLINK("https://cao.dolgi.msk.ru/account/1080202706/", 1080202706)</f>
        <v>1080202706</v>
      </c>
      <c r="D15825" t="s">
        <v>13325</v>
      </c>
      <c r="E15825">
        <v>-4893.24</v>
      </c>
      <c r="F15825">
        <v>-0.75</v>
      </c>
      <c r="G15825" t="s">
        <v>12</v>
      </c>
      <c r="I15825" t="s">
        <v>1428</v>
      </c>
    </row>
    <row r="15826" spans="1:9" hidden="1" x14ac:dyDescent="0.25">
      <c r="A15826" t="s">
        <v>13303</v>
      </c>
      <c r="B15826" t="s">
        <v>74</v>
      </c>
      <c r="C15826" s="2">
        <f>HYPERLINK("https://cao.dolgi.msk.ru/account/1080202714/", 1080202714)</f>
        <v>1080202714</v>
      </c>
      <c r="D15826" t="s">
        <v>13326</v>
      </c>
      <c r="E15826">
        <v>-3779.11</v>
      </c>
      <c r="F15826">
        <v>-1.19</v>
      </c>
      <c r="G15826" t="s">
        <v>12</v>
      </c>
      <c r="I15826" t="s">
        <v>1428</v>
      </c>
    </row>
    <row r="15827" spans="1:9" hidden="1" x14ac:dyDescent="0.25">
      <c r="A15827" t="s">
        <v>13303</v>
      </c>
      <c r="B15827" t="s">
        <v>76</v>
      </c>
      <c r="C15827" s="2">
        <f>HYPERLINK("https://cao.dolgi.msk.ru/account/1080202722/", 1080202722)</f>
        <v>1080202722</v>
      </c>
      <c r="D15827" t="s">
        <v>13327</v>
      </c>
      <c r="E15827">
        <v>-295.75</v>
      </c>
      <c r="F15827">
        <v>-0.04</v>
      </c>
      <c r="G15827" t="s">
        <v>12</v>
      </c>
      <c r="I15827" t="s">
        <v>1428</v>
      </c>
    </row>
    <row r="15828" spans="1:9" hidden="1" x14ac:dyDescent="0.25">
      <c r="A15828" t="s">
        <v>13303</v>
      </c>
      <c r="B15828" t="s">
        <v>13328</v>
      </c>
      <c r="C15828" s="2">
        <f>HYPERLINK("https://cao.dolgi.msk.ru/account/1080202757/", 1080202757)</f>
        <v>1080202757</v>
      </c>
      <c r="D15828" t="s">
        <v>13329</v>
      </c>
      <c r="E15828">
        <v>-13659.34</v>
      </c>
      <c r="F15828">
        <v>-1.08</v>
      </c>
      <c r="G15828" t="s">
        <v>12</v>
      </c>
      <c r="I15828" t="s">
        <v>1428</v>
      </c>
    </row>
    <row r="15829" spans="1:9" hidden="1" x14ac:dyDescent="0.25">
      <c r="A15829" t="s">
        <v>13303</v>
      </c>
      <c r="B15829" t="s">
        <v>82</v>
      </c>
      <c r="C15829" s="2">
        <f>HYPERLINK("https://cao.dolgi.msk.ru/account/1080202669/", 1080202669)</f>
        <v>1080202669</v>
      </c>
      <c r="D15829" t="s">
        <v>13330</v>
      </c>
      <c r="E15829">
        <v>-13.61</v>
      </c>
      <c r="F15829">
        <v>0</v>
      </c>
      <c r="G15829" t="s">
        <v>12</v>
      </c>
      <c r="I15829" t="s">
        <v>1428</v>
      </c>
    </row>
    <row r="15830" spans="1:9" hidden="1" x14ac:dyDescent="0.25">
      <c r="A15830" t="s">
        <v>13303</v>
      </c>
      <c r="B15830" t="s">
        <v>84</v>
      </c>
      <c r="C15830" s="2">
        <f>HYPERLINK("https://cao.dolgi.msk.ru/account/1080202765/", 1080202765)</f>
        <v>1080202765</v>
      </c>
      <c r="D15830" t="s">
        <v>13331</v>
      </c>
      <c r="E15830">
        <v>-8451.91</v>
      </c>
      <c r="F15830">
        <v>-1.07</v>
      </c>
      <c r="G15830" t="s">
        <v>12</v>
      </c>
      <c r="I15830" t="s">
        <v>1428</v>
      </c>
    </row>
    <row r="15831" spans="1:9" hidden="1" x14ac:dyDescent="0.25">
      <c r="A15831" t="s">
        <v>13303</v>
      </c>
      <c r="B15831" t="s">
        <v>86</v>
      </c>
      <c r="C15831" s="2">
        <f>HYPERLINK("https://cao.dolgi.msk.ru/account/1080202773/", 1080202773)</f>
        <v>1080202773</v>
      </c>
      <c r="D15831" t="s">
        <v>13332</v>
      </c>
      <c r="E15831">
        <v>-7041.39</v>
      </c>
      <c r="F15831">
        <v>-1</v>
      </c>
      <c r="G15831" t="s">
        <v>12</v>
      </c>
      <c r="I15831" t="s">
        <v>1428</v>
      </c>
    </row>
    <row r="15832" spans="1:9" hidden="1" x14ac:dyDescent="0.25">
      <c r="A15832" t="s">
        <v>13303</v>
      </c>
      <c r="B15832" t="s">
        <v>88</v>
      </c>
      <c r="C15832" s="2">
        <f>HYPERLINK("https://cao.dolgi.msk.ru/account/1080202749/", 1080202749)</f>
        <v>1080202749</v>
      </c>
      <c r="D15832" t="s">
        <v>13333</v>
      </c>
      <c r="E15832">
        <v>-12854.75</v>
      </c>
      <c r="F15832">
        <v>-1.18</v>
      </c>
      <c r="G15832" t="s">
        <v>12</v>
      </c>
      <c r="I15832" t="s">
        <v>1428</v>
      </c>
    </row>
    <row r="15833" spans="1:9" hidden="1" x14ac:dyDescent="0.25">
      <c r="A15833" t="s">
        <v>13303</v>
      </c>
      <c r="B15833" t="s">
        <v>90</v>
      </c>
      <c r="C15833" s="2">
        <f>HYPERLINK("https://cao.dolgi.msk.ru/account/1080202781/", 1080202781)</f>
        <v>1080202781</v>
      </c>
      <c r="D15833" t="s">
        <v>13334</v>
      </c>
      <c r="E15833">
        <v>-3647.13</v>
      </c>
      <c r="F15833">
        <v>-1.17</v>
      </c>
      <c r="G15833" t="s">
        <v>12</v>
      </c>
      <c r="H15833" t="s">
        <v>7</v>
      </c>
      <c r="I15833" t="s">
        <v>1428</v>
      </c>
    </row>
    <row r="15834" spans="1:9" hidden="1" x14ac:dyDescent="0.25">
      <c r="A15834" t="s">
        <v>13303</v>
      </c>
      <c r="B15834" t="s">
        <v>90</v>
      </c>
      <c r="C15834" s="2">
        <f>HYPERLINK("https://cao.dolgi.msk.ru/account/1080202802/", 1080202802)</f>
        <v>1080202802</v>
      </c>
      <c r="D15834" t="s">
        <v>13335</v>
      </c>
      <c r="E15834">
        <v>-2877.13</v>
      </c>
      <c r="F15834">
        <v>-1.19</v>
      </c>
      <c r="G15834" t="s">
        <v>12</v>
      </c>
      <c r="H15834" t="s">
        <v>7</v>
      </c>
      <c r="I15834" t="s">
        <v>1428</v>
      </c>
    </row>
    <row r="15835" spans="1:9" hidden="1" x14ac:dyDescent="0.25">
      <c r="A15835" t="s">
        <v>13303</v>
      </c>
      <c r="B15835" t="s">
        <v>92</v>
      </c>
      <c r="C15835" s="2">
        <f>HYPERLINK("https://cao.dolgi.msk.ru/account/1080202829/", 1080202829)</f>
        <v>1080202829</v>
      </c>
      <c r="D15835" t="s">
        <v>13336</v>
      </c>
      <c r="E15835">
        <v>-7150.65</v>
      </c>
      <c r="F15835">
        <v>-1.1499999999999999</v>
      </c>
      <c r="G15835" t="s">
        <v>12</v>
      </c>
      <c r="I15835" t="s">
        <v>1428</v>
      </c>
    </row>
    <row r="15836" spans="1:9" hidden="1" x14ac:dyDescent="0.25">
      <c r="A15836" t="s">
        <v>13303</v>
      </c>
      <c r="B15836" t="s">
        <v>94</v>
      </c>
      <c r="C15836" s="2">
        <f>HYPERLINK("https://cao.dolgi.msk.ru/account/1080202837/", 1080202837)</f>
        <v>1080202837</v>
      </c>
      <c r="D15836" t="s">
        <v>13337</v>
      </c>
      <c r="E15836">
        <v>-2850.16</v>
      </c>
      <c r="F15836">
        <v>-1.19</v>
      </c>
      <c r="G15836" t="s">
        <v>12</v>
      </c>
      <c r="I15836" t="s">
        <v>1428</v>
      </c>
    </row>
    <row r="15837" spans="1:9" hidden="1" x14ac:dyDescent="0.25">
      <c r="A15837" t="s">
        <v>13303</v>
      </c>
      <c r="B15837" t="s">
        <v>96</v>
      </c>
      <c r="C15837" s="2">
        <f>HYPERLINK("https://cao.dolgi.msk.ru/account/1080202845/", 1080202845)</f>
        <v>1080202845</v>
      </c>
      <c r="D15837" t="s">
        <v>13338</v>
      </c>
      <c r="E15837">
        <v>-8526.5</v>
      </c>
      <c r="F15837">
        <v>-1.29</v>
      </c>
      <c r="G15837" t="s">
        <v>12</v>
      </c>
      <c r="I15837" t="s">
        <v>1428</v>
      </c>
    </row>
    <row r="15838" spans="1:9" hidden="1" x14ac:dyDescent="0.25">
      <c r="A15838" t="s">
        <v>13303</v>
      </c>
      <c r="B15838" t="s">
        <v>98</v>
      </c>
      <c r="C15838" s="2">
        <f>HYPERLINK("https://cao.dolgi.msk.ru/account/1080202853/", 1080202853)</f>
        <v>1080202853</v>
      </c>
      <c r="D15838" t="s">
        <v>13339</v>
      </c>
      <c r="E15838">
        <v>-10849.65</v>
      </c>
      <c r="F15838">
        <v>-1.2</v>
      </c>
      <c r="G15838" t="s">
        <v>12</v>
      </c>
      <c r="I15838" t="s">
        <v>1428</v>
      </c>
    </row>
    <row r="15839" spans="1:9" hidden="1" x14ac:dyDescent="0.25">
      <c r="A15839" t="s">
        <v>13303</v>
      </c>
      <c r="B15839" t="s">
        <v>100</v>
      </c>
      <c r="C15839" s="2">
        <f>HYPERLINK("https://cao.dolgi.msk.ru/account/1080202861/", 1080202861)</f>
        <v>1080202861</v>
      </c>
      <c r="D15839" t="s">
        <v>13340</v>
      </c>
      <c r="E15839">
        <v>5530.12</v>
      </c>
      <c r="F15839">
        <v>0.79</v>
      </c>
      <c r="G15839" t="s">
        <v>12</v>
      </c>
      <c r="I15839" t="s">
        <v>1428</v>
      </c>
    </row>
    <row r="15840" spans="1:9" hidden="1" x14ac:dyDescent="0.25">
      <c r="A15840" t="s">
        <v>13303</v>
      </c>
      <c r="B15840" t="s">
        <v>102</v>
      </c>
      <c r="C15840" s="2">
        <f>HYPERLINK("https://cao.dolgi.msk.ru/account/1080202888/", 1080202888)</f>
        <v>1080202888</v>
      </c>
      <c r="D15840" t="s">
        <v>13341</v>
      </c>
      <c r="E15840">
        <v>-5006.66</v>
      </c>
      <c r="F15840">
        <v>-1.1399999999999999</v>
      </c>
      <c r="G15840" t="s">
        <v>12</v>
      </c>
      <c r="I15840" t="s">
        <v>1428</v>
      </c>
    </row>
    <row r="15841" spans="1:9" hidden="1" x14ac:dyDescent="0.25">
      <c r="A15841" t="s">
        <v>13303</v>
      </c>
      <c r="B15841" t="s">
        <v>104</v>
      </c>
      <c r="C15841" s="2">
        <f>HYPERLINK("https://cao.dolgi.msk.ru/account/1080202896/", 1080202896)</f>
        <v>1080202896</v>
      </c>
      <c r="D15841" t="s">
        <v>13342</v>
      </c>
      <c r="E15841">
        <v>-8626.59</v>
      </c>
      <c r="F15841">
        <v>-1.08</v>
      </c>
      <c r="G15841" t="s">
        <v>12</v>
      </c>
      <c r="I15841" t="s">
        <v>1428</v>
      </c>
    </row>
    <row r="15842" spans="1:9" hidden="1" x14ac:dyDescent="0.25">
      <c r="A15842" t="s">
        <v>13303</v>
      </c>
      <c r="B15842" t="s">
        <v>106</v>
      </c>
      <c r="C15842" s="2">
        <f>HYPERLINK("https://cao.dolgi.msk.ru/account/1080202909/", 1080202909)</f>
        <v>1080202909</v>
      </c>
      <c r="D15842" t="s">
        <v>13343</v>
      </c>
      <c r="E15842">
        <v>-11758.66</v>
      </c>
      <c r="F15842">
        <v>-1.17</v>
      </c>
      <c r="G15842" t="s">
        <v>12</v>
      </c>
      <c r="I15842" t="s">
        <v>1428</v>
      </c>
    </row>
    <row r="15843" spans="1:9" hidden="1" x14ac:dyDescent="0.25">
      <c r="A15843" t="s">
        <v>13303</v>
      </c>
      <c r="B15843" t="s">
        <v>108</v>
      </c>
      <c r="C15843" s="2">
        <f>HYPERLINK("https://cao.dolgi.msk.ru/account/1080202917/", 1080202917)</f>
        <v>1080202917</v>
      </c>
      <c r="D15843" t="s">
        <v>13344</v>
      </c>
      <c r="E15843">
        <v>-7154.04</v>
      </c>
      <c r="F15843">
        <v>-1.18</v>
      </c>
      <c r="G15843" t="s">
        <v>12</v>
      </c>
      <c r="I15843" t="s">
        <v>1428</v>
      </c>
    </row>
    <row r="15844" spans="1:9" hidden="1" x14ac:dyDescent="0.25">
      <c r="A15844" t="s">
        <v>13303</v>
      </c>
      <c r="B15844" t="s">
        <v>110</v>
      </c>
      <c r="C15844" s="2">
        <f>HYPERLINK("https://cao.dolgi.msk.ru/account/1080202925/", 1080202925)</f>
        <v>1080202925</v>
      </c>
      <c r="D15844" t="s">
        <v>13345</v>
      </c>
      <c r="E15844">
        <v>-1044.6400000000001</v>
      </c>
      <c r="F15844">
        <v>-0.22</v>
      </c>
      <c r="G15844" t="s">
        <v>12</v>
      </c>
      <c r="I15844" t="s">
        <v>1428</v>
      </c>
    </row>
    <row r="15845" spans="1:9" hidden="1" x14ac:dyDescent="0.25">
      <c r="A15845" t="s">
        <v>13303</v>
      </c>
      <c r="B15845" t="s">
        <v>112</v>
      </c>
      <c r="C15845" s="2">
        <f>HYPERLINK("https://cao.dolgi.msk.ru/account/1080202933/", 1080202933)</f>
        <v>1080202933</v>
      </c>
      <c r="D15845" t="s">
        <v>13346</v>
      </c>
      <c r="E15845">
        <v>-7901.41</v>
      </c>
      <c r="F15845">
        <v>-1.27</v>
      </c>
      <c r="G15845" t="s">
        <v>12</v>
      </c>
      <c r="I15845" t="s">
        <v>1428</v>
      </c>
    </row>
    <row r="15846" spans="1:9" hidden="1" x14ac:dyDescent="0.25">
      <c r="A15846" t="s">
        <v>13303</v>
      </c>
      <c r="B15846" t="s">
        <v>114</v>
      </c>
      <c r="C15846" s="2">
        <f>HYPERLINK("https://cao.dolgi.msk.ru/account/1080202941/", 1080202941)</f>
        <v>1080202941</v>
      </c>
      <c r="D15846" t="s">
        <v>13347</v>
      </c>
      <c r="E15846">
        <v>-10.63</v>
      </c>
      <c r="F15846">
        <v>0</v>
      </c>
      <c r="G15846" t="s">
        <v>12</v>
      </c>
      <c r="I15846" t="s">
        <v>1428</v>
      </c>
    </row>
    <row r="15847" spans="1:9" hidden="1" x14ac:dyDescent="0.25">
      <c r="A15847" t="s">
        <v>13303</v>
      </c>
      <c r="B15847" t="s">
        <v>116</v>
      </c>
      <c r="C15847" s="2">
        <f>HYPERLINK("https://cao.dolgi.msk.ru/account/1080202968/", 1080202968)</f>
        <v>1080202968</v>
      </c>
      <c r="D15847" t="s">
        <v>13348</v>
      </c>
      <c r="E15847">
        <v>-8917.5</v>
      </c>
      <c r="F15847">
        <v>-1.1000000000000001</v>
      </c>
      <c r="G15847" t="s">
        <v>12</v>
      </c>
      <c r="I15847" t="s">
        <v>1428</v>
      </c>
    </row>
    <row r="15848" spans="1:9" hidden="1" x14ac:dyDescent="0.25">
      <c r="A15848" t="s">
        <v>13303</v>
      </c>
      <c r="B15848" t="s">
        <v>118</v>
      </c>
      <c r="C15848" s="2">
        <f>HYPERLINK("https://cao.dolgi.msk.ru/account/1080202976/", 1080202976)</f>
        <v>1080202976</v>
      </c>
      <c r="D15848" t="s">
        <v>13349</v>
      </c>
      <c r="E15848">
        <v>-5453.24</v>
      </c>
      <c r="F15848">
        <v>-1.19</v>
      </c>
      <c r="G15848" t="s">
        <v>12</v>
      </c>
      <c r="I15848" t="s">
        <v>1428</v>
      </c>
    </row>
    <row r="15849" spans="1:9" hidden="1" x14ac:dyDescent="0.25">
      <c r="A15849" t="s">
        <v>13303</v>
      </c>
      <c r="B15849" t="s">
        <v>120</v>
      </c>
      <c r="C15849" s="2">
        <f>HYPERLINK("https://cao.dolgi.msk.ru/account/1080202984/", 1080202984)</f>
        <v>1080202984</v>
      </c>
      <c r="D15849" t="s">
        <v>13350</v>
      </c>
      <c r="E15849">
        <v>-5191.59</v>
      </c>
      <c r="F15849">
        <v>-1.1599999999999999</v>
      </c>
      <c r="G15849" t="s">
        <v>12</v>
      </c>
      <c r="I15849" t="s">
        <v>1428</v>
      </c>
    </row>
    <row r="15850" spans="1:9" hidden="1" x14ac:dyDescent="0.25">
      <c r="A15850" t="s">
        <v>13303</v>
      </c>
      <c r="B15850" t="s">
        <v>122</v>
      </c>
      <c r="C15850" s="2">
        <f>HYPERLINK("https://cao.dolgi.msk.ru/account/1080203004/", 1080203004)</f>
        <v>1080203004</v>
      </c>
      <c r="D15850" t="s">
        <v>13351</v>
      </c>
      <c r="E15850">
        <v>-17389</v>
      </c>
      <c r="F15850">
        <v>-2.27</v>
      </c>
      <c r="G15850" t="s">
        <v>12</v>
      </c>
      <c r="I15850" t="s">
        <v>1428</v>
      </c>
    </row>
    <row r="15851" spans="1:9" hidden="1" x14ac:dyDescent="0.25">
      <c r="A15851" t="s">
        <v>13303</v>
      </c>
      <c r="B15851" t="s">
        <v>124</v>
      </c>
      <c r="C15851" s="2">
        <f>HYPERLINK("https://cao.dolgi.msk.ru/account/1080202992/", 1080202992)</f>
        <v>1080202992</v>
      </c>
      <c r="D15851" t="s">
        <v>13352</v>
      </c>
      <c r="E15851">
        <v>-5222.62</v>
      </c>
      <c r="F15851">
        <v>-1.21</v>
      </c>
      <c r="G15851" t="s">
        <v>12</v>
      </c>
      <c r="I15851" t="s">
        <v>1428</v>
      </c>
    </row>
    <row r="15852" spans="1:9" hidden="1" x14ac:dyDescent="0.25">
      <c r="A15852" t="s">
        <v>13303</v>
      </c>
      <c r="B15852" t="s">
        <v>126</v>
      </c>
      <c r="C15852" s="2">
        <f>HYPERLINK("https://cao.dolgi.msk.ru/account/1080203012/", 1080203012)</f>
        <v>1080203012</v>
      </c>
      <c r="D15852" t="s">
        <v>13353</v>
      </c>
      <c r="E15852">
        <v>-7433.08</v>
      </c>
      <c r="F15852">
        <v>-1.1399999999999999</v>
      </c>
      <c r="G15852" t="s">
        <v>12</v>
      </c>
      <c r="I15852" t="s">
        <v>1428</v>
      </c>
    </row>
    <row r="15853" spans="1:9" hidden="1" x14ac:dyDescent="0.25">
      <c r="A15853" t="s">
        <v>13303</v>
      </c>
      <c r="B15853" t="s">
        <v>128</v>
      </c>
      <c r="C15853" s="2">
        <f>HYPERLINK("https://cao.dolgi.msk.ru/account/1080203039/", 1080203039)</f>
        <v>1080203039</v>
      </c>
      <c r="D15853" t="s">
        <v>13354</v>
      </c>
      <c r="E15853">
        <v>4219.63</v>
      </c>
      <c r="F15853">
        <v>0.55000000000000004</v>
      </c>
      <c r="G15853" t="s">
        <v>12</v>
      </c>
      <c r="I15853" t="s">
        <v>1428</v>
      </c>
    </row>
    <row r="15854" spans="1:9" hidden="1" x14ac:dyDescent="0.25">
      <c r="A15854" t="s">
        <v>13303</v>
      </c>
      <c r="B15854" t="s">
        <v>130</v>
      </c>
      <c r="C15854" s="2">
        <f>HYPERLINK("https://cao.dolgi.msk.ru/account/1080203047/", 1080203047)</f>
        <v>1080203047</v>
      </c>
      <c r="D15854" t="s">
        <v>13355</v>
      </c>
      <c r="E15854">
        <v>-12335.24</v>
      </c>
      <c r="F15854">
        <v>-1.17</v>
      </c>
      <c r="G15854" t="s">
        <v>12</v>
      </c>
      <c r="I15854" t="s">
        <v>1428</v>
      </c>
    </row>
    <row r="15855" spans="1:9" hidden="1" x14ac:dyDescent="0.25">
      <c r="A15855" t="s">
        <v>13303</v>
      </c>
      <c r="B15855" t="s">
        <v>132</v>
      </c>
      <c r="C15855" s="2">
        <f>HYPERLINK("https://cao.dolgi.msk.ru/account/1080203055/", 1080203055)</f>
        <v>1080203055</v>
      </c>
      <c r="D15855" t="s">
        <v>13356</v>
      </c>
      <c r="E15855">
        <v>-226.92</v>
      </c>
      <c r="F15855">
        <v>-0.04</v>
      </c>
      <c r="G15855" t="s">
        <v>12</v>
      </c>
      <c r="I15855" t="s">
        <v>1428</v>
      </c>
    </row>
    <row r="15856" spans="1:9" x14ac:dyDescent="0.25">
      <c r="A15856" t="s">
        <v>13303</v>
      </c>
      <c r="B15856" t="s">
        <v>133</v>
      </c>
      <c r="C15856" s="2">
        <f>HYPERLINK("https://cao.dolgi.msk.ru/account/1080203063/", 1080203063)</f>
        <v>1080203063</v>
      </c>
      <c r="D15856" t="s">
        <v>13357</v>
      </c>
      <c r="E15856">
        <v>5796.76</v>
      </c>
      <c r="F15856">
        <v>1.02</v>
      </c>
      <c r="G15856" t="s">
        <v>12</v>
      </c>
      <c r="I15856" t="s">
        <v>1428</v>
      </c>
    </row>
    <row r="15857" spans="1:9" hidden="1" x14ac:dyDescent="0.25">
      <c r="A15857" t="s">
        <v>13303</v>
      </c>
      <c r="B15857" t="s">
        <v>135</v>
      </c>
      <c r="C15857" s="2">
        <f>HYPERLINK("https://cao.dolgi.msk.ru/account/1080203071/", 1080203071)</f>
        <v>1080203071</v>
      </c>
      <c r="D15857" t="s">
        <v>13358</v>
      </c>
      <c r="E15857">
        <v>-12206.28</v>
      </c>
      <c r="F15857">
        <v>-1.65</v>
      </c>
      <c r="G15857" t="s">
        <v>12</v>
      </c>
      <c r="I15857" t="s">
        <v>1428</v>
      </c>
    </row>
    <row r="15858" spans="1:9" hidden="1" x14ac:dyDescent="0.25">
      <c r="A15858" t="s">
        <v>13303</v>
      </c>
      <c r="B15858" t="s">
        <v>137</v>
      </c>
      <c r="C15858" s="2">
        <f>HYPERLINK("https://cao.dolgi.msk.ru/account/1080203098/", 1080203098)</f>
        <v>1080203098</v>
      </c>
      <c r="D15858" t="s">
        <v>13359</v>
      </c>
      <c r="E15858">
        <v>-21563.29</v>
      </c>
      <c r="F15858">
        <v>-2.35</v>
      </c>
      <c r="G15858" t="s">
        <v>12</v>
      </c>
      <c r="I15858" t="s">
        <v>1428</v>
      </c>
    </row>
    <row r="15859" spans="1:9" hidden="1" x14ac:dyDescent="0.25">
      <c r="A15859" t="s">
        <v>13303</v>
      </c>
      <c r="B15859" t="s">
        <v>139</v>
      </c>
      <c r="C15859" s="2">
        <f>HYPERLINK("https://cao.dolgi.msk.ru/account/1080203119/", 1080203119)</f>
        <v>1080203119</v>
      </c>
      <c r="D15859" t="s">
        <v>13360</v>
      </c>
      <c r="E15859">
        <v>-7425.06</v>
      </c>
      <c r="F15859">
        <v>-0.99</v>
      </c>
      <c r="G15859" t="s">
        <v>12</v>
      </c>
      <c r="I15859" t="s">
        <v>1428</v>
      </c>
    </row>
    <row r="15860" spans="1:9" hidden="1" x14ac:dyDescent="0.25">
      <c r="A15860" t="s">
        <v>13303</v>
      </c>
      <c r="B15860" t="s">
        <v>141</v>
      </c>
      <c r="C15860" s="2">
        <f>HYPERLINK("https://cao.dolgi.msk.ru/account/1080203127/", 1080203127)</f>
        <v>1080203127</v>
      </c>
      <c r="D15860" t="s">
        <v>13361</v>
      </c>
      <c r="E15860">
        <v>-12639.04</v>
      </c>
      <c r="F15860">
        <v>-2.1800000000000002</v>
      </c>
      <c r="G15860" t="s">
        <v>12</v>
      </c>
      <c r="I15860" t="s">
        <v>1428</v>
      </c>
    </row>
    <row r="15861" spans="1:9" hidden="1" x14ac:dyDescent="0.25">
      <c r="A15861" t="s">
        <v>13303</v>
      </c>
      <c r="B15861" t="s">
        <v>143</v>
      </c>
      <c r="C15861" s="2">
        <f>HYPERLINK("https://cao.dolgi.msk.ru/account/1080203135/", 1080203135)</f>
        <v>1080203135</v>
      </c>
      <c r="D15861" t="s">
        <v>13362</v>
      </c>
      <c r="E15861">
        <v>-7903.22</v>
      </c>
      <c r="F15861">
        <v>-1.28</v>
      </c>
      <c r="G15861" t="s">
        <v>12</v>
      </c>
      <c r="I15861" t="s">
        <v>1428</v>
      </c>
    </row>
    <row r="15862" spans="1:9" hidden="1" x14ac:dyDescent="0.25">
      <c r="A15862" t="s">
        <v>13303</v>
      </c>
      <c r="B15862" t="s">
        <v>145</v>
      </c>
      <c r="C15862" s="2">
        <f>HYPERLINK("https://cao.dolgi.msk.ru/account/1080203143/", 1080203143)</f>
        <v>1080203143</v>
      </c>
      <c r="D15862" t="s">
        <v>13363</v>
      </c>
      <c r="E15862">
        <v>-11158.84</v>
      </c>
      <c r="F15862">
        <v>-1.1599999999999999</v>
      </c>
      <c r="G15862" t="s">
        <v>12</v>
      </c>
      <c r="I15862" t="s">
        <v>1428</v>
      </c>
    </row>
    <row r="15863" spans="1:9" hidden="1" x14ac:dyDescent="0.25">
      <c r="A15863" t="s">
        <v>13303</v>
      </c>
      <c r="B15863" t="s">
        <v>147</v>
      </c>
      <c r="C15863" s="2">
        <f>HYPERLINK("https://cao.dolgi.msk.ru/account/1080203151/", 1080203151)</f>
        <v>1080203151</v>
      </c>
      <c r="D15863" t="s">
        <v>13364</v>
      </c>
      <c r="E15863">
        <v>-9397.66</v>
      </c>
      <c r="F15863">
        <v>-1.21</v>
      </c>
      <c r="G15863" t="s">
        <v>12</v>
      </c>
      <c r="I15863" t="s">
        <v>1428</v>
      </c>
    </row>
    <row r="15864" spans="1:9" hidden="1" x14ac:dyDescent="0.25">
      <c r="A15864" t="s">
        <v>13303</v>
      </c>
      <c r="B15864" t="s">
        <v>149</v>
      </c>
      <c r="C15864" s="2">
        <f>HYPERLINK("https://cao.dolgi.msk.ru/account/1080203178/", 1080203178)</f>
        <v>1080203178</v>
      </c>
      <c r="D15864" t="s">
        <v>13365</v>
      </c>
      <c r="E15864">
        <v>-5537.72</v>
      </c>
      <c r="F15864">
        <v>-1.28</v>
      </c>
      <c r="G15864" t="s">
        <v>12</v>
      </c>
      <c r="I15864" t="s">
        <v>1428</v>
      </c>
    </row>
    <row r="15865" spans="1:9" hidden="1" x14ac:dyDescent="0.25">
      <c r="A15865" t="s">
        <v>13303</v>
      </c>
      <c r="B15865" t="s">
        <v>151</v>
      </c>
      <c r="C15865" s="2">
        <f>HYPERLINK("https://cao.dolgi.msk.ru/account/1080203186/", 1080203186)</f>
        <v>1080203186</v>
      </c>
      <c r="D15865" t="s">
        <v>13366</v>
      </c>
      <c r="E15865">
        <v>-7406.93</v>
      </c>
      <c r="F15865">
        <v>-1.2</v>
      </c>
      <c r="G15865" t="s">
        <v>12</v>
      </c>
      <c r="I15865" t="s">
        <v>1428</v>
      </c>
    </row>
    <row r="15866" spans="1:9" hidden="1" x14ac:dyDescent="0.25">
      <c r="A15866" t="s">
        <v>13303</v>
      </c>
      <c r="B15866" t="s">
        <v>153</v>
      </c>
      <c r="C15866" s="2">
        <f>HYPERLINK("https://cao.dolgi.msk.ru/account/1080203194/", 1080203194)</f>
        <v>1080203194</v>
      </c>
      <c r="D15866" t="s">
        <v>13367</v>
      </c>
      <c r="E15866">
        <v>-9153.39</v>
      </c>
      <c r="F15866">
        <v>-1.21</v>
      </c>
      <c r="G15866" t="s">
        <v>12</v>
      </c>
      <c r="I15866" t="s">
        <v>1428</v>
      </c>
    </row>
    <row r="15867" spans="1:9" hidden="1" x14ac:dyDescent="0.25">
      <c r="A15867" t="s">
        <v>13303</v>
      </c>
      <c r="B15867" t="s">
        <v>155</v>
      </c>
      <c r="C15867" s="2">
        <f>HYPERLINK("https://cao.dolgi.msk.ru/account/1080203207/", 1080203207)</f>
        <v>1080203207</v>
      </c>
      <c r="D15867" t="s">
        <v>13368</v>
      </c>
      <c r="E15867">
        <v>5934.61</v>
      </c>
      <c r="F15867">
        <v>0.99</v>
      </c>
      <c r="G15867" t="s">
        <v>12</v>
      </c>
      <c r="I15867" t="s">
        <v>1428</v>
      </c>
    </row>
    <row r="15868" spans="1:9" hidden="1" x14ac:dyDescent="0.25">
      <c r="A15868" t="s">
        <v>13303</v>
      </c>
      <c r="B15868" t="s">
        <v>157</v>
      </c>
      <c r="C15868" s="2">
        <f>HYPERLINK("https://cao.dolgi.msk.ru/account/1080203215/", 1080203215)</f>
        <v>1080203215</v>
      </c>
      <c r="D15868" t="s">
        <v>13369</v>
      </c>
      <c r="E15868">
        <v>-10629.76</v>
      </c>
      <c r="F15868">
        <v>-1.1499999999999999</v>
      </c>
      <c r="G15868" t="s">
        <v>12</v>
      </c>
      <c r="I15868" t="s">
        <v>1428</v>
      </c>
    </row>
    <row r="15869" spans="1:9" hidden="1" x14ac:dyDescent="0.25">
      <c r="A15869" t="s">
        <v>13303</v>
      </c>
      <c r="B15869" t="s">
        <v>159</v>
      </c>
      <c r="C15869" s="2">
        <f>HYPERLINK("https://cao.dolgi.msk.ru/account/1080203223/", 1080203223)</f>
        <v>1080203223</v>
      </c>
      <c r="D15869" t="s">
        <v>13370</v>
      </c>
      <c r="E15869">
        <v>-14443.5</v>
      </c>
      <c r="F15869">
        <v>-1.23</v>
      </c>
      <c r="G15869" t="s">
        <v>12</v>
      </c>
      <c r="I15869" t="s">
        <v>1428</v>
      </c>
    </row>
    <row r="15870" spans="1:9" hidden="1" x14ac:dyDescent="0.25">
      <c r="A15870" t="s">
        <v>13303</v>
      </c>
      <c r="B15870" t="s">
        <v>161</v>
      </c>
      <c r="C15870" s="2">
        <f>HYPERLINK("https://cao.dolgi.msk.ru/account/1080203231/", 1080203231)</f>
        <v>1080203231</v>
      </c>
      <c r="D15870" t="s">
        <v>13371</v>
      </c>
      <c r="E15870">
        <v>0</v>
      </c>
      <c r="F15870">
        <v>0</v>
      </c>
      <c r="G15870" t="s">
        <v>12</v>
      </c>
      <c r="I15870" t="s">
        <v>1428</v>
      </c>
    </row>
    <row r="15871" spans="1:9" hidden="1" x14ac:dyDescent="0.25">
      <c r="A15871" t="s">
        <v>13303</v>
      </c>
      <c r="B15871" t="s">
        <v>163</v>
      </c>
      <c r="C15871" s="2">
        <f>HYPERLINK("https://cao.dolgi.msk.ru/account/1080203258/", 1080203258)</f>
        <v>1080203258</v>
      </c>
      <c r="D15871" t="s">
        <v>13372</v>
      </c>
      <c r="E15871">
        <v>-7587.89</v>
      </c>
      <c r="F15871">
        <v>-1.27</v>
      </c>
      <c r="G15871" t="s">
        <v>12</v>
      </c>
      <c r="I15871" t="s">
        <v>1428</v>
      </c>
    </row>
    <row r="15872" spans="1:9" hidden="1" x14ac:dyDescent="0.25">
      <c r="A15872" t="s">
        <v>13303</v>
      </c>
      <c r="B15872" t="s">
        <v>571</v>
      </c>
      <c r="C15872" s="2">
        <f>HYPERLINK("https://cao.dolgi.msk.ru/account/1080203266/", 1080203266)</f>
        <v>1080203266</v>
      </c>
      <c r="D15872" t="s">
        <v>13373</v>
      </c>
      <c r="E15872">
        <v>-9143.39</v>
      </c>
      <c r="F15872">
        <v>-1.27</v>
      </c>
      <c r="G15872" t="s">
        <v>12</v>
      </c>
      <c r="I15872" t="s">
        <v>1428</v>
      </c>
    </row>
    <row r="15873" spans="1:9" hidden="1" x14ac:dyDescent="0.25">
      <c r="A15873" t="s">
        <v>13303</v>
      </c>
      <c r="B15873" t="s">
        <v>682</v>
      </c>
      <c r="C15873" s="2">
        <f>HYPERLINK("https://cao.dolgi.msk.ru/account/1080203274/", 1080203274)</f>
        <v>1080203274</v>
      </c>
      <c r="D15873" t="s">
        <v>13374</v>
      </c>
      <c r="E15873">
        <v>-4734.72</v>
      </c>
      <c r="F15873">
        <v>-0.68</v>
      </c>
      <c r="G15873" t="s">
        <v>12</v>
      </c>
      <c r="I15873" t="s">
        <v>1428</v>
      </c>
    </row>
    <row r="15874" spans="1:9" hidden="1" x14ac:dyDescent="0.25">
      <c r="A15874" t="s">
        <v>13303</v>
      </c>
      <c r="B15874" t="s">
        <v>578</v>
      </c>
      <c r="C15874" s="2">
        <f>HYPERLINK("https://cao.dolgi.msk.ru/account/1080203282/", 1080203282)</f>
        <v>1080203282</v>
      </c>
      <c r="D15874" t="s">
        <v>13375</v>
      </c>
      <c r="E15874">
        <v>-10740.24</v>
      </c>
      <c r="F15874">
        <v>-1.25</v>
      </c>
      <c r="G15874" t="s">
        <v>12</v>
      </c>
      <c r="I15874" t="s">
        <v>1428</v>
      </c>
    </row>
    <row r="15875" spans="1:9" hidden="1" x14ac:dyDescent="0.25">
      <c r="A15875" t="s">
        <v>13303</v>
      </c>
      <c r="B15875" t="s">
        <v>580</v>
      </c>
      <c r="C15875" s="2">
        <f>HYPERLINK("https://cao.dolgi.msk.ru/account/1080203303/", 1080203303)</f>
        <v>1080203303</v>
      </c>
      <c r="D15875" t="s">
        <v>13376</v>
      </c>
      <c r="E15875">
        <v>-529.09</v>
      </c>
      <c r="F15875">
        <v>-0.08</v>
      </c>
      <c r="G15875" t="s">
        <v>12</v>
      </c>
      <c r="I15875" t="s">
        <v>1428</v>
      </c>
    </row>
    <row r="15876" spans="1:9" hidden="1" x14ac:dyDescent="0.25">
      <c r="A15876" t="s">
        <v>13303</v>
      </c>
      <c r="B15876" t="s">
        <v>686</v>
      </c>
      <c r="C15876" s="2">
        <f>HYPERLINK("https://cao.dolgi.msk.ru/account/1080203311/", 1080203311)</f>
        <v>1080203311</v>
      </c>
      <c r="D15876" t="s">
        <v>13377</v>
      </c>
      <c r="E15876">
        <v>-9446.4500000000007</v>
      </c>
      <c r="F15876">
        <v>-1.1299999999999999</v>
      </c>
      <c r="G15876" t="s">
        <v>12</v>
      </c>
      <c r="I15876" t="s">
        <v>1428</v>
      </c>
    </row>
    <row r="15877" spans="1:9" hidden="1" x14ac:dyDescent="0.25">
      <c r="A15877" t="s">
        <v>13303</v>
      </c>
      <c r="B15877" t="s">
        <v>582</v>
      </c>
      <c r="C15877" s="2">
        <f>HYPERLINK("https://cao.dolgi.msk.ru/account/1080203338/", 1080203338)</f>
        <v>1080203338</v>
      </c>
      <c r="D15877" t="s">
        <v>13378</v>
      </c>
      <c r="E15877">
        <v>-7445.41</v>
      </c>
      <c r="F15877">
        <v>-1.26</v>
      </c>
      <c r="G15877" t="s">
        <v>12</v>
      </c>
      <c r="I15877" t="s">
        <v>1428</v>
      </c>
    </row>
    <row r="15878" spans="1:9" hidden="1" x14ac:dyDescent="0.25">
      <c r="A15878" t="s">
        <v>13303</v>
      </c>
      <c r="B15878" t="s">
        <v>584</v>
      </c>
      <c r="C15878" s="2">
        <f>HYPERLINK("https://cao.dolgi.msk.ru/account/1080203346/", 1080203346)</f>
        <v>1080203346</v>
      </c>
      <c r="D15878" t="s">
        <v>13379</v>
      </c>
      <c r="E15878">
        <v>-632.86</v>
      </c>
      <c r="F15878">
        <v>-0.09</v>
      </c>
      <c r="G15878" t="s">
        <v>12</v>
      </c>
      <c r="I15878" t="s">
        <v>1428</v>
      </c>
    </row>
    <row r="15879" spans="1:9" hidden="1" x14ac:dyDescent="0.25">
      <c r="A15879" t="s">
        <v>13303</v>
      </c>
      <c r="B15879" t="s">
        <v>586</v>
      </c>
      <c r="C15879" s="2">
        <f>HYPERLINK("https://cao.dolgi.msk.ru/account/1080203354/", 1080203354)</f>
        <v>1080203354</v>
      </c>
      <c r="D15879" t="s">
        <v>13380</v>
      </c>
      <c r="E15879">
        <v>-5411.1</v>
      </c>
      <c r="F15879">
        <v>-1.25</v>
      </c>
      <c r="G15879" t="s">
        <v>12</v>
      </c>
      <c r="I15879" t="s">
        <v>1428</v>
      </c>
    </row>
    <row r="15880" spans="1:9" hidden="1" x14ac:dyDescent="0.25">
      <c r="A15880" t="s">
        <v>13303</v>
      </c>
      <c r="B15880" t="s">
        <v>588</v>
      </c>
      <c r="C15880" s="2">
        <f>HYPERLINK("https://cao.dolgi.msk.ru/account/1080203362/", 1080203362)</f>
        <v>1080203362</v>
      </c>
      <c r="D15880" t="s">
        <v>13381</v>
      </c>
      <c r="E15880">
        <v>-6763.91</v>
      </c>
      <c r="F15880">
        <v>-1.18</v>
      </c>
      <c r="G15880" t="s">
        <v>12</v>
      </c>
      <c r="I15880" t="s">
        <v>1428</v>
      </c>
    </row>
    <row r="15881" spans="1:9" hidden="1" x14ac:dyDescent="0.25">
      <c r="A15881" t="s">
        <v>13303</v>
      </c>
      <c r="B15881" t="s">
        <v>590</v>
      </c>
      <c r="C15881" s="2">
        <f>HYPERLINK("https://cao.dolgi.msk.ru/account/1080203389/", 1080203389)</f>
        <v>1080203389</v>
      </c>
      <c r="D15881" t="s">
        <v>13382</v>
      </c>
      <c r="E15881">
        <v>-7089.53</v>
      </c>
      <c r="F15881">
        <v>-1.22</v>
      </c>
      <c r="G15881" t="s">
        <v>12</v>
      </c>
      <c r="I15881" t="s">
        <v>1428</v>
      </c>
    </row>
    <row r="15882" spans="1:9" hidden="1" x14ac:dyDescent="0.25">
      <c r="A15882" t="s">
        <v>13303</v>
      </c>
      <c r="B15882" t="s">
        <v>693</v>
      </c>
      <c r="C15882" s="2">
        <f>HYPERLINK("https://cao.dolgi.msk.ru/account/1080203397/", 1080203397)</f>
        <v>1080203397</v>
      </c>
      <c r="D15882" t="s">
        <v>13383</v>
      </c>
      <c r="E15882">
        <v>-857.5</v>
      </c>
      <c r="F15882">
        <v>-0.1</v>
      </c>
      <c r="G15882" t="s">
        <v>12</v>
      </c>
      <c r="I15882" t="s">
        <v>1428</v>
      </c>
    </row>
    <row r="15883" spans="1:9" hidden="1" x14ac:dyDescent="0.25">
      <c r="A15883" t="s">
        <v>13303</v>
      </c>
      <c r="B15883" t="s">
        <v>694</v>
      </c>
      <c r="C15883" s="2">
        <f>HYPERLINK("https://cao.dolgi.msk.ru/account/1080203418/", 1080203418)</f>
        <v>1080203418</v>
      </c>
      <c r="D15883" t="s">
        <v>15</v>
      </c>
      <c r="E15883">
        <v>-5060.78</v>
      </c>
      <c r="F15883">
        <v>-1.08</v>
      </c>
      <c r="G15883" t="s">
        <v>12</v>
      </c>
      <c r="I15883" t="s">
        <v>1428</v>
      </c>
    </row>
    <row r="15884" spans="1:9" hidden="1" x14ac:dyDescent="0.25">
      <c r="A15884" t="s">
        <v>13303</v>
      </c>
      <c r="B15884" t="s">
        <v>696</v>
      </c>
      <c r="C15884" s="2">
        <f>HYPERLINK("https://cao.dolgi.msk.ru/account/1080203426/", 1080203426)</f>
        <v>1080203426</v>
      </c>
      <c r="D15884" t="s">
        <v>13384</v>
      </c>
      <c r="E15884">
        <v>-29.1</v>
      </c>
      <c r="F15884">
        <v>-0.01</v>
      </c>
      <c r="G15884" t="s">
        <v>12</v>
      </c>
      <c r="I15884" t="s">
        <v>1428</v>
      </c>
    </row>
    <row r="15885" spans="1:9" hidden="1" x14ac:dyDescent="0.25">
      <c r="A15885" t="s">
        <v>13303</v>
      </c>
      <c r="B15885" t="s">
        <v>698</v>
      </c>
      <c r="C15885" s="2">
        <f>HYPERLINK("https://cao.dolgi.msk.ru/account/1080203434/", 1080203434)</f>
        <v>1080203434</v>
      </c>
      <c r="D15885" t="s">
        <v>13385</v>
      </c>
      <c r="E15885">
        <v>51.05</v>
      </c>
      <c r="F15885">
        <v>0.01</v>
      </c>
      <c r="G15885" t="s">
        <v>12</v>
      </c>
      <c r="I15885" t="s">
        <v>1428</v>
      </c>
    </row>
    <row r="15886" spans="1:9" hidden="1" x14ac:dyDescent="0.25">
      <c r="A15886" t="s">
        <v>13303</v>
      </c>
      <c r="B15886" t="s">
        <v>700</v>
      </c>
      <c r="C15886" s="2">
        <f>HYPERLINK("https://cao.dolgi.msk.ru/account/1080203442/", 1080203442)</f>
        <v>1080203442</v>
      </c>
      <c r="D15886" t="s">
        <v>13386</v>
      </c>
      <c r="E15886">
        <v>-13291.68</v>
      </c>
      <c r="F15886">
        <v>-1.1200000000000001</v>
      </c>
      <c r="G15886" t="s">
        <v>12</v>
      </c>
      <c r="I15886" t="s">
        <v>1428</v>
      </c>
    </row>
    <row r="15887" spans="1:9" hidden="1" x14ac:dyDescent="0.25">
      <c r="A15887" t="s">
        <v>13303</v>
      </c>
      <c r="B15887" t="s">
        <v>702</v>
      </c>
      <c r="C15887" s="2">
        <f>HYPERLINK("https://cao.dolgi.msk.ru/account/1080203469/", 1080203469)</f>
        <v>1080203469</v>
      </c>
      <c r="D15887" t="s">
        <v>13387</v>
      </c>
      <c r="E15887">
        <v>-1348.91</v>
      </c>
      <c r="F15887">
        <v>-0.23</v>
      </c>
      <c r="G15887" t="s">
        <v>12</v>
      </c>
      <c r="I15887" t="s">
        <v>1428</v>
      </c>
    </row>
    <row r="15888" spans="1:9" hidden="1" x14ac:dyDescent="0.25">
      <c r="A15888" t="s">
        <v>13303</v>
      </c>
      <c r="B15888" t="s">
        <v>703</v>
      </c>
      <c r="C15888" s="2">
        <f>HYPERLINK("https://cao.dolgi.msk.ru/account/1080203477/", 1080203477)</f>
        <v>1080203477</v>
      </c>
      <c r="D15888" t="s">
        <v>13388</v>
      </c>
      <c r="E15888">
        <v>-2633.26</v>
      </c>
      <c r="F15888">
        <v>-0.63</v>
      </c>
      <c r="G15888" t="s">
        <v>12</v>
      </c>
      <c r="I15888" t="s">
        <v>1428</v>
      </c>
    </row>
    <row r="15889" spans="1:9" hidden="1" x14ac:dyDescent="0.25">
      <c r="A15889" t="s">
        <v>13303</v>
      </c>
      <c r="B15889" t="s">
        <v>705</v>
      </c>
      <c r="C15889" s="2">
        <f>HYPERLINK("https://cao.dolgi.msk.ru/account/1080203485/", 1080203485)</f>
        <v>1080203485</v>
      </c>
      <c r="D15889" t="s">
        <v>13389</v>
      </c>
      <c r="E15889">
        <v>0</v>
      </c>
      <c r="F15889">
        <v>0</v>
      </c>
      <c r="G15889" t="s">
        <v>12</v>
      </c>
      <c r="I15889" t="s">
        <v>1428</v>
      </c>
    </row>
    <row r="15890" spans="1:9" hidden="1" x14ac:dyDescent="0.25">
      <c r="A15890" t="s">
        <v>13303</v>
      </c>
      <c r="B15890" t="s">
        <v>707</v>
      </c>
      <c r="C15890" s="2">
        <f>HYPERLINK("https://cao.dolgi.msk.ru/account/1080203493/", 1080203493)</f>
        <v>1080203493</v>
      </c>
      <c r="D15890" t="s">
        <v>13390</v>
      </c>
      <c r="E15890">
        <v>-6973.76</v>
      </c>
      <c r="F15890">
        <v>-1.1599999999999999</v>
      </c>
      <c r="G15890" t="s">
        <v>12</v>
      </c>
      <c r="I15890" t="s">
        <v>1428</v>
      </c>
    </row>
    <row r="15891" spans="1:9" hidden="1" x14ac:dyDescent="0.25">
      <c r="A15891" t="s">
        <v>13303</v>
      </c>
      <c r="B15891" t="s">
        <v>709</v>
      </c>
      <c r="C15891" s="2">
        <f>HYPERLINK("https://cao.dolgi.msk.ru/account/1080203506/", 1080203506)</f>
        <v>1080203506</v>
      </c>
      <c r="D15891" t="s">
        <v>13391</v>
      </c>
      <c r="E15891">
        <v>-7262</v>
      </c>
      <c r="F15891">
        <v>-1.0900000000000001</v>
      </c>
      <c r="G15891" t="s">
        <v>12</v>
      </c>
      <c r="I15891" t="s">
        <v>1428</v>
      </c>
    </row>
    <row r="15892" spans="1:9" hidden="1" x14ac:dyDescent="0.25">
      <c r="A15892" t="s">
        <v>13303</v>
      </c>
      <c r="B15892" t="s">
        <v>711</v>
      </c>
      <c r="C15892" s="2">
        <f>HYPERLINK("https://cao.dolgi.msk.ru/account/1080203514/", 1080203514)</f>
        <v>1080203514</v>
      </c>
      <c r="D15892" t="s">
        <v>13392</v>
      </c>
      <c r="E15892">
        <v>-5258.72</v>
      </c>
      <c r="F15892">
        <v>-1.18</v>
      </c>
      <c r="G15892" t="s">
        <v>12</v>
      </c>
      <c r="I15892" t="s">
        <v>1428</v>
      </c>
    </row>
    <row r="15893" spans="1:9" hidden="1" x14ac:dyDescent="0.25">
      <c r="A15893" t="s">
        <v>13303</v>
      </c>
      <c r="B15893" t="s">
        <v>713</v>
      </c>
      <c r="C15893" s="2">
        <f>HYPERLINK("https://cao.dolgi.msk.ru/account/1080203522/", 1080203522)</f>
        <v>1080203522</v>
      </c>
      <c r="D15893" t="s">
        <v>13393</v>
      </c>
      <c r="E15893">
        <v>-6677.49</v>
      </c>
      <c r="F15893">
        <v>-1.22</v>
      </c>
      <c r="G15893" t="s">
        <v>12</v>
      </c>
      <c r="I15893" t="s">
        <v>1428</v>
      </c>
    </row>
    <row r="15894" spans="1:9" hidden="1" x14ac:dyDescent="0.25">
      <c r="A15894" t="s">
        <v>13303</v>
      </c>
      <c r="B15894" t="s">
        <v>528</v>
      </c>
      <c r="C15894" s="2">
        <f>HYPERLINK("https://cao.dolgi.msk.ru/account/1080203549/", 1080203549)</f>
        <v>1080203549</v>
      </c>
      <c r="D15894" t="s">
        <v>13394</v>
      </c>
      <c r="E15894">
        <v>-5355.65</v>
      </c>
      <c r="F15894">
        <v>-1.21</v>
      </c>
      <c r="G15894" t="s">
        <v>12</v>
      </c>
      <c r="H15894" t="s">
        <v>7</v>
      </c>
      <c r="I15894" t="s">
        <v>1428</v>
      </c>
    </row>
    <row r="15895" spans="1:9" hidden="1" x14ac:dyDescent="0.25">
      <c r="A15895" t="s">
        <v>13303</v>
      </c>
      <c r="B15895" t="s">
        <v>528</v>
      </c>
      <c r="C15895" s="2">
        <f>HYPERLINK("https://cao.dolgi.msk.ru/account/1080203557/", 1080203557)</f>
        <v>1080203557</v>
      </c>
      <c r="D15895" t="s">
        <v>13395</v>
      </c>
      <c r="E15895">
        <v>-3885.25</v>
      </c>
      <c r="F15895">
        <v>-1.47</v>
      </c>
      <c r="G15895" t="s">
        <v>12</v>
      </c>
      <c r="H15895" t="s">
        <v>7</v>
      </c>
      <c r="I15895" t="s">
        <v>1428</v>
      </c>
    </row>
    <row r="15896" spans="1:9" hidden="1" x14ac:dyDescent="0.25">
      <c r="A15896" t="s">
        <v>13303</v>
      </c>
      <c r="B15896" t="s">
        <v>530</v>
      </c>
      <c r="C15896" s="2">
        <f>HYPERLINK("https://cao.dolgi.msk.ru/account/1080203565/", 1080203565)</f>
        <v>1080203565</v>
      </c>
      <c r="D15896" t="s">
        <v>13396</v>
      </c>
      <c r="E15896">
        <v>-16477.37</v>
      </c>
      <c r="F15896">
        <v>-1.1299999999999999</v>
      </c>
      <c r="G15896" t="s">
        <v>12</v>
      </c>
      <c r="I15896" t="s">
        <v>1428</v>
      </c>
    </row>
    <row r="15897" spans="1:9" hidden="1" x14ac:dyDescent="0.25">
      <c r="A15897" t="s">
        <v>13303</v>
      </c>
      <c r="B15897" t="s">
        <v>532</v>
      </c>
      <c r="C15897" s="2">
        <f>HYPERLINK("https://cao.dolgi.msk.ru/account/1080203573/", 1080203573)</f>
        <v>1080203573</v>
      </c>
      <c r="D15897" t="s">
        <v>13397</v>
      </c>
      <c r="E15897">
        <v>-9817.43</v>
      </c>
      <c r="F15897">
        <v>-1.1299999999999999</v>
      </c>
      <c r="G15897" t="s">
        <v>12</v>
      </c>
      <c r="I15897" t="s">
        <v>1428</v>
      </c>
    </row>
    <row r="15898" spans="1:9" hidden="1" x14ac:dyDescent="0.25">
      <c r="A15898" t="s">
        <v>13303</v>
      </c>
      <c r="B15898" t="s">
        <v>534</v>
      </c>
      <c r="C15898" s="2">
        <f>HYPERLINK("https://cao.dolgi.msk.ru/account/1080203581/", 1080203581)</f>
        <v>1080203581</v>
      </c>
      <c r="D15898" t="s">
        <v>13398</v>
      </c>
      <c r="E15898">
        <v>-5598.41</v>
      </c>
      <c r="F15898">
        <v>-1.1299999999999999</v>
      </c>
      <c r="G15898" t="s">
        <v>12</v>
      </c>
      <c r="I15898" t="s">
        <v>1428</v>
      </c>
    </row>
    <row r="15899" spans="1:9" hidden="1" x14ac:dyDescent="0.25">
      <c r="A15899" t="s">
        <v>13303</v>
      </c>
      <c r="B15899" t="s">
        <v>536</v>
      </c>
      <c r="C15899" s="2">
        <f>HYPERLINK("https://cao.dolgi.msk.ru/account/1080203602/", 1080203602)</f>
        <v>1080203602</v>
      </c>
      <c r="D15899" t="s">
        <v>13399</v>
      </c>
      <c r="E15899">
        <v>10100.11</v>
      </c>
      <c r="F15899">
        <v>0.99</v>
      </c>
      <c r="G15899" t="s">
        <v>12</v>
      </c>
      <c r="I15899" t="s">
        <v>1428</v>
      </c>
    </row>
    <row r="15900" spans="1:9" hidden="1" x14ac:dyDescent="0.25">
      <c r="A15900" t="s">
        <v>13303</v>
      </c>
      <c r="B15900" t="s">
        <v>538</v>
      </c>
      <c r="C15900" s="2">
        <f>HYPERLINK("https://cao.dolgi.msk.ru/account/1080203629/", 1080203629)</f>
        <v>1080203629</v>
      </c>
      <c r="D15900" t="s">
        <v>1414</v>
      </c>
      <c r="E15900">
        <v>-6636.78</v>
      </c>
      <c r="F15900">
        <v>-1.25</v>
      </c>
      <c r="G15900" t="s">
        <v>12</v>
      </c>
      <c r="I15900" t="s">
        <v>1428</v>
      </c>
    </row>
    <row r="15901" spans="1:9" hidden="1" x14ac:dyDescent="0.25">
      <c r="A15901" t="s">
        <v>13303</v>
      </c>
      <c r="B15901" t="s">
        <v>539</v>
      </c>
      <c r="C15901" s="2">
        <f>HYPERLINK("https://cao.dolgi.msk.ru/account/1080203637/", 1080203637)</f>
        <v>1080203637</v>
      </c>
      <c r="D15901" t="s">
        <v>13400</v>
      </c>
      <c r="E15901">
        <v>-6404.14</v>
      </c>
      <c r="F15901">
        <v>-1.23</v>
      </c>
      <c r="G15901" t="s">
        <v>12</v>
      </c>
      <c r="I15901" t="s">
        <v>1428</v>
      </c>
    </row>
    <row r="15902" spans="1:9" hidden="1" x14ac:dyDescent="0.25">
      <c r="A15902" t="s">
        <v>13303</v>
      </c>
      <c r="B15902" t="s">
        <v>541</v>
      </c>
      <c r="C15902" s="2">
        <f>HYPERLINK("https://cao.dolgi.msk.ru/account/1080203645/", 1080203645)</f>
        <v>1080203645</v>
      </c>
      <c r="D15902" t="s">
        <v>15</v>
      </c>
      <c r="E15902">
        <v>-11551.06</v>
      </c>
      <c r="F15902">
        <v>-1.1000000000000001</v>
      </c>
      <c r="G15902" t="s">
        <v>12</v>
      </c>
      <c r="I15902" t="s">
        <v>1428</v>
      </c>
    </row>
    <row r="15903" spans="1:9" hidden="1" x14ac:dyDescent="0.25">
      <c r="A15903" t="s">
        <v>13303</v>
      </c>
      <c r="B15903" t="s">
        <v>543</v>
      </c>
      <c r="C15903" s="2">
        <f>HYPERLINK("https://cao.dolgi.msk.ru/account/1080203653/", 1080203653)</f>
        <v>1080203653</v>
      </c>
      <c r="D15903" t="s">
        <v>13401</v>
      </c>
      <c r="E15903">
        <v>-8352.5</v>
      </c>
      <c r="F15903">
        <v>-1.1299999999999999</v>
      </c>
      <c r="G15903" t="s">
        <v>12</v>
      </c>
      <c r="I15903" t="s">
        <v>1428</v>
      </c>
    </row>
    <row r="15904" spans="1:9" hidden="1" x14ac:dyDescent="0.25">
      <c r="A15904" t="s">
        <v>13303</v>
      </c>
      <c r="B15904" t="s">
        <v>545</v>
      </c>
      <c r="C15904" s="2">
        <f>HYPERLINK("https://cao.dolgi.msk.ru/account/1080203661/", 1080203661)</f>
        <v>1080203661</v>
      </c>
      <c r="D15904" t="s">
        <v>13402</v>
      </c>
      <c r="E15904">
        <v>-349.42</v>
      </c>
      <c r="F15904">
        <v>-0.1</v>
      </c>
      <c r="G15904" t="s">
        <v>12</v>
      </c>
      <c r="I15904" t="s">
        <v>1428</v>
      </c>
    </row>
    <row r="15905" spans="1:9" hidden="1" x14ac:dyDescent="0.25">
      <c r="A15905" t="s">
        <v>13303</v>
      </c>
      <c r="B15905" t="s">
        <v>546</v>
      </c>
      <c r="C15905" s="2">
        <f>HYPERLINK("https://cao.dolgi.msk.ru/account/1080203688/", 1080203688)</f>
        <v>1080203688</v>
      </c>
      <c r="D15905" t="s">
        <v>13403</v>
      </c>
      <c r="E15905">
        <v>-240.38</v>
      </c>
      <c r="F15905">
        <v>-0.04</v>
      </c>
      <c r="G15905" t="s">
        <v>12</v>
      </c>
      <c r="I15905" t="s">
        <v>1428</v>
      </c>
    </row>
    <row r="15906" spans="1:9" hidden="1" x14ac:dyDescent="0.25">
      <c r="A15906" t="s">
        <v>13303</v>
      </c>
      <c r="B15906" t="s">
        <v>548</v>
      </c>
      <c r="C15906" s="2">
        <f>HYPERLINK("https://cao.dolgi.msk.ru/account/1080203696/", 1080203696)</f>
        <v>1080203696</v>
      </c>
      <c r="D15906" t="s">
        <v>13404</v>
      </c>
      <c r="E15906">
        <v>-6453.02</v>
      </c>
      <c r="F15906">
        <v>-1.43</v>
      </c>
      <c r="G15906" t="s">
        <v>12</v>
      </c>
      <c r="I15906" t="s">
        <v>1428</v>
      </c>
    </row>
    <row r="15907" spans="1:9" hidden="1" x14ac:dyDescent="0.25">
      <c r="A15907" t="s">
        <v>13303</v>
      </c>
      <c r="B15907" t="s">
        <v>727</v>
      </c>
      <c r="C15907" s="2">
        <f>HYPERLINK("https://cao.dolgi.msk.ru/account/1080203709/", 1080203709)</f>
        <v>1080203709</v>
      </c>
      <c r="D15907" t="s">
        <v>13405</v>
      </c>
      <c r="E15907">
        <v>-8958.7800000000007</v>
      </c>
      <c r="F15907">
        <v>-0.64</v>
      </c>
      <c r="G15907" t="s">
        <v>12</v>
      </c>
      <c r="I15907" t="s">
        <v>1428</v>
      </c>
    </row>
    <row r="15908" spans="1:9" hidden="1" x14ac:dyDescent="0.25">
      <c r="A15908" t="s">
        <v>13303</v>
      </c>
      <c r="B15908" t="s">
        <v>551</v>
      </c>
      <c r="C15908" s="2">
        <f>HYPERLINK("https://cao.dolgi.msk.ru/account/1080203717/", 1080203717)</f>
        <v>1080203717</v>
      </c>
      <c r="D15908" t="s">
        <v>13406</v>
      </c>
      <c r="E15908">
        <v>-6033.54</v>
      </c>
      <c r="F15908">
        <v>-1.17</v>
      </c>
      <c r="G15908" t="s">
        <v>12</v>
      </c>
      <c r="I15908" t="s">
        <v>1428</v>
      </c>
    </row>
    <row r="15909" spans="1:9" hidden="1" x14ac:dyDescent="0.25">
      <c r="A15909" t="s">
        <v>13303</v>
      </c>
      <c r="B15909" t="s">
        <v>730</v>
      </c>
      <c r="C15909" s="2">
        <f>HYPERLINK("https://cao.dolgi.msk.ru/account/1080203725/", 1080203725)</f>
        <v>1080203725</v>
      </c>
      <c r="D15909" t="s">
        <v>13407</v>
      </c>
      <c r="E15909">
        <v>-7344.24</v>
      </c>
      <c r="F15909">
        <v>-1.25</v>
      </c>
      <c r="G15909" t="s">
        <v>12</v>
      </c>
      <c r="I15909" t="s">
        <v>1428</v>
      </c>
    </row>
    <row r="15910" spans="1:9" hidden="1" x14ac:dyDescent="0.25">
      <c r="A15910" t="s">
        <v>13303</v>
      </c>
      <c r="B15910" t="s">
        <v>732</v>
      </c>
      <c r="C15910" s="2">
        <f>HYPERLINK("https://cao.dolgi.msk.ru/account/1080203733/", 1080203733)</f>
        <v>1080203733</v>
      </c>
      <c r="D15910" t="s">
        <v>13408</v>
      </c>
      <c r="E15910">
        <v>-5823.59</v>
      </c>
      <c r="F15910">
        <v>-1.2</v>
      </c>
      <c r="G15910" t="s">
        <v>12</v>
      </c>
      <c r="I15910" t="s">
        <v>1428</v>
      </c>
    </row>
    <row r="15911" spans="1:9" hidden="1" x14ac:dyDescent="0.25">
      <c r="A15911" t="s">
        <v>13303</v>
      </c>
      <c r="B15911" t="s">
        <v>553</v>
      </c>
      <c r="C15911" s="2">
        <f>HYPERLINK("https://cao.dolgi.msk.ru/account/1080203741/", 1080203741)</f>
        <v>1080203741</v>
      </c>
      <c r="D15911" t="s">
        <v>13409</v>
      </c>
      <c r="E15911">
        <v>-9502.77</v>
      </c>
      <c r="F15911">
        <v>-1.17</v>
      </c>
      <c r="G15911" t="s">
        <v>12</v>
      </c>
      <c r="I15911" t="s">
        <v>1428</v>
      </c>
    </row>
    <row r="15912" spans="1:9" hidden="1" x14ac:dyDescent="0.25">
      <c r="A15912" t="s">
        <v>13303</v>
      </c>
      <c r="B15912" t="s">
        <v>555</v>
      </c>
      <c r="C15912" s="2">
        <f>HYPERLINK("https://cao.dolgi.msk.ru/account/1080203768/", 1080203768)</f>
        <v>1080203768</v>
      </c>
      <c r="D15912" t="s">
        <v>13410</v>
      </c>
      <c r="E15912">
        <v>-6271.15</v>
      </c>
      <c r="F15912">
        <v>-0.97</v>
      </c>
      <c r="G15912" t="s">
        <v>12</v>
      </c>
      <c r="I15912" t="s">
        <v>1428</v>
      </c>
    </row>
    <row r="15913" spans="1:9" hidden="1" x14ac:dyDescent="0.25">
      <c r="A15913" t="s">
        <v>13303</v>
      </c>
      <c r="B15913" t="s">
        <v>736</v>
      </c>
      <c r="C15913" s="2">
        <f>HYPERLINK("https://cao.dolgi.msk.ru/account/1080203776/", 1080203776)</f>
        <v>1080203776</v>
      </c>
      <c r="D15913" t="s">
        <v>13411</v>
      </c>
      <c r="E15913">
        <v>-2623.35</v>
      </c>
      <c r="F15913">
        <v>-1.2</v>
      </c>
      <c r="G15913" t="s">
        <v>12</v>
      </c>
      <c r="I15913" t="s">
        <v>1428</v>
      </c>
    </row>
    <row r="15914" spans="1:9" hidden="1" x14ac:dyDescent="0.25">
      <c r="A15914" t="s">
        <v>13303</v>
      </c>
      <c r="B15914" t="s">
        <v>738</v>
      </c>
      <c r="C15914" s="2">
        <f>HYPERLINK("https://cao.dolgi.msk.ru/account/1080203784/", 1080203784)</f>
        <v>1080203784</v>
      </c>
      <c r="D15914" t="s">
        <v>13412</v>
      </c>
      <c r="E15914">
        <v>-6099.59</v>
      </c>
      <c r="F15914">
        <v>-1.08</v>
      </c>
      <c r="G15914" t="s">
        <v>12</v>
      </c>
      <c r="I15914" t="s">
        <v>1428</v>
      </c>
    </row>
    <row r="15915" spans="1:9" hidden="1" x14ac:dyDescent="0.25">
      <c r="A15915" t="s">
        <v>13303</v>
      </c>
      <c r="B15915" t="s">
        <v>740</v>
      </c>
      <c r="C15915" s="2">
        <f>HYPERLINK("https://cao.dolgi.msk.ru/account/1080203792/", 1080203792)</f>
        <v>1080203792</v>
      </c>
      <c r="D15915" t="s">
        <v>13413</v>
      </c>
      <c r="E15915">
        <v>-4147.13</v>
      </c>
      <c r="F15915">
        <v>-0.45</v>
      </c>
      <c r="G15915" t="s">
        <v>12</v>
      </c>
      <c r="I15915" t="s">
        <v>1428</v>
      </c>
    </row>
    <row r="15916" spans="1:9" hidden="1" x14ac:dyDescent="0.25">
      <c r="A15916" t="s">
        <v>13303</v>
      </c>
      <c r="B15916" t="s">
        <v>742</v>
      </c>
      <c r="C15916" s="2">
        <f>HYPERLINK("https://cao.dolgi.msk.ru/account/1080203805/", 1080203805)</f>
        <v>1080203805</v>
      </c>
      <c r="D15916" t="s">
        <v>13414</v>
      </c>
      <c r="E15916">
        <v>-5823.45</v>
      </c>
      <c r="F15916">
        <v>-1.03</v>
      </c>
      <c r="G15916" t="s">
        <v>12</v>
      </c>
      <c r="I15916" t="s">
        <v>1428</v>
      </c>
    </row>
    <row r="15917" spans="1:9" hidden="1" x14ac:dyDescent="0.25">
      <c r="A15917" t="s">
        <v>13303</v>
      </c>
      <c r="B15917" t="s">
        <v>557</v>
      </c>
      <c r="C15917" s="2">
        <f>HYPERLINK("https://cao.dolgi.msk.ru/account/1080203813/", 1080203813)</f>
        <v>1080203813</v>
      </c>
      <c r="D15917" t="s">
        <v>13415</v>
      </c>
      <c r="E15917">
        <v>-7705.34</v>
      </c>
      <c r="F15917">
        <v>-1.19</v>
      </c>
      <c r="G15917" t="s">
        <v>12</v>
      </c>
      <c r="I15917" t="s">
        <v>1428</v>
      </c>
    </row>
    <row r="15918" spans="1:9" hidden="1" x14ac:dyDescent="0.25">
      <c r="A15918" t="s">
        <v>13303</v>
      </c>
      <c r="B15918" t="s">
        <v>558</v>
      </c>
      <c r="C15918" s="2">
        <f>HYPERLINK("https://cao.dolgi.msk.ru/account/1080203821/", 1080203821)</f>
        <v>1080203821</v>
      </c>
      <c r="D15918" t="s">
        <v>15</v>
      </c>
      <c r="E15918">
        <v>-9424.24</v>
      </c>
      <c r="F15918">
        <v>-1.22</v>
      </c>
      <c r="G15918" t="s">
        <v>12</v>
      </c>
      <c r="I15918" t="s">
        <v>1428</v>
      </c>
    </row>
    <row r="15919" spans="1:9" hidden="1" x14ac:dyDescent="0.25">
      <c r="A15919" t="s">
        <v>13303</v>
      </c>
      <c r="B15919" t="s">
        <v>746</v>
      </c>
      <c r="C15919" s="2">
        <f>HYPERLINK("https://cao.dolgi.msk.ru/account/1080203848/", 1080203848)</f>
        <v>1080203848</v>
      </c>
      <c r="D15919" t="s">
        <v>13416</v>
      </c>
      <c r="E15919">
        <v>-7619.97</v>
      </c>
      <c r="F15919">
        <v>-1.1499999999999999</v>
      </c>
      <c r="G15919" t="s">
        <v>12</v>
      </c>
      <c r="I15919" t="s">
        <v>1428</v>
      </c>
    </row>
    <row r="15920" spans="1:9" hidden="1" x14ac:dyDescent="0.25">
      <c r="A15920" t="s">
        <v>13303</v>
      </c>
      <c r="B15920" t="s">
        <v>748</v>
      </c>
      <c r="C15920" s="2">
        <f>HYPERLINK("https://cao.dolgi.msk.ru/account/1080203856/", 1080203856)</f>
        <v>1080203856</v>
      </c>
      <c r="D15920" t="s">
        <v>13417</v>
      </c>
      <c r="E15920">
        <v>-6580.26</v>
      </c>
      <c r="F15920">
        <v>-1.34</v>
      </c>
      <c r="G15920" t="s">
        <v>12</v>
      </c>
      <c r="I15920" t="s">
        <v>1428</v>
      </c>
    </row>
    <row r="15921" spans="1:9" hidden="1" x14ac:dyDescent="0.25">
      <c r="A15921" t="s">
        <v>13303</v>
      </c>
      <c r="B15921" t="s">
        <v>750</v>
      </c>
      <c r="C15921" s="2">
        <f>HYPERLINK("https://cao.dolgi.msk.ru/account/1080203864/", 1080203864)</f>
        <v>1080203864</v>
      </c>
      <c r="D15921" t="s">
        <v>13418</v>
      </c>
      <c r="E15921">
        <v>-9071.73</v>
      </c>
      <c r="F15921">
        <v>-1.1499999999999999</v>
      </c>
      <c r="G15921" t="s">
        <v>12</v>
      </c>
      <c r="I15921" t="s">
        <v>1428</v>
      </c>
    </row>
    <row r="15922" spans="1:9" hidden="1" x14ac:dyDescent="0.25">
      <c r="A15922" t="s">
        <v>13303</v>
      </c>
      <c r="B15922" t="s">
        <v>752</v>
      </c>
      <c r="C15922" s="2">
        <f>HYPERLINK("https://cao.dolgi.msk.ru/account/1080203872/", 1080203872)</f>
        <v>1080203872</v>
      </c>
      <c r="D15922" t="s">
        <v>13419</v>
      </c>
      <c r="E15922">
        <v>-64.17</v>
      </c>
      <c r="F15922">
        <v>-0.02</v>
      </c>
      <c r="G15922" t="s">
        <v>12</v>
      </c>
      <c r="I15922" t="s">
        <v>1428</v>
      </c>
    </row>
    <row r="15923" spans="1:9" hidden="1" x14ac:dyDescent="0.25">
      <c r="A15923" t="s">
        <v>13303</v>
      </c>
      <c r="B15923" t="s">
        <v>754</v>
      </c>
      <c r="C15923" s="2">
        <f>HYPERLINK("https://cao.dolgi.msk.ru/account/1080203899/", 1080203899)</f>
        <v>1080203899</v>
      </c>
      <c r="D15923" t="s">
        <v>13420</v>
      </c>
      <c r="E15923">
        <v>0</v>
      </c>
      <c r="F15923">
        <v>0</v>
      </c>
      <c r="G15923" t="s">
        <v>12</v>
      </c>
      <c r="I15923" t="s">
        <v>1428</v>
      </c>
    </row>
    <row r="15924" spans="1:9" hidden="1" x14ac:dyDescent="0.25">
      <c r="A15924" t="s">
        <v>13303</v>
      </c>
      <c r="B15924" t="s">
        <v>756</v>
      </c>
      <c r="C15924" s="2">
        <f>HYPERLINK("https://cao.dolgi.msk.ru/account/1080203901/", 1080203901)</f>
        <v>1080203901</v>
      </c>
      <c r="D15924" t="s">
        <v>13421</v>
      </c>
      <c r="E15924">
        <v>-391.83</v>
      </c>
      <c r="F15924">
        <v>-0.06</v>
      </c>
      <c r="G15924" t="s">
        <v>12</v>
      </c>
      <c r="I15924" t="s">
        <v>1428</v>
      </c>
    </row>
    <row r="15925" spans="1:9" hidden="1" x14ac:dyDescent="0.25">
      <c r="A15925" t="s">
        <v>13303</v>
      </c>
      <c r="B15925" t="s">
        <v>758</v>
      </c>
      <c r="C15925" s="2">
        <f>HYPERLINK("https://cao.dolgi.msk.ru/account/1080203928/", 1080203928)</f>
        <v>1080203928</v>
      </c>
      <c r="D15925" t="s">
        <v>13422</v>
      </c>
      <c r="E15925">
        <v>-5322.77</v>
      </c>
      <c r="F15925">
        <v>-1.24</v>
      </c>
      <c r="G15925" t="s">
        <v>12</v>
      </c>
      <c r="I15925" t="s">
        <v>1428</v>
      </c>
    </row>
    <row r="15926" spans="1:9" hidden="1" x14ac:dyDescent="0.25">
      <c r="A15926" t="s">
        <v>13303</v>
      </c>
      <c r="B15926" t="s">
        <v>760</v>
      </c>
      <c r="C15926" s="2">
        <f>HYPERLINK("https://cao.dolgi.msk.ru/account/1080203936/", 1080203936)</f>
        <v>1080203936</v>
      </c>
      <c r="D15926" t="s">
        <v>13423</v>
      </c>
      <c r="E15926">
        <v>-5642.75</v>
      </c>
      <c r="F15926">
        <v>-1.07</v>
      </c>
      <c r="G15926" t="s">
        <v>12</v>
      </c>
      <c r="I15926" t="s">
        <v>1428</v>
      </c>
    </row>
    <row r="15927" spans="1:9" hidden="1" x14ac:dyDescent="0.25">
      <c r="A15927" t="s">
        <v>13303</v>
      </c>
      <c r="B15927" t="s">
        <v>760</v>
      </c>
      <c r="C15927" s="2">
        <f>HYPERLINK("https://cao.dolgi.msk.ru/account/1080203944/", 1080203944)</f>
        <v>1080203944</v>
      </c>
      <c r="D15927" t="s">
        <v>13424</v>
      </c>
      <c r="E15927">
        <v>-1095.31</v>
      </c>
      <c r="G15927" t="s">
        <v>14</v>
      </c>
      <c r="I15927" t="s">
        <v>1428</v>
      </c>
    </row>
    <row r="15928" spans="1:9" hidden="1" x14ac:dyDescent="0.25">
      <c r="A15928" t="s">
        <v>13303</v>
      </c>
      <c r="B15928" t="s">
        <v>762</v>
      </c>
      <c r="C15928" s="2">
        <f>HYPERLINK("https://cao.dolgi.msk.ru/account/1080203952/", 1080203952)</f>
        <v>1080203952</v>
      </c>
      <c r="D15928" t="s">
        <v>13425</v>
      </c>
      <c r="E15928">
        <v>-13521.59</v>
      </c>
      <c r="F15928">
        <v>-1.34</v>
      </c>
      <c r="G15928" t="s">
        <v>12</v>
      </c>
      <c r="I15928" t="s">
        <v>1428</v>
      </c>
    </row>
    <row r="15929" spans="1:9" hidden="1" x14ac:dyDescent="0.25">
      <c r="A15929" t="s">
        <v>13303</v>
      </c>
      <c r="B15929" t="s">
        <v>764</v>
      </c>
      <c r="C15929" s="2">
        <f>HYPERLINK("https://cao.dolgi.msk.ru/account/1080203979/", 1080203979)</f>
        <v>1080203979</v>
      </c>
      <c r="D15929" t="s">
        <v>13426</v>
      </c>
      <c r="E15929">
        <v>-5231.49</v>
      </c>
      <c r="F15929">
        <v>-1.04</v>
      </c>
      <c r="G15929" t="s">
        <v>12</v>
      </c>
      <c r="I15929" t="s">
        <v>1428</v>
      </c>
    </row>
    <row r="15930" spans="1:9" hidden="1" x14ac:dyDescent="0.25">
      <c r="A15930" t="s">
        <v>13303</v>
      </c>
      <c r="B15930" t="s">
        <v>766</v>
      </c>
      <c r="C15930" s="2">
        <f>HYPERLINK("https://cao.dolgi.msk.ru/account/1080203987/", 1080203987)</f>
        <v>1080203987</v>
      </c>
      <c r="D15930" t="s">
        <v>13427</v>
      </c>
      <c r="E15930">
        <v>-8093.35</v>
      </c>
      <c r="F15930">
        <v>-1.25</v>
      </c>
      <c r="G15930" t="s">
        <v>12</v>
      </c>
      <c r="I15930" t="s">
        <v>1428</v>
      </c>
    </row>
    <row r="15931" spans="1:9" hidden="1" x14ac:dyDescent="0.25">
      <c r="A15931" t="s">
        <v>13303</v>
      </c>
      <c r="B15931" t="s">
        <v>768</v>
      </c>
      <c r="C15931" s="2">
        <f>HYPERLINK("https://cao.dolgi.msk.ru/account/1080203995/", 1080203995)</f>
        <v>1080203995</v>
      </c>
      <c r="D15931" t="s">
        <v>15</v>
      </c>
      <c r="E15931">
        <v>-11686.51</v>
      </c>
      <c r="F15931">
        <v>-1.1499999999999999</v>
      </c>
      <c r="G15931" t="s">
        <v>12</v>
      </c>
      <c r="I15931" t="s">
        <v>1428</v>
      </c>
    </row>
    <row r="15932" spans="1:9" hidden="1" x14ac:dyDescent="0.25">
      <c r="A15932" t="s">
        <v>13303</v>
      </c>
      <c r="B15932" t="s">
        <v>770</v>
      </c>
      <c r="C15932" s="2">
        <f>HYPERLINK("https://cao.dolgi.msk.ru/account/1080204007/", 1080204007)</f>
        <v>1080204007</v>
      </c>
      <c r="D15932" t="s">
        <v>13428</v>
      </c>
      <c r="E15932">
        <v>-47.46</v>
      </c>
      <c r="F15932">
        <v>-0.01</v>
      </c>
      <c r="G15932" t="s">
        <v>12</v>
      </c>
      <c r="I15932" t="s">
        <v>1428</v>
      </c>
    </row>
    <row r="15933" spans="1:9" hidden="1" x14ac:dyDescent="0.25">
      <c r="A15933" t="s">
        <v>13303</v>
      </c>
      <c r="B15933" t="s">
        <v>772</v>
      </c>
      <c r="C15933" s="2">
        <f>HYPERLINK("https://cao.dolgi.msk.ru/account/1080204015/", 1080204015)</f>
        <v>1080204015</v>
      </c>
      <c r="D15933" t="s">
        <v>13429</v>
      </c>
      <c r="E15933">
        <v>-7540.69</v>
      </c>
      <c r="F15933">
        <v>-1.31</v>
      </c>
      <c r="G15933" t="s">
        <v>12</v>
      </c>
      <c r="I15933" t="s">
        <v>1428</v>
      </c>
    </row>
    <row r="15934" spans="1:9" hidden="1" x14ac:dyDescent="0.25">
      <c r="A15934" t="s">
        <v>13303</v>
      </c>
      <c r="B15934" t="s">
        <v>774</v>
      </c>
      <c r="C15934" s="2">
        <f>HYPERLINK("https://cao.dolgi.msk.ru/account/1080204023/", 1080204023)</f>
        <v>1080204023</v>
      </c>
      <c r="D15934" t="s">
        <v>13430</v>
      </c>
      <c r="E15934">
        <v>0</v>
      </c>
      <c r="G15934" t="s">
        <v>14</v>
      </c>
      <c r="I15934" t="s">
        <v>1428</v>
      </c>
    </row>
    <row r="15935" spans="1:9" hidden="1" x14ac:dyDescent="0.25">
      <c r="A15935" t="s">
        <v>13303</v>
      </c>
      <c r="B15935" t="s">
        <v>774</v>
      </c>
      <c r="C15935" s="2">
        <f>HYPERLINK("https://cao.dolgi.msk.ru/account/1083269148/", 1083269148)</f>
        <v>1083269148</v>
      </c>
      <c r="D15935" t="s">
        <v>13430</v>
      </c>
      <c r="E15935">
        <v>-9655.8700000000008</v>
      </c>
      <c r="F15935">
        <v>-1.3</v>
      </c>
      <c r="G15935" t="s">
        <v>12</v>
      </c>
      <c r="I15935" t="s">
        <v>1428</v>
      </c>
    </row>
    <row r="15936" spans="1:9" hidden="1" x14ac:dyDescent="0.25">
      <c r="A15936" t="s">
        <v>13303</v>
      </c>
      <c r="B15936" t="s">
        <v>776</v>
      </c>
      <c r="C15936" s="2">
        <f>HYPERLINK("https://cao.dolgi.msk.ru/account/1080204031/", 1080204031)</f>
        <v>1080204031</v>
      </c>
      <c r="D15936" t="s">
        <v>13431</v>
      </c>
      <c r="E15936">
        <v>0</v>
      </c>
      <c r="F15936">
        <v>0</v>
      </c>
      <c r="G15936" t="s">
        <v>12</v>
      </c>
      <c r="I15936" t="s">
        <v>1428</v>
      </c>
    </row>
    <row r="15937" spans="1:9" hidden="1" x14ac:dyDescent="0.25">
      <c r="A15937" t="s">
        <v>13303</v>
      </c>
      <c r="B15937" t="s">
        <v>778</v>
      </c>
      <c r="C15937" s="2">
        <f>HYPERLINK("https://cao.dolgi.msk.ru/account/1080204058/", 1080204058)</f>
        <v>1080204058</v>
      </c>
      <c r="D15937" t="s">
        <v>13432</v>
      </c>
      <c r="E15937">
        <v>-7224.17</v>
      </c>
      <c r="F15937">
        <v>-1.1100000000000001</v>
      </c>
      <c r="G15937" t="s">
        <v>12</v>
      </c>
      <c r="I15937" t="s">
        <v>1428</v>
      </c>
    </row>
    <row r="15938" spans="1:9" hidden="1" x14ac:dyDescent="0.25">
      <c r="A15938" t="s">
        <v>13303</v>
      </c>
      <c r="B15938" t="s">
        <v>780</v>
      </c>
      <c r="C15938" s="2">
        <f>HYPERLINK("https://cao.dolgi.msk.ru/account/1080204066/", 1080204066)</f>
        <v>1080204066</v>
      </c>
      <c r="D15938" t="s">
        <v>13433</v>
      </c>
      <c r="E15938">
        <v>-8198.7800000000007</v>
      </c>
      <c r="F15938">
        <v>-1.27</v>
      </c>
      <c r="G15938" t="s">
        <v>12</v>
      </c>
      <c r="I15938" t="s">
        <v>1428</v>
      </c>
    </row>
    <row r="15939" spans="1:9" x14ac:dyDescent="0.25">
      <c r="A15939" t="s">
        <v>13303</v>
      </c>
      <c r="B15939" t="s">
        <v>13434</v>
      </c>
      <c r="C15939" s="2">
        <f>HYPERLINK("https://cao.dolgi.msk.ru/account/1080204074/", 1080204074)</f>
        <v>1080204074</v>
      </c>
      <c r="D15939" t="s">
        <v>13435</v>
      </c>
      <c r="E15939">
        <v>17120.41</v>
      </c>
      <c r="F15939">
        <v>1.64</v>
      </c>
      <c r="G15939" t="s">
        <v>12</v>
      </c>
      <c r="I15939" t="s">
        <v>1428</v>
      </c>
    </row>
    <row r="15940" spans="1:9" hidden="1" x14ac:dyDescent="0.25">
      <c r="A15940" t="s">
        <v>13303</v>
      </c>
      <c r="B15940" t="s">
        <v>781</v>
      </c>
      <c r="C15940" s="2">
        <f>HYPERLINK("https://cao.dolgi.msk.ru/account/1080204082/", 1080204082)</f>
        <v>1080204082</v>
      </c>
      <c r="D15940" t="s">
        <v>13436</v>
      </c>
      <c r="E15940">
        <v>-6994.3</v>
      </c>
      <c r="F15940">
        <v>-1.24</v>
      </c>
      <c r="G15940" t="s">
        <v>12</v>
      </c>
      <c r="I15940" t="s">
        <v>1428</v>
      </c>
    </row>
    <row r="15941" spans="1:9" hidden="1" x14ac:dyDescent="0.25">
      <c r="A15941" t="s">
        <v>13303</v>
      </c>
      <c r="B15941" t="s">
        <v>782</v>
      </c>
      <c r="C15941" s="2">
        <f>HYPERLINK("https://cao.dolgi.msk.ru/account/1080204103/", 1080204103)</f>
        <v>1080204103</v>
      </c>
      <c r="D15941" t="s">
        <v>13437</v>
      </c>
      <c r="E15941">
        <v>-9757.44</v>
      </c>
      <c r="F15941">
        <v>-1.1499999999999999</v>
      </c>
      <c r="G15941" t="s">
        <v>12</v>
      </c>
      <c r="I15941" t="s">
        <v>1428</v>
      </c>
    </row>
    <row r="15942" spans="1:9" hidden="1" x14ac:dyDescent="0.25">
      <c r="A15942" t="s">
        <v>13303</v>
      </c>
      <c r="B15942" t="s">
        <v>784</v>
      </c>
      <c r="C15942" s="2">
        <f>HYPERLINK("https://cao.dolgi.msk.ru/account/1080204111/", 1080204111)</f>
        <v>1080204111</v>
      </c>
      <c r="D15942" t="s">
        <v>13438</v>
      </c>
      <c r="E15942">
        <v>-6804.32</v>
      </c>
      <c r="F15942">
        <v>-1.2</v>
      </c>
      <c r="G15942" t="s">
        <v>12</v>
      </c>
      <c r="I15942" t="s">
        <v>1428</v>
      </c>
    </row>
    <row r="15943" spans="1:9" hidden="1" x14ac:dyDescent="0.25">
      <c r="A15943" t="s">
        <v>13303</v>
      </c>
      <c r="B15943" t="s">
        <v>786</v>
      </c>
      <c r="C15943" s="2">
        <f>HYPERLINK("https://cao.dolgi.msk.ru/account/1080204138/", 1080204138)</f>
        <v>1080204138</v>
      </c>
      <c r="D15943" t="s">
        <v>13439</v>
      </c>
      <c r="E15943">
        <v>-7716.72</v>
      </c>
      <c r="F15943">
        <v>-1.1499999999999999</v>
      </c>
      <c r="G15943" t="s">
        <v>12</v>
      </c>
      <c r="I15943" t="s">
        <v>1428</v>
      </c>
    </row>
    <row r="15944" spans="1:9" hidden="1" x14ac:dyDescent="0.25">
      <c r="A15944" t="s">
        <v>13303</v>
      </c>
      <c r="B15944" t="s">
        <v>788</v>
      </c>
      <c r="C15944" s="2">
        <f>HYPERLINK("https://cao.dolgi.msk.ru/account/1080204146/", 1080204146)</f>
        <v>1080204146</v>
      </c>
      <c r="D15944" t="s">
        <v>13440</v>
      </c>
      <c r="E15944">
        <v>-2213.23</v>
      </c>
      <c r="F15944">
        <v>-0.28999999999999998</v>
      </c>
      <c r="G15944" t="s">
        <v>12</v>
      </c>
      <c r="I15944" t="s">
        <v>1428</v>
      </c>
    </row>
    <row r="15945" spans="1:9" hidden="1" x14ac:dyDescent="0.25">
      <c r="A15945" t="s">
        <v>13303</v>
      </c>
      <c r="B15945" t="s">
        <v>789</v>
      </c>
      <c r="C15945" s="2">
        <f>HYPERLINK("https://cao.dolgi.msk.ru/account/1080204154/", 1080204154)</f>
        <v>1080204154</v>
      </c>
      <c r="D15945" t="s">
        <v>13441</v>
      </c>
      <c r="E15945">
        <v>-5977.13</v>
      </c>
      <c r="F15945">
        <v>-1.08</v>
      </c>
      <c r="G15945" t="s">
        <v>12</v>
      </c>
      <c r="I15945" t="s">
        <v>1428</v>
      </c>
    </row>
    <row r="15946" spans="1:9" hidden="1" x14ac:dyDescent="0.25">
      <c r="A15946" t="s">
        <v>13303</v>
      </c>
      <c r="B15946" t="s">
        <v>790</v>
      </c>
      <c r="C15946" s="2">
        <f>HYPERLINK("https://cao.dolgi.msk.ru/account/1080204162/", 1080204162)</f>
        <v>1080204162</v>
      </c>
      <c r="D15946" t="s">
        <v>13442</v>
      </c>
      <c r="E15946">
        <v>-6695.08</v>
      </c>
      <c r="F15946">
        <v>-1.2</v>
      </c>
      <c r="G15946" t="s">
        <v>12</v>
      </c>
      <c r="I15946" t="s">
        <v>1428</v>
      </c>
    </row>
    <row r="15947" spans="1:9" hidden="1" x14ac:dyDescent="0.25">
      <c r="A15947" t="s">
        <v>13303</v>
      </c>
      <c r="B15947" t="s">
        <v>792</v>
      </c>
      <c r="C15947" s="2">
        <f>HYPERLINK("https://cao.dolgi.msk.ru/account/1080204189/", 1080204189)</f>
        <v>1080204189</v>
      </c>
      <c r="D15947" t="s">
        <v>13443</v>
      </c>
      <c r="E15947">
        <v>-4542.46</v>
      </c>
      <c r="F15947">
        <v>-1.1399999999999999</v>
      </c>
      <c r="G15947" t="s">
        <v>12</v>
      </c>
      <c r="I15947" t="s">
        <v>1428</v>
      </c>
    </row>
    <row r="15948" spans="1:9" hidden="1" x14ac:dyDescent="0.25">
      <c r="A15948" t="s">
        <v>13303</v>
      </c>
      <c r="B15948" t="s">
        <v>794</v>
      </c>
      <c r="C15948" s="2">
        <f>HYPERLINK("https://cao.dolgi.msk.ru/account/1080204197/", 1080204197)</f>
        <v>1080204197</v>
      </c>
      <c r="D15948" t="s">
        <v>13444</v>
      </c>
      <c r="E15948">
        <v>-8653.7999999999993</v>
      </c>
      <c r="F15948">
        <v>-1.2</v>
      </c>
      <c r="G15948" t="s">
        <v>12</v>
      </c>
      <c r="I15948" t="s">
        <v>1428</v>
      </c>
    </row>
    <row r="15949" spans="1:9" hidden="1" x14ac:dyDescent="0.25">
      <c r="A15949" t="s">
        <v>13303</v>
      </c>
      <c r="B15949" t="s">
        <v>796</v>
      </c>
      <c r="C15949" s="2">
        <f>HYPERLINK("https://cao.dolgi.msk.ru/account/1080204218/", 1080204218)</f>
        <v>1080204218</v>
      </c>
      <c r="D15949" t="s">
        <v>13445</v>
      </c>
      <c r="E15949">
        <v>-10584.08</v>
      </c>
      <c r="F15949">
        <v>-1.17</v>
      </c>
      <c r="G15949" t="s">
        <v>12</v>
      </c>
      <c r="I15949" t="s">
        <v>1428</v>
      </c>
    </row>
    <row r="15950" spans="1:9" hidden="1" x14ac:dyDescent="0.25">
      <c r="A15950" t="s">
        <v>13303</v>
      </c>
      <c r="B15950" t="s">
        <v>798</v>
      </c>
      <c r="C15950" s="2">
        <f>HYPERLINK("https://cao.dolgi.msk.ru/account/1080204226/", 1080204226)</f>
        <v>1080204226</v>
      </c>
      <c r="D15950" t="s">
        <v>13446</v>
      </c>
      <c r="E15950">
        <v>-8784.89</v>
      </c>
      <c r="F15950">
        <v>-1.2</v>
      </c>
      <c r="G15950" t="s">
        <v>12</v>
      </c>
      <c r="I15950" t="s">
        <v>1428</v>
      </c>
    </row>
    <row r="15951" spans="1:9" hidden="1" x14ac:dyDescent="0.25">
      <c r="A15951" t="s">
        <v>13303</v>
      </c>
      <c r="B15951" t="s">
        <v>800</v>
      </c>
      <c r="C15951" s="2">
        <f>HYPERLINK("https://cao.dolgi.msk.ru/account/1080204234/", 1080204234)</f>
        <v>1080204234</v>
      </c>
      <c r="D15951" t="s">
        <v>13447</v>
      </c>
      <c r="E15951">
        <v>0</v>
      </c>
      <c r="F15951">
        <v>0</v>
      </c>
      <c r="G15951" t="s">
        <v>12</v>
      </c>
      <c r="I15951" t="s">
        <v>1428</v>
      </c>
    </row>
    <row r="15952" spans="1:9" hidden="1" x14ac:dyDescent="0.25">
      <c r="A15952" t="s">
        <v>13303</v>
      </c>
      <c r="B15952" t="s">
        <v>802</v>
      </c>
      <c r="C15952" s="2">
        <f>HYPERLINK("https://cao.dolgi.msk.ru/account/1080204242/", 1080204242)</f>
        <v>1080204242</v>
      </c>
      <c r="D15952" t="s">
        <v>13448</v>
      </c>
      <c r="E15952">
        <v>-8394.48</v>
      </c>
      <c r="F15952">
        <v>-1.1399999999999999</v>
      </c>
      <c r="G15952" t="s">
        <v>12</v>
      </c>
      <c r="I15952" t="s">
        <v>1428</v>
      </c>
    </row>
    <row r="15953" spans="1:9" hidden="1" x14ac:dyDescent="0.25">
      <c r="A15953" t="s">
        <v>13303</v>
      </c>
      <c r="B15953" t="s">
        <v>804</v>
      </c>
      <c r="C15953" s="2">
        <f>HYPERLINK("https://cao.dolgi.msk.ru/account/1080204269/", 1080204269)</f>
        <v>1080204269</v>
      </c>
      <c r="D15953" t="s">
        <v>13449</v>
      </c>
      <c r="E15953">
        <v>-8779.75</v>
      </c>
      <c r="F15953">
        <v>-0.92</v>
      </c>
      <c r="G15953" t="s">
        <v>12</v>
      </c>
      <c r="I15953" t="s">
        <v>1428</v>
      </c>
    </row>
    <row r="15954" spans="1:9" hidden="1" x14ac:dyDescent="0.25">
      <c r="A15954" t="s">
        <v>13303</v>
      </c>
      <c r="B15954" t="s">
        <v>806</v>
      </c>
      <c r="C15954" s="2">
        <f>HYPERLINK("https://cao.dolgi.msk.ru/account/1080204277/", 1080204277)</f>
        <v>1080204277</v>
      </c>
      <c r="D15954" t="s">
        <v>13450</v>
      </c>
      <c r="E15954">
        <v>-7031.32</v>
      </c>
      <c r="F15954">
        <v>-1.1299999999999999</v>
      </c>
      <c r="G15954" t="s">
        <v>12</v>
      </c>
      <c r="I15954" t="s">
        <v>1428</v>
      </c>
    </row>
    <row r="15955" spans="1:9" x14ac:dyDescent="0.25">
      <c r="A15955" t="s">
        <v>13303</v>
      </c>
      <c r="B15955" t="s">
        <v>808</v>
      </c>
      <c r="C15955" s="2">
        <f>HYPERLINK("https://cao.dolgi.msk.ru/account/1080204285/", 1080204285)</f>
        <v>1080204285</v>
      </c>
      <c r="D15955" t="s">
        <v>13451</v>
      </c>
      <c r="E15955">
        <v>48386.21</v>
      </c>
      <c r="F15955">
        <v>6.93</v>
      </c>
      <c r="G15955" t="s">
        <v>12</v>
      </c>
      <c r="I15955" t="s">
        <v>1428</v>
      </c>
    </row>
    <row r="15956" spans="1:9" hidden="1" x14ac:dyDescent="0.25">
      <c r="A15956" t="s">
        <v>13303</v>
      </c>
      <c r="B15956" t="s">
        <v>810</v>
      </c>
      <c r="C15956" s="2">
        <f>HYPERLINK("https://cao.dolgi.msk.ru/account/1080204293/", 1080204293)</f>
        <v>1080204293</v>
      </c>
      <c r="D15956" t="s">
        <v>13452</v>
      </c>
      <c r="E15956">
        <v>-9.6999999999999993</v>
      </c>
      <c r="F15956">
        <v>0</v>
      </c>
      <c r="G15956" t="s">
        <v>12</v>
      </c>
      <c r="I15956" t="s">
        <v>1428</v>
      </c>
    </row>
    <row r="15957" spans="1:9" hidden="1" x14ac:dyDescent="0.25">
      <c r="A15957" t="s">
        <v>13303</v>
      </c>
      <c r="B15957" t="s">
        <v>812</v>
      </c>
      <c r="C15957" s="2">
        <f>HYPERLINK("https://cao.dolgi.msk.ru/account/1080204306/", 1080204306)</f>
        <v>1080204306</v>
      </c>
      <c r="D15957" t="s">
        <v>13453</v>
      </c>
      <c r="E15957">
        <v>-55.65</v>
      </c>
      <c r="F15957">
        <v>-0.01</v>
      </c>
      <c r="G15957" t="s">
        <v>12</v>
      </c>
      <c r="I15957" t="s">
        <v>1428</v>
      </c>
    </row>
    <row r="15958" spans="1:9" hidden="1" x14ac:dyDescent="0.25">
      <c r="A15958" t="s">
        <v>13303</v>
      </c>
      <c r="B15958" t="s">
        <v>814</v>
      </c>
      <c r="C15958" s="2">
        <f>HYPERLINK("https://cao.dolgi.msk.ru/account/1080204314/", 1080204314)</f>
        <v>1080204314</v>
      </c>
      <c r="D15958" t="s">
        <v>13454</v>
      </c>
      <c r="E15958">
        <v>-8171.57</v>
      </c>
      <c r="F15958">
        <v>-1.4</v>
      </c>
      <c r="G15958" t="s">
        <v>12</v>
      </c>
      <c r="I15958" t="s">
        <v>1428</v>
      </c>
    </row>
    <row r="15959" spans="1:9" hidden="1" x14ac:dyDescent="0.25">
      <c r="A15959" t="s">
        <v>13303</v>
      </c>
      <c r="B15959" t="s">
        <v>816</v>
      </c>
      <c r="C15959" s="2">
        <f>HYPERLINK("https://cao.dolgi.msk.ru/account/1080204322/", 1080204322)</f>
        <v>1080204322</v>
      </c>
      <c r="D15959" t="s">
        <v>13455</v>
      </c>
      <c r="E15959">
        <v>-3913.31</v>
      </c>
      <c r="F15959">
        <v>-0.7</v>
      </c>
      <c r="G15959" t="s">
        <v>12</v>
      </c>
      <c r="I15959" t="s">
        <v>1428</v>
      </c>
    </row>
    <row r="15960" spans="1:9" hidden="1" x14ac:dyDescent="0.25">
      <c r="A15960" t="s">
        <v>13303</v>
      </c>
      <c r="B15960" t="s">
        <v>818</v>
      </c>
      <c r="C15960" s="2">
        <f>HYPERLINK("https://cao.dolgi.msk.ru/account/1080204349/", 1080204349)</f>
        <v>1080204349</v>
      </c>
      <c r="D15960" t="s">
        <v>13456</v>
      </c>
      <c r="E15960">
        <v>-22483.27</v>
      </c>
      <c r="F15960">
        <v>-3.3</v>
      </c>
      <c r="G15960" t="s">
        <v>12</v>
      </c>
      <c r="I15960" t="s">
        <v>1428</v>
      </c>
    </row>
    <row r="15961" spans="1:9" hidden="1" x14ac:dyDescent="0.25">
      <c r="A15961" t="s">
        <v>13303</v>
      </c>
      <c r="B15961" t="s">
        <v>820</v>
      </c>
      <c r="C15961" s="2">
        <f>HYPERLINK("https://cao.dolgi.msk.ru/account/1080204357/", 1080204357)</f>
        <v>1080204357</v>
      </c>
      <c r="D15961" t="s">
        <v>13457</v>
      </c>
      <c r="E15961">
        <v>-8868.56</v>
      </c>
      <c r="F15961">
        <v>-1.27</v>
      </c>
      <c r="G15961" t="s">
        <v>12</v>
      </c>
      <c r="I15961" t="s">
        <v>1428</v>
      </c>
    </row>
    <row r="15962" spans="1:9" hidden="1" x14ac:dyDescent="0.25">
      <c r="A15962" t="s">
        <v>13303</v>
      </c>
      <c r="B15962" t="s">
        <v>822</v>
      </c>
      <c r="C15962" s="2">
        <f>HYPERLINK("https://cao.dolgi.msk.ru/account/1080204365/", 1080204365)</f>
        <v>1080204365</v>
      </c>
      <c r="D15962" t="s">
        <v>13458</v>
      </c>
      <c r="E15962">
        <v>-2000.31</v>
      </c>
      <c r="F15962">
        <v>-0.18</v>
      </c>
      <c r="G15962" t="s">
        <v>12</v>
      </c>
      <c r="I15962" t="s">
        <v>1428</v>
      </c>
    </row>
    <row r="15963" spans="1:9" hidden="1" x14ac:dyDescent="0.25">
      <c r="A15963" t="s">
        <v>13303</v>
      </c>
      <c r="B15963" t="s">
        <v>826</v>
      </c>
      <c r="C15963" s="2">
        <f>HYPERLINK("https://cao.dolgi.msk.ru/account/1080204381/", 1080204381)</f>
        <v>1080204381</v>
      </c>
      <c r="D15963" t="s">
        <v>13459</v>
      </c>
      <c r="E15963">
        <v>-8885.1</v>
      </c>
      <c r="F15963">
        <v>-1.59</v>
      </c>
      <c r="G15963" t="s">
        <v>12</v>
      </c>
      <c r="I15963" t="s">
        <v>1428</v>
      </c>
    </row>
    <row r="15964" spans="1:9" hidden="1" x14ac:dyDescent="0.25">
      <c r="A15964" t="s">
        <v>13303</v>
      </c>
      <c r="B15964" t="s">
        <v>828</v>
      </c>
      <c r="C15964" s="2">
        <f>HYPERLINK("https://cao.dolgi.msk.ru/account/1080204402/", 1080204402)</f>
        <v>1080204402</v>
      </c>
      <c r="D15964" t="s">
        <v>13460</v>
      </c>
      <c r="E15964">
        <v>-9845.59</v>
      </c>
      <c r="F15964">
        <v>-1.51</v>
      </c>
      <c r="G15964" t="s">
        <v>12</v>
      </c>
      <c r="I15964" t="s">
        <v>1428</v>
      </c>
    </row>
    <row r="15965" spans="1:9" hidden="1" x14ac:dyDescent="0.25">
      <c r="A15965" t="s">
        <v>13303</v>
      </c>
      <c r="B15965" t="s">
        <v>830</v>
      </c>
      <c r="C15965" s="2">
        <f>HYPERLINK("https://cao.dolgi.msk.ru/account/1080204429/", 1080204429)</f>
        <v>1080204429</v>
      </c>
      <c r="D15965" t="s">
        <v>13461</v>
      </c>
      <c r="E15965">
        <v>-15016.22</v>
      </c>
      <c r="F15965">
        <v>-3.63</v>
      </c>
      <c r="G15965" t="s">
        <v>12</v>
      </c>
      <c r="I15965" t="s">
        <v>1428</v>
      </c>
    </row>
    <row r="15966" spans="1:9" hidden="1" x14ac:dyDescent="0.25">
      <c r="A15966" t="s">
        <v>13303</v>
      </c>
      <c r="B15966" t="s">
        <v>831</v>
      </c>
      <c r="C15966" s="2">
        <f>HYPERLINK("https://cao.dolgi.msk.ru/account/1080204445/", 1080204445)</f>
        <v>1080204445</v>
      </c>
      <c r="D15966" t="s">
        <v>13462</v>
      </c>
      <c r="E15966">
        <v>-12922</v>
      </c>
      <c r="F15966">
        <v>-2.39</v>
      </c>
      <c r="G15966" t="s">
        <v>12</v>
      </c>
      <c r="I15966" t="s">
        <v>1428</v>
      </c>
    </row>
    <row r="15967" spans="1:9" x14ac:dyDescent="0.25">
      <c r="A15967" t="s">
        <v>13303</v>
      </c>
      <c r="B15967" t="s">
        <v>833</v>
      </c>
      <c r="C15967" s="2">
        <f>HYPERLINK("https://cao.dolgi.msk.ru/account/1080204453/", 1080204453)</f>
        <v>1080204453</v>
      </c>
      <c r="D15967" t="s">
        <v>13463</v>
      </c>
      <c r="E15967">
        <v>10276.9</v>
      </c>
      <c r="F15967">
        <v>2</v>
      </c>
      <c r="G15967" t="s">
        <v>12</v>
      </c>
      <c r="I15967" t="s">
        <v>1428</v>
      </c>
    </row>
    <row r="15968" spans="1:9" hidden="1" x14ac:dyDescent="0.25">
      <c r="A15968" t="s">
        <v>13303</v>
      </c>
      <c r="B15968" t="s">
        <v>835</v>
      </c>
      <c r="C15968" s="2">
        <f>HYPERLINK("https://cao.dolgi.msk.ru/account/1080204461/", 1080204461)</f>
        <v>1080204461</v>
      </c>
      <c r="D15968" t="s">
        <v>13464</v>
      </c>
      <c r="E15968">
        <v>-7523.81</v>
      </c>
      <c r="F15968">
        <v>-1.17</v>
      </c>
      <c r="G15968" t="s">
        <v>12</v>
      </c>
      <c r="I15968" t="s">
        <v>1428</v>
      </c>
    </row>
    <row r="15969" spans="1:9" hidden="1" x14ac:dyDescent="0.25">
      <c r="A15969" t="s">
        <v>13303</v>
      </c>
      <c r="B15969" t="s">
        <v>837</v>
      </c>
      <c r="C15969" s="2">
        <f>HYPERLINK("https://cao.dolgi.msk.ru/account/1080204488/", 1080204488)</f>
        <v>1080204488</v>
      </c>
      <c r="D15969" t="s">
        <v>13465</v>
      </c>
      <c r="E15969">
        <v>0</v>
      </c>
      <c r="F15969">
        <v>0</v>
      </c>
      <c r="G15969" t="s">
        <v>12</v>
      </c>
      <c r="I15969" t="s">
        <v>1428</v>
      </c>
    </row>
    <row r="15970" spans="1:9" hidden="1" x14ac:dyDescent="0.25">
      <c r="A15970" t="s">
        <v>13303</v>
      </c>
      <c r="B15970" t="s">
        <v>838</v>
      </c>
      <c r="C15970" s="2">
        <f>HYPERLINK("https://cao.dolgi.msk.ru/account/1080204496/", 1080204496)</f>
        <v>1080204496</v>
      </c>
      <c r="D15970" t="s">
        <v>13466</v>
      </c>
      <c r="E15970">
        <v>-6712.83</v>
      </c>
      <c r="F15970">
        <v>-1.27</v>
      </c>
      <c r="G15970" t="s">
        <v>12</v>
      </c>
      <c r="I15970" t="s">
        <v>1428</v>
      </c>
    </row>
    <row r="15971" spans="1:9" hidden="1" x14ac:dyDescent="0.25">
      <c r="A15971" t="s">
        <v>13303</v>
      </c>
      <c r="B15971" t="s">
        <v>840</v>
      </c>
      <c r="C15971" s="2">
        <f>HYPERLINK("https://cao.dolgi.msk.ru/account/1080204509/", 1080204509)</f>
        <v>1080204509</v>
      </c>
      <c r="D15971" t="s">
        <v>13467</v>
      </c>
      <c r="E15971">
        <v>-8979.56</v>
      </c>
      <c r="F15971">
        <v>-1.1399999999999999</v>
      </c>
      <c r="G15971" t="s">
        <v>12</v>
      </c>
      <c r="I15971" t="s">
        <v>1428</v>
      </c>
    </row>
    <row r="15972" spans="1:9" hidden="1" x14ac:dyDescent="0.25">
      <c r="A15972" t="s">
        <v>13303</v>
      </c>
      <c r="B15972" t="s">
        <v>842</v>
      </c>
      <c r="C15972" s="2">
        <f>HYPERLINK("https://cao.dolgi.msk.ru/account/1080204517/", 1080204517)</f>
        <v>1080204517</v>
      </c>
      <c r="D15972" t="s">
        <v>13468</v>
      </c>
      <c r="E15972">
        <v>-9860.5499999999993</v>
      </c>
      <c r="F15972">
        <v>-1.18</v>
      </c>
      <c r="G15972" t="s">
        <v>12</v>
      </c>
      <c r="I15972" t="s">
        <v>1428</v>
      </c>
    </row>
    <row r="15973" spans="1:9" hidden="1" x14ac:dyDescent="0.25">
      <c r="A15973" t="s">
        <v>13303</v>
      </c>
      <c r="B15973" t="s">
        <v>844</v>
      </c>
      <c r="C15973" s="2">
        <f>HYPERLINK("https://cao.dolgi.msk.ru/account/1080204525/", 1080204525)</f>
        <v>1080204525</v>
      </c>
      <c r="D15973" t="s">
        <v>13469</v>
      </c>
      <c r="E15973">
        <v>-7055.29</v>
      </c>
      <c r="F15973">
        <v>-1.1200000000000001</v>
      </c>
      <c r="G15973" t="s">
        <v>12</v>
      </c>
      <c r="I15973" t="s">
        <v>1428</v>
      </c>
    </row>
    <row r="15974" spans="1:9" hidden="1" x14ac:dyDescent="0.25">
      <c r="A15974" t="s">
        <v>13303</v>
      </c>
      <c r="B15974" t="s">
        <v>846</v>
      </c>
      <c r="C15974" s="2">
        <f>HYPERLINK("https://cao.dolgi.msk.ru/account/1080204533/", 1080204533)</f>
        <v>1080204533</v>
      </c>
      <c r="D15974" t="s">
        <v>13470</v>
      </c>
      <c r="E15974">
        <v>-9249.44</v>
      </c>
      <c r="F15974">
        <v>-1.1200000000000001</v>
      </c>
      <c r="G15974" t="s">
        <v>12</v>
      </c>
      <c r="I15974" t="s">
        <v>1428</v>
      </c>
    </row>
    <row r="15975" spans="1:9" hidden="1" x14ac:dyDescent="0.25">
      <c r="A15975" t="s">
        <v>13303</v>
      </c>
      <c r="B15975" t="s">
        <v>848</v>
      </c>
      <c r="C15975" s="2">
        <f>HYPERLINK("https://cao.dolgi.msk.ru/account/1080204541/", 1080204541)</f>
        <v>1080204541</v>
      </c>
      <c r="D15975" t="s">
        <v>13471</v>
      </c>
      <c r="E15975">
        <v>5374.29</v>
      </c>
      <c r="F15975">
        <v>1</v>
      </c>
      <c r="G15975" t="s">
        <v>12</v>
      </c>
      <c r="I15975" t="s">
        <v>1428</v>
      </c>
    </row>
    <row r="15976" spans="1:9" hidden="1" x14ac:dyDescent="0.25">
      <c r="A15976" t="s">
        <v>13303</v>
      </c>
      <c r="B15976" t="s">
        <v>850</v>
      </c>
      <c r="C15976" s="2">
        <f>HYPERLINK("https://cao.dolgi.msk.ru/account/1080204568/", 1080204568)</f>
        <v>1080204568</v>
      </c>
      <c r="D15976" t="s">
        <v>13472</v>
      </c>
      <c r="E15976">
        <v>-6280.23</v>
      </c>
      <c r="F15976">
        <v>-1.08</v>
      </c>
      <c r="G15976" t="s">
        <v>12</v>
      </c>
      <c r="I15976" t="s">
        <v>1428</v>
      </c>
    </row>
    <row r="15977" spans="1:9" hidden="1" x14ac:dyDescent="0.25">
      <c r="A15977" t="s">
        <v>13303</v>
      </c>
      <c r="B15977" t="s">
        <v>852</v>
      </c>
      <c r="C15977" s="2">
        <f>HYPERLINK("https://cao.dolgi.msk.ru/account/1080204576/", 1080204576)</f>
        <v>1080204576</v>
      </c>
      <c r="D15977" t="s">
        <v>13473</v>
      </c>
      <c r="E15977">
        <v>-5073.25</v>
      </c>
      <c r="F15977">
        <v>-1.21</v>
      </c>
      <c r="G15977" t="s">
        <v>12</v>
      </c>
      <c r="I15977" t="s">
        <v>1428</v>
      </c>
    </row>
    <row r="15978" spans="1:9" hidden="1" x14ac:dyDescent="0.25">
      <c r="A15978" t="s">
        <v>13303</v>
      </c>
      <c r="B15978" t="s">
        <v>854</v>
      </c>
      <c r="C15978" s="2">
        <f>HYPERLINK("https://cao.dolgi.msk.ru/account/1080204584/", 1080204584)</f>
        <v>1080204584</v>
      </c>
      <c r="D15978" t="s">
        <v>13474</v>
      </c>
      <c r="E15978">
        <v>0</v>
      </c>
      <c r="F15978">
        <v>0</v>
      </c>
      <c r="G15978" t="s">
        <v>12</v>
      </c>
      <c r="I15978" t="s">
        <v>1428</v>
      </c>
    </row>
    <row r="15979" spans="1:9" hidden="1" x14ac:dyDescent="0.25">
      <c r="A15979" t="s">
        <v>13303</v>
      </c>
      <c r="B15979" t="s">
        <v>856</v>
      </c>
      <c r="C15979" s="2">
        <f>HYPERLINK("https://cao.dolgi.msk.ru/account/1080204592/", 1080204592)</f>
        <v>1080204592</v>
      </c>
      <c r="D15979" t="s">
        <v>13475</v>
      </c>
      <c r="E15979">
        <v>-69.37</v>
      </c>
      <c r="F15979">
        <v>-0.01</v>
      </c>
      <c r="G15979" t="s">
        <v>12</v>
      </c>
      <c r="I15979" t="s">
        <v>1428</v>
      </c>
    </row>
    <row r="15980" spans="1:9" hidden="1" x14ac:dyDescent="0.25">
      <c r="A15980" t="s">
        <v>13303</v>
      </c>
      <c r="B15980" t="s">
        <v>858</v>
      </c>
      <c r="C15980" s="2">
        <f>HYPERLINK("https://cao.dolgi.msk.ru/account/1080204605/", 1080204605)</f>
        <v>1080204605</v>
      </c>
      <c r="D15980" t="s">
        <v>13476</v>
      </c>
      <c r="E15980">
        <v>-5929.48</v>
      </c>
      <c r="F15980">
        <v>-1.1100000000000001</v>
      </c>
      <c r="G15980" t="s">
        <v>12</v>
      </c>
      <c r="I15980" t="s">
        <v>1428</v>
      </c>
    </row>
    <row r="15981" spans="1:9" hidden="1" x14ac:dyDescent="0.25">
      <c r="A15981" t="s">
        <v>13303</v>
      </c>
      <c r="B15981" t="s">
        <v>860</v>
      </c>
      <c r="C15981" s="2">
        <f>HYPERLINK("https://cao.dolgi.msk.ru/account/1080204613/", 1080204613)</f>
        <v>1080204613</v>
      </c>
      <c r="D15981" t="s">
        <v>13477</v>
      </c>
      <c r="E15981">
        <v>-7007.72</v>
      </c>
      <c r="F15981">
        <v>-1.19</v>
      </c>
      <c r="G15981" t="s">
        <v>12</v>
      </c>
      <c r="I15981" t="s">
        <v>1428</v>
      </c>
    </row>
    <row r="15982" spans="1:9" hidden="1" x14ac:dyDescent="0.25">
      <c r="A15982" t="s">
        <v>13303</v>
      </c>
      <c r="B15982" t="s">
        <v>862</v>
      </c>
      <c r="C15982" s="2">
        <f>HYPERLINK("https://cao.dolgi.msk.ru/account/1080204621/", 1080204621)</f>
        <v>1080204621</v>
      </c>
      <c r="D15982" t="s">
        <v>13478</v>
      </c>
      <c r="E15982">
        <v>-3001.82</v>
      </c>
      <c r="F15982">
        <v>-0.39</v>
      </c>
      <c r="G15982" t="s">
        <v>12</v>
      </c>
      <c r="I15982" t="s">
        <v>1428</v>
      </c>
    </row>
    <row r="15983" spans="1:9" hidden="1" x14ac:dyDescent="0.25">
      <c r="A15983" t="s">
        <v>13303</v>
      </c>
      <c r="B15983" t="s">
        <v>864</v>
      </c>
      <c r="C15983" s="2">
        <f>HYPERLINK("https://cao.dolgi.msk.ru/account/1080204648/", 1080204648)</f>
        <v>1080204648</v>
      </c>
      <c r="D15983" t="s">
        <v>13479</v>
      </c>
      <c r="E15983">
        <v>0.02</v>
      </c>
      <c r="F15983">
        <v>0</v>
      </c>
      <c r="G15983" t="s">
        <v>12</v>
      </c>
      <c r="I15983" t="s">
        <v>1428</v>
      </c>
    </row>
    <row r="15984" spans="1:9" hidden="1" x14ac:dyDescent="0.25">
      <c r="A15984" t="s">
        <v>13303</v>
      </c>
      <c r="B15984" t="s">
        <v>866</v>
      </c>
      <c r="C15984" s="2">
        <f>HYPERLINK("https://cao.dolgi.msk.ru/account/1080204656/", 1080204656)</f>
        <v>1080204656</v>
      </c>
      <c r="D15984" t="s">
        <v>13480</v>
      </c>
      <c r="E15984">
        <v>-9899.5400000000009</v>
      </c>
      <c r="F15984">
        <v>-1.1299999999999999</v>
      </c>
      <c r="G15984" t="s">
        <v>12</v>
      </c>
      <c r="I15984" t="s">
        <v>1428</v>
      </c>
    </row>
    <row r="15985" spans="1:9" hidden="1" x14ac:dyDescent="0.25">
      <c r="A15985" t="s">
        <v>13303</v>
      </c>
      <c r="B15985" t="s">
        <v>13481</v>
      </c>
      <c r="C15985" s="2">
        <f>HYPERLINK("https://cao.dolgi.msk.ru/account/1080204664/", 1080204664)</f>
        <v>1080204664</v>
      </c>
      <c r="D15985" t="s">
        <v>13482</v>
      </c>
      <c r="E15985">
        <v>-14964.68</v>
      </c>
      <c r="F15985">
        <v>-1.2</v>
      </c>
      <c r="G15985" t="s">
        <v>12</v>
      </c>
      <c r="I15985" t="s">
        <v>1428</v>
      </c>
    </row>
    <row r="15986" spans="1:9" hidden="1" x14ac:dyDescent="0.25">
      <c r="A15986" t="s">
        <v>13303</v>
      </c>
      <c r="B15986" t="s">
        <v>872</v>
      </c>
      <c r="C15986" s="2">
        <f>HYPERLINK("https://cao.dolgi.msk.ru/account/1080204672/", 1080204672)</f>
        <v>1080204672</v>
      </c>
      <c r="D15986" t="s">
        <v>13483</v>
      </c>
      <c r="E15986">
        <v>0.1</v>
      </c>
      <c r="F15986">
        <v>0</v>
      </c>
      <c r="G15986" t="s">
        <v>12</v>
      </c>
      <c r="I15986" t="s">
        <v>1428</v>
      </c>
    </row>
    <row r="15987" spans="1:9" hidden="1" x14ac:dyDescent="0.25">
      <c r="A15987" t="s">
        <v>13303</v>
      </c>
      <c r="B15987" t="s">
        <v>874</v>
      </c>
      <c r="C15987" s="2">
        <f>HYPERLINK("https://cao.dolgi.msk.ru/account/1080204699/", 1080204699)</f>
        <v>1080204699</v>
      </c>
      <c r="D15987" t="s">
        <v>13484</v>
      </c>
      <c r="E15987">
        <v>-5951.03</v>
      </c>
      <c r="F15987">
        <v>-1.18</v>
      </c>
      <c r="G15987" t="s">
        <v>12</v>
      </c>
      <c r="I15987" t="s">
        <v>1428</v>
      </c>
    </row>
    <row r="15988" spans="1:9" hidden="1" x14ac:dyDescent="0.25">
      <c r="A15988" t="s">
        <v>13303</v>
      </c>
      <c r="B15988" t="s">
        <v>875</v>
      </c>
      <c r="C15988" s="2">
        <f>HYPERLINK("https://cao.dolgi.msk.ru/account/1080204701/", 1080204701)</f>
        <v>1080204701</v>
      </c>
      <c r="D15988" t="s">
        <v>13485</v>
      </c>
      <c r="E15988">
        <v>-12213.31</v>
      </c>
      <c r="F15988">
        <v>-1.17</v>
      </c>
      <c r="G15988" t="s">
        <v>12</v>
      </c>
      <c r="I15988" t="s">
        <v>1428</v>
      </c>
    </row>
    <row r="15989" spans="1:9" hidden="1" x14ac:dyDescent="0.25">
      <c r="A15989" t="s">
        <v>13303</v>
      </c>
      <c r="B15989" t="s">
        <v>877</v>
      </c>
      <c r="C15989" s="2">
        <f>HYPERLINK("https://cao.dolgi.msk.ru/account/1080204728/", 1080204728)</f>
        <v>1080204728</v>
      </c>
      <c r="D15989" t="s">
        <v>13486</v>
      </c>
      <c r="E15989">
        <v>-9537.58</v>
      </c>
      <c r="F15989">
        <v>-1.3</v>
      </c>
      <c r="G15989" t="s">
        <v>12</v>
      </c>
      <c r="I15989" t="s">
        <v>1428</v>
      </c>
    </row>
    <row r="15990" spans="1:9" hidden="1" x14ac:dyDescent="0.25">
      <c r="A15990" t="s">
        <v>13303</v>
      </c>
      <c r="B15990" t="s">
        <v>879</v>
      </c>
      <c r="C15990" s="2">
        <f>HYPERLINK("https://cao.dolgi.msk.ru/account/1080204736/", 1080204736)</f>
        <v>1080204736</v>
      </c>
      <c r="D15990" t="s">
        <v>13487</v>
      </c>
      <c r="E15990">
        <v>143.78</v>
      </c>
      <c r="F15990">
        <v>0.04</v>
      </c>
      <c r="G15990" t="s">
        <v>12</v>
      </c>
      <c r="I15990" t="s">
        <v>1428</v>
      </c>
    </row>
    <row r="15991" spans="1:9" hidden="1" x14ac:dyDescent="0.25">
      <c r="A15991" t="s">
        <v>13303</v>
      </c>
      <c r="B15991" t="s">
        <v>881</v>
      </c>
      <c r="C15991" s="2">
        <f>HYPERLINK("https://cao.dolgi.msk.ru/account/1080204744/", 1080204744)</f>
        <v>1080204744</v>
      </c>
      <c r="D15991" t="s">
        <v>13488</v>
      </c>
      <c r="E15991">
        <v>-17720.8</v>
      </c>
      <c r="F15991">
        <v>-1.1399999999999999</v>
      </c>
      <c r="G15991" t="s">
        <v>12</v>
      </c>
      <c r="I15991" t="s">
        <v>1428</v>
      </c>
    </row>
    <row r="15992" spans="1:9" hidden="1" x14ac:dyDescent="0.25">
      <c r="A15992" t="s">
        <v>13303</v>
      </c>
      <c r="B15992" t="s">
        <v>883</v>
      </c>
      <c r="C15992" s="2">
        <f>HYPERLINK("https://cao.dolgi.msk.ru/account/1080204752/", 1080204752)</f>
        <v>1080204752</v>
      </c>
      <c r="D15992" t="s">
        <v>13489</v>
      </c>
      <c r="E15992">
        <v>-131.47</v>
      </c>
      <c r="F15992">
        <v>-0.02</v>
      </c>
      <c r="G15992" t="s">
        <v>12</v>
      </c>
      <c r="I15992" t="s">
        <v>1428</v>
      </c>
    </row>
    <row r="15993" spans="1:9" hidden="1" x14ac:dyDescent="0.25">
      <c r="A15993" t="s">
        <v>13303</v>
      </c>
      <c r="B15993" t="s">
        <v>3443</v>
      </c>
      <c r="C15993" s="2">
        <f>HYPERLINK("https://cao.dolgi.msk.ru/account/1080204779/", 1080204779)</f>
        <v>1080204779</v>
      </c>
      <c r="D15993" t="s">
        <v>13490</v>
      </c>
      <c r="E15993">
        <v>-10079.299999999999</v>
      </c>
      <c r="F15993">
        <v>-1.27</v>
      </c>
      <c r="G15993" t="s">
        <v>12</v>
      </c>
      <c r="I15993" t="s">
        <v>1428</v>
      </c>
    </row>
    <row r="15994" spans="1:9" hidden="1" x14ac:dyDescent="0.25">
      <c r="A15994" t="s">
        <v>13303</v>
      </c>
      <c r="B15994" t="s">
        <v>3445</v>
      </c>
      <c r="C15994" s="2">
        <f>HYPERLINK("https://cao.dolgi.msk.ru/account/1080204787/", 1080204787)</f>
        <v>1080204787</v>
      </c>
      <c r="D15994" t="s">
        <v>13491</v>
      </c>
      <c r="E15994">
        <v>-209.53</v>
      </c>
      <c r="F15994">
        <v>-0.02</v>
      </c>
      <c r="G15994" t="s">
        <v>12</v>
      </c>
      <c r="I15994" t="s">
        <v>1428</v>
      </c>
    </row>
    <row r="15995" spans="1:9" hidden="1" x14ac:dyDescent="0.25">
      <c r="A15995" t="s">
        <v>13303</v>
      </c>
      <c r="B15995" t="s">
        <v>3447</v>
      </c>
      <c r="C15995" s="2">
        <f>HYPERLINK("https://cao.dolgi.msk.ru/account/1080204795/", 1080204795)</f>
        <v>1080204795</v>
      </c>
      <c r="D15995" t="s">
        <v>13492</v>
      </c>
      <c r="E15995">
        <v>-17.96</v>
      </c>
      <c r="F15995">
        <v>0</v>
      </c>
      <c r="G15995" t="s">
        <v>12</v>
      </c>
      <c r="I15995" t="s">
        <v>1428</v>
      </c>
    </row>
    <row r="15996" spans="1:9" hidden="1" x14ac:dyDescent="0.25">
      <c r="A15996" t="s">
        <v>13303</v>
      </c>
      <c r="B15996" t="s">
        <v>3449</v>
      </c>
      <c r="C15996" s="2">
        <f>HYPERLINK("https://cao.dolgi.msk.ru/account/1080204808/", 1080204808)</f>
        <v>1080204808</v>
      </c>
      <c r="D15996" t="s">
        <v>13493</v>
      </c>
      <c r="E15996">
        <v>-5948.95</v>
      </c>
      <c r="F15996">
        <v>-1.17</v>
      </c>
      <c r="G15996" t="s">
        <v>12</v>
      </c>
      <c r="I15996" t="s">
        <v>1428</v>
      </c>
    </row>
    <row r="15997" spans="1:9" hidden="1" x14ac:dyDescent="0.25">
      <c r="A15997" t="s">
        <v>13303</v>
      </c>
      <c r="B15997" t="s">
        <v>3451</v>
      </c>
      <c r="C15997" s="2">
        <f>HYPERLINK("https://cao.dolgi.msk.ru/account/1080204816/", 1080204816)</f>
        <v>1080204816</v>
      </c>
      <c r="D15997" t="s">
        <v>13494</v>
      </c>
      <c r="E15997">
        <v>-78.150000000000006</v>
      </c>
      <c r="F15997">
        <v>-0.02</v>
      </c>
      <c r="G15997" t="s">
        <v>12</v>
      </c>
      <c r="I15997" t="s">
        <v>1428</v>
      </c>
    </row>
    <row r="15998" spans="1:9" hidden="1" x14ac:dyDescent="0.25">
      <c r="A15998" t="s">
        <v>13303</v>
      </c>
      <c r="B15998" t="s">
        <v>3452</v>
      </c>
      <c r="C15998" s="2">
        <f>HYPERLINK("https://cao.dolgi.msk.ru/account/1080204824/", 1080204824)</f>
        <v>1080204824</v>
      </c>
      <c r="D15998" t="s">
        <v>13495</v>
      </c>
      <c r="E15998">
        <v>-8611.57</v>
      </c>
      <c r="F15998">
        <v>-1.1599999999999999</v>
      </c>
      <c r="G15998" t="s">
        <v>12</v>
      </c>
      <c r="I15998" t="s">
        <v>1428</v>
      </c>
    </row>
    <row r="15999" spans="1:9" hidden="1" x14ac:dyDescent="0.25">
      <c r="A15999" t="s">
        <v>13303</v>
      </c>
      <c r="B15999" t="s">
        <v>13496</v>
      </c>
      <c r="C15999" s="2">
        <f>HYPERLINK("https://cao.dolgi.msk.ru/account/1080204832/", 1080204832)</f>
        <v>1080204832</v>
      </c>
      <c r="D15999" t="s">
        <v>13497</v>
      </c>
      <c r="E15999">
        <v>-24743.9</v>
      </c>
      <c r="F15999">
        <v>-1.1599999999999999</v>
      </c>
      <c r="G15999" t="s">
        <v>12</v>
      </c>
      <c r="I15999" t="s">
        <v>1428</v>
      </c>
    </row>
    <row r="16000" spans="1:9" hidden="1" x14ac:dyDescent="0.25">
      <c r="A16000" t="s">
        <v>13303</v>
      </c>
      <c r="B16000" t="s">
        <v>3458</v>
      </c>
      <c r="C16000" s="2">
        <f>HYPERLINK("https://cao.dolgi.msk.ru/account/1080204859/", 1080204859)</f>
        <v>1080204859</v>
      </c>
      <c r="D16000" t="s">
        <v>13498</v>
      </c>
      <c r="E16000">
        <v>-11674.22</v>
      </c>
      <c r="F16000">
        <v>-0.92</v>
      </c>
      <c r="G16000" t="s">
        <v>12</v>
      </c>
      <c r="I16000" t="s">
        <v>1428</v>
      </c>
    </row>
    <row r="16001" spans="1:9" hidden="1" x14ac:dyDescent="0.25">
      <c r="A16001" t="s">
        <v>13303</v>
      </c>
      <c r="B16001" t="s">
        <v>3460</v>
      </c>
      <c r="C16001" s="2">
        <f>HYPERLINK("https://cao.dolgi.msk.ru/account/1080204867/", 1080204867)</f>
        <v>1080204867</v>
      </c>
      <c r="D16001" t="s">
        <v>13499</v>
      </c>
      <c r="E16001">
        <v>-5587.16</v>
      </c>
      <c r="F16001">
        <v>-1.08</v>
      </c>
      <c r="G16001" t="s">
        <v>12</v>
      </c>
      <c r="I16001" t="s">
        <v>1428</v>
      </c>
    </row>
    <row r="16002" spans="1:9" hidden="1" x14ac:dyDescent="0.25">
      <c r="A16002" t="s">
        <v>13303</v>
      </c>
      <c r="B16002" t="s">
        <v>3462</v>
      </c>
      <c r="C16002" s="2">
        <f>HYPERLINK("https://cao.dolgi.msk.ru/account/1080204875/", 1080204875)</f>
        <v>1080204875</v>
      </c>
      <c r="D16002" t="s">
        <v>13500</v>
      </c>
      <c r="E16002">
        <v>-9838.23</v>
      </c>
      <c r="F16002">
        <v>-1.2</v>
      </c>
      <c r="G16002" t="s">
        <v>12</v>
      </c>
      <c r="I16002" t="s">
        <v>1428</v>
      </c>
    </row>
    <row r="16003" spans="1:9" hidden="1" x14ac:dyDescent="0.25">
      <c r="A16003" t="s">
        <v>13303</v>
      </c>
      <c r="B16003" t="s">
        <v>3463</v>
      </c>
      <c r="C16003" s="2">
        <f>HYPERLINK("https://cao.dolgi.msk.ru/account/1080204883/", 1080204883)</f>
        <v>1080204883</v>
      </c>
      <c r="D16003" t="s">
        <v>13501</v>
      </c>
      <c r="E16003">
        <v>-7697.53</v>
      </c>
      <c r="F16003">
        <v>-1.07</v>
      </c>
      <c r="G16003" t="s">
        <v>12</v>
      </c>
      <c r="I16003" t="s">
        <v>1428</v>
      </c>
    </row>
    <row r="16004" spans="1:9" hidden="1" x14ac:dyDescent="0.25">
      <c r="A16004" t="s">
        <v>13303</v>
      </c>
      <c r="B16004" t="s">
        <v>1791</v>
      </c>
      <c r="C16004" s="2">
        <f>HYPERLINK("https://cao.dolgi.msk.ru/account/1080204891/", 1080204891)</f>
        <v>1080204891</v>
      </c>
      <c r="D16004" t="s">
        <v>13502</v>
      </c>
      <c r="E16004">
        <v>2070.06</v>
      </c>
      <c r="F16004">
        <v>0.24</v>
      </c>
      <c r="G16004" t="s">
        <v>12</v>
      </c>
      <c r="I16004" t="s">
        <v>1428</v>
      </c>
    </row>
    <row r="16005" spans="1:9" hidden="1" x14ac:dyDescent="0.25">
      <c r="A16005" t="s">
        <v>13303</v>
      </c>
      <c r="B16005" t="s">
        <v>3466</v>
      </c>
      <c r="C16005" s="2">
        <f>HYPERLINK("https://cao.dolgi.msk.ru/account/1080204904/", 1080204904)</f>
        <v>1080204904</v>
      </c>
      <c r="D16005" t="s">
        <v>13503</v>
      </c>
      <c r="E16005">
        <v>-5957.82</v>
      </c>
      <c r="F16005">
        <v>-1.1200000000000001</v>
      </c>
      <c r="G16005" t="s">
        <v>12</v>
      </c>
      <c r="I16005" t="s">
        <v>1428</v>
      </c>
    </row>
    <row r="16006" spans="1:9" hidden="1" x14ac:dyDescent="0.25">
      <c r="A16006" t="s">
        <v>13303</v>
      </c>
      <c r="B16006" t="s">
        <v>1792</v>
      </c>
      <c r="C16006" s="2">
        <f>HYPERLINK("https://cao.dolgi.msk.ru/account/1080204912/", 1080204912)</f>
        <v>1080204912</v>
      </c>
      <c r="D16006" t="s">
        <v>13504</v>
      </c>
      <c r="E16006">
        <v>-16753.25</v>
      </c>
      <c r="F16006">
        <v>-1.22</v>
      </c>
      <c r="G16006" t="s">
        <v>12</v>
      </c>
      <c r="I16006" t="s">
        <v>1428</v>
      </c>
    </row>
    <row r="16007" spans="1:9" hidden="1" x14ac:dyDescent="0.25">
      <c r="A16007" t="s">
        <v>13303</v>
      </c>
      <c r="B16007" t="s">
        <v>3469</v>
      </c>
      <c r="C16007" s="2">
        <f>HYPERLINK("https://cao.dolgi.msk.ru/account/1080204939/", 1080204939)</f>
        <v>1080204939</v>
      </c>
      <c r="D16007" t="s">
        <v>13505</v>
      </c>
      <c r="E16007">
        <v>-8117.49</v>
      </c>
      <c r="F16007">
        <v>-1.19</v>
      </c>
      <c r="G16007" t="s">
        <v>12</v>
      </c>
      <c r="I16007" t="s">
        <v>1428</v>
      </c>
    </row>
    <row r="16008" spans="1:9" hidden="1" x14ac:dyDescent="0.25">
      <c r="A16008" t="s">
        <v>13303</v>
      </c>
      <c r="B16008" t="s">
        <v>1793</v>
      </c>
      <c r="C16008" s="2">
        <f>HYPERLINK("https://cao.dolgi.msk.ru/account/1080204955/", 1080204955)</f>
        <v>1080204955</v>
      </c>
      <c r="D16008" t="s">
        <v>13506</v>
      </c>
      <c r="E16008">
        <v>-1846.4</v>
      </c>
      <c r="F16008">
        <v>-0.21</v>
      </c>
      <c r="G16008" t="s">
        <v>12</v>
      </c>
      <c r="I16008" t="s">
        <v>1428</v>
      </c>
    </row>
    <row r="16009" spans="1:9" hidden="1" x14ac:dyDescent="0.25">
      <c r="A16009" t="s">
        <v>13303</v>
      </c>
      <c r="B16009" t="s">
        <v>3472</v>
      </c>
      <c r="C16009" s="2">
        <f>HYPERLINK("https://cao.dolgi.msk.ru/account/1080204963/", 1080204963)</f>
        <v>1080204963</v>
      </c>
      <c r="D16009" t="s">
        <v>13507</v>
      </c>
      <c r="E16009">
        <v>-7363.95</v>
      </c>
      <c r="F16009">
        <v>-1.27</v>
      </c>
      <c r="G16009" t="s">
        <v>12</v>
      </c>
      <c r="I16009" t="s">
        <v>1428</v>
      </c>
    </row>
    <row r="16010" spans="1:9" hidden="1" x14ac:dyDescent="0.25">
      <c r="A16010" t="s">
        <v>13303</v>
      </c>
      <c r="B16010" t="s">
        <v>3474</v>
      </c>
      <c r="C16010" s="2">
        <f>HYPERLINK("https://cao.dolgi.msk.ru/account/1080204971/", 1080204971)</f>
        <v>1080204971</v>
      </c>
      <c r="D16010" t="s">
        <v>13508</v>
      </c>
      <c r="E16010">
        <v>-11393.35</v>
      </c>
      <c r="F16010">
        <v>-1.98</v>
      </c>
      <c r="G16010" t="s">
        <v>12</v>
      </c>
      <c r="I16010" t="s">
        <v>1428</v>
      </c>
    </row>
    <row r="16011" spans="1:9" hidden="1" x14ac:dyDescent="0.25">
      <c r="A16011" t="s">
        <v>13303</v>
      </c>
      <c r="B16011" t="s">
        <v>1794</v>
      </c>
      <c r="C16011" s="2">
        <f>HYPERLINK("https://cao.dolgi.msk.ru/account/1080204947/", 1080204947)</f>
        <v>1080204947</v>
      </c>
      <c r="D16011" t="s">
        <v>13509</v>
      </c>
      <c r="E16011">
        <v>-14033.26</v>
      </c>
      <c r="F16011">
        <v>-1.1599999999999999</v>
      </c>
      <c r="G16011" t="s">
        <v>12</v>
      </c>
      <c r="I16011" t="s">
        <v>1428</v>
      </c>
    </row>
    <row r="16012" spans="1:9" hidden="1" x14ac:dyDescent="0.25">
      <c r="A16012" t="s">
        <v>13303</v>
      </c>
      <c r="B16012" t="s">
        <v>3477</v>
      </c>
      <c r="C16012" s="2">
        <f>HYPERLINK("https://cao.dolgi.msk.ru/account/1080204998/", 1080204998)</f>
        <v>1080204998</v>
      </c>
      <c r="D16012" t="s">
        <v>13510</v>
      </c>
      <c r="E16012">
        <v>-6770.61</v>
      </c>
      <c r="F16012">
        <v>-1.67</v>
      </c>
      <c r="G16012" t="s">
        <v>12</v>
      </c>
      <c r="I16012" t="s">
        <v>1428</v>
      </c>
    </row>
    <row r="16013" spans="1:9" hidden="1" x14ac:dyDescent="0.25">
      <c r="A16013" t="s">
        <v>13303</v>
      </c>
      <c r="B16013" t="s">
        <v>1795</v>
      </c>
      <c r="C16013" s="2">
        <f>HYPERLINK("https://cao.dolgi.msk.ru/account/1080205018/", 1080205018)</f>
        <v>1080205018</v>
      </c>
      <c r="D16013" t="s">
        <v>13511</v>
      </c>
      <c r="E16013">
        <v>-5175.46</v>
      </c>
      <c r="F16013">
        <v>-1</v>
      </c>
      <c r="G16013" t="s">
        <v>12</v>
      </c>
      <c r="I16013" t="s">
        <v>1428</v>
      </c>
    </row>
    <row r="16014" spans="1:9" hidden="1" x14ac:dyDescent="0.25">
      <c r="A16014" t="s">
        <v>13303</v>
      </c>
      <c r="B16014" t="s">
        <v>3480</v>
      </c>
      <c r="C16014" s="2">
        <f>HYPERLINK("https://cao.dolgi.msk.ru/account/1080205026/", 1080205026)</f>
        <v>1080205026</v>
      </c>
      <c r="D16014" t="s">
        <v>13512</v>
      </c>
      <c r="E16014">
        <v>-8839.4500000000007</v>
      </c>
      <c r="F16014">
        <v>-1.17</v>
      </c>
      <c r="G16014" t="s">
        <v>12</v>
      </c>
      <c r="I16014" t="s">
        <v>1428</v>
      </c>
    </row>
    <row r="16015" spans="1:9" hidden="1" x14ac:dyDescent="0.25">
      <c r="A16015" t="s">
        <v>13303</v>
      </c>
      <c r="B16015" t="s">
        <v>1797</v>
      </c>
      <c r="C16015" s="2">
        <f>HYPERLINK("https://cao.dolgi.msk.ru/account/1080205034/", 1080205034)</f>
        <v>1080205034</v>
      </c>
      <c r="D16015" t="s">
        <v>13513</v>
      </c>
      <c r="E16015">
        <v>-8171.58</v>
      </c>
      <c r="F16015">
        <v>-1.1299999999999999</v>
      </c>
      <c r="G16015" t="s">
        <v>12</v>
      </c>
      <c r="I16015" t="s">
        <v>1428</v>
      </c>
    </row>
    <row r="16016" spans="1:9" x14ac:dyDescent="0.25">
      <c r="A16016" t="s">
        <v>13303</v>
      </c>
      <c r="B16016" t="s">
        <v>1798</v>
      </c>
      <c r="C16016" s="2">
        <f>HYPERLINK("https://cao.dolgi.msk.ru/account/1080205042/", 1080205042)</f>
        <v>1080205042</v>
      </c>
      <c r="D16016" t="s">
        <v>13514</v>
      </c>
      <c r="E16016">
        <v>29698</v>
      </c>
      <c r="F16016">
        <v>5.82</v>
      </c>
      <c r="G16016" t="s">
        <v>12</v>
      </c>
      <c r="I16016" t="s">
        <v>1428</v>
      </c>
    </row>
    <row r="16017" spans="1:9" hidden="1" x14ac:dyDescent="0.25">
      <c r="A16017" t="s">
        <v>13303</v>
      </c>
      <c r="B16017" t="s">
        <v>1800</v>
      </c>
      <c r="C16017" s="2">
        <f>HYPERLINK("https://cao.dolgi.msk.ru/account/1080205069/", 1080205069)</f>
        <v>1080205069</v>
      </c>
      <c r="D16017" t="s">
        <v>13515</v>
      </c>
      <c r="E16017">
        <v>-8861.85</v>
      </c>
      <c r="F16017">
        <v>-1.19</v>
      </c>
      <c r="G16017" t="s">
        <v>12</v>
      </c>
      <c r="I16017" t="s">
        <v>1428</v>
      </c>
    </row>
    <row r="16018" spans="1:9" x14ac:dyDescent="0.25">
      <c r="A16018" t="s">
        <v>13303</v>
      </c>
      <c r="B16018" t="s">
        <v>3484</v>
      </c>
      <c r="C16018" s="2">
        <f>HYPERLINK("https://cao.dolgi.msk.ru/account/1080205077/", 1080205077)</f>
        <v>1080205077</v>
      </c>
      <c r="D16018" t="s">
        <v>13516</v>
      </c>
      <c r="E16018">
        <v>7992.79</v>
      </c>
      <c r="F16018">
        <v>1.02</v>
      </c>
      <c r="G16018" t="s">
        <v>12</v>
      </c>
      <c r="I16018" t="s">
        <v>1428</v>
      </c>
    </row>
    <row r="16019" spans="1:9" hidden="1" x14ac:dyDescent="0.25">
      <c r="A16019" t="s">
        <v>13303</v>
      </c>
      <c r="B16019" t="s">
        <v>3486</v>
      </c>
      <c r="C16019" s="2">
        <f>HYPERLINK("https://cao.dolgi.msk.ru/account/1080205085/", 1080205085)</f>
        <v>1080205085</v>
      </c>
      <c r="D16019" t="s">
        <v>13517</v>
      </c>
      <c r="E16019">
        <v>-5166.33</v>
      </c>
      <c r="F16019">
        <v>-1.19</v>
      </c>
      <c r="G16019" t="s">
        <v>12</v>
      </c>
      <c r="I16019" t="s">
        <v>1428</v>
      </c>
    </row>
    <row r="16020" spans="1:9" hidden="1" x14ac:dyDescent="0.25">
      <c r="A16020" t="s">
        <v>13303</v>
      </c>
      <c r="B16020" t="s">
        <v>3488</v>
      </c>
      <c r="C16020" s="2">
        <f>HYPERLINK("https://cao.dolgi.msk.ru/account/1080205093/", 1080205093)</f>
        <v>1080205093</v>
      </c>
      <c r="D16020" t="s">
        <v>13518</v>
      </c>
      <c r="E16020">
        <v>-38.799999999999997</v>
      </c>
      <c r="F16020">
        <v>-0.01</v>
      </c>
      <c r="G16020" t="s">
        <v>12</v>
      </c>
      <c r="I16020" t="s">
        <v>1428</v>
      </c>
    </row>
    <row r="16021" spans="1:9" hidden="1" x14ac:dyDescent="0.25">
      <c r="A16021" t="s">
        <v>13303</v>
      </c>
      <c r="B16021" t="s">
        <v>1802</v>
      </c>
      <c r="C16021" s="2">
        <f>HYPERLINK("https://cao.dolgi.msk.ru/account/1080205106/", 1080205106)</f>
        <v>1080205106</v>
      </c>
      <c r="D16021" t="s">
        <v>13519</v>
      </c>
      <c r="E16021">
        <v>-3881.19</v>
      </c>
      <c r="F16021">
        <v>-0.56999999999999995</v>
      </c>
      <c r="G16021" t="s">
        <v>12</v>
      </c>
      <c r="I16021" t="s">
        <v>1428</v>
      </c>
    </row>
    <row r="16022" spans="1:9" hidden="1" x14ac:dyDescent="0.25">
      <c r="A16022" t="s">
        <v>13303</v>
      </c>
      <c r="B16022" t="s">
        <v>1802</v>
      </c>
      <c r="C16022" s="2">
        <f>HYPERLINK("https://cao.dolgi.msk.ru/account/1080325191/", 1080325191)</f>
        <v>1080325191</v>
      </c>
      <c r="D16022" t="s">
        <v>15</v>
      </c>
      <c r="G16022" t="s">
        <v>14</v>
      </c>
      <c r="I16022" t="s">
        <v>1428</v>
      </c>
    </row>
    <row r="16023" spans="1:9" hidden="1" x14ac:dyDescent="0.25">
      <c r="A16023" t="s">
        <v>13303</v>
      </c>
      <c r="B16023" t="s">
        <v>1804</v>
      </c>
      <c r="C16023" s="2">
        <f>HYPERLINK("https://cao.dolgi.msk.ru/account/1080205114/", 1080205114)</f>
        <v>1080205114</v>
      </c>
      <c r="D16023" t="s">
        <v>13520</v>
      </c>
      <c r="E16023">
        <v>-10165.1</v>
      </c>
      <c r="F16023">
        <v>-1.3</v>
      </c>
      <c r="G16023" t="s">
        <v>12</v>
      </c>
      <c r="I16023" t="s">
        <v>1428</v>
      </c>
    </row>
    <row r="16024" spans="1:9" hidden="1" x14ac:dyDescent="0.25">
      <c r="A16024" t="s">
        <v>13303</v>
      </c>
      <c r="B16024" t="s">
        <v>1805</v>
      </c>
      <c r="C16024" s="2">
        <f>HYPERLINK("https://cao.dolgi.msk.ru/account/1080205122/", 1080205122)</f>
        <v>1080205122</v>
      </c>
      <c r="D16024" t="s">
        <v>13521</v>
      </c>
      <c r="E16024">
        <v>-7337.2</v>
      </c>
      <c r="F16024">
        <v>-1.2</v>
      </c>
      <c r="G16024" t="s">
        <v>12</v>
      </c>
      <c r="I16024" t="s">
        <v>1428</v>
      </c>
    </row>
    <row r="16025" spans="1:9" hidden="1" x14ac:dyDescent="0.25">
      <c r="A16025" t="s">
        <v>13303</v>
      </c>
      <c r="B16025" t="s">
        <v>1807</v>
      </c>
      <c r="C16025" s="2">
        <f>HYPERLINK("https://cao.dolgi.msk.ru/account/1080205149/", 1080205149)</f>
        <v>1080205149</v>
      </c>
      <c r="D16025" t="s">
        <v>13522</v>
      </c>
      <c r="E16025">
        <v>-8448.7000000000007</v>
      </c>
      <c r="F16025">
        <v>-1.28</v>
      </c>
      <c r="G16025" t="s">
        <v>12</v>
      </c>
      <c r="I16025" t="s">
        <v>1428</v>
      </c>
    </row>
    <row r="16026" spans="1:9" hidden="1" x14ac:dyDescent="0.25">
      <c r="A16026" t="s">
        <v>13303</v>
      </c>
      <c r="B16026" t="s">
        <v>3494</v>
      </c>
      <c r="C16026" s="2">
        <f>HYPERLINK("https://cao.dolgi.msk.ru/account/1080205157/", 1080205157)</f>
        <v>1080205157</v>
      </c>
      <c r="D16026" t="s">
        <v>13523</v>
      </c>
      <c r="E16026">
        <v>-5674.54</v>
      </c>
      <c r="F16026">
        <v>-1.04</v>
      </c>
      <c r="G16026" t="s">
        <v>12</v>
      </c>
      <c r="I16026" t="s">
        <v>1428</v>
      </c>
    </row>
    <row r="16027" spans="1:9" hidden="1" x14ac:dyDescent="0.25">
      <c r="A16027" t="s">
        <v>13303</v>
      </c>
      <c r="B16027" t="s">
        <v>3496</v>
      </c>
      <c r="C16027" s="2">
        <f>HYPERLINK("https://cao.dolgi.msk.ru/account/1080205165/", 1080205165)</f>
        <v>1080205165</v>
      </c>
      <c r="D16027" t="s">
        <v>13524</v>
      </c>
      <c r="E16027">
        <v>-8671.82</v>
      </c>
      <c r="F16027">
        <v>-1.17</v>
      </c>
      <c r="G16027" t="s">
        <v>12</v>
      </c>
      <c r="I16027" t="s">
        <v>1428</v>
      </c>
    </row>
    <row r="16028" spans="1:9" hidden="1" x14ac:dyDescent="0.25">
      <c r="A16028" t="s">
        <v>13303</v>
      </c>
      <c r="B16028" t="s">
        <v>3498</v>
      </c>
      <c r="C16028" s="2">
        <f>HYPERLINK("https://cao.dolgi.msk.ru/account/1080205173/", 1080205173)</f>
        <v>1080205173</v>
      </c>
      <c r="D16028" t="s">
        <v>13525</v>
      </c>
      <c r="E16028">
        <v>-3926.83</v>
      </c>
      <c r="F16028">
        <v>-1.21</v>
      </c>
      <c r="G16028" t="s">
        <v>12</v>
      </c>
      <c r="I16028" t="s">
        <v>1428</v>
      </c>
    </row>
    <row r="16029" spans="1:9" hidden="1" x14ac:dyDescent="0.25">
      <c r="A16029" t="s">
        <v>13303</v>
      </c>
      <c r="B16029" t="s">
        <v>3500</v>
      </c>
      <c r="C16029" s="2">
        <f>HYPERLINK("https://cao.dolgi.msk.ru/account/1080205181/", 1080205181)</f>
        <v>1080205181</v>
      </c>
      <c r="D16029" t="s">
        <v>13526</v>
      </c>
      <c r="E16029">
        <v>-8820.69</v>
      </c>
      <c r="F16029">
        <v>-1.18</v>
      </c>
      <c r="G16029" t="s">
        <v>12</v>
      </c>
      <c r="I16029" t="s">
        <v>1428</v>
      </c>
    </row>
    <row r="16030" spans="1:9" hidden="1" x14ac:dyDescent="0.25">
      <c r="A16030" t="s">
        <v>13303</v>
      </c>
      <c r="B16030" t="s">
        <v>1809</v>
      </c>
      <c r="C16030" s="2">
        <f>HYPERLINK("https://cao.dolgi.msk.ru/account/1080205202/", 1080205202)</f>
        <v>1080205202</v>
      </c>
      <c r="D16030" t="s">
        <v>13527</v>
      </c>
      <c r="E16030">
        <v>-9633.83</v>
      </c>
      <c r="F16030">
        <v>-1.1599999999999999</v>
      </c>
      <c r="G16030" t="s">
        <v>12</v>
      </c>
      <c r="I16030" t="s">
        <v>1428</v>
      </c>
    </row>
    <row r="16031" spans="1:9" hidden="1" x14ac:dyDescent="0.25">
      <c r="A16031" t="s">
        <v>13303</v>
      </c>
      <c r="B16031" t="s">
        <v>3503</v>
      </c>
      <c r="C16031" s="2">
        <f>HYPERLINK("https://cao.dolgi.msk.ru/account/1080205229/", 1080205229)</f>
        <v>1080205229</v>
      </c>
      <c r="D16031" t="s">
        <v>13528</v>
      </c>
      <c r="E16031">
        <v>-300.89999999999998</v>
      </c>
      <c r="G16031" t="s">
        <v>14</v>
      </c>
      <c r="I16031" t="s">
        <v>1428</v>
      </c>
    </row>
    <row r="16032" spans="1:9" hidden="1" x14ac:dyDescent="0.25">
      <c r="A16032" t="s">
        <v>13303</v>
      </c>
      <c r="B16032" t="s">
        <v>3503</v>
      </c>
      <c r="C16032" s="2">
        <f>HYPERLINK("https://cao.dolgi.msk.ru/account/1083274414/", 1083274414)</f>
        <v>1083274414</v>
      </c>
      <c r="D16032" t="s">
        <v>1801</v>
      </c>
      <c r="E16032">
        <v>0</v>
      </c>
      <c r="G16032" t="s">
        <v>14</v>
      </c>
      <c r="I16032" t="s">
        <v>1428</v>
      </c>
    </row>
    <row r="16033" spans="1:9" hidden="1" x14ac:dyDescent="0.25">
      <c r="A16033" t="s">
        <v>13303</v>
      </c>
      <c r="B16033" t="s">
        <v>3503</v>
      </c>
      <c r="C16033" s="2">
        <f>HYPERLINK("https://cao.dolgi.msk.ru/account/1089126658/", 1089126658)</f>
        <v>1089126658</v>
      </c>
      <c r="D16033" t="s">
        <v>13528</v>
      </c>
      <c r="E16033">
        <v>-7386.36</v>
      </c>
      <c r="F16033">
        <v>-1.44</v>
      </c>
      <c r="G16033" t="s">
        <v>12</v>
      </c>
      <c r="I16033" t="s">
        <v>1428</v>
      </c>
    </row>
    <row r="16034" spans="1:9" hidden="1" x14ac:dyDescent="0.25">
      <c r="A16034" t="s">
        <v>13303</v>
      </c>
      <c r="B16034" t="s">
        <v>1810</v>
      </c>
      <c r="C16034" s="2">
        <f>HYPERLINK("https://cao.dolgi.msk.ru/account/1080205237/", 1080205237)</f>
        <v>1080205237</v>
      </c>
      <c r="D16034" t="s">
        <v>13529</v>
      </c>
      <c r="E16034">
        <v>-11080.12</v>
      </c>
      <c r="F16034">
        <v>-1.5</v>
      </c>
      <c r="G16034" t="s">
        <v>12</v>
      </c>
      <c r="I16034" t="s">
        <v>1428</v>
      </c>
    </row>
    <row r="16035" spans="1:9" hidden="1" x14ac:dyDescent="0.25">
      <c r="A16035" t="s">
        <v>13303</v>
      </c>
      <c r="B16035" t="s">
        <v>3506</v>
      </c>
      <c r="C16035" s="2">
        <f>HYPERLINK("https://cao.dolgi.msk.ru/account/1080205245/", 1080205245)</f>
        <v>1080205245</v>
      </c>
      <c r="D16035" t="s">
        <v>13530</v>
      </c>
      <c r="E16035">
        <v>-10759.46</v>
      </c>
      <c r="F16035">
        <v>-1.31</v>
      </c>
      <c r="G16035" t="s">
        <v>12</v>
      </c>
      <c r="I16035" t="s">
        <v>1428</v>
      </c>
    </row>
    <row r="16036" spans="1:9" hidden="1" x14ac:dyDescent="0.25">
      <c r="A16036" t="s">
        <v>13303</v>
      </c>
      <c r="B16036" t="s">
        <v>3508</v>
      </c>
      <c r="C16036" s="2">
        <f>HYPERLINK("https://cao.dolgi.msk.ru/account/1080205253/", 1080205253)</f>
        <v>1080205253</v>
      </c>
      <c r="D16036" t="s">
        <v>13531</v>
      </c>
      <c r="E16036">
        <v>-5594.14</v>
      </c>
      <c r="F16036">
        <v>-1.24</v>
      </c>
      <c r="G16036" t="s">
        <v>12</v>
      </c>
      <c r="I16036" t="s">
        <v>1428</v>
      </c>
    </row>
    <row r="16037" spans="1:9" hidden="1" x14ac:dyDescent="0.25">
      <c r="A16037" t="s">
        <v>13303</v>
      </c>
      <c r="B16037" t="s">
        <v>3510</v>
      </c>
      <c r="C16037" s="2">
        <f>HYPERLINK("https://cao.dolgi.msk.ru/account/1080205261/", 1080205261)</f>
        <v>1080205261</v>
      </c>
      <c r="D16037" t="s">
        <v>13532</v>
      </c>
      <c r="E16037">
        <v>-3681.63</v>
      </c>
      <c r="F16037">
        <v>-1.23</v>
      </c>
      <c r="G16037" t="s">
        <v>12</v>
      </c>
      <c r="I16037" t="s">
        <v>1428</v>
      </c>
    </row>
    <row r="16038" spans="1:9" hidden="1" x14ac:dyDescent="0.25">
      <c r="A16038" t="s">
        <v>13303</v>
      </c>
      <c r="B16038" t="s">
        <v>3510</v>
      </c>
      <c r="C16038" s="2">
        <f>HYPERLINK("https://cao.dolgi.msk.ru/account/1080320817/", 1080320817)</f>
        <v>1080320817</v>
      </c>
      <c r="D16038" t="s">
        <v>15</v>
      </c>
      <c r="E16038">
        <v>-2564.7399999999998</v>
      </c>
      <c r="F16038">
        <v>-1.76</v>
      </c>
      <c r="G16038" t="s">
        <v>12</v>
      </c>
      <c r="I16038" t="s">
        <v>1428</v>
      </c>
    </row>
    <row r="16039" spans="1:9" hidden="1" x14ac:dyDescent="0.25">
      <c r="A16039" t="s">
        <v>13303</v>
      </c>
      <c r="B16039" t="s">
        <v>3511</v>
      </c>
      <c r="C16039" s="2">
        <f>HYPERLINK("https://cao.dolgi.msk.ru/account/1080205288/", 1080205288)</f>
        <v>1080205288</v>
      </c>
      <c r="D16039" t="s">
        <v>13533</v>
      </c>
      <c r="E16039">
        <v>-32.270000000000003</v>
      </c>
      <c r="F16039">
        <v>-0.01</v>
      </c>
      <c r="G16039" t="s">
        <v>12</v>
      </c>
      <c r="I16039" t="s">
        <v>1428</v>
      </c>
    </row>
    <row r="16040" spans="1:9" hidden="1" x14ac:dyDescent="0.25">
      <c r="A16040" t="s">
        <v>13303</v>
      </c>
      <c r="B16040" t="s">
        <v>3840</v>
      </c>
      <c r="C16040" s="2">
        <f>HYPERLINK("https://cao.dolgi.msk.ru/account/1080205296/", 1080205296)</f>
        <v>1080205296</v>
      </c>
      <c r="D16040" t="s">
        <v>13534</v>
      </c>
      <c r="E16040">
        <v>-5410.11</v>
      </c>
      <c r="F16040">
        <v>-1.1100000000000001</v>
      </c>
      <c r="G16040" t="s">
        <v>12</v>
      </c>
      <c r="I16040" t="s">
        <v>1428</v>
      </c>
    </row>
    <row r="16041" spans="1:9" hidden="1" x14ac:dyDescent="0.25">
      <c r="A16041" t="s">
        <v>13303</v>
      </c>
      <c r="B16041" t="s">
        <v>3842</v>
      </c>
      <c r="C16041" s="2">
        <f>HYPERLINK("https://cao.dolgi.msk.ru/account/1080205309/", 1080205309)</f>
        <v>1080205309</v>
      </c>
      <c r="D16041" t="s">
        <v>13535</v>
      </c>
      <c r="E16041">
        <v>-8260.99</v>
      </c>
      <c r="F16041">
        <v>-1.1299999999999999</v>
      </c>
      <c r="G16041" t="s">
        <v>12</v>
      </c>
      <c r="I16041" t="s">
        <v>1428</v>
      </c>
    </row>
    <row r="16042" spans="1:9" hidden="1" x14ac:dyDescent="0.25">
      <c r="A16042" t="s">
        <v>13303</v>
      </c>
      <c r="B16042" t="s">
        <v>3844</v>
      </c>
      <c r="C16042" s="2">
        <f>HYPERLINK("https://cao.dolgi.msk.ru/account/1080205317/", 1080205317)</f>
        <v>1080205317</v>
      </c>
      <c r="D16042" t="s">
        <v>13536</v>
      </c>
      <c r="E16042">
        <v>-9068.7999999999993</v>
      </c>
      <c r="F16042">
        <v>-1.1499999999999999</v>
      </c>
      <c r="G16042" t="s">
        <v>12</v>
      </c>
      <c r="I16042" t="s">
        <v>1428</v>
      </c>
    </row>
    <row r="16043" spans="1:9" hidden="1" x14ac:dyDescent="0.25">
      <c r="A16043" t="s">
        <v>13303</v>
      </c>
      <c r="B16043" t="s">
        <v>3845</v>
      </c>
      <c r="C16043" s="2">
        <f>HYPERLINK("https://cao.dolgi.msk.ru/account/1080205325/", 1080205325)</f>
        <v>1080205325</v>
      </c>
      <c r="D16043" t="s">
        <v>13537</v>
      </c>
      <c r="E16043">
        <v>0</v>
      </c>
      <c r="F16043">
        <v>0</v>
      </c>
      <c r="G16043" t="s">
        <v>12</v>
      </c>
      <c r="I16043" t="s">
        <v>1428</v>
      </c>
    </row>
    <row r="16044" spans="1:9" hidden="1" x14ac:dyDescent="0.25">
      <c r="A16044" t="s">
        <v>13303</v>
      </c>
      <c r="B16044" t="s">
        <v>1812</v>
      </c>
      <c r="C16044" s="2">
        <f>HYPERLINK("https://cao.dolgi.msk.ru/account/1080205333/", 1080205333)</f>
        <v>1080205333</v>
      </c>
      <c r="D16044" t="s">
        <v>13538</v>
      </c>
      <c r="E16044">
        <v>-4066.71</v>
      </c>
      <c r="F16044">
        <v>-1.17</v>
      </c>
      <c r="G16044" t="s">
        <v>12</v>
      </c>
      <c r="I16044" t="s">
        <v>1428</v>
      </c>
    </row>
    <row r="16045" spans="1:9" hidden="1" x14ac:dyDescent="0.25">
      <c r="A16045" t="s">
        <v>13303</v>
      </c>
      <c r="B16045" t="s">
        <v>1814</v>
      </c>
      <c r="C16045" s="2">
        <f>HYPERLINK("https://cao.dolgi.msk.ru/account/1080205341/", 1080205341)</f>
        <v>1080205341</v>
      </c>
      <c r="D16045" t="s">
        <v>13539</v>
      </c>
      <c r="E16045">
        <v>-18633.62</v>
      </c>
      <c r="F16045">
        <v>-1.25</v>
      </c>
      <c r="G16045" t="s">
        <v>12</v>
      </c>
      <c r="I16045" t="s">
        <v>1428</v>
      </c>
    </row>
    <row r="16046" spans="1:9" hidden="1" x14ac:dyDescent="0.25">
      <c r="A16046" t="s">
        <v>13540</v>
      </c>
      <c r="B16046" t="s">
        <v>16</v>
      </c>
      <c r="C16046" s="2">
        <f>HYPERLINK("https://cao.dolgi.msk.ru/account/1080205376/", 1080205376)</f>
        <v>1080205376</v>
      </c>
      <c r="D16046" t="s">
        <v>13541</v>
      </c>
      <c r="E16046">
        <v>-10467.69</v>
      </c>
      <c r="F16046">
        <v>-1.1100000000000001</v>
      </c>
      <c r="G16046" t="s">
        <v>12</v>
      </c>
      <c r="I16046" t="s">
        <v>1428</v>
      </c>
    </row>
    <row r="16047" spans="1:9" hidden="1" x14ac:dyDescent="0.25">
      <c r="A16047" t="s">
        <v>13540</v>
      </c>
      <c r="B16047" t="s">
        <v>18</v>
      </c>
      <c r="C16047" s="2">
        <f>HYPERLINK("https://cao.dolgi.msk.ru/account/1080205368/", 1080205368)</f>
        <v>1080205368</v>
      </c>
      <c r="D16047" t="s">
        <v>13542</v>
      </c>
      <c r="E16047">
        <v>3258.78</v>
      </c>
      <c r="F16047">
        <v>0.35</v>
      </c>
      <c r="G16047" t="s">
        <v>12</v>
      </c>
      <c r="I16047" t="s">
        <v>1428</v>
      </c>
    </row>
    <row r="16048" spans="1:9" hidden="1" x14ac:dyDescent="0.25">
      <c r="A16048" t="s">
        <v>13540</v>
      </c>
      <c r="B16048" t="s">
        <v>20</v>
      </c>
      <c r="C16048" s="2">
        <f>HYPERLINK("https://cao.dolgi.msk.ru/account/1080205384/", 1080205384)</f>
        <v>1080205384</v>
      </c>
      <c r="D16048" t="s">
        <v>13543</v>
      </c>
      <c r="E16048">
        <v>-4553.3599999999997</v>
      </c>
      <c r="F16048">
        <v>-2.2799999999999998</v>
      </c>
      <c r="G16048" t="s">
        <v>12</v>
      </c>
      <c r="I16048" t="s">
        <v>1428</v>
      </c>
    </row>
    <row r="16049" spans="1:9" hidden="1" x14ac:dyDescent="0.25">
      <c r="A16049" t="s">
        <v>13540</v>
      </c>
      <c r="B16049" t="s">
        <v>21</v>
      </c>
      <c r="C16049" s="2">
        <f>HYPERLINK("https://cao.dolgi.msk.ru/account/1080205392/", 1080205392)</f>
        <v>1080205392</v>
      </c>
      <c r="D16049" t="s">
        <v>13544</v>
      </c>
      <c r="E16049">
        <v>-4947.1400000000003</v>
      </c>
      <c r="F16049">
        <v>-1.02</v>
      </c>
      <c r="G16049" t="s">
        <v>12</v>
      </c>
      <c r="I16049" t="s">
        <v>1428</v>
      </c>
    </row>
    <row r="16050" spans="1:9" hidden="1" x14ac:dyDescent="0.25">
      <c r="A16050" t="s">
        <v>13540</v>
      </c>
      <c r="B16050" t="s">
        <v>22</v>
      </c>
      <c r="C16050" s="2">
        <f>HYPERLINK("https://cao.dolgi.msk.ru/account/1080205405/", 1080205405)</f>
        <v>1080205405</v>
      </c>
      <c r="D16050" t="s">
        <v>13545</v>
      </c>
      <c r="E16050">
        <v>-9258.81</v>
      </c>
      <c r="F16050">
        <v>-1.1100000000000001</v>
      </c>
      <c r="G16050" t="s">
        <v>12</v>
      </c>
      <c r="I16050" t="s">
        <v>1428</v>
      </c>
    </row>
    <row r="16051" spans="1:9" hidden="1" x14ac:dyDescent="0.25">
      <c r="A16051" t="s">
        <v>13540</v>
      </c>
      <c r="B16051" t="s">
        <v>23</v>
      </c>
      <c r="C16051" s="2">
        <f>HYPERLINK("https://cao.dolgi.msk.ru/account/1080205413/", 1080205413)</f>
        <v>1080205413</v>
      </c>
      <c r="D16051" t="s">
        <v>15</v>
      </c>
      <c r="E16051">
        <v>0</v>
      </c>
      <c r="G16051" t="s">
        <v>14</v>
      </c>
      <c r="I16051" t="s">
        <v>1428</v>
      </c>
    </row>
    <row r="16052" spans="1:9" hidden="1" x14ac:dyDescent="0.25">
      <c r="A16052" t="s">
        <v>13540</v>
      </c>
      <c r="B16052" t="s">
        <v>23</v>
      </c>
      <c r="C16052" s="2">
        <f>HYPERLINK("https://cao.dolgi.msk.ru/account/1089127263/", 1089127263)</f>
        <v>1089127263</v>
      </c>
      <c r="D16052" t="s">
        <v>15</v>
      </c>
      <c r="E16052">
        <v>4676.7</v>
      </c>
      <c r="F16052">
        <v>0.72</v>
      </c>
      <c r="G16052" t="s">
        <v>12</v>
      </c>
      <c r="I16052" t="s">
        <v>1428</v>
      </c>
    </row>
    <row r="16053" spans="1:9" hidden="1" x14ac:dyDescent="0.25">
      <c r="A16053" t="s">
        <v>13540</v>
      </c>
      <c r="B16053" t="s">
        <v>24</v>
      </c>
      <c r="C16053" s="2">
        <f>HYPERLINK("https://cao.dolgi.msk.ru/account/1080205421/", 1080205421)</f>
        <v>1080205421</v>
      </c>
      <c r="D16053" t="s">
        <v>13546</v>
      </c>
      <c r="E16053">
        <v>-150.51</v>
      </c>
      <c r="F16053">
        <v>-0.06</v>
      </c>
      <c r="G16053" t="s">
        <v>12</v>
      </c>
      <c r="I16053" t="s">
        <v>1428</v>
      </c>
    </row>
    <row r="16054" spans="1:9" hidden="1" x14ac:dyDescent="0.25">
      <c r="A16054" t="s">
        <v>13540</v>
      </c>
      <c r="B16054" t="s">
        <v>27</v>
      </c>
      <c r="C16054" s="2">
        <f>HYPERLINK("https://cao.dolgi.msk.ru/account/1080205448/", 1080205448)</f>
        <v>1080205448</v>
      </c>
      <c r="D16054" t="s">
        <v>13547</v>
      </c>
      <c r="E16054">
        <v>-6624.22</v>
      </c>
      <c r="F16054">
        <v>-1.1599999999999999</v>
      </c>
      <c r="G16054" t="s">
        <v>12</v>
      </c>
      <c r="I16054" t="s">
        <v>1428</v>
      </c>
    </row>
    <row r="16055" spans="1:9" hidden="1" x14ac:dyDescent="0.25">
      <c r="A16055" t="s">
        <v>13540</v>
      </c>
      <c r="B16055" t="s">
        <v>29</v>
      </c>
      <c r="C16055" s="2">
        <f>HYPERLINK("https://cao.dolgi.msk.ru/account/1080205456/", 1080205456)</f>
        <v>1080205456</v>
      </c>
      <c r="D16055" t="s">
        <v>13548</v>
      </c>
      <c r="E16055">
        <v>-9601.89</v>
      </c>
      <c r="F16055">
        <v>-1.1299999999999999</v>
      </c>
      <c r="G16055" t="s">
        <v>12</v>
      </c>
      <c r="I16055" t="s">
        <v>1428</v>
      </c>
    </row>
    <row r="16056" spans="1:9" hidden="1" x14ac:dyDescent="0.25">
      <c r="A16056" t="s">
        <v>13540</v>
      </c>
      <c r="B16056" t="s">
        <v>31</v>
      </c>
      <c r="C16056" s="2">
        <f>HYPERLINK("https://cao.dolgi.msk.ru/account/1080205464/", 1080205464)</f>
        <v>1080205464</v>
      </c>
      <c r="D16056" t="s">
        <v>13549</v>
      </c>
      <c r="E16056">
        <v>-714.47</v>
      </c>
      <c r="F16056">
        <v>-0.21</v>
      </c>
      <c r="G16056" t="s">
        <v>12</v>
      </c>
      <c r="I16056" t="s">
        <v>1428</v>
      </c>
    </row>
    <row r="16057" spans="1:9" hidden="1" x14ac:dyDescent="0.25">
      <c r="A16057" t="s">
        <v>13540</v>
      </c>
      <c r="B16057" t="s">
        <v>33</v>
      </c>
      <c r="C16057" s="2">
        <f>HYPERLINK("https://cao.dolgi.msk.ru/account/1080205472/", 1080205472)</f>
        <v>1080205472</v>
      </c>
      <c r="D16057" t="s">
        <v>13550</v>
      </c>
      <c r="E16057">
        <v>-10297.290000000001</v>
      </c>
      <c r="F16057">
        <v>-1.07</v>
      </c>
      <c r="G16057" t="s">
        <v>12</v>
      </c>
      <c r="I16057" t="s">
        <v>1428</v>
      </c>
    </row>
    <row r="16058" spans="1:9" hidden="1" x14ac:dyDescent="0.25">
      <c r="A16058" t="s">
        <v>13540</v>
      </c>
      <c r="B16058" t="s">
        <v>34</v>
      </c>
      <c r="C16058" s="2">
        <f>HYPERLINK("https://cao.dolgi.msk.ru/account/1080205499/", 1080205499)</f>
        <v>1080205499</v>
      </c>
      <c r="D16058" t="s">
        <v>13551</v>
      </c>
      <c r="E16058">
        <v>-14875.83</v>
      </c>
      <c r="F16058">
        <v>-1.88</v>
      </c>
      <c r="G16058" t="s">
        <v>12</v>
      </c>
      <c r="I16058" t="s">
        <v>1428</v>
      </c>
    </row>
    <row r="16059" spans="1:9" hidden="1" x14ac:dyDescent="0.25">
      <c r="A16059" t="s">
        <v>13540</v>
      </c>
      <c r="B16059" t="s">
        <v>36</v>
      </c>
      <c r="C16059" s="2">
        <f>HYPERLINK("https://cao.dolgi.msk.ru/account/1080205501/", 1080205501)</f>
        <v>1080205501</v>
      </c>
      <c r="D16059" t="s">
        <v>13552</v>
      </c>
      <c r="E16059">
        <v>-5726.68</v>
      </c>
      <c r="F16059">
        <v>-1.1299999999999999</v>
      </c>
      <c r="G16059" t="s">
        <v>12</v>
      </c>
      <c r="I16059" t="s">
        <v>1428</v>
      </c>
    </row>
    <row r="16060" spans="1:9" hidden="1" x14ac:dyDescent="0.25">
      <c r="A16060" t="s">
        <v>13540</v>
      </c>
      <c r="B16060" t="s">
        <v>38</v>
      </c>
      <c r="C16060" s="2">
        <f>HYPERLINK("https://cao.dolgi.msk.ru/account/1080205528/", 1080205528)</f>
        <v>1080205528</v>
      </c>
      <c r="D16060" t="s">
        <v>13553</v>
      </c>
      <c r="E16060">
        <v>537.95000000000005</v>
      </c>
      <c r="G16060" t="s">
        <v>14</v>
      </c>
      <c r="I16060" t="s">
        <v>1428</v>
      </c>
    </row>
    <row r="16061" spans="1:9" hidden="1" x14ac:dyDescent="0.25">
      <c r="A16061" t="s">
        <v>13540</v>
      </c>
      <c r="B16061" t="s">
        <v>38</v>
      </c>
      <c r="C16061" s="2">
        <f>HYPERLINK("https://cao.dolgi.msk.ru/account/1080205536/", 1080205536)</f>
        <v>1080205536</v>
      </c>
      <c r="D16061" t="s">
        <v>13554</v>
      </c>
      <c r="E16061">
        <v>6207.27</v>
      </c>
      <c r="F16061">
        <v>0.8</v>
      </c>
      <c r="G16061" t="s">
        <v>12</v>
      </c>
      <c r="I16061" t="s">
        <v>1428</v>
      </c>
    </row>
    <row r="16062" spans="1:9" hidden="1" x14ac:dyDescent="0.25">
      <c r="A16062" t="s">
        <v>13540</v>
      </c>
      <c r="B16062" t="s">
        <v>39</v>
      </c>
      <c r="C16062" s="2">
        <f>HYPERLINK("https://cao.dolgi.msk.ru/account/1080205544/", 1080205544)</f>
        <v>1080205544</v>
      </c>
      <c r="D16062" t="s">
        <v>13555</v>
      </c>
      <c r="E16062">
        <v>-6664.32</v>
      </c>
      <c r="F16062">
        <v>-1.1100000000000001</v>
      </c>
      <c r="G16062" t="s">
        <v>12</v>
      </c>
      <c r="I16062" t="s">
        <v>1428</v>
      </c>
    </row>
    <row r="16063" spans="1:9" hidden="1" x14ac:dyDescent="0.25">
      <c r="A16063" t="s">
        <v>13540</v>
      </c>
      <c r="B16063" t="s">
        <v>40</v>
      </c>
      <c r="C16063" s="2">
        <f>HYPERLINK("https://cao.dolgi.msk.ru/account/1080205552/", 1080205552)</f>
        <v>1080205552</v>
      </c>
      <c r="D16063" t="s">
        <v>13556</v>
      </c>
      <c r="E16063">
        <v>-5997.5</v>
      </c>
      <c r="F16063">
        <v>-1.1100000000000001</v>
      </c>
      <c r="G16063" t="s">
        <v>12</v>
      </c>
      <c r="I16063" t="s">
        <v>1428</v>
      </c>
    </row>
    <row r="16064" spans="1:9" hidden="1" x14ac:dyDescent="0.25">
      <c r="A16064" t="s">
        <v>13540</v>
      </c>
      <c r="B16064" t="s">
        <v>41</v>
      </c>
      <c r="C16064" s="2">
        <f>HYPERLINK("https://cao.dolgi.msk.ru/account/1080205579/", 1080205579)</f>
        <v>1080205579</v>
      </c>
      <c r="D16064" t="s">
        <v>13557</v>
      </c>
      <c r="E16064">
        <v>-45714.27</v>
      </c>
      <c r="F16064">
        <v>-7.9</v>
      </c>
      <c r="G16064" t="s">
        <v>12</v>
      </c>
      <c r="I16064" t="s">
        <v>1428</v>
      </c>
    </row>
    <row r="16065" spans="1:9" hidden="1" x14ac:dyDescent="0.25">
      <c r="A16065" t="s">
        <v>13540</v>
      </c>
      <c r="B16065" t="s">
        <v>42</v>
      </c>
      <c r="C16065" s="2">
        <f>HYPERLINK("https://cao.dolgi.msk.ru/account/1080205587/", 1080205587)</f>
        <v>1080205587</v>
      </c>
      <c r="D16065" t="s">
        <v>13558</v>
      </c>
      <c r="E16065">
        <v>-7162.38</v>
      </c>
      <c r="F16065">
        <v>-1.0900000000000001</v>
      </c>
      <c r="G16065" t="s">
        <v>12</v>
      </c>
      <c r="I16065" t="s">
        <v>1428</v>
      </c>
    </row>
    <row r="16066" spans="1:9" x14ac:dyDescent="0.25">
      <c r="A16066" t="s">
        <v>13540</v>
      </c>
      <c r="B16066" t="s">
        <v>44</v>
      </c>
      <c r="C16066" s="2">
        <f>HYPERLINK("https://cao.dolgi.msk.ru/account/1080205595/", 1080205595)</f>
        <v>1080205595</v>
      </c>
      <c r="D16066" t="s">
        <v>13559</v>
      </c>
      <c r="E16066">
        <v>35758.19</v>
      </c>
      <c r="F16066">
        <v>3.66</v>
      </c>
      <c r="G16066" t="s">
        <v>12</v>
      </c>
      <c r="I16066" t="s">
        <v>1428</v>
      </c>
    </row>
    <row r="16067" spans="1:9" x14ac:dyDescent="0.25">
      <c r="A16067" t="s">
        <v>13540</v>
      </c>
      <c r="B16067" t="s">
        <v>66</v>
      </c>
      <c r="C16067" s="2">
        <f>HYPERLINK("https://cao.dolgi.msk.ru/account/1080205608/", 1080205608)</f>
        <v>1080205608</v>
      </c>
      <c r="D16067" t="s">
        <v>13560</v>
      </c>
      <c r="E16067">
        <v>26597.599999999999</v>
      </c>
      <c r="F16067">
        <v>3.41</v>
      </c>
      <c r="G16067" t="s">
        <v>12</v>
      </c>
      <c r="I16067" t="s">
        <v>1428</v>
      </c>
    </row>
    <row r="16068" spans="1:9" hidden="1" x14ac:dyDescent="0.25">
      <c r="A16068" t="s">
        <v>13540</v>
      </c>
      <c r="B16068" t="s">
        <v>68</v>
      </c>
      <c r="C16068" s="2">
        <f>HYPERLINK("https://cao.dolgi.msk.ru/account/1080205616/", 1080205616)</f>
        <v>1080205616</v>
      </c>
      <c r="D16068" t="s">
        <v>15</v>
      </c>
      <c r="E16068">
        <v>-9409.9699999999993</v>
      </c>
      <c r="F16068">
        <v>-1.03</v>
      </c>
      <c r="G16068" t="s">
        <v>12</v>
      </c>
      <c r="I16068" t="s">
        <v>1428</v>
      </c>
    </row>
    <row r="16069" spans="1:9" hidden="1" x14ac:dyDescent="0.25">
      <c r="A16069" t="s">
        <v>13540</v>
      </c>
      <c r="B16069" t="s">
        <v>70</v>
      </c>
      <c r="C16069" s="2">
        <f>HYPERLINK("https://cao.dolgi.msk.ru/account/1080205624/", 1080205624)</f>
        <v>1080205624</v>
      </c>
      <c r="D16069" t="s">
        <v>13561</v>
      </c>
      <c r="E16069">
        <v>-6460.33</v>
      </c>
      <c r="F16069">
        <v>-1.06</v>
      </c>
      <c r="G16069" t="s">
        <v>12</v>
      </c>
      <c r="I16069" t="s">
        <v>1428</v>
      </c>
    </row>
    <row r="16070" spans="1:9" hidden="1" x14ac:dyDescent="0.25">
      <c r="A16070" t="s">
        <v>13540</v>
      </c>
      <c r="B16070" t="s">
        <v>72</v>
      </c>
      <c r="C16070" s="2">
        <f>HYPERLINK("https://cao.dolgi.msk.ru/account/1080205632/", 1080205632)</f>
        <v>1080205632</v>
      </c>
      <c r="D16070" t="s">
        <v>13562</v>
      </c>
      <c r="E16070">
        <v>-6342.24</v>
      </c>
      <c r="F16070">
        <v>-1.1599999999999999</v>
      </c>
      <c r="G16070" t="s">
        <v>12</v>
      </c>
      <c r="I16070" t="s">
        <v>1428</v>
      </c>
    </row>
    <row r="16071" spans="1:9" hidden="1" x14ac:dyDescent="0.25">
      <c r="A16071" t="s">
        <v>13540</v>
      </c>
      <c r="B16071" t="s">
        <v>74</v>
      </c>
      <c r="C16071" s="2">
        <f>HYPERLINK("https://cao.dolgi.msk.ru/account/1080205659/", 1080205659)</f>
        <v>1080205659</v>
      </c>
      <c r="D16071" t="s">
        <v>13563</v>
      </c>
      <c r="E16071">
        <v>-7957.63</v>
      </c>
      <c r="F16071">
        <v>-1.1299999999999999</v>
      </c>
      <c r="G16071" t="s">
        <v>12</v>
      </c>
      <c r="I16071" t="s">
        <v>1428</v>
      </c>
    </row>
    <row r="16072" spans="1:9" hidden="1" x14ac:dyDescent="0.25">
      <c r="A16072" t="s">
        <v>13540</v>
      </c>
      <c r="B16072" t="s">
        <v>76</v>
      </c>
      <c r="C16072" s="2">
        <f>HYPERLINK("https://cao.dolgi.msk.ru/account/1080205667/", 1080205667)</f>
        <v>1080205667</v>
      </c>
      <c r="D16072" t="s">
        <v>13564</v>
      </c>
      <c r="E16072">
        <v>-69.72</v>
      </c>
      <c r="F16072">
        <v>-0.03</v>
      </c>
      <c r="G16072" t="s">
        <v>12</v>
      </c>
      <c r="I16072" t="s">
        <v>1428</v>
      </c>
    </row>
    <row r="16073" spans="1:9" hidden="1" x14ac:dyDescent="0.25">
      <c r="A16073" t="s">
        <v>13540</v>
      </c>
      <c r="B16073" t="s">
        <v>78</v>
      </c>
      <c r="C16073" s="2">
        <f>HYPERLINK("https://cao.dolgi.msk.ru/account/1080205675/", 1080205675)</f>
        <v>1080205675</v>
      </c>
      <c r="D16073" t="s">
        <v>13565</v>
      </c>
      <c r="E16073">
        <v>-4736.72</v>
      </c>
      <c r="F16073">
        <v>-1.05</v>
      </c>
      <c r="G16073" t="s">
        <v>12</v>
      </c>
      <c r="I16073" t="s">
        <v>1428</v>
      </c>
    </row>
    <row r="16074" spans="1:9" hidden="1" x14ac:dyDescent="0.25">
      <c r="A16074" t="s">
        <v>13540</v>
      </c>
      <c r="B16074" t="s">
        <v>80</v>
      </c>
      <c r="C16074" s="2">
        <f>HYPERLINK("https://cao.dolgi.msk.ru/account/1080205683/", 1080205683)</f>
        <v>1080205683</v>
      </c>
      <c r="D16074" t="s">
        <v>13566</v>
      </c>
      <c r="E16074">
        <v>-24.78</v>
      </c>
      <c r="G16074" t="s">
        <v>14</v>
      </c>
      <c r="I16074" t="s">
        <v>1428</v>
      </c>
    </row>
    <row r="16075" spans="1:9" hidden="1" x14ac:dyDescent="0.25">
      <c r="A16075" t="s">
        <v>13540</v>
      </c>
      <c r="B16075" t="s">
        <v>80</v>
      </c>
      <c r="C16075" s="2">
        <f>HYPERLINK("https://cao.dolgi.msk.ru/account/1080326856/", 1080326856)</f>
        <v>1080326856</v>
      </c>
      <c r="D16075" t="s">
        <v>15</v>
      </c>
      <c r="E16075">
        <v>-112.1</v>
      </c>
      <c r="F16075">
        <v>-0.02</v>
      </c>
      <c r="G16075" t="s">
        <v>12</v>
      </c>
      <c r="I16075" t="s">
        <v>1428</v>
      </c>
    </row>
    <row r="16076" spans="1:9" hidden="1" x14ac:dyDescent="0.25">
      <c r="A16076" t="s">
        <v>13540</v>
      </c>
      <c r="B16076" t="s">
        <v>82</v>
      </c>
      <c r="C16076" s="2">
        <f>HYPERLINK("https://cao.dolgi.msk.ru/account/1080205691/", 1080205691)</f>
        <v>1080205691</v>
      </c>
      <c r="D16076" t="s">
        <v>13567</v>
      </c>
      <c r="E16076">
        <v>-13015.84</v>
      </c>
      <c r="F16076">
        <v>-1.24</v>
      </c>
      <c r="G16076" t="s">
        <v>12</v>
      </c>
      <c r="I16076" t="s">
        <v>1428</v>
      </c>
    </row>
    <row r="16077" spans="1:9" hidden="1" x14ac:dyDescent="0.25">
      <c r="A16077" t="s">
        <v>13540</v>
      </c>
      <c r="B16077" t="s">
        <v>84</v>
      </c>
      <c r="C16077" s="2">
        <f>HYPERLINK("https://cao.dolgi.msk.ru/account/1080205704/", 1080205704)</f>
        <v>1080205704</v>
      </c>
      <c r="D16077" t="s">
        <v>13568</v>
      </c>
      <c r="E16077">
        <v>-8661.84</v>
      </c>
      <c r="F16077">
        <v>-1.19</v>
      </c>
      <c r="G16077" t="s">
        <v>12</v>
      </c>
      <c r="I16077" t="s">
        <v>1428</v>
      </c>
    </row>
    <row r="16078" spans="1:9" hidden="1" x14ac:dyDescent="0.25">
      <c r="A16078" t="s">
        <v>13540</v>
      </c>
      <c r="B16078" t="s">
        <v>86</v>
      </c>
      <c r="C16078" s="2">
        <f>HYPERLINK("https://cao.dolgi.msk.ru/account/1080205712/", 1080205712)</f>
        <v>1080205712</v>
      </c>
      <c r="D16078" t="s">
        <v>13569</v>
      </c>
      <c r="E16078">
        <v>-31.8</v>
      </c>
      <c r="F16078">
        <v>-0.01</v>
      </c>
      <c r="G16078" t="s">
        <v>12</v>
      </c>
      <c r="I16078" t="s">
        <v>1428</v>
      </c>
    </row>
    <row r="16079" spans="1:9" hidden="1" x14ac:dyDescent="0.25">
      <c r="A16079" t="s">
        <v>13540</v>
      </c>
      <c r="B16079" t="s">
        <v>88</v>
      </c>
      <c r="C16079" s="2">
        <f>HYPERLINK("https://cao.dolgi.msk.ru/account/1080205739/", 1080205739)</f>
        <v>1080205739</v>
      </c>
      <c r="D16079" t="s">
        <v>13570</v>
      </c>
      <c r="E16079">
        <v>-7840.92</v>
      </c>
      <c r="F16079">
        <v>-1.49</v>
      </c>
      <c r="G16079" t="s">
        <v>12</v>
      </c>
      <c r="I16079" t="s">
        <v>1428</v>
      </c>
    </row>
    <row r="16080" spans="1:9" hidden="1" x14ac:dyDescent="0.25">
      <c r="A16080" t="s">
        <v>13540</v>
      </c>
      <c r="B16080" t="s">
        <v>90</v>
      </c>
      <c r="C16080" s="2">
        <f>HYPERLINK("https://cao.dolgi.msk.ru/account/1080205747/", 1080205747)</f>
        <v>1080205747</v>
      </c>
      <c r="D16080" t="s">
        <v>13571</v>
      </c>
      <c r="E16080">
        <v>-5154.79</v>
      </c>
      <c r="F16080">
        <v>-1.1000000000000001</v>
      </c>
      <c r="G16080" t="s">
        <v>12</v>
      </c>
      <c r="I16080" t="s">
        <v>1428</v>
      </c>
    </row>
    <row r="16081" spans="1:9" hidden="1" x14ac:dyDescent="0.25">
      <c r="A16081" t="s">
        <v>13540</v>
      </c>
      <c r="B16081" t="s">
        <v>92</v>
      </c>
      <c r="C16081" s="2">
        <f>HYPERLINK("https://cao.dolgi.msk.ru/account/1080205755/", 1080205755)</f>
        <v>1080205755</v>
      </c>
      <c r="D16081" t="s">
        <v>13572</v>
      </c>
      <c r="E16081">
        <v>-977.59</v>
      </c>
      <c r="F16081">
        <v>-0.14000000000000001</v>
      </c>
      <c r="G16081" t="s">
        <v>12</v>
      </c>
      <c r="I16081" t="s">
        <v>1428</v>
      </c>
    </row>
    <row r="16082" spans="1:9" hidden="1" x14ac:dyDescent="0.25">
      <c r="A16082" t="s">
        <v>13540</v>
      </c>
      <c r="B16082" t="s">
        <v>94</v>
      </c>
      <c r="C16082" s="2">
        <f>HYPERLINK("https://cao.dolgi.msk.ru/account/1080205763/", 1080205763)</f>
        <v>1080205763</v>
      </c>
      <c r="D16082" t="s">
        <v>13573</v>
      </c>
      <c r="E16082">
        <v>-1020.16</v>
      </c>
      <c r="F16082">
        <v>-1.02</v>
      </c>
      <c r="G16082" t="s">
        <v>12</v>
      </c>
      <c r="I16082" t="s">
        <v>1428</v>
      </c>
    </row>
    <row r="16083" spans="1:9" hidden="1" x14ac:dyDescent="0.25">
      <c r="A16083" t="s">
        <v>13540</v>
      </c>
      <c r="B16083" t="s">
        <v>94</v>
      </c>
      <c r="C16083" s="2">
        <f>HYPERLINK("https://cao.dolgi.msk.ru/account/1083274027/", 1083274027)</f>
        <v>1083274027</v>
      </c>
      <c r="D16083" t="s">
        <v>15</v>
      </c>
      <c r="E16083">
        <v>-5721.4</v>
      </c>
      <c r="F16083">
        <v>-1.1200000000000001</v>
      </c>
      <c r="G16083" t="s">
        <v>12</v>
      </c>
      <c r="I16083" t="s">
        <v>1428</v>
      </c>
    </row>
    <row r="16084" spans="1:9" hidden="1" x14ac:dyDescent="0.25">
      <c r="A16084" t="s">
        <v>13540</v>
      </c>
      <c r="B16084" t="s">
        <v>96</v>
      </c>
      <c r="C16084" s="2">
        <f>HYPERLINK("https://cao.dolgi.msk.ru/account/1080205771/", 1080205771)</f>
        <v>1080205771</v>
      </c>
      <c r="D16084" t="s">
        <v>13574</v>
      </c>
      <c r="E16084">
        <v>-8433.5300000000007</v>
      </c>
      <c r="F16084">
        <v>-1.1000000000000001</v>
      </c>
      <c r="G16084" t="s">
        <v>12</v>
      </c>
      <c r="I16084" t="s">
        <v>1428</v>
      </c>
    </row>
    <row r="16085" spans="1:9" hidden="1" x14ac:dyDescent="0.25">
      <c r="A16085" t="s">
        <v>13540</v>
      </c>
      <c r="B16085" t="s">
        <v>98</v>
      </c>
      <c r="C16085" s="2">
        <f>HYPERLINK("https://cao.dolgi.msk.ru/account/1080205798/", 1080205798)</f>
        <v>1080205798</v>
      </c>
      <c r="D16085" t="s">
        <v>13575</v>
      </c>
      <c r="E16085">
        <v>-9978.08</v>
      </c>
      <c r="F16085">
        <v>-1.1299999999999999</v>
      </c>
      <c r="G16085" t="s">
        <v>12</v>
      </c>
      <c r="I16085" t="s">
        <v>1428</v>
      </c>
    </row>
    <row r="16086" spans="1:9" hidden="1" x14ac:dyDescent="0.25">
      <c r="A16086" t="s">
        <v>13540</v>
      </c>
      <c r="B16086" t="s">
        <v>100</v>
      </c>
      <c r="C16086" s="2">
        <f>HYPERLINK("https://cao.dolgi.msk.ru/account/1080205819/", 1080205819)</f>
        <v>1080205819</v>
      </c>
      <c r="D16086" t="s">
        <v>13576</v>
      </c>
      <c r="E16086">
        <v>-7508.18</v>
      </c>
      <c r="F16086">
        <v>-1.05</v>
      </c>
      <c r="G16086" t="s">
        <v>12</v>
      </c>
      <c r="I16086" t="s">
        <v>1428</v>
      </c>
    </row>
    <row r="16087" spans="1:9" hidden="1" x14ac:dyDescent="0.25">
      <c r="A16087" t="s">
        <v>13540</v>
      </c>
      <c r="B16087" t="s">
        <v>102</v>
      </c>
      <c r="C16087" s="2">
        <f>HYPERLINK("https://cao.dolgi.msk.ru/account/1080205827/", 1080205827)</f>
        <v>1080205827</v>
      </c>
      <c r="D16087" t="s">
        <v>13577</v>
      </c>
      <c r="E16087">
        <v>-20546.080000000002</v>
      </c>
      <c r="F16087">
        <v>-4.0999999999999996</v>
      </c>
      <c r="G16087" t="s">
        <v>12</v>
      </c>
      <c r="I16087" t="s">
        <v>1428</v>
      </c>
    </row>
    <row r="16088" spans="1:9" hidden="1" x14ac:dyDescent="0.25">
      <c r="A16088" t="s">
        <v>13540</v>
      </c>
      <c r="B16088" t="s">
        <v>104</v>
      </c>
      <c r="C16088" s="2">
        <f>HYPERLINK("https://cao.dolgi.msk.ru/account/1080205835/", 1080205835)</f>
        <v>1080205835</v>
      </c>
      <c r="D16088" t="s">
        <v>13578</v>
      </c>
      <c r="E16088">
        <v>-5792.59</v>
      </c>
      <c r="F16088">
        <v>-1.01</v>
      </c>
      <c r="G16088" t="s">
        <v>12</v>
      </c>
      <c r="I16088" t="s">
        <v>1428</v>
      </c>
    </row>
    <row r="16089" spans="1:9" hidden="1" x14ac:dyDescent="0.25">
      <c r="A16089" t="s">
        <v>13540</v>
      </c>
      <c r="B16089" t="s">
        <v>106</v>
      </c>
      <c r="C16089" s="2">
        <f>HYPERLINK("https://cao.dolgi.msk.ru/account/1080205843/", 1080205843)</f>
        <v>1080205843</v>
      </c>
      <c r="D16089" t="s">
        <v>13579</v>
      </c>
      <c r="E16089">
        <v>-10719.1</v>
      </c>
      <c r="F16089">
        <v>-0.92</v>
      </c>
      <c r="G16089" t="s">
        <v>12</v>
      </c>
      <c r="I16089" t="s">
        <v>1428</v>
      </c>
    </row>
    <row r="16090" spans="1:9" hidden="1" x14ac:dyDescent="0.25">
      <c r="A16090" t="s">
        <v>13540</v>
      </c>
      <c r="B16090" t="s">
        <v>108</v>
      </c>
      <c r="C16090" s="2">
        <f>HYPERLINK("https://cao.dolgi.msk.ru/account/1080205851/", 1080205851)</f>
        <v>1080205851</v>
      </c>
      <c r="D16090" t="s">
        <v>13580</v>
      </c>
      <c r="E16090">
        <v>-7290.86</v>
      </c>
      <c r="F16090">
        <v>-1.01</v>
      </c>
      <c r="G16090" t="s">
        <v>12</v>
      </c>
      <c r="I16090" t="s">
        <v>1428</v>
      </c>
    </row>
    <row r="16091" spans="1:9" hidden="1" x14ac:dyDescent="0.25">
      <c r="A16091" t="s">
        <v>13540</v>
      </c>
      <c r="B16091" t="s">
        <v>110</v>
      </c>
      <c r="C16091" s="2">
        <f>HYPERLINK("https://cao.dolgi.msk.ru/account/1080205878/", 1080205878)</f>
        <v>1080205878</v>
      </c>
      <c r="D16091" t="s">
        <v>13581</v>
      </c>
      <c r="E16091">
        <v>-5416.46</v>
      </c>
      <c r="F16091">
        <v>-1.1299999999999999</v>
      </c>
      <c r="G16091" t="s">
        <v>12</v>
      </c>
      <c r="I16091" t="s">
        <v>1428</v>
      </c>
    </row>
    <row r="16092" spans="1:9" hidden="1" x14ac:dyDescent="0.25">
      <c r="A16092" t="s">
        <v>13540</v>
      </c>
      <c r="B16092" t="s">
        <v>112</v>
      </c>
      <c r="C16092" s="2">
        <f>HYPERLINK("https://cao.dolgi.msk.ru/account/1080205886/", 1080205886)</f>
        <v>1080205886</v>
      </c>
      <c r="D16092" t="s">
        <v>13582</v>
      </c>
      <c r="E16092">
        <v>-6030.16</v>
      </c>
      <c r="F16092">
        <v>-1.1299999999999999</v>
      </c>
      <c r="G16092" t="s">
        <v>12</v>
      </c>
      <c r="I16092" t="s">
        <v>1428</v>
      </c>
    </row>
    <row r="16093" spans="1:9" hidden="1" x14ac:dyDescent="0.25">
      <c r="A16093" t="s">
        <v>13540</v>
      </c>
      <c r="B16093" t="s">
        <v>114</v>
      </c>
      <c r="C16093" s="2">
        <f>HYPERLINK("https://cao.dolgi.msk.ru/account/1080205894/", 1080205894)</f>
        <v>1080205894</v>
      </c>
      <c r="D16093" t="s">
        <v>13583</v>
      </c>
      <c r="E16093">
        <v>-10116.700000000001</v>
      </c>
      <c r="F16093">
        <v>-1.04</v>
      </c>
      <c r="G16093" t="s">
        <v>12</v>
      </c>
      <c r="I16093" t="s">
        <v>1428</v>
      </c>
    </row>
    <row r="16094" spans="1:9" hidden="1" x14ac:dyDescent="0.25">
      <c r="A16094" t="s">
        <v>13540</v>
      </c>
      <c r="B16094" t="s">
        <v>116</v>
      </c>
      <c r="C16094" s="2">
        <f>HYPERLINK("https://cao.dolgi.msk.ru/account/1080205907/", 1080205907)</f>
        <v>1080205907</v>
      </c>
      <c r="D16094" t="s">
        <v>13584</v>
      </c>
      <c r="E16094">
        <v>-4405.26</v>
      </c>
      <c r="F16094">
        <v>-1.1299999999999999</v>
      </c>
      <c r="G16094" t="s">
        <v>12</v>
      </c>
      <c r="I16094" t="s">
        <v>1428</v>
      </c>
    </row>
    <row r="16095" spans="1:9" hidden="1" x14ac:dyDescent="0.25">
      <c r="A16095" t="s">
        <v>13540</v>
      </c>
      <c r="B16095" t="s">
        <v>118</v>
      </c>
      <c r="C16095" s="2">
        <f>HYPERLINK("https://cao.dolgi.msk.ru/account/1080205915/", 1080205915)</f>
        <v>1080205915</v>
      </c>
      <c r="D16095" t="s">
        <v>13585</v>
      </c>
      <c r="E16095">
        <v>7215.25</v>
      </c>
      <c r="F16095">
        <v>0.81</v>
      </c>
      <c r="G16095" t="s">
        <v>12</v>
      </c>
      <c r="I16095" t="s">
        <v>1428</v>
      </c>
    </row>
    <row r="16096" spans="1:9" hidden="1" x14ac:dyDescent="0.25">
      <c r="A16096" t="s">
        <v>13540</v>
      </c>
      <c r="B16096" t="s">
        <v>120</v>
      </c>
      <c r="C16096" s="2">
        <f>HYPERLINK("https://cao.dolgi.msk.ru/account/1080205923/", 1080205923)</f>
        <v>1080205923</v>
      </c>
      <c r="D16096" t="s">
        <v>13586</v>
      </c>
      <c r="E16096">
        <v>-7258.35</v>
      </c>
      <c r="F16096">
        <v>-1.05</v>
      </c>
      <c r="G16096" t="s">
        <v>12</v>
      </c>
      <c r="I16096" t="s">
        <v>1428</v>
      </c>
    </row>
    <row r="16097" spans="1:9" hidden="1" x14ac:dyDescent="0.25">
      <c r="A16097" t="s">
        <v>13540</v>
      </c>
      <c r="B16097" t="s">
        <v>122</v>
      </c>
      <c r="C16097" s="2">
        <f>HYPERLINK("https://cao.dolgi.msk.ru/account/1080205931/", 1080205931)</f>
        <v>1080205931</v>
      </c>
      <c r="D16097" t="s">
        <v>13587</v>
      </c>
      <c r="E16097">
        <v>-8278.69</v>
      </c>
      <c r="F16097">
        <v>-1.1200000000000001</v>
      </c>
      <c r="G16097" t="s">
        <v>12</v>
      </c>
      <c r="I16097" t="s">
        <v>1428</v>
      </c>
    </row>
    <row r="16098" spans="1:9" hidden="1" x14ac:dyDescent="0.25">
      <c r="A16098" t="s">
        <v>13540</v>
      </c>
      <c r="B16098" t="s">
        <v>124</v>
      </c>
      <c r="C16098" s="2">
        <f>HYPERLINK("https://cao.dolgi.msk.ru/account/1080205958/", 1080205958)</f>
        <v>1080205958</v>
      </c>
      <c r="D16098" t="s">
        <v>13588</v>
      </c>
      <c r="E16098">
        <v>-5841.49</v>
      </c>
      <c r="F16098">
        <v>-1.1200000000000001</v>
      </c>
      <c r="G16098" t="s">
        <v>12</v>
      </c>
      <c r="I16098" t="s">
        <v>1428</v>
      </c>
    </row>
    <row r="16099" spans="1:9" hidden="1" x14ac:dyDescent="0.25">
      <c r="A16099" t="s">
        <v>13540</v>
      </c>
      <c r="B16099" t="s">
        <v>126</v>
      </c>
      <c r="C16099" s="2">
        <f>HYPERLINK("https://cao.dolgi.msk.ru/account/1080205966/", 1080205966)</f>
        <v>1080205966</v>
      </c>
      <c r="D16099" t="s">
        <v>13589</v>
      </c>
      <c r="E16099">
        <v>-7924.51</v>
      </c>
      <c r="F16099">
        <v>-1.1299999999999999</v>
      </c>
      <c r="G16099" t="s">
        <v>12</v>
      </c>
      <c r="I16099" t="s">
        <v>1428</v>
      </c>
    </row>
    <row r="16100" spans="1:9" hidden="1" x14ac:dyDescent="0.25">
      <c r="A16100" t="s">
        <v>13540</v>
      </c>
      <c r="B16100" t="s">
        <v>128</v>
      </c>
      <c r="C16100" s="2">
        <f>HYPERLINK("https://cao.dolgi.msk.ru/account/1080205974/", 1080205974)</f>
        <v>1080205974</v>
      </c>
      <c r="D16100" t="s">
        <v>13590</v>
      </c>
      <c r="E16100">
        <v>-8549.2000000000007</v>
      </c>
      <c r="F16100">
        <v>-1.37</v>
      </c>
      <c r="G16100" t="s">
        <v>12</v>
      </c>
      <c r="I16100" t="s">
        <v>1428</v>
      </c>
    </row>
    <row r="16101" spans="1:9" hidden="1" x14ac:dyDescent="0.25">
      <c r="A16101" t="s">
        <v>13540</v>
      </c>
      <c r="B16101" t="s">
        <v>130</v>
      </c>
      <c r="C16101" s="2">
        <f>HYPERLINK("https://cao.dolgi.msk.ru/account/1080205982/", 1080205982)</f>
        <v>1080205982</v>
      </c>
      <c r="D16101" t="s">
        <v>13591</v>
      </c>
      <c r="E16101">
        <v>-1242.0899999999999</v>
      </c>
      <c r="F16101">
        <v>-0.14000000000000001</v>
      </c>
      <c r="G16101" t="s">
        <v>12</v>
      </c>
      <c r="I16101" t="s">
        <v>1428</v>
      </c>
    </row>
    <row r="16102" spans="1:9" hidden="1" x14ac:dyDescent="0.25">
      <c r="A16102" t="s">
        <v>13540</v>
      </c>
      <c r="B16102" t="s">
        <v>132</v>
      </c>
      <c r="C16102" s="2">
        <f>HYPERLINK("https://cao.dolgi.msk.ru/account/1080206002/", 1080206002)</f>
        <v>1080206002</v>
      </c>
      <c r="D16102" t="s">
        <v>13592</v>
      </c>
      <c r="E16102">
        <v>-4730.04</v>
      </c>
      <c r="F16102">
        <v>-1.1100000000000001</v>
      </c>
      <c r="G16102" t="s">
        <v>12</v>
      </c>
      <c r="I16102" t="s">
        <v>1428</v>
      </c>
    </row>
    <row r="16103" spans="1:9" hidden="1" x14ac:dyDescent="0.25">
      <c r="A16103" t="s">
        <v>13540</v>
      </c>
      <c r="B16103" t="s">
        <v>133</v>
      </c>
      <c r="C16103" s="2">
        <f>HYPERLINK("https://cao.dolgi.msk.ru/account/1080206029/", 1080206029)</f>
        <v>1080206029</v>
      </c>
      <c r="D16103" t="s">
        <v>13593</v>
      </c>
      <c r="E16103">
        <v>-4725.3</v>
      </c>
      <c r="F16103">
        <v>-1.1299999999999999</v>
      </c>
      <c r="G16103" t="s">
        <v>12</v>
      </c>
      <c r="I16103" t="s">
        <v>1428</v>
      </c>
    </row>
    <row r="16104" spans="1:9" hidden="1" x14ac:dyDescent="0.25">
      <c r="A16104" t="s">
        <v>13540</v>
      </c>
      <c r="B16104" t="s">
        <v>135</v>
      </c>
      <c r="C16104" s="2">
        <f>HYPERLINK("https://cao.dolgi.msk.ru/account/1080206037/", 1080206037)</f>
        <v>1080206037</v>
      </c>
      <c r="D16104" t="s">
        <v>13594</v>
      </c>
      <c r="E16104">
        <v>0</v>
      </c>
      <c r="F16104">
        <v>0</v>
      </c>
      <c r="G16104" t="s">
        <v>12</v>
      </c>
      <c r="I16104" t="s">
        <v>1428</v>
      </c>
    </row>
    <row r="16105" spans="1:9" hidden="1" x14ac:dyDescent="0.25">
      <c r="A16105" t="s">
        <v>13540</v>
      </c>
      <c r="B16105" t="s">
        <v>137</v>
      </c>
      <c r="C16105" s="2">
        <f>HYPERLINK("https://cao.dolgi.msk.ru/account/1080206045/", 1080206045)</f>
        <v>1080206045</v>
      </c>
      <c r="D16105" t="s">
        <v>13595</v>
      </c>
      <c r="E16105">
        <v>-7084.33</v>
      </c>
      <c r="F16105">
        <v>-1.29</v>
      </c>
      <c r="G16105" t="s">
        <v>12</v>
      </c>
      <c r="I16105" t="s">
        <v>1428</v>
      </c>
    </row>
    <row r="16106" spans="1:9" x14ac:dyDescent="0.25">
      <c r="A16106" t="s">
        <v>13540</v>
      </c>
      <c r="B16106" t="s">
        <v>139</v>
      </c>
      <c r="C16106" s="2">
        <f>HYPERLINK("https://cao.dolgi.msk.ru/account/1080206053/", 1080206053)</f>
        <v>1080206053</v>
      </c>
      <c r="D16106" t="s">
        <v>13596</v>
      </c>
      <c r="E16106">
        <v>7177.77</v>
      </c>
      <c r="F16106">
        <v>1.32</v>
      </c>
      <c r="G16106" t="s">
        <v>12</v>
      </c>
      <c r="I16106" t="s">
        <v>1428</v>
      </c>
    </row>
    <row r="16107" spans="1:9" hidden="1" x14ac:dyDescent="0.25">
      <c r="A16107" t="s">
        <v>13540</v>
      </c>
      <c r="B16107" t="s">
        <v>141</v>
      </c>
      <c r="C16107" s="2">
        <f>HYPERLINK("https://cao.dolgi.msk.ru/account/1080206061/", 1080206061)</f>
        <v>1080206061</v>
      </c>
      <c r="D16107" t="s">
        <v>15</v>
      </c>
      <c r="E16107">
        <v>-7544.73</v>
      </c>
      <c r="F16107">
        <v>-1.06</v>
      </c>
      <c r="G16107" t="s">
        <v>12</v>
      </c>
      <c r="I16107" t="s">
        <v>1428</v>
      </c>
    </row>
    <row r="16108" spans="1:9" hidden="1" x14ac:dyDescent="0.25">
      <c r="A16108" t="s">
        <v>13540</v>
      </c>
      <c r="B16108" t="s">
        <v>143</v>
      </c>
      <c r="C16108" s="2">
        <f>HYPERLINK("https://cao.dolgi.msk.ru/account/1080206088/", 1080206088)</f>
        <v>1080206088</v>
      </c>
      <c r="D16108" t="s">
        <v>13597</v>
      </c>
      <c r="E16108">
        <v>-5047.07</v>
      </c>
      <c r="F16108">
        <v>-0.93</v>
      </c>
      <c r="G16108" t="s">
        <v>12</v>
      </c>
      <c r="I16108" t="s">
        <v>1428</v>
      </c>
    </row>
    <row r="16109" spans="1:9" hidden="1" x14ac:dyDescent="0.25">
      <c r="A16109" t="s">
        <v>13540</v>
      </c>
      <c r="B16109" t="s">
        <v>145</v>
      </c>
      <c r="C16109" s="2">
        <f>HYPERLINK("https://cao.dolgi.msk.ru/account/1080206096/", 1080206096)</f>
        <v>1080206096</v>
      </c>
      <c r="D16109" t="s">
        <v>13598</v>
      </c>
      <c r="E16109">
        <v>-7723.35</v>
      </c>
      <c r="F16109">
        <v>-1.06</v>
      </c>
      <c r="G16109" t="s">
        <v>12</v>
      </c>
      <c r="I16109" t="s">
        <v>1428</v>
      </c>
    </row>
    <row r="16110" spans="1:9" hidden="1" x14ac:dyDescent="0.25">
      <c r="A16110" t="s">
        <v>13540</v>
      </c>
      <c r="B16110" t="s">
        <v>147</v>
      </c>
      <c r="C16110" s="2">
        <f>HYPERLINK("https://cao.dolgi.msk.ru/account/1080206109/", 1080206109)</f>
        <v>1080206109</v>
      </c>
      <c r="D16110" t="s">
        <v>13599</v>
      </c>
      <c r="E16110">
        <v>64.69</v>
      </c>
      <c r="F16110">
        <v>0.02</v>
      </c>
      <c r="G16110" t="s">
        <v>12</v>
      </c>
      <c r="I16110" t="s">
        <v>1428</v>
      </c>
    </row>
    <row r="16111" spans="1:9" hidden="1" x14ac:dyDescent="0.25">
      <c r="A16111" t="s">
        <v>13540</v>
      </c>
      <c r="B16111" t="s">
        <v>149</v>
      </c>
      <c r="C16111" s="2">
        <f>HYPERLINK("https://cao.dolgi.msk.ru/account/1080206117/", 1080206117)</f>
        <v>1080206117</v>
      </c>
      <c r="D16111" t="s">
        <v>13600</v>
      </c>
      <c r="E16111">
        <v>-10638.71</v>
      </c>
      <c r="F16111">
        <v>-1.06</v>
      </c>
      <c r="G16111" t="s">
        <v>12</v>
      </c>
      <c r="I16111" t="s">
        <v>1428</v>
      </c>
    </row>
    <row r="16112" spans="1:9" hidden="1" x14ac:dyDescent="0.25">
      <c r="A16112" t="s">
        <v>13540</v>
      </c>
      <c r="B16112" t="s">
        <v>151</v>
      </c>
      <c r="C16112" s="2">
        <f>HYPERLINK("https://cao.dolgi.msk.ru/account/1080206125/", 1080206125)</f>
        <v>1080206125</v>
      </c>
      <c r="D16112" t="s">
        <v>13601</v>
      </c>
      <c r="E16112">
        <v>-508.58</v>
      </c>
      <c r="F16112">
        <v>-0.08</v>
      </c>
      <c r="G16112" t="s">
        <v>12</v>
      </c>
      <c r="I16112" t="s">
        <v>1428</v>
      </c>
    </row>
    <row r="16113" spans="1:9" hidden="1" x14ac:dyDescent="0.25">
      <c r="A16113" t="s">
        <v>13540</v>
      </c>
      <c r="B16113" t="s">
        <v>153</v>
      </c>
      <c r="C16113" s="2">
        <f>HYPERLINK("https://cao.dolgi.msk.ru/account/1080206133/", 1080206133)</f>
        <v>1080206133</v>
      </c>
      <c r="D16113" t="s">
        <v>13602</v>
      </c>
      <c r="E16113">
        <v>-5453.4</v>
      </c>
      <c r="F16113">
        <v>-1.17</v>
      </c>
      <c r="G16113" t="s">
        <v>12</v>
      </c>
      <c r="I16113" t="s">
        <v>1428</v>
      </c>
    </row>
    <row r="16114" spans="1:9" hidden="1" x14ac:dyDescent="0.25">
      <c r="A16114" t="s">
        <v>13540</v>
      </c>
      <c r="B16114" t="s">
        <v>155</v>
      </c>
      <c r="C16114" s="2">
        <f>HYPERLINK("https://cao.dolgi.msk.ru/account/1080206141/", 1080206141)</f>
        <v>1080206141</v>
      </c>
      <c r="D16114" t="s">
        <v>13603</v>
      </c>
      <c r="E16114">
        <v>-5939.7</v>
      </c>
      <c r="F16114">
        <v>-1.19</v>
      </c>
      <c r="G16114" t="s">
        <v>12</v>
      </c>
      <c r="I16114" t="s">
        <v>1428</v>
      </c>
    </row>
    <row r="16115" spans="1:9" hidden="1" x14ac:dyDescent="0.25">
      <c r="A16115" t="s">
        <v>13540</v>
      </c>
      <c r="B16115" t="s">
        <v>157</v>
      </c>
      <c r="C16115" s="2">
        <f>HYPERLINK("https://cao.dolgi.msk.ru/account/1080206168/", 1080206168)</f>
        <v>1080206168</v>
      </c>
      <c r="D16115" t="s">
        <v>13604</v>
      </c>
      <c r="E16115">
        <v>-9216.5300000000007</v>
      </c>
      <c r="F16115">
        <v>-1.07</v>
      </c>
      <c r="G16115" t="s">
        <v>12</v>
      </c>
      <c r="I16115" t="s">
        <v>1428</v>
      </c>
    </row>
    <row r="16116" spans="1:9" hidden="1" x14ac:dyDescent="0.25">
      <c r="A16116" t="s">
        <v>13540</v>
      </c>
      <c r="B16116" t="s">
        <v>159</v>
      </c>
      <c r="C16116" s="2">
        <f>HYPERLINK("https://cao.dolgi.msk.ru/account/1080206176/", 1080206176)</f>
        <v>1080206176</v>
      </c>
      <c r="D16116" t="s">
        <v>13605</v>
      </c>
      <c r="E16116">
        <v>-6044.04</v>
      </c>
      <c r="F16116">
        <v>-1.06</v>
      </c>
      <c r="G16116" t="s">
        <v>12</v>
      </c>
      <c r="I16116" t="s">
        <v>1428</v>
      </c>
    </row>
    <row r="16117" spans="1:9" hidden="1" x14ac:dyDescent="0.25">
      <c r="A16117" t="s">
        <v>13540</v>
      </c>
      <c r="B16117" t="s">
        <v>161</v>
      </c>
      <c r="C16117" s="2">
        <f>HYPERLINK("https://cao.dolgi.msk.ru/account/1080206184/", 1080206184)</f>
        <v>1080206184</v>
      </c>
      <c r="D16117" t="s">
        <v>13606</v>
      </c>
      <c r="E16117">
        <v>-0.06</v>
      </c>
      <c r="F16117">
        <v>0</v>
      </c>
      <c r="G16117" t="s">
        <v>12</v>
      </c>
      <c r="I16117" t="s">
        <v>1428</v>
      </c>
    </row>
    <row r="16118" spans="1:9" hidden="1" x14ac:dyDescent="0.25">
      <c r="A16118" t="s">
        <v>13540</v>
      </c>
      <c r="B16118" t="s">
        <v>163</v>
      </c>
      <c r="C16118" s="2">
        <f>HYPERLINK("https://cao.dolgi.msk.ru/account/1080206192/", 1080206192)</f>
        <v>1080206192</v>
      </c>
      <c r="D16118" t="s">
        <v>13607</v>
      </c>
      <c r="E16118">
        <v>-5447</v>
      </c>
      <c r="F16118">
        <v>-1.01</v>
      </c>
      <c r="G16118" t="s">
        <v>12</v>
      </c>
      <c r="I16118" t="s">
        <v>1428</v>
      </c>
    </row>
    <row r="16119" spans="1:9" hidden="1" x14ac:dyDescent="0.25">
      <c r="A16119" t="s">
        <v>13540</v>
      </c>
      <c r="B16119" t="s">
        <v>571</v>
      </c>
      <c r="C16119" s="2">
        <f>HYPERLINK("https://cao.dolgi.msk.ru/account/1080206205/", 1080206205)</f>
        <v>1080206205</v>
      </c>
      <c r="D16119" t="s">
        <v>13608</v>
      </c>
      <c r="E16119">
        <v>-6275.42</v>
      </c>
      <c r="F16119">
        <v>-1.0900000000000001</v>
      </c>
      <c r="G16119" t="s">
        <v>12</v>
      </c>
      <c r="I16119" t="s">
        <v>1428</v>
      </c>
    </row>
    <row r="16120" spans="1:9" hidden="1" x14ac:dyDescent="0.25">
      <c r="A16120" t="s">
        <v>13540</v>
      </c>
      <c r="B16120" t="s">
        <v>682</v>
      </c>
      <c r="C16120" s="2">
        <f>HYPERLINK("https://cao.dolgi.msk.ru/account/1080207611/", 1080207611)</f>
        <v>1080207611</v>
      </c>
      <c r="D16120" t="s">
        <v>13609</v>
      </c>
      <c r="E16120">
        <v>0</v>
      </c>
      <c r="F16120">
        <v>0</v>
      </c>
      <c r="G16120" t="s">
        <v>12</v>
      </c>
      <c r="I16120" t="s">
        <v>1428</v>
      </c>
    </row>
    <row r="16121" spans="1:9" hidden="1" x14ac:dyDescent="0.25">
      <c r="A16121" t="s">
        <v>13540</v>
      </c>
      <c r="B16121" t="s">
        <v>578</v>
      </c>
      <c r="C16121" s="2">
        <f>HYPERLINK("https://cao.dolgi.msk.ru/account/1080206213/", 1080206213)</f>
        <v>1080206213</v>
      </c>
      <c r="D16121" t="s">
        <v>13610</v>
      </c>
      <c r="E16121">
        <v>0</v>
      </c>
      <c r="F16121">
        <v>0</v>
      </c>
      <c r="G16121" t="s">
        <v>12</v>
      </c>
      <c r="I16121" t="s">
        <v>1428</v>
      </c>
    </row>
    <row r="16122" spans="1:9" hidden="1" x14ac:dyDescent="0.25">
      <c r="A16122" t="s">
        <v>13540</v>
      </c>
      <c r="B16122" t="s">
        <v>580</v>
      </c>
      <c r="C16122" s="2">
        <f>HYPERLINK("https://cao.dolgi.msk.ru/account/1080206256/", 1080206256)</f>
        <v>1080206256</v>
      </c>
      <c r="D16122" t="s">
        <v>13611</v>
      </c>
      <c r="E16122">
        <v>-5809.41</v>
      </c>
      <c r="F16122">
        <v>-1.1100000000000001</v>
      </c>
      <c r="G16122" t="s">
        <v>12</v>
      </c>
      <c r="I16122" t="s">
        <v>1428</v>
      </c>
    </row>
    <row r="16123" spans="1:9" hidden="1" x14ac:dyDescent="0.25">
      <c r="A16123" t="s">
        <v>13540</v>
      </c>
      <c r="B16123" t="s">
        <v>686</v>
      </c>
      <c r="C16123" s="2">
        <f>HYPERLINK("https://cao.dolgi.msk.ru/account/1080206221/", 1080206221)</f>
        <v>1080206221</v>
      </c>
      <c r="D16123" t="s">
        <v>13612</v>
      </c>
      <c r="E16123">
        <v>-18</v>
      </c>
      <c r="F16123">
        <v>0</v>
      </c>
      <c r="G16123" t="s">
        <v>12</v>
      </c>
      <c r="I16123" t="s">
        <v>1428</v>
      </c>
    </row>
    <row r="16124" spans="1:9" hidden="1" x14ac:dyDescent="0.25">
      <c r="A16124" t="s">
        <v>13540</v>
      </c>
      <c r="B16124" t="s">
        <v>582</v>
      </c>
      <c r="C16124" s="2">
        <f>HYPERLINK("https://cao.dolgi.msk.ru/account/1080206248/", 1080206248)</f>
        <v>1080206248</v>
      </c>
      <c r="D16124" t="s">
        <v>13613</v>
      </c>
      <c r="E16124">
        <v>-20940.3</v>
      </c>
      <c r="F16124">
        <v>-3.25</v>
      </c>
      <c r="G16124" t="s">
        <v>12</v>
      </c>
      <c r="I16124" t="s">
        <v>1428</v>
      </c>
    </row>
    <row r="16125" spans="1:9" hidden="1" x14ac:dyDescent="0.25">
      <c r="A16125" t="s">
        <v>13540</v>
      </c>
      <c r="B16125" t="s">
        <v>584</v>
      </c>
      <c r="C16125" s="2">
        <f>HYPERLINK("https://cao.dolgi.msk.ru/account/1080206264/", 1080206264)</f>
        <v>1080206264</v>
      </c>
      <c r="D16125" t="s">
        <v>13614</v>
      </c>
      <c r="E16125">
        <v>-8358.6299999999992</v>
      </c>
      <c r="F16125">
        <v>-1.1200000000000001</v>
      </c>
      <c r="G16125" t="s">
        <v>12</v>
      </c>
      <c r="I16125" t="s">
        <v>1428</v>
      </c>
    </row>
    <row r="16126" spans="1:9" hidden="1" x14ac:dyDescent="0.25">
      <c r="A16126" t="s">
        <v>13540</v>
      </c>
      <c r="B16126" t="s">
        <v>586</v>
      </c>
      <c r="C16126" s="2">
        <f>HYPERLINK("https://cao.dolgi.msk.ru/account/1080206272/", 1080206272)</f>
        <v>1080206272</v>
      </c>
      <c r="D16126" t="s">
        <v>15</v>
      </c>
      <c r="E16126">
        <v>-6855.37</v>
      </c>
      <c r="F16126">
        <v>-1.01</v>
      </c>
      <c r="G16126" t="s">
        <v>12</v>
      </c>
      <c r="I16126" t="s">
        <v>1428</v>
      </c>
    </row>
    <row r="16127" spans="1:9" hidden="1" x14ac:dyDescent="0.25">
      <c r="A16127" t="s">
        <v>13540</v>
      </c>
      <c r="B16127" t="s">
        <v>590</v>
      </c>
      <c r="C16127" s="2">
        <f>HYPERLINK("https://cao.dolgi.msk.ru/account/1080206299/", 1080206299)</f>
        <v>1080206299</v>
      </c>
      <c r="D16127" t="s">
        <v>13615</v>
      </c>
      <c r="E16127">
        <v>0</v>
      </c>
      <c r="F16127">
        <v>0</v>
      </c>
      <c r="G16127" t="s">
        <v>12</v>
      </c>
      <c r="I16127" t="s">
        <v>1428</v>
      </c>
    </row>
    <row r="16128" spans="1:9" hidden="1" x14ac:dyDescent="0.25">
      <c r="A16128" t="s">
        <v>13540</v>
      </c>
      <c r="B16128" t="s">
        <v>693</v>
      </c>
      <c r="C16128" s="2">
        <f>HYPERLINK("https://cao.dolgi.msk.ru/account/1080206301/", 1080206301)</f>
        <v>1080206301</v>
      </c>
      <c r="D16128" t="s">
        <v>13616</v>
      </c>
      <c r="E16128">
        <v>-204</v>
      </c>
      <c r="F16128">
        <v>-0.02</v>
      </c>
      <c r="G16128" t="s">
        <v>12</v>
      </c>
      <c r="I16128" t="s">
        <v>1428</v>
      </c>
    </row>
    <row r="16129" spans="1:9" hidden="1" x14ac:dyDescent="0.25">
      <c r="A16129" t="s">
        <v>13540</v>
      </c>
      <c r="B16129" t="s">
        <v>694</v>
      </c>
      <c r="C16129" s="2">
        <f>HYPERLINK("https://cao.dolgi.msk.ru/account/1080206328/", 1080206328)</f>
        <v>1080206328</v>
      </c>
      <c r="D16129" t="s">
        <v>13617</v>
      </c>
      <c r="E16129">
        <v>0</v>
      </c>
      <c r="F16129">
        <v>0</v>
      </c>
      <c r="G16129" t="s">
        <v>12</v>
      </c>
      <c r="I16129" t="s">
        <v>1428</v>
      </c>
    </row>
    <row r="16130" spans="1:9" hidden="1" x14ac:dyDescent="0.25">
      <c r="A16130" t="s">
        <v>13540</v>
      </c>
      <c r="B16130" t="s">
        <v>696</v>
      </c>
      <c r="C16130" s="2">
        <f>HYPERLINK("https://cao.dolgi.msk.ru/account/1080206336/", 1080206336)</f>
        <v>1080206336</v>
      </c>
      <c r="D16130" t="s">
        <v>13618</v>
      </c>
      <c r="E16130">
        <v>-11874.02</v>
      </c>
      <c r="F16130">
        <v>-1.62</v>
      </c>
      <c r="G16130" t="s">
        <v>12</v>
      </c>
      <c r="I16130" t="s">
        <v>1428</v>
      </c>
    </row>
    <row r="16131" spans="1:9" hidden="1" x14ac:dyDescent="0.25">
      <c r="A16131" t="s">
        <v>13540</v>
      </c>
      <c r="B16131" t="s">
        <v>698</v>
      </c>
      <c r="C16131" s="2">
        <f>HYPERLINK("https://cao.dolgi.msk.ru/account/1080206344/", 1080206344)</f>
        <v>1080206344</v>
      </c>
      <c r="D16131" t="s">
        <v>13619</v>
      </c>
      <c r="E16131">
        <v>-9355.58</v>
      </c>
      <c r="F16131">
        <v>-1.19</v>
      </c>
      <c r="G16131" t="s">
        <v>12</v>
      </c>
      <c r="I16131" t="s">
        <v>1428</v>
      </c>
    </row>
    <row r="16132" spans="1:9" hidden="1" x14ac:dyDescent="0.25">
      <c r="A16132" t="s">
        <v>13540</v>
      </c>
      <c r="B16132" t="s">
        <v>700</v>
      </c>
      <c r="C16132" s="2">
        <f>HYPERLINK("https://cao.dolgi.msk.ru/account/1080206352/", 1080206352)</f>
        <v>1080206352</v>
      </c>
      <c r="D16132" t="s">
        <v>13620</v>
      </c>
      <c r="E16132">
        <v>-8869.1299999999992</v>
      </c>
      <c r="F16132">
        <v>-1.96</v>
      </c>
      <c r="G16132" t="s">
        <v>12</v>
      </c>
      <c r="I16132" t="s">
        <v>1428</v>
      </c>
    </row>
    <row r="16133" spans="1:9" hidden="1" x14ac:dyDescent="0.25">
      <c r="A16133" t="s">
        <v>13540</v>
      </c>
      <c r="B16133" t="s">
        <v>702</v>
      </c>
      <c r="C16133" s="2">
        <f>HYPERLINK("https://cao.dolgi.msk.ru/account/1080206379/", 1080206379)</f>
        <v>1080206379</v>
      </c>
      <c r="D16133" t="s">
        <v>13621</v>
      </c>
      <c r="E16133">
        <v>0</v>
      </c>
      <c r="F16133">
        <v>0</v>
      </c>
      <c r="G16133" t="s">
        <v>12</v>
      </c>
      <c r="I16133" t="s">
        <v>1428</v>
      </c>
    </row>
    <row r="16134" spans="1:9" hidden="1" x14ac:dyDescent="0.25">
      <c r="A16134" t="s">
        <v>13540</v>
      </c>
      <c r="B16134" t="s">
        <v>703</v>
      </c>
      <c r="C16134" s="2">
        <f>HYPERLINK("https://cao.dolgi.msk.ru/account/1080206387/", 1080206387)</f>
        <v>1080206387</v>
      </c>
      <c r="D16134" t="s">
        <v>13622</v>
      </c>
      <c r="E16134">
        <v>-9756.5</v>
      </c>
      <c r="F16134">
        <v>-0.94</v>
      </c>
      <c r="G16134" t="s">
        <v>12</v>
      </c>
      <c r="I16134" t="s">
        <v>1428</v>
      </c>
    </row>
    <row r="16135" spans="1:9" hidden="1" x14ac:dyDescent="0.25">
      <c r="A16135" t="s">
        <v>13540</v>
      </c>
      <c r="B16135" t="s">
        <v>705</v>
      </c>
      <c r="C16135" s="2">
        <f>HYPERLINK("https://cao.dolgi.msk.ru/account/1080206395/", 1080206395)</f>
        <v>1080206395</v>
      </c>
      <c r="D16135" t="s">
        <v>13623</v>
      </c>
      <c r="E16135">
        <v>3191.11</v>
      </c>
      <c r="F16135">
        <v>0.6</v>
      </c>
      <c r="G16135" t="s">
        <v>12</v>
      </c>
      <c r="I16135" t="s">
        <v>1428</v>
      </c>
    </row>
    <row r="16136" spans="1:9" hidden="1" x14ac:dyDescent="0.25">
      <c r="A16136" t="s">
        <v>13540</v>
      </c>
      <c r="B16136" t="s">
        <v>707</v>
      </c>
      <c r="C16136" s="2">
        <f>HYPERLINK("https://cao.dolgi.msk.ru/account/1080206408/", 1080206408)</f>
        <v>1080206408</v>
      </c>
      <c r="D16136" t="s">
        <v>13624</v>
      </c>
      <c r="E16136">
        <v>-9236.7099999999991</v>
      </c>
      <c r="F16136">
        <v>-1.1100000000000001</v>
      </c>
      <c r="G16136" t="s">
        <v>12</v>
      </c>
      <c r="I16136" t="s">
        <v>1428</v>
      </c>
    </row>
    <row r="16137" spans="1:9" hidden="1" x14ac:dyDescent="0.25">
      <c r="A16137" t="s">
        <v>13540</v>
      </c>
      <c r="B16137" t="s">
        <v>709</v>
      </c>
      <c r="C16137" s="2">
        <f>HYPERLINK("https://cao.dolgi.msk.ru/account/1080206416/", 1080206416)</f>
        <v>1080206416</v>
      </c>
      <c r="D16137" t="s">
        <v>13625</v>
      </c>
      <c r="E16137">
        <v>-8437.01</v>
      </c>
      <c r="F16137">
        <v>-0.97</v>
      </c>
      <c r="G16137" t="s">
        <v>12</v>
      </c>
      <c r="I16137" t="s">
        <v>1428</v>
      </c>
    </row>
    <row r="16138" spans="1:9" hidden="1" x14ac:dyDescent="0.25">
      <c r="A16138" t="s">
        <v>13540</v>
      </c>
      <c r="B16138" t="s">
        <v>709</v>
      </c>
      <c r="C16138" s="2">
        <f>HYPERLINK("https://cao.dolgi.msk.ru/account/1080206424/", 1080206424)</f>
        <v>1080206424</v>
      </c>
      <c r="D16138" t="s">
        <v>15</v>
      </c>
      <c r="E16138">
        <v>0</v>
      </c>
      <c r="G16138" t="s">
        <v>14</v>
      </c>
      <c r="I16138" t="s">
        <v>1428</v>
      </c>
    </row>
    <row r="16139" spans="1:9" hidden="1" x14ac:dyDescent="0.25">
      <c r="A16139" t="s">
        <v>13540</v>
      </c>
      <c r="B16139" t="s">
        <v>711</v>
      </c>
      <c r="C16139" s="2">
        <f>HYPERLINK("https://cao.dolgi.msk.ru/account/1080206432/", 1080206432)</f>
        <v>1080206432</v>
      </c>
      <c r="D16139" t="s">
        <v>13626</v>
      </c>
      <c r="E16139">
        <v>-3956.35</v>
      </c>
      <c r="F16139">
        <v>-1.06</v>
      </c>
      <c r="G16139" t="s">
        <v>12</v>
      </c>
      <c r="I16139" t="s">
        <v>1428</v>
      </c>
    </row>
    <row r="16140" spans="1:9" hidden="1" x14ac:dyDescent="0.25">
      <c r="A16140" t="s">
        <v>13540</v>
      </c>
      <c r="B16140" t="s">
        <v>713</v>
      </c>
      <c r="C16140" s="2">
        <f>HYPERLINK("https://cao.dolgi.msk.ru/account/1080206459/", 1080206459)</f>
        <v>1080206459</v>
      </c>
      <c r="D16140" t="s">
        <v>13627</v>
      </c>
      <c r="E16140">
        <v>-7377.47</v>
      </c>
      <c r="F16140">
        <v>-1.1499999999999999</v>
      </c>
      <c r="G16140" t="s">
        <v>12</v>
      </c>
      <c r="H16140" t="s">
        <v>7</v>
      </c>
      <c r="I16140" t="s">
        <v>1428</v>
      </c>
    </row>
    <row r="16141" spans="1:9" hidden="1" x14ac:dyDescent="0.25">
      <c r="A16141" t="s">
        <v>13540</v>
      </c>
      <c r="B16141" t="s">
        <v>713</v>
      </c>
      <c r="C16141" s="2">
        <f>HYPERLINK("https://cao.dolgi.msk.ru/account/1080206467/", 1080206467)</f>
        <v>1080206467</v>
      </c>
      <c r="D16141" t="s">
        <v>13627</v>
      </c>
      <c r="E16141">
        <v>-4721.4799999999996</v>
      </c>
      <c r="F16141">
        <v>-1.66</v>
      </c>
      <c r="G16141" t="s">
        <v>12</v>
      </c>
      <c r="H16141" t="s">
        <v>7</v>
      </c>
      <c r="I16141" t="s">
        <v>1428</v>
      </c>
    </row>
    <row r="16142" spans="1:9" hidden="1" x14ac:dyDescent="0.25">
      <c r="A16142" t="s">
        <v>13540</v>
      </c>
      <c r="B16142" t="s">
        <v>528</v>
      </c>
      <c r="C16142" s="2">
        <f>HYPERLINK("https://cao.dolgi.msk.ru/account/1080206475/", 1080206475)</f>
        <v>1080206475</v>
      </c>
      <c r="D16142" t="s">
        <v>13628</v>
      </c>
      <c r="E16142">
        <v>-10082.709999999999</v>
      </c>
      <c r="F16142">
        <v>-1.08</v>
      </c>
      <c r="G16142" t="s">
        <v>12</v>
      </c>
      <c r="I16142" t="s">
        <v>1428</v>
      </c>
    </row>
    <row r="16143" spans="1:9" hidden="1" x14ac:dyDescent="0.25">
      <c r="A16143" t="s">
        <v>13540</v>
      </c>
      <c r="B16143" t="s">
        <v>530</v>
      </c>
      <c r="C16143" s="2">
        <f>HYPERLINK("https://cao.dolgi.msk.ru/account/1080206483/", 1080206483)</f>
        <v>1080206483</v>
      </c>
      <c r="D16143" t="s">
        <v>13629</v>
      </c>
      <c r="E16143">
        <v>-483.99</v>
      </c>
      <c r="F16143">
        <v>-0.11</v>
      </c>
      <c r="G16143" t="s">
        <v>12</v>
      </c>
      <c r="I16143" t="s">
        <v>1428</v>
      </c>
    </row>
    <row r="16144" spans="1:9" hidden="1" x14ac:dyDescent="0.25">
      <c r="A16144" t="s">
        <v>13540</v>
      </c>
      <c r="B16144" t="s">
        <v>532</v>
      </c>
      <c r="C16144" s="2">
        <f>HYPERLINK("https://cao.dolgi.msk.ru/account/1080206491/", 1080206491)</f>
        <v>1080206491</v>
      </c>
      <c r="D16144" t="s">
        <v>13630</v>
      </c>
      <c r="E16144">
        <v>-24983.02</v>
      </c>
      <c r="F16144">
        <v>-3.58</v>
      </c>
      <c r="G16144" t="s">
        <v>12</v>
      </c>
      <c r="I16144" t="s">
        <v>1428</v>
      </c>
    </row>
    <row r="16145" spans="1:9" hidden="1" x14ac:dyDescent="0.25">
      <c r="A16145" t="s">
        <v>13540</v>
      </c>
      <c r="B16145" t="s">
        <v>534</v>
      </c>
      <c r="C16145" s="2">
        <f>HYPERLINK("https://cao.dolgi.msk.ru/account/1080206504/", 1080206504)</f>
        <v>1080206504</v>
      </c>
      <c r="D16145" t="s">
        <v>13631</v>
      </c>
      <c r="E16145">
        <v>0</v>
      </c>
      <c r="F16145">
        <v>0</v>
      </c>
      <c r="G16145" t="s">
        <v>12</v>
      </c>
      <c r="I16145" t="s">
        <v>1428</v>
      </c>
    </row>
    <row r="16146" spans="1:9" hidden="1" x14ac:dyDescent="0.25">
      <c r="A16146" t="s">
        <v>13540</v>
      </c>
      <c r="B16146" t="s">
        <v>534</v>
      </c>
      <c r="C16146" s="2">
        <f>HYPERLINK("https://cao.dolgi.msk.ru/account/1083393974/", 1083393974)</f>
        <v>1083393974</v>
      </c>
      <c r="D16146" t="s">
        <v>189</v>
      </c>
      <c r="E16146">
        <v>-4318.88</v>
      </c>
      <c r="F16146">
        <v>-2.13</v>
      </c>
      <c r="G16146" t="s">
        <v>12</v>
      </c>
      <c r="I16146" t="s">
        <v>1428</v>
      </c>
    </row>
    <row r="16147" spans="1:9" hidden="1" x14ac:dyDescent="0.25">
      <c r="A16147" t="s">
        <v>13540</v>
      </c>
      <c r="B16147" t="s">
        <v>534</v>
      </c>
      <c r="C16147" s="2">
        <f>HYPERLINK("https://cao.dolgi.msk.ru/account/1083393982/", 1083393982)</f>
        <v>1083393982</v>
      </c>
      <c r="D16147" t="s">
        <v>189</v>
      </c>
      <c r="E16147">
        <v>-3738.37</v>
      </c>
      <c r="F16147">
        <v>-2.29</v>
      </c>
      <c r="G16147" t="s">
        <v>12</v>
      </c>
      <c r="I16147" t="s">
        <v>1428</v>
      </c>
    </row>
    <row r="16148" spans="1:9" hidden="1" x14ac:dyDescent="0.25">
      <c r="A16148" t="s">
        <v>13540</v>
      </c>
      <c r="B16148" t="s">
        <v>536</v>
      </c>
      <c r="C16148" s="2">
        <f>HYPERLINK("https://cao.dolgi.msk.ru/account/1080206512/", 1080206512)</f>
        <v>1080206512</v>
      </c>
      <c r="D16148" t="s">
        <v>13632</v>
      </c>
      <c r="E16148">
        <v>-7243.24</v>
      </c>
      <c r="F16148">
        <v>-1.1000000000000001</v>
      </c>
      <c r="G16148" t="s">
        <v>12</v>
      </c>
      <c r="I16148" t="s">
        <v>1428</v>
      </c>
    </row>
    <row r="16149" spans="1:9" hidden="1" x14ac:dyDescent="0.25">
      <c r="A16149" t="s">
        <v>13540</v>
      </c>
      <c r="B16149" t="s">
        <v>538</v>
      </c>
      <c r="C16149" s="2">
        <f>HYPERLINK("https://cao.dolgi.msk.ru/account/1080206539/", 1080206539)</f>
        <v>1080206539</v>
      </c>
      <c r="D16149" t="s">
        <v>13633</v>
      </c>
      <c r="E16149">
        <v>-14779.96</v>
      </c>
      <c r="F16149">
        <v>-0.96</v>
      </c>
      <c r="G16149" t="s">
        <v>12</v>
      </c>
      <c r="I16149" t="s">
        <v>1428</v>
      </c>
    </row>
    <row r="16150" spans="1:9" x14ac:dyDescent="0.25">
      <c r="A16150" t="s">
        <v>13540</v>
      </c>
      <c r="B16150" t="s">
        <v>539</v>
      </c>
      <c r="C16150" s="2">
        <f>HYPERLINK("https://cao.dolgi.msk.ru/account/1080206555/", 1080206555)</f>
        <v>1080206555</v>
      </c>
      <c r="D16150" t="s">
        <v>15</v>
      </c>
      <c r="E16150">
        <v>24401.37</v>
      </c>
      <c r="F16150">
        <v>1.32</v>
      </c>
      <c r="G16150" t="s">
        <v>12</v>
      </c>
      <c r="I16150" t="s">
        <v>1428</v>
      </c>
    </row>
    <row r="16151" spans="1:9" x14ac:dyDescent="0.25">
      <c r="A16151" t="s">
        <v>13540</v>
      </c>
      <c r="B16151" t="s">
        <v>541</v>
      </c>
      <c r="C16151" s="2">
        <f>HYPERLINK("https://cao.dolgi.msk.ru/account/1080206547/", 1080206547)</f>
        <v>1080206547</v>
      </c>
      <c r="D16151" t="s">
        <v>15</v>
      </c>
      <c r="E16151">
        <v>10454.99</v>
      </c>
      <c r="F16151">
        <v>1.87</v>
      </c>
      <c r="G16151" t="s">
        <v>12</v>
      </c>
      <c r="I16151" t="s">
        <v>1428</v>
      </c>
    </row>
    <row r="16152" spans="1:9" hidden="1" x14ac:dyDescent="0.25">
      <c r="A16152" t="s">
        <v>13540</v>
      </c>
      <c r="B16152" t="s">
        <v>543</v>
      </c>
      <c r="C16152" s="2">
        <f>HYPERLINK("https://cao.dolgi.msk.ru/account/1080206563/", 1080206563)</f>
        <v>1080206563</v>
      </c>
      <c r="D16152" t="s">
        <v>13634</v>
      </c>
      <c r="E16152">
        <v>-7737.45</v>
      </c>
      <c r="F16152">
        <v>-1.2</v>
      </c>
      <c r="G16152" t="s">
        <v>12</v>
      </c>
      <c r="I16152" t="s">
        <v>1428</v>
      </c>
    </row>
    <row r="16153" spans="1:9" hidden="1" x14ac:dyDescent="0.25">
      <c r="A16153" t="s">
        <v>13540</v>
      </c>
      <c r="B16153" t="s">
        <v>545</v>
      </c>
      <c r="C16153" s="2">
        <f>HYPERLINK("https://cao.dolgi.msk.ru/account/1080206571/", 1080206571)</f>
        <v>1080206571</v>
      </c>
      <c r="D16153" t="s">
        <v>13635</v>
      </c>
      <c r="E16153">
        <v>-6967.67</v>
      </c>
      <c r="F16153">
        <v>-1.1499999999999999</v>
      </c>
      <c r="G16153" t="s">
        <v>12</v>
      </c>
      <c r="I16153" t="s">
        <v>1428</v>
      </c>
    </row>
    <row r="16154" spans="1:9" hidden="1" x14ac:dyDescent="0.25">
      <c r="A16154" t="s">
        <v>13540</v>
      </c>
      <c r="B16154" t="s">
        <v>546</v>
      </c>
      <c r="C16154" s="2">
        <f>HYPERLINK("https://cao.dolgi.msk.ru/account/1080206598/", 1080206598)</f>
        <v>1080206598</v>
      </c>
      <c r="D16154" t="s">
        <v>15</v>
      </c>
      <c r="E16154">
        <v>-2042.61</v>
      </c>
      <c r="F16154">
        <v>-0.35</v>
      </c>
      <c r="G16154" t="s">
        <v>12</v>
      </c>
      <c r="I16154" t="s">
        <v>1428</v>
      </c>
    </row>
    <row r="16155" spans="1:9" hidden="1" x14ac:dyDescent="0.25">
      <c r="A16155" t="s">
        <v>13540</v>
      </c>
      <c r="B16155" t="s">
        <v>548</v>
      </c>
      <c r="C16155" s="2">
        <f>HYPERLINK("https://cao.dolgi.msk.ru/account/1080206619/", 1080206619)</f>
        <v>1080206619</v>
      </c>
      <c r="D16155" t="s">
        <v>13636</v>
      </c>
      <c r="E16155">
        <v>-6722.54</v>
      </c>
      <c r="F16155">
        <v>-1.06</v>
      </c>
      <c r="G16155" t="s">
        <v>12</v>
      </c>
      <c r="I16155" t="s">
        <v>1428</v>
      </c>
    </row>
    <row r="16156" spans="1:9" hidden="1" x14ac:dyDescent="0.25">
      <c r="A16156" t="s">
        <v>13540</v>
      </c>
      <c r="B16156" t="s">
        <v>727</v>
      </c>
      <c r="C16156" s="2">
        <f>HYPERLINK("https://cao.dolgi.msk.ru/account/1080206627/", 1080206627)</f>
        <v>1080206627</v>
      </c>
      <c r="D16156" t="s">
        <v>13637</v>
      </c>
      <c r="E16156">
        <v>-5415.78</v>
      </c>
      <c r="F16156">
        <v>-1.08</v>
      </c>
      <c r="G16156" t="s">
        <v>12</v>
      </c>
      <c r="I16156" t="s">
        <v>1428</v>
      </c>
    </row>
    <row r="16157" spans="1:9" hidden="1" x14ac:dyDescent="0.25">
      <c r="A16157" t="s">
        <v>13540</v>
      </c>
      <c r="B16157" t="s">
        <v>551</v>
      </c>
      <c r="C16157" s="2">
        <f>HYPERLINK("https://cao.dolgi.msk.ru/account/1080206635/", 1080206635)</f>
        <v>1080206635</v>
      </c>
      <c r="D16157" t="s">
        <v>13638</v>
      </c>
      <c r="E16157">
        <v>-194.5</v>
      </c>
      <c r="F16157">
        <v>-0.13</v>
      </c>
      <c r="G16157" t="s">
        <v>12</v>
      </c>
      <c r="I16157" t="s">
        <v>1428</v>
      </c>
    </row>
    <row r="16158" spans="1:9" hidden="1" x14ac:dyDescent="0.25">
      <c r="A16158" t="s">
        <v>13540</v>
      </c>
      <c r="B16158" t="s">
        <v>730</v>
      </c>
      <c r="C16158" s="2">
        <f>HYPERLINK("https://cao.dolgi.msk.ru/account/1080206643/", 1080206643)</f>
        <v>1080206643</v>
      </c>
      <c r="D16158" t="s">
        <v>13639</v>
      </c>
      <c r="E16158">
        <v>-7961.96</v>
      </c>
      <c r="F16158">
        <v>-1.48</v>
      </c>
      <c r="G16158" t="s">
        <v>12</v>
      </c>
      <c r="I16158" t="s">
        <v>1428</v>
      </c>
    </row>
    <row r="16159" spans="1:9" hidden="1" x14ac:dyDescent="0.25">
      <c r="A16159" t="s">
        <v>13540</v>
      </c>
      <c r="B16159" t="s">
        <v>732</v>
      </c>
      <c r="C16159" s="2">
        <f>HYPERLINK("https://cao.dolgi.msk.ru/account/1080206651/", 1080206651)</f>
        <v>1080206651</v>
      </c>
      <c r="D16159" t="s">
        <v>13640</v>
      </c>
      <c r="E16159">
        <v>-3524.58</v>
      </c>
      <c r="F16159">
        <v>-1.06</v>
      </c>
      <c r="G16159" t="s">
        <v>12</v>
      </c>
      <c r="I16159" t="s">
        <v>1428</v>
      </c>
    </row>
    <row r="16160" spans="1:9" hidden="1" x14ac:dyDescent="0.25">
      <c r="A16160" t="s">
        <v>13540</v>
      </c>
      <c r="B16160" t="s">
        <v>553</v>
      </c>
      <c r="C16160" s="2">
        <f>HYPERLINK("https://cao.dolgi.msk.ru/account/1080206678/", 1080206678)</f>
        <v>1080206678</v>
      </c>
      <c r="D16160" t="s">
        <v>13641</v>
      </c>
      <c r="E16160">
        <v>-7511.28</v>
      </c>
      <c r="F16160">
        <v>-1.1399999999999999</v>
      </c>
      <c r="G16160" t="s">
        <v>12</v>
      </c>
      <c r="I16160" t="s">
        <v>1428</v>
      </c>
    </row>
    <row r="16161" spans="1:9" hidden="1" x14ac:dyDescent="0.25">
      <c r="A16161" t="s">
        <v>13540</v>
      </c>
      <c r="B16161" t="s">
        <v>555</v>
      </c>
      <c r="C16161" s="2">
        <f>HYPERLINK("https://cao.dolgi.msk.ru/account/1080206686/", 1080206686)</f>
        <v>1080206686</v>
      </c>
      <c r="D16161" t="s">
        <v>13642</v>
      </c>
      <c r="E16161">
        <v>-7865.58</v>
      </c>
      <c r="F16161">
        <v>-1.18</v>
      </c>
      <c r="G16161" t="s">
        <v>12</v>
      </c>
      <c r="I16161" t="s">
        <v>1428</v>
      </c>
    </row>
    <row r="16162" spans="1:9" hidden="1" x14ac:dyDescent="0.25">
      <c r="A16162" t="s">
        <v>13540</v>
      </c>
      <c r="B16162" t="s">
        <v>736</v>
      </c>
      <c r="C16162" s="2">
        <f>HYPERLINK("https://cao.dolgi.msk.ru/account/1080206707/", 1080206707)</f>
        <v>1080206707</v>
      </c>
      <c r="D16162" t="s">
        <v>13643</v>
      </c>
      <c r="E16162">
        <v>-1324.36</v>
      </c>
      <c r="F16162">
        <v>-0.15</v>
      </c>
      <c r="G16162" t="s">
        <v>12</v>
      </c>
      <c r="I16162" t="s">
        <v>1428</v>
      </c>
    </row>
    <row r="16163" spans="1:9" hidden="1" x14ac:dyDescent="0.25">
      <c r="A16163" t="s">
        <v>13540</v>
      </c>
      <c r="B16163" t="s">
        <v>738</v>
      </c>
      <c r="C16163" s="2">
        <f>HYPERLINK("https://cao.dolgi.msk.ru/account/1080206715/", 1080206715)</f>
        <v>1080206715</v>
      </c>
      <c r="D16163" t="s">
        <v>13644</v>
      </c>
      <c r="E16163">
        <v>-7294.79</v>
      </c>
      <c r="F16163">
        <v>-1.1599999999999999</v>
      </c>
      <c r="G16163" t="s">
        <v>12</v>
      </c>
      <c r="I16163" t="s">
        <v>1428</v>
      </c>
    </row>
    <row r="16164" spans="1:9" hidden="1" x14ac:dyDescent="0.25">
      <c r="A16164" t="s">
        <v>13540</v>
      </c>
      <c r="B16164" t="s">
        <v>740</v>
      </c>
      <c r="C16164" s="2">
        <f>HYPERLINK("https://cao.dolgi.msk.ru/account/1080206723/", 1080206723)</f>
        <v>1080206723</v>
      </c>
      <c r="D16164" t="s">
        <v>13645</v>
      </c>
      <c r="E16164">
        <v>-4265.4399999999996</v>
      </c>
      <c r="F16164">
        <v>-1.06</v>
      </c>
      <c r="G16164" t="s">
        <v>12</v>
      </c>
      <c r="I16164" t="s">
        <v>1428</v>
      </c>
    </row>
    <row r="16165" spans="1:9" hidden="1" x14ac:dyDescent="0.25">
      <c r="A16165" t="s">
        <v>13540</v>
      </c>
      <c r="B16165" t="s">
        <v>742</v>
      </c>
      <c r="C16165" s="2">
        <f>HYPERLINK("https://cao.dolgi.msk.ru/account/1080206731/", 1080206731)</f>
        <v>1080206731</v>
      </c>
      <c r="D16165" t="s">
        <v>13646</v>
      </c>
      <c r="E16165">
        <v>-10467.43</v>
      </c>
      <c r="F16165">
        <v>-0.92</v>
      </c>
      <c r="G16165" t="s">
        <v>12</v>
      </c>
      <c r="I16165" t="s">
        <v>1428</v>
      </c>
    </row>
    <row r="16166" spans="1:9" hidden="1" x14ac:dyDescent="0.25">
      <c r="A16166" t="s">
        <v>13540</v>
      </c>
      <c r="B16166" t="s">
        <v>557</v>
      </c>
      <c r="C16166" s="2">
        <f>HYPERLINK("https://cao.dolgi.msk.ru/account/1080206758/", 1080206758)</f>
        <v>1080206758</v>
      </c>
      <c r="D16166" t="s">
        <v>13647</v>
      </c>
      <c r="E16166">
        <v>-11353.96</v>
      </c>
      <c r="F16166">
        <v>-2.13</v>
      </c>
      <c r="G16166" t="s">
        <v>12</v>
      </c>
      <c r="I16166" t="s">
        <v>1428</v>
      </c>
    </row>
    <row r="16167" spans="1:9" hidden="1" x14ac:dyDescent="0.25">
      <c r="A16167" t="s">
        <v>13540</v>
      </c>
      <c r="B16167" t="s">
        <v>557</v>
      </c>
      <c r="C16167" s="2">
        <f>HYPERLINK("https://cao.dolgi.msk.ru/account/1080322652/", 1080322652)</f>
        <v>1080322652</v>
      </c>
      <c r="D16167" t="s">
        <v>13648</v>
      </c>
      <c r="E16167">
        <v>-2384.37</v>
      </c>
      <c r="F16167">
        <v>-1.23</v>
      </c>
      <c r="G16167" t="s">
        <v>12</v>
      </c>
      <c r="I16167" t="s">
        <v>1428</v>
      </c>
    </row>
    <row r="16168" spans="1:9" hidden="1" x14ac:dyDescent="0.25">
      <c r="A16168" t="s">
        <v>13540</v>
      </c>
      <c r="B16168" t="s">
        <v>558</v>
      </c>
      <c r="C16168" s="2">
        <f>HYPERLINK("https://cao.dolgi.msk.ru/account/1080206766/", 1080206766)</f>
        <v>1080206766</v>
      </c>
      <c r="D16168" t="s">
        <v>13649</v>
      </c>
      <c r="E16168">
        <v>-5601.4</v>
      </c>
      <c r="F16168">
        <v>-1.1299999999999999</v>
      </c>
      <c r="G16168" t="s">
        <v>12</v>
      </c>
      <c r="I16168" t="s">
        <v>1428</v>
      </c>
    </row>
    <row r="16169" spans="1:9" hidden="1" x14ac:dyDescent="0.25">
      <c r="A16169" t="s">
        <v>13540</v>
      </c>
      <c r="B16169" t="s">
        <v>746</v>
      </c>
      <c r="C16169" s="2">
        <f>HYPERLINK("https://cao.dolgi.msk.ru/account/1080206774/", 1080206774)</f>
        <v>1080206774</v>
      </c>
      <c r="D16169" t="s">
        <v>13650</v>
      </c>
      <c r="E16169">
        <v>-947.41</v>
      </c>
      <c r="F16169">
        <v>-0.23</v>
      </c>
      <c r="G16169" t="s">
        <v>12</v>
      </c>
      <c r="I16169" t="s">
        <v>1428</v>
      </c>
    </row>
    <row r="16170" spans="1:9" hidden="1" x14ac:dyDescent="0.25">
      <c r="A16170" t="s">
        <v>13540</v>
      </c>
      <c r="B16170" t="s">
        <v>748</v>
      </c>
      <c r="C16170" s="2">
        <f>HYPERLINK("https://cao.dolgi.msk.ru/account/1080206782/", 1080206782)</f>
        <v>1080206782</v>
      </c>
      <c r="D16170" t="s">
        <v>13651</v>
      </c>
      <c r="E16170">
        <v>-7262.78</v>
      </c>
      <c r="F16170">
        <v>-1.03</v>
      </c>
      <c r="G16170" t="s">
        <v>12</v>
      </c>
      <c r="I16170" t="s">
        <v>1428</v>
      </c>
    </row>
    <row r="16171" spans="1:9" hidden="1" x14ac:dyDescent="0.25">
      <c r="A16171" t="s">
        <v>13540</v>
      </c>
      <c r="B16171" t="s">
        <v>750</v>
      </c>
      <c r="C16171" s="2">
        <f>HYPERLINK("https://cao.dolgi.msk.ru/account/1080206803/", 1080206803)</f>
        <v>1080206803</v>
      </c>
      <c r="D16171" t="s">
        <v>13652</v>
      </c>
      <c r="E16171">
        <v>2413.9699999999998</v>
      </c>
      <c r="F16171">
        <v>0.38</v>
      </c>
      <c r="G16171" t="s">
        <v>12</v>
      </c>
      <c r="I16171" t="s">
        <v>1428</v>
      </c>
    </row>
    <row r="16172" spans="1:9" hidden="1" x14ac:dyDescent="0.25">
      <c r="A16172" t="s">
        <v>13540</v>
      </c>
      <c r="B16172" t="s">
        <v>752</v>
      </c>
      <c r="C16172" s="2">
        <f>HYPERLINK("https://cao.dolgi.msk.ru/account/1080206811/", 1080206811)</f>
        <v>1080206811</v>
      </c>
      <c r="D16172" t="s">
        <v>13653</v>
      </c>
      <c r="E16172">
        <v>16.52</v>
      </c>
      <c r="F16172">
        <v>0</v>
      </c>
      <c r="G16172" t="s">
        <v>12</v>
      </c>
      <c r="I16172" t="s">
        <v>1428</v>
      </c>
    </row>
    <row r="16173" spans="1:9" hidden="1" x14ac:dyDescent="0.25">
      <c r="A16173" t="s">
        <v>13540</v>
      </c>
      <c r="B16173" t="s">
        <v>754</v>
      </c>
      <c r="C16173" s="2">
        <f>HYPERLINK("https://cao.dolgi.msk.ru/account/1080206838/", 1080206838)</f>
        <v>1080206838</v>
      </c>
      <c r="D16173" t="s">
        <v>13654</v>
      </c>
      <c r="E16173">
        <v>-2976.39</v>
      </c>
      <c r="F16173">
        <v>-1.06</v>
      </c>
      <c r="G16173" t="s">
        <v>12</v>
      </c>
      <c r="I16173" t="s">
        <v>1428</v>
      </c>
    </row>
    <row r="16174" spans="1:9" hidden="1" x14ac:dyDescent="0.25">
      <c r="A16174" t="s">
        <v>13540</v>
      </c>
      <c r="B16174" t="s">
        <v>754</v>
      </c>
      <c r="C16174" s="2">
        <f>HYPERLINK("https://cao.dolgi.msk.ru/account/1083269025/", 1083269025)</f>
        <v>1083269025</v>
      </c>
      <c r="D16174" t="s">
        <v>15</v>
      </c>
      <c r="E16174">
        <v>-4418.22</v>
      </c>
      <c r="F16174">
        <v>-1.54</v>
      </c>
      <c r="G16174" t="s">
        <v>12</v>
      </c>
      <c r="I16174" t="s">
        <v>1428</v>
      </c>
    </row>
    <row r="16175" spans="1:9" hidden="1" x14ac:dyDescent="0.25">
      <c r="A16175" t="s">
        <v>13540</v>
      </c>
      <c r="B16175" t="s">
        <v>756</v>
      </c>
      <c r="C16175" s="2">
        <f>HYPERLINK("https://cao.dolgi.msk.ru/account/1080206846/", 1080206846)</f>
        <v>1080206846</v>
      </c>
      <c r="D16175" t="s">
        <v>13655</v>
      </c>
      <c r="E16175">
        <v>-5695.1</v>
      </c>
      <c r="F16175">
        <v>-1.1100000000000001</v>
      </c>
      <c r="G16175" t="s">
        <v>12</v>
      </c>
      <c r="I16175" t="s">
        <v>1428</v>
      </c>
    </row>
    <row r="16176" spans="1:9" hidden="1" x14ac:dyDescent="0.25">
      <c r="A16176" t="s">
        <v>13540</v>
      </c>
      <c r="B16176" t="s">
        <v>758</v>
      </c>
      <c r="C16176" s="2">
        <f>HYPERLINK("https://cao.dolgi.msk.ru/account/1080206854/", 1080206854)</f>
        <v>1080206854</v>
      </c>
      <c r="D16176" t="s">
        <v>13656</v>
      </c>
      <c r="E16176">
        <v>-11499.91</v>
      </c>
      <c r="F16176">
        <v>-1.08</v>
      </c>
      <c r="G16176" t="s">
        <v>12</v>
      </c>
      <c r="I16176" t="s">
        <v>1428</v>
      </c>
    </row>
    <row r="16177" spans="1:9" hidden="1" x14ac:dyDescent="0.25">
      <c r="A16177" t="s">
        <v>13540</v>
      </c>
      <c r="B16177" t="s">
        <v>760</v>
      </c>
      <c r="C16177" s="2">
        <f>HYPERLINK("https://cao.dolgi.msk.ru/account/1080206862/", 1080206862)</f>
        <v>1080206862</v>
      </c>
      <c r="D16177" t="s">
        <v>15</v>
      </c>
      <c r="E16177">
        <v>-13357.64</v>
      </c>
      <c r="F16177">
        <v>-2.67</v>
      </c>
      <c r="G16177" t="s">
        <v>12</v>
      </c>
      <c r="I16177" t="s">
        <v>1428</v>
      </c>
    </row>
    <row r="16178" spans="1:9" x14ac:dyDescent="0.25">
      <c r="A16178" t="s">
        <v>13540</v>
      </c>
      <c r="B16178" t="s">
        <v>762</v>
      </c>
      <c r="C16178" s="2">
        <f>HYPERLINK("https://cao.dolgi.msk.ru/account/1080206889/", 1080206889)</f>
        <v>1080206889</v>
      </c>
      <c r="D16178" t="s">
        <v>13657</v>
      </c>
      <c r="E16178">
        <v>16814.11</v>
      </c>
      <c r="F16178">
        <v>2.17</v>
      </c>
      <c r="G16178" t="s">
        <v>12</v>
      </c>
      <c r="I16178" t="s">
        <v>1428</v>
      </c>
    </row>
    <row r="16179" spans="1:9" hidden="1" x14ac:dyDescent="0.25">
      <c r="A16179" t="s">
        <v>13540</v>
      </c>
      <c r="B16179" t="s">
        <v>764</v>
      </c>
      <c r="C16179" s="2">
        <f>HYPERLINK("https://cao.dolgi.msk.ru/account/1080206897/", 1080206897)</f>
        <v>1080206897</v>
      </c>
      <c r="D16179" t="s">
        <v>13658</v>
      </c>
      <c r="E16179">
        <v>-4732.8599999999997</v>
      </c>
      <c r="F16179">
        <v>-0.92</v>
      </c>
      <c r="G16179" t="s">
        <v>12</v>
      </c>
      <c r="I16179" t="s">
        <v>1428</v>
      </c>
    </row>
    <row r="16180" spans="1:9" hidden="1" x14ac:dyDescent="0.25">
      <c r="A16180" t="s">
        <v>13540</v>
      </c>
      <c r="B16180" t="s">
        <v>766</v>
      </c>
      <c r="C16180" s="2">
        <f>HYPERLINK("https://cao.dolgi.msk.ru/account/1080206918/", 1080206918)</f>
        <v>1080206918</v>
      </c>
      <c r="D16180" t="s">
        <v>13659</v>
      </c>
      <c r="E16180">
        <v>-8309.8700000000008</v>
      </c>
      <c r="F16180">
        <v>-1.07</v>
      </c>
      <c r="G16180" t="s">
        <v>12</v>
      </c>
      <c r="I16180" t="s">
        <v>1428</v>
      </c>
    </row>
    <row r="16181" spans="1:9" hidden="1" x14ac:dyDescent="0.25">
      <c r="A16181" t="s">
        <v>13540</v>
      </c>
      <c r="B16181" t="s">
        <v>768</v>
      </c>
      <c r="C16181" s="2">
        <f>HYPERLINK("https://cao.dolgi.msk.ru/account/1080206926/", 1080206926)</f>
        <v>1080206926</v>
      </c>
      <c r="D16181" t="s">
        <v>13660</v>
      </c>
      <c r="E16181">
        <v>-6865.93</v>
      </c>
      <c r="F16181">
        <v>-1.1000000000000001</v>
      </c>
      <c r="G16181" t="s">
        <v>12</v>
      </c>
      <c r="I16181" t="s">
        <v>1428</v>
      </c>
    </row>
    <row r="16182" spans="1:9" hidden="1" x14ac:dyDescent="0.25">
      <c r="A16182" t="s">
        <v>13540</v>
      </c>
      <c r="B16182" t="s">
        <v>770</v>
      </c>
      <c r="C16182" s="2">
        <f>HYPERLINK("https://cao.dolgi.msk.ru/account/1080206934/", 1080206934)</f>
        <v>1080206934</v>
      </c>
      <c r="D16182" t="s">
        <v>13661</v>
      </c>
      <c r="E16182">
        <v>201.69</v>
      </c>
      <c r="F16182">
        <v>0.06</v>
      </c>
      <c r="G16182" t="s">
        <v>12</v>
      </c>
      <c r="I16182" t="s">
        <v>1428</v>
      </c>
    </row>
    <row r="16183" spans="1:9" hidden="1" x14ac:dyDescent="0.25">
      <c r="A16183" t="s">
        <v>13540</v>
      </c>
      <c r="B16183" t="s">
        <v>772</v>
      </c>
      <c r="C16183" s="2">
        <f>HYPERLINK("https://cao.dolgi.msk.ru/account/1080206942/", 1080206942)</f>
        <v>1080206942</v>
      </c>
      <c r="D16183" t="s">
        <v>13662</v>
      </c>
      <c r="E16183">
        <v>29.21</v>
      </c>
      <c r="F16183">
        <v>0.01</v>
      </c>
      <c r="G16183" t="s">
        <v>12</v>
      </c>
      <c r="I16183" t="s">
        <v>1428</v>
      </c>
    </row>
    <row r="16184" spans="1:9" hidden="1" x14ac:dyDescent="0.25">
      <c r="A16184" t="s">
        <v>13540</v>
      </c>
      <c r="B16184" t="s">
        <v>772</v>
      </c>
      <c r="C16184" s="2">
        <f>HYPERLINK("https://cao.dolgi.msk.ru/account/1083274545/", 1083274545)</f>
        <v>1083274545</v>
      </c>
      <c r="D16184" t="s">
        <v>15</v>
      </c>
      <c r="E16184">
        <v>0</v>
      </c>
      <c r="F16184">
        <v>0</v>
      </c>
      <c r="G16184" t="s">
        <v>12</v>
      </c>
      <c r="I16184" t="s">
        <v>1428</v>
      </c>
    </row>
    <row r="16185" spans="1:9" hidden="1" x14ac:dyDescent="0.25">
      <c r="A16185" t="s">
        <v>13540</v>
      </c>
      <c r="B16185" t="s">
        <v>774</v>
      </c>
      <c r="C16185" s="2">
        <f>HYPERLINK("https://cao.dolgi.msk.ru/account/1080206969/", 1080206969)</f>
        <v>1080206969</v>
      </c>
      <c r="D16185" t="s">
        <v>13663</v>
      </c>
      <c r="E16185">
        <v>-1342.23</v>
      </c>
      <c r="F16185">
        <v>-0.4</v>
      </c>
      <c r="G16185" t="s">
        <v>12</v>
      </c>
      <c r="I16185" t="s">
        <v>1428</v>
      </c>
    </row>
    <row r="16186" spans="1:9" hidden="1" x14ac:dyDescent="0.25">
      <c r="A16186" t="s">
        <v>13540</v>
      </c>
      <c r="B16186" t="s">
        <v>776</v>
      </c>
      <c r="C16186" s="2">
        <f>HYPERLINK("https://cao.dolgi.msk.ru/account/1080206977/", 1080206977)</f>
        <v>1080206977</v>
      </c>
      <c r="D16186" t="s">
        <v>13664</v>
      </c>
      <c r="E16186">
        <v>-8087.65</v>
      </c>
      <c r="F16186">
        <v>-1.1299999999999999</v>
      </c>
      <c r="G16186" t="s">
        <v>12</v>
      </c>
      <c r="I16186" t="s">
        <v>1428</v>
      </c>
    </row>
    <row r="16187" spans="1:9" hidden="1" x14ac:dyDescent="0.25">
      <c r="A16187" t="s">
        <v>13540</v>
      </c>
      <c r="B16187" t="s">
        <v>778</v>
      </c>
      <c r="C16187" s="2">
        <f>HYPERLINK("https://cao.dolgi.msk.ru/account/1080206985/", 1080206985)</f>
        <v>1080206985</v>
      </c>
      <c r="D16187" t="s">
        <v>13665</v>
      </c>
      <c r="E16187">
        <v>-4407.74</v>
      </c>
      <c r="F16187">
        <v>-1.1399999999999999</v>
      </c>
      <c r="G16187" t="s">
        <v>12</v>
      </c>
      <c r="I16187" t="s">
        <v>1428</v>
      </c>
    </row>
    <row r="16188" spans="1:9" hidden="1" x14ac:dyDescent="0.25">
      <c r="A16188" t="s">
        <v>13540</v>
      </c>
      <c r="B16188" t="s">
        <v>780</v>
      </c>
      <c r="C16188" s="2">
        <f>HYPERLINK("https://cao.dolgi.msk.ru/account/1080206993/", 1080206993)</f>
        <v>1080206993</v>
      </c>
      <c r="D16188" t="s">
        <v>13666</v>
      </c>
      <c r="E16188">
        <v>-12819.6</v>
      </c>
      <c r="F16188">
        <v>-1.37</v>
      </c>
      <c r="G16188" t="s">
        <v>12</v>
      </c>
      <c r="I16188" t="s">
        <v>1428</v>
      </c>
    </row>
    <row r="16189" spans="1:9" hidden="1" x14ac:dyDescent="0.25">
      <c r="A16189" t="s">
        <v>13540</v>
      </c>
      <c r="B16189" t="s">
        <v>781</v>
      </c>
      <c r="C16189" s="2">
        <f>HYPERLINK("https://cao.dolgi.msk.ru/account/1080207005/", 1080207005)</f>
        <v>1080207005</v>
      </c>
      <c r="D16189" t="s">
        <v>13667</v>
      </c>
      <c r="E16189">
        <v>-3952.56</v>
      </c>
      <c r="F16189">
        <v>-1.1000000000000001</v>
      </c>
      <c r="G16189" t="s">
        <v>12</v>
      </c>
      <c r="I16189" t="s">
        <v>1428</v>
      </c>
    </row>
    <row r="16190" spans="1:9" hidden="1" x14ac:dyDescent="0.25">
      <c r="A16190" t="s">
        <v>13540</v>
      </c>
      <c r="B16190" t="s">
        <v>782</v>
      </c>
      <c r="C16190" s="2">
        <f>HYPERLINK("https://cao.dolgi.msk.ru/account/1080207013/", 1080207013)</f>
        <v>1080207013</v>
      </c>
      <c r="D16190" t="s">
        <v>13668</v>
      </c>
      <c r="E16190">
        <v>-8874.64</v>
      </c>
      <c r="F16190">
        <v>-0.94</v>
      </c>
      <c r="G16190" t="s">
        <v>12</v>
      </c>
      <c r="I16190" t="s">
        <v>1428</v>
      </c>
    </row>
    <row r="16191" spans="1:9" hidden="1" x14ac:dyDescent="0.25">
      <c r="A16191" t="s">
        <v>13540</v>
      </c>
      <c r="B16191" t="s">
        <v>784</v>
      </c>
      <c r="C16191" s="2">
        <f>HYPERLINK("https://cao.dolgi.msk.ru/account/1080207021/", 1080207021)</f>
        <v>1080207021</v>
      </c>
      <c r="D16191" t="s">
        <v>13669</v>
      </c>
      <c r="E16191">
        <v>-6473.23</v>
      </c>
      <c r="F16191">
        <v>-1.03</v>
      </c>
      <c r="G16191" t="s">
        <v>12</v>
      </c>
      <c r="I16191" t="s">
        <v>1428</v>
      </c>
    </row>
    <row r="16192" spans="1:9" hidden="1" x14ac:dyDescent="0.25">
      <c r="A16192" t="s">
        <v>13540</v>
      </c>
      <c r="B16192" t="s">
        <v>786</v>
      </c>
      <c r="C16192" s="2">
        <f>HYPERLINK("https://cao.dolgi.msk.ru/account/1080207048/", 1080207048)</f>
        <v>1080207048</v>
      </c>
      <c r="D16192" t="s">
        <v>13670</v>
      </c>
      <c r="E16192">
        <v>-8715.77</v>
      </c>
      <c r="F16192">
        <v>-1.35</v>
      </c>
      <c r="G16192" t="s">
        <v>12</v>
      </c>
      <c r="I16192" t="s">
        <v>1428</v>
      </c>
    </row>
    <row r="16193" spans="1:9" hidden="1" x14ac:dyDescent="0.25">
      <c r="A16193" t="s">
        <v>13540</v>
      </c>
      <c r="B16193" t="s">
        <v>788</v>
      </c>
      <c r="C16193" s="2">
        <f>HYPERLINK("https://cao.dolgi.msk.ru/account/1080207056/", 1080207056)</f>
        <v>1080207056</v>
      </c>
      <c r="D16193" t="s">
        <v>13671</v>
      </c>
      <c r="E16193">
        <v>4150.41</v>
      </c>
      <c r="F16193">
        <v>0.86</v>
      </c>
      <c r="G16193" t="s">
        <v>12</v>
      </c>
      <c r="H16193" t="s">
        <v>7</v>
      </c>
      <c r="I16193" t="s">
        <v>1428</v>
      </c>
    </row>
    <row r="16194" spans="1:9" hidden="1" x14ac:dyDescent="0.25">
      <c r="A16194" t="s">
        <v>13540</v>
      </c>
      <c r="B16194" t="s">
        <v>788</v>
      </c>
      <c r="C16194" s="2">
        <f>HYPERLINK("https://cao.dolgi.msk.ru/account/1080207064/", 1080207064)</f>
        <v>1080207064</v>
      </c>
      <c r="D16194" t="s">
        <v>13672</v>
      </c>
      <c r="E16194">
        <v>-2496.36</v>
      </c>
      <c r="F16194">
        <v>-0.89</v>
      </c>
      <c r="G16194" t="s">
        <v>12</v>
      </c>
      <c r="H16194" t="s">
        <v>7</v>
      </c>
      <c r="I16194" t="s">
        <v>1428</v>
      </c>
    </row>
    <row r="16195" spans="1:9" hidden="1" x14ac:dyDescent="0.25">
      <c r="A16195" t="s">
        <v>13540</v>
      </c>
      <c r="B16195" t="s">
        <v>789</v>
      </c>
      <c r="C16195" s="2">
        <f>HYPERLINK("https://cao.dolgi.msk.ru/account/1080207267/", 1080207267)</f>
        <v>1080207267</v>
      </c>
      <c r="D16195" t="s">
        <v>13673</v>
      </c>
      <c r="E16195">
        <v>-13813.96</v>
      </c>
      <c r="F16195">
        <v>-2.62</v>
      </c>
      <c r="G16195" t="s">
        <v>12</v>
      </c>
      <c r="I16195" t="s">
        <v>1428</v>
      </c>
    </row>
    <row r="16196" spans="1:9" hidden="1" x14ac:dyDescent="0.25">
      <c r="A16196" t="s">
        <v>13540</v>
      </c>
      <c r="B16196" t="s">
        <v>790</v>
      </c>
      <c r="C16196" s="2">
        <f>HYPERLINK("https://cao.dolgi.msk.ru/account/1080207072/", 1080207072)</f>
        <v>1080207072</v>
      </c>
      <c r="D16196" t="s">
        <v>13674</v>
      </c>
      <c r="E16196">
        <v>-4254.1400000000003</v>
      </c>
      <c r="F16196">
        <v>-0.86</v>
      </c>
      <c r="G16196" t="s">
        <v>12</v>
      </c>
      <c r="I16196" t="s">
        <v>1428</v>
      </c>
    </row>
    <row r="16197" spans="1:9" hidden="1" x14ac:dyDescent="0.25">
      <c r="A16197" t="s">
        <v>13540</v>
      </c>
      <c r="B16197" t="s">
        <v>792</v>
      </c>
      <c r="C16197" s="2">
        <f>HYPERLINK("https://cao.dolgi.msk.ru/account/1080207099/", 1080207099)</f>
        <v>1080207099</v>
      </c>
      <c r="D16197" t="s">
        <v>13675</v>
      </c>
      <c r="E16197">
        <v>6.05</v>
      </c>
      <c r="F16197">
        <v>0</v>
      </c>
      <c r="G16197" t="s">
        <v>12</v>
      </c>
      <c r="I16197" t="s">
        <v>1428</v>
      </c>
    </row>
    <row r="16198" spans="1:9" hidden="1" x14ac:dyDescent="0.25">
      <c r="A16198" t="s">
        <v>13540</v>
      </c>
      <c r="B16198" t="s">
        <v>794</v>
      </c>
      <c r="C16198" s="2">
        <f>HYPERLINK("https://cao.dolgi.msk.ru/account/1080207101/", 1080207101)</f>
        <v>1080207101</v>
      </c>
      <c r="D16198" t="s">
        <v>13676</v>
      </c>
      <c r="E16198">
        <v>-4594.21</v>
      </c>
      <c r="F16198">
        <v>-1.1000000000000001</v>
      </c>
      <c r="G16198" t="s">
        <v>12</v>
      </c>
      <c r="I16198" t="s">
        <v>1428</v>
      </c>
    </row>
    <row r="16199" spans="1:9" hidden="1" x14ac:dyDescent="0.25">
      <c r="A16199" t="s">
        <v>13540</v>
      </c>
      <c r="B16199" t="s">
        <v>796</v>
      </c>
      <c r="C16199" s="2">
        <f>HYPERLINK("https://cao.dolgi.msk.ru/account/1080207128/", 1080207128)</f>
        <v>1080207128</v>
      </c>
      <c r="D16199" t="s">
        <v>13677</v>
      </c>
      <c r="E16199">
        <v>-446.28</v>
      </c>
      <c r="F16199">
        <v>-0.15</v>
      </c>
      <c r="G16199" t="s">
        <v>12</v>
      </c>
      <c r="I16199" t="s">
        <v>1428</v>
      </c>
    </row>
    <row r="16200" spans="1:9" hidden="1" x14ac:dyDescent="0.25">
      <c r="A16200" t="s">
        <v>13540</v>
      </c>
      <c r="B16200" t="s">
        <v>798</v>
      </c>
      <c r="C16200" s="2">
        <f>HYPERLINK("https://cao.dolgi.msk.ru/account/1080207136/", 1080207136)</f>
        <v>1080207136</v>
      </c>
      <c r="D16200" t="s">
        <v>13678</v>
      </c>
      <c r="E16200">
        <v>5.58</v>
      </c>
      <c r="G16200" t="s">
        <v>14</v>
      </c>
      <c r="I16200" t="s">
        <v>1428</v>
      </c>
    </row>
    <row r="16201" spans="1:9" hidden="1" x14ac:dyDescent="0.25">
      <c r="A16201" t="s">
        <v>13540</v>
      </c>
      <c r="B16201" t="s">
        <v>798</v>
      </c>
      <c r="C16201" s="2">
        <f>HYPERLINK("https://cao.dolgi.msk.ru/account/1080322943/", 1080322943)</f>
        <v>1080322943</v>
      </c>
      <c r="D16201" t="s">
        <v>13678</v>
      </c>
      <c r="E16201">
        <v>0</v>
      </c>
      <c r="F16201">
        <v>0</v>
      </c>
      <c r="G16201" t="s">
        <v>12</v>
      </c>
      <c r="I16201" t="s">
        <v>1428</v>
      </c>
    </row>
    <row r="16202" spans="1:9" hidden="1" x14ac:dyDescent="0.25">
      <c r="A16202" t="s">
        <v>13540</v>
      </c>
      <c r="B16202" t="s">
        <v>800</v>
      </c>
      <c r="C16202" s="2">
        <f>HYPERLINK("https://cao.dolgi.msk.ru/account/1080207144/", 1080207144)</f>
        <v>1080207144</v>
      </c>
      <c r="D16202" t="s">
        <v>13679</v>
      </c>
      <c r="E16202">
        <v>49.04</v>
      </c>
      <c r="F16202">
        <v>0.01</v>
      </c>
      <c r="G16202" t="s">
        <v>12</v>
      </c>
      <c r="I16202" t="s">
        <v>1428</v>
      </c>
    </row>
    <row r="16203" spans="1:9" hidden="1" x14ac:dyDescent="0.25">
      <c r="A16203" t="s">
        <v>13540</v>
      </c>
      <c r="B16203" t="s">
        <v>802</v>
      </c>
      <c r="C16203" s="2">
        <f>HYPERLINK("https://cao.dolgi.msk.ru/account/1080207152/", 1080207152)</f>
        <v>1080207152</v>
      </c>
      <c r="D16203" t="s">
        <v>13680</v>
      </c>
      <c r="E16203">
        <v>-5595.65</v>
      </c>
      <c r="F16203">
        <v>-1.1499999999999999</v>
      </c>
      <c r="G16203" t="s">
        <v>12</v>
      </c>
      <c r="I16203" t="s">
        <v>1428</v>
      </c>
    </row>
    <row r="16204" spans="1:9" hidden="1" x14ac:dyDescent="0.25">
      <c r="A16204" t="s">
        <v>13540</v>
      </c>
      <c r="B16204" t="s">
        <v>804</v>
      </c>
      <c r="C16204" s="2">
        <f>HYPERLINK("https://cao.dolgi.msk.ru/account/1080207179/", 1080207179)</f>
        <v>1080207179</v>
      </c>
      <c r="D16204" t="s">
        <v>13681</v>
      </c>
      <c r="E16204">
        <v>-3234.26</v>
      </c>
      <c r="F16204">
        <v>-0.62</v>
      </c>
      <c r="G16204" t="s">
        <v>12</v>
      </c>
      <c r="I16204" t="s">
        <v>1428</v>
      </c>
    </row>
    <row r="16205" spans="1:9" hidden="1" x14ac:dyDescent="0.25">
      <c r="A16205" t="s">
        <v>13540</v>
      </c>
      <c r="B16205" t="s">
        <v>806</v>
      </c>
      <c r="C16205" s="2">
        <f>HYPERLINK("https://cao.dolgi.msk.ru/account/1080207187/", 1080207187)</f>
        <v>1080207187</v>
      </c>
      <c r="D16205" t="s">
        <v>13682</v>
      </c>
      <c r="E16205">
        <v>0</v>
      </c>
      <c r="F16205">
        <v>0</v>
      </c>
      <c r="G16205" t="s">
        <v>12</v>
      </c>
      <c r="I16205" t="s">
        <v>1428</v>
      </c>
    </row>
    <row r="16206" spans="1:9" hidden="1" x14ac:dyDescent="0.25">
      <c r="A16206" t="s">
        <v>13540</v>
      </c>
      <c r="B16206" t="s">
        <v>808</v>
      </c>
      <c r="C16206" s="2">
        <f>HYPERLINK("https://cao.dolgi.msk.ru/account/1080207195/", 1080207195)</f>
        <v>1080207195</v>
      </c>
      <c r="D16206" t="s">
        <v>13683</v>
      </c>
      <c r="E16206">
        <v>26.93</v>
      </c>
      <c r="F16206">
        <v>0</v>
      </c>
      <c r="G16206" t="s">
        <v>12</v>
      </c>
      <c r="I16206" t="s">
        <v>1428</v>
      </c>
    </row>
    <row r="16207" spans="1:9" hidden="1" x14ac:dyDescent="0.25">
      <c r="A16207" t="s">
        <v>13540</v>
      </c>
      <c r="B16207" t="s">
        <v>810</v>
      </c>
      <c r="C16207" s="2">
        <f>HYPERLINK("https://cao.dolgi.msk.ru/account/1080207208/", 1080207208)</f>
        <v>1080207208</v>
      </c>
      <c r="D16207" t="s">
        <v>13684</v>
      </c>
      <c r="E16207">
        <v>-3617.36</v>
      </c>
      <c r="F16207">
        <v>-0.95</v>
      </c>
      <c r="G16207" t="s">
        <v>12</v>
      </c>
      <c r="I16207" t="s">
        <v>1428</v>
      </c>
    </row>
    <row r="16208" spans="1:9" hidden="1" x14ac:dyDescent="0.25">
      <c r="A16208" t="s">
        <v>13540</v>
      </c>
      <c r="B16208" t="s">
        <v>812</v>
      </c>
      <c r="C16208" s="2">
        <f>HYPERLINK("https://cao.dolgi.msk.ru/account/1080207216/", 1080207216)</f>
        <v>1080207216</v>
      </c>
      <c r="D16208" t="s">
        <v>13685</v>
      </c>
      <c r="E16208">
        <v>-3662.77</v>
      </c>
      <c r="F16208">
        <v>-0.5</v>
      </c>
      <c r="G16208" t="s">
        <v>12</v>
      </c>
      <c r="I16208" t="s">
        <v>1428</v>
      </c>
    </row>
    <row r="16209" spans="1:9" hidden="1" x14ac:dyDescent="0.25">
      <c r="A16209" t="s">
        <v>13540</v>
      </c>
      <c r="B16209" t="s">
        <v>814</v>
      </c>
      <c r="C16209" s="2">
        <f>HYPERLINK("https://cao.dolgi.msk.ru/account/1080207224/", 1080207224)</f>
        <v>1080207224</v>
      </c>
      <c r="D16209" t="s">
        <v>13686</v>
      </c>
      <c r="E16209">
        <v>0</v>
      </c>
      <c r="F16209">
        <v>0</v>
      </c>
      <c r="G16209" t="s">
        <v>12</v>
      </c>
      <c r="I16209" t="s">
        <v>1428</v>
      </c>
    </row>
    <row r="16210" spans="1:9" hidden="1" x14ac:dyDescent="0.25">
      <c r="A16210" t="s">
        <v>13540</v>
      </c>
      <c r="B16210" t="s">
        <v>816</v>
      </c>
      <c r="C16210" s="2">
        <f>HYPERLINK("https://cao.dolgi.msk.ru/account/1080207232/", 1080207232)</f>
        <v>1080207232</v>
      </c>
      <c r="D16210" t="s">
        <v>13687</v>
      </c>
      <c r="E16210">
        <v>-7916.73</v>
      </c>
      <c r="F16210">
        <v>-1.1200000000000001</v>
      </c>
      <c r="G16210" t="s">
        <v>12</v>
      </c>
      <c r="I16210" t="s">
        <v>1428</v>
      </c>
    </row>
    <row r="16211" spans="1:9" hidden="1" x14ac:dyDescent="0.25">
      <c r="A16211" t="s">
        <v>13540</v>
      </c>
      <c r="B16211" t="s">
        <v>818</v>
      </c>
      <c r="C16211" s="2">
        <f>HYPERLINK("https://cao.dolgi.msk.ru/account/1080207259/", 1080207259)</f>
        <v>1080207259</v>
      </c>
      <c r="D16211" t="s">
        <v>13688</v>
      </c>
      <c r="E16211">
        <v>-4517.13</v>
      </c>
      <c r="F16211">
        <v>-1.1299999999999999</v>
      </c>
      <c r="G16211" t="s">
        <v>12</v>
      </c>
      <c r="I16211" t="s">
        <v>1428</v>
      </c>
    </row>
    <row r="16212" spans="1:9" hidden="1" x14ac:dyDescent="0.25">
      <c r="A16212" t="s">
        <v>13540</v>
      </c>
      <c r="B16212" t="s">
        <v>820</v>
      </c>
      <c r="C16212" s="2">
        <f>HYPERLINK("https://cao.dolgi.msk.ru/account/1080207275/", 1080207275)</f>
        <v>1080207275</v>
      </c>
      <c r="D16212" t="s">
        <v>13689</v>
      </c>
      <c r="E16212">
        <v>-7401.83</v>
      </c>
      <c r="F16212">
        <v>-1.01</v>
      </c>
      <c r="G16212" t="s">
        <v>12</v>
      </c>
      <c r="I16212" t="s">
        <v>1428</v>
      </c>
    </row>
    <row r="16213" spans="1:9" hidden="1" x14ac:dyDescent="0.25">
      <c r="A16213" t="s">
        <v>13540</v>
      </c>
      <c r="B16213" t="s">
        <v>822</v>
      </c>
      <c r="C16213" s="2">
        <f>HYPERLINK("https://cao.dolgi.msk.ru/account/1080207283/", 1080207283)</f>
        <v>1080207283</v>
      </c>
      <c r="D16213" t="s">
        <v>4623</v>
      </c>
      <c r="E16213">
        <v>-7535.31</v>
      </c>
      <c r="F16213">
        <v>-1</v>
      </c>
      <c r="G16213" t="s">
        <v>12</v>
      </c>
      <c r="I16213" t="s">
        <v>1428</v>
      </c>
    </row>
    <row r="16214" spans="1:9" x14ac:dyDescent="0.25">
      <c r="A16214" t="s">
        <v>13540</v>
      </c>
      <c r="B16214" t="s">
        <v>824</v>
      </c>
      <c r="C16214" s="2">
        <f>HYPERLINK("https://cao.dolgi.msk.ru/account/1080207291/", 1080207291)</f>
        <v>1080207291</v>
      </c>
      <c r="D16214" t="s">
        <v>13690</v>
      </c>
      <c r="E16214">
        <v>637082.15</v>
      </c>
      <c r="F16214">
        <v>33.96</v>
      </c>
      <c r="G16214" t="s">
        <v>12</v>
      </c>
      <c r="I16214" t="s">
        <v>1428</v>
      </c>
    </row>
    <row r="16215" spans="1:9" hidden="1" x14ac:dyDescent="0.25">
      <c r="A16215" t="s">
        <v>13540</v>
      </c>
      <c r="B16215" t="s">
        <v>824</v>
      </c>
      <c r="C16215" s="2">
        <f>HYPERLINK("https://cao.dolgi.msk.ru/account/1083399591/", 1083399591)</f>
        <v>1083399591</v>
      </c>
      <c r="D16215" t="s">
        <v>189</v>
      </c>
      <c r="E16215">
        <v>0</v>
      </c>
      <c r="G16215" t="s">
        <v>12</v>
      </c>
      <c r="I16215" t="s">
        <v>1428</v>
      </c>
    </row>
    <row r="16216" spans="1:9" hidden="1" x14ac:dyDescent="0.25">
      <c r="A16216" t="s">
        <v>13540</v>
      </c>
      <c r="B16216" t="s">
        <v>826</v>
      </c>
      <c r="C16216" s="2">
        <f>HYPERLINK("https://cao.dolgi.msk.ru/account/1080207304/", 1080207304)</f>
        <v>1080207304</v>
      </c>
      <c r="D16216" t="s">
        <v>13691</v>
      </c>
      <c r="E16216">
        <v>-9111.7800000000007</v>
      </c>
      <c r="F16216">
        <v>-2.19</v>
      </c>
      <c r="G16216" t="s">
        <v>12</v>
      </c>
      <c r="I16216" t="s">
        <v>1428</v>
      </c>
    </row>
    <row r="16217" spans="1:9" hidden="1" x14ac:dyDescent="0.25">
      <c r="A16217" t="s">
        <v>13540</v>
      </c>
      <c r="B16217" t="s">
        <v>828</v>
      </c>
      <c r="C16217" s="2">
        <f>HYPERLINK("https://cao.dolgi.msk.ru/account/1080207312/", 1080207312)</f>
        <v>1080207312</v>
      </c>
      <c r="D16217" t="s">
        <v>13692</v>
      </c>
      <c r="E16217">
        <v>-7212.1</v>
      </c>
      <c r="F16217">
        <v>-1.0900000000000001</v>
      </c>
      <c r="G16217" t="s">
        <v>12</v>
      </c>
      <c r="I16217" t="s">
        <v>1428</v>
      </c>
    </row>
    <row r="16218" spans="1:9" hidden="1" x14ac:dyDescent="0.25">
      <c r="A16218" t="s">
        <v>13540</v>
      </c>
      <c r="B16218" t="s">
        <v>830</v>
      </c>
      <c r="C16218" s="2">
        <f>HYPERLINK("https://cao.dolgi.msk.ru/account/1080207339/", 1080207339)</f>
        <v>1080207339</v>
      </c>
      <c r="D16218" t="s">
        <v>13693</v>
      </c>
      <c r="E16218">
        <v>-58.2</v>
      </c>
      <c r="F16218">
        <v>-0.01</v>
      </c>
      <c r="G16218" t="s">
        <v>12</v>
      </c>
      <c r="I16218" t="s">
        <v>1428</v>
      </c>
    </row>
    <row r="16219" spans="1:9" hidden="1" x14ac:dyDescent="0.25">
      <c r="A16219" t="s">
        <v>13540</v>
      </c>
      <c r="B16219" t="s">
        <v>831</v>
      </c>
      <c r="C16219" s="2">
        <f>HYPERLINK("https://cao.dolgi.msk.ru/account/1080207347/", 1080207347)</f>
        <v>1080207347</v>
      </c>
      <c r="D16219" t="s">
        <v>13694</v>
      </c>
      <c r="E16219">
        <v>-2004.58</v>
      </c>
      <c r="F16219">
        <v>-0.33</v>
      </c>
      <c r="G16219" t="s">
        <v>12</v>
      </c>
      <c r="I16219" t="s">
        <v>1428</v>
      </c>
    </row>
    <row r="16220" spans="1:9" hidden="1" x14ac:dyDescent="0.25">
      <c r="A16220" t="s">
        <v>13540</v>
      </c>
      <c r="B16220" t="s">
        <v>833</v>
      </c>
      <c r="C16220" s="2">
        <f>HYPERLINK("https://cao.dolgi.msk.ru/account/1080207355/", 1080207355)</f>
        <v>1080207355</v>
      </c>
      <c r="D16220" t="s">
        <v>15</v>
      </c>
      <c r="E16220">
        <v>-498.67</v>
      </c>
      <c r="F16220">
        <v>-0.05</v>
      </c>
      <c r="G16220" t="s">
        <v>12</v>
      </c>
      <c r="I16220" t="s">
        <v>1428</v>
      </c>
    </row>
    <row r="16221" spans="1:9" hidden="1" x14ac:dyDescent="0.25">
      <c r="A16221" t="s">
        <v>13540</v>
      </c>
      <c r="B16221" t="s">
        <v>835</v>
      </c>
      <c r="C16221" s="2">
        <f>HYPERLINK("https://cao.dolgi.msk.ru/account/1080207363/", 1080207363)</f>
        <v>1080207363</v>
      </c>
      <c r="D16221" t="s">
        <v>13695</v>
      </c>
      <c r="E16221">
        <v>-3836.97</v>
      </c>
      <c r="F16221">
        <v>-1.24</v>
      </c>
      <c r="G16221" t="s">
        <v>12</v>
      </c>
      <c r="I16221" t="s">
        <v>1428</v>
      </c>
    </row>
    <row r="16222" spans="1:9" hidden="1" x14ac:dyDescent="0.25">
      <c r="A16222" t="s">
        <v>13540</v>
      </c>
      <c r="B16222" t="s">
        <v>837</v>
      </c>
      <c r="C16222" s="2">
        <f>HYPERLINK("https://cao.dolgi.msk.ru/account/1080207371/", 1080207371)</f>
        <v>1080207371</v>
      </c>
      <c r="D16222" t="s">
        <v>13696</v>
      </c>
      <c r="E16222">
        <v>0</v>
      </c>
      <c r="F16222">
        <v>0</v>
      </c>
      <c r="G16222" t="s">
        <v>12</v>
      </c>
      <c r="I16222" t="s">
        <v>1428</v>
      </c>
    </row>
    <row r="16223" spans="1:9" hidden="1" x14ac:dyDescent="0.25">
      <c r="A16223" t="s">
        <v>13540</v>
      </c>
      <c r="B16223" t="s">
        <v>838</v>
      </c>
      <c r="C16223" s="2">
        <f>HYPERLINK("https://cao.dolgi.msk.ru/account/1080207398/", 1080207398)</f>
        <v>1080207398</v>
      </c>
      <c r="D16223" t="s">
        <v>13697</v>
      </c>
      <c r="E16223">
        <v>-582.47</v>
      </c>
      <c r="F16223">
        <v>-0.06</v>
      </c>
      <c r="G16223" t="s">
        <v>12</v>
      </c>
      <c r="I16223" t="s">
        <v>1428</v>
      </c>
    </row>
    <row r="16224" spans="1:9" hidden="1" x14ac:dyDescent="0.25">
      <c r="A16224" t="s">
        <v>13540</v>
      </c>
      <c r="B16224" t="s">
        <v>840</v>
      </c>
      <c r="C16224" s="2">
        <f>HYPERLINK("https://cao.dolgi.msk.ru/account/1080207419/", 1080207419)</f>
        <v>1080207419</v>
      </c>
      <c r="D16224" t="s">
        <v>13698</v>
      </c>
      <c r="E16224">
        <v>-14503.76</v>
      </c>
      <c r="F16224">
        <v>-1.33</v>
      </c>
      <c r="G16224" t="s">
        <v>12</v>
      </c>
      <c r="I16224" t="s">
        <v>1428</v>
      </c>
    </row>
    <row r="16225" spans="1:9" hidden="1" x14ac:dyDescent="0.25">
      <c r="A16225" t="s">
        <v>13540</v>
      </c>
      <c r="B16225" t="s">
        <v>842</v>
      </c>
      <c r="C16225" s="2">
        <f>HYPERLINK("https://cao.dolgi.msk.ru/account/1080207427/", 1080207427)</f>
        <v>1080207427</v>
      </c>
      <c r="D16225" t="s">
        <v>13699</v>
      </c>
      <c r="E16225">
        <v>12.35</v>
      </c>
      <c r="F16225">
        <v>0</v>
      </c>
      <c r="G16225" t="s">
        <v>12</v>
      </c>
      <c r="I16225" t="s">
        <v>1428</v>
      </c>
    </row>
    <row r="16226" spans="1:9" hidden="1" x14ac:dyDescent="0.25">
      <c r="A16226" t="s">
        <v>13540</v>
      </c>
      <c r="B16226" t="s">
        <v>844</v>
      </c>
      <c r="C16226" s="2">
        <f>HYPERLINK("https://cao.dolgi.msk.ru/account/1080207435/", 1080207435)</f>
        <v>1080207435</v>
      </c>
      <c r="D16226" t="s">
        <v>13700</v>
      </c>
      <c r="E16226">
        <v>-9579.58</v>
      </c>
      <c r="F16226">
        <v>-1.1499999999999999</v>
      </c>
      <c r="G16226" t="s">
        <v>12</v>
      </c>
      <c r="I16226" t="s">
        <v>1428</v>
      </c>
    </row>
    <row r="16227" spans="1:9" hidden="1" x14ac:dyDescent="0.25">
      <c r="A16227" t="s">
        <v>13540</v>
      </c>
      <c r="B16227" t="s">
        <v>846</v>
      </c>
      <c r="C16227" s="2">
        <f>HYPERLINK("https://cao.dolgi.msk.ru/account/1080207443/", 1080207443)</f>
        <v>1080207443</v>
      </c>
      <c r="D16227" t="s">
        <v>13701</v>
      </c>
      <c r="E16227">
        <v>-4440.72</v>
      </c>
      <c r="F16227">
        <v>-1.19</v>
      </c>
      <c r="G16227" t="s">
        <v>12</v>
      </c>
      <c r="I16227" t="s">
        <v>1428</v>
      </c>
    </row>
    <row r="16228" spans="1:9" hidden="1" x14ac:dyDescent="0.25">
      <c r="A16228" t="s">
        <v>13540</v>
      </c>
      <c r="B16228" t="s">
        <v>848</v>
      </c>
      <c r="C16228" s="2">
        <f>HYPERLINK("https://cao.dolgi.msk.ru/account/1080207451/", 1080207451)</f>
        <v>1080207451</v>
      </c>
      <c r="D16228" t="s">
        <v>13702</v>
      </c>
      <c r="E16228">
        <v>-2687</v>
      </c>
      <c r="F16228">
        <v>-0.3</v>
      </c>
      <c r="G16228" t="s">
        <v>12</v>
      </c>
      <c r="I16228" t="s">
        <v>1428</v>
      </c>
    </row>
    <row r="16229" spans="1:9" hidden="1" x14ac:dyDescent="0.25">
      <c r="A16229" t="s">
        <v>13540</v>
      </c>
      <c r="B16229" t="s">
        <v>850</v>
      </c>
      <c r="C16229" s="2">
        <f>HYPERLINK("https://cao.dolgi.msk.ru/account/1080207478/", 1080207478)</f>
        <v>1080207478</v>
      </c>
      <c r="D16229" t="s">
        <v>13703</v>
      </c>
      <c r="E16229">
        <v>-8441.69</v>
      </c>
      <c r="F16229">
        <v>-1.32</v>
      </c>
      <c r="G16229" t="s">
        <v>12</v>
      </c>
      <c r="I16229" t="s">
        <v>1428</v>
      </c>
    </row>
    <row r="16230" spans="1:9" hidden="1" x14ac:dyDescent="0.25">
      <c r="A16230" t="s">
        <v>13540</v>
      </c>
      <c r="B16230" t="s">
        <v>852</v>
      </c>
      <c r="C16230" s="2">
        <f>HYPERLINK("https://cao.dolgi.msk.ru/account/1080207486/", 1080207486)</f>
        <v>1080207486</v>
      </c>
      <c r="D16230" t="s">
        <v>13704</v>
      </c>
      <c r="E16230">
        <v>-8834.9500000000007</v>
      </c>
      <c r="F16230">
        <v>-1.1100000000000001</v>
      </c>
      <c r="G16230" t="s">
        <v>12</v>
      </c>
      <c r="I16230" t="s">
        <v>1428</v>
      </c>
    </row>
    <row r="16231" spans="1:9" hidden="1" x14ac:dyDescent="0.25">
      <c r="A16231" t="s">
        <v>13540</v>
      </c>
      <c r="B16231" t="s">
        <v>852</v>
      </c>
      <c r="C16231" s="2">
        <f>HYPERLINK("https://cao.dolgi.msk.ru/account/1083274238/", 1083274238)</f>
        <v>1083274238</v>
      </c>
      <c r="D16231" t="s">
        <v>15</v>
      </c>
      <c r="E16231">
        <v>0</v>
      </c>
      <c r="G16231" t="s">
        <v>14</v>
      </c>
      <c r="I16231" t="s">
        <v>1428</v>
      </c>
    </row>
    <row r="16232" spans="1:9" hidden="1" x14ac:dyDescent="0.25">
      <c r="A16232" t="s">
        <v>13540</v>
      </c>
      <c r="B16232" t="s">
        <v>854</v>
      </c>
      <c r="C16232" s="2">
        <f>HYPERLINK("https://cao.dolgi.msk.ru/account/1080207494/", 1080207494)</f>
        <v>1080207494</v>
      </c>
      <c r="D16232" t="s">
        <v>13705</v>
      </c>
      <c r="E16232">
        <v>-5051.1099999999997</v>
      </c>
      <c r="F16232">
        <v>-0.91</v>
      </c>
      <c r="G16232" t="s">
        <v>12</v>
      </c>
      <c r="I16232" t="s">
        <v>1428</v>
      </c>
    </row>
    <row r="16233" spans="1:9" hidden="1" x14ac:dyDescent="0.25">
      <c r="A16233" t="s">
        <v>13540</v>
      </c>
      <c r="B16233" t="s">
        <v>856</v>
      </c>
      <c r="C16233" s="2">
        <f>HYPERLINK("https://cao.dolgi.msk.ru/account/1080207603/", 1080207603)</f>
        <v>1080207603</v>
      </c>
      <c r="D16233" t="s">
        <v>13706</v>
      </c>
      <c r="E16233">
        <v>-16517.62</v>
      </c>
      <c r="F16233">
        <v>-1.88</v>
      </c>
      <c r="G16233" t="s">
        <v>12</v>
      </c>
      <c r="I16233" t="s">
        <v>1428</v>
      </c>
    </row>
    <row r="16234" spans="1:9" hidden="1" x14ac:dyDescent="0.25">
      <c r="A16234" t="s">
        <v>13540</v>
      </c>
      <c r="B16234" t="s">
        <v>858</v>
      </c>
      <c r="C16234" s="2">
        <f>HYPERLINK("https://cao.dolgi.msk.ru/account/1080207507/", 1080207507)</f>
        <v>1080207507</v>
      </c>
      <c r="D16234" t="s">
        <v>13707</v>
      </c>
      <c r="E16234">
        <v>-5261.87</v>
      </c>
      <c r="F16234">
        <v>-1.07</v>
      </c>
      <c r="G16234" t="s">
        <v>12</v>
      </c>
      <c r="I16234" t="s">
        <v>1428</v>
      </c>
    </row>
    <row r="16235" spans="1:9" hidden="1" x14ac:dyDescent="0.25">
      <c r="A16235" t="s">
        <v>13540</v>
      </c>
      <c r="B16235" t="s">
        <v>860</v>
      </c>
      <c r="C16235" s="2">
        <f>HYPERLINK("https://cao.dolgi.msk.ru/account/1080207515/", 1080207515)</f>
        <v>1080207515</v>
      </c>
      <c r="D16235" t="s">
        <v>13708</v>
      </c>
      <c r="E16235">
        <v>-8578.6299999999992</v>
      </c>
      <c r="F16235">
        <v>-1.06</v>
      </c>
      <c r="G16235" t="s">
        <v>12</v>
      </c>
      <c r="I16235" t="s">
        <v>1428</v>
      </c>
    </row>
    <row r="16236" spans="1:9" hidden="1" x14ac:dyDescent="0.25">
      <c r="A16236" t="s">
        <v>13540</v>
      </c>
      <c r="B16236" t="s">
        <v>862</v>
      </c>
      <c r="C16236" s="2">
        <f>HYPERLINK("https://cao.dolgi.msk.ru/account/1080207523/", 1080207523)</f>
        <v>1080207523</v>
      </c>
      <c r="D16236" t="s">
        <v>13709</v>
      </c>
      <c r="E16236">
        <v>-6557.43</v>
      </c>
      <c r="F16236">
        <v>-1.1599999999999999</v>
      </c>
      <c r="G16236" t="s">
        <v>12</v>
      </c>
      <c r="I16236" t="s">
        <v>1428</v>
      </c>
    </row>
    <row r="16237" spans="1:9" hidden="1" x14ac:dyDescent="0.25">
      <c r="A16237" t="s">
        <v>13540</v>
      </c>
      <c r="B16237" t="s">
        <v>864</v>
      </c>
      <c r="C16237" s="2">
        <f>HYPERLINK("https://cao.dolgi.msk.ru/account/1080207531/", 1080207531)</f>
        <v>1080207531</v>
      </c>
      <c r="D16237" t="s">
        <v>13710</v>
      </c>
      <c r="E16237">
        <v>-11033.32</v>
      </c>
      <c r="F16237">
        <v>-1.19</v>
      </c>
      <c r="G16237" t="s">
        <v>12</v>
      </c>
      <c r="I16237" t="s">
        <v>1428</v>
      </c>
    </row>
    <row r="16238" spans="1:9" hidden="1" x14ac:dyDescent="0.25">
      <c r="A16238" t="s">
        <v>13540</v>
      </c>
      <c r="B16238" t="s">
        <v>866</v>
      </c>
      <c r="C16238" s="2">
        <f>HYPERLINK("https://cao.dolgi.msk.ru/account/1080207558/", 1080207558)</f>
        <v>1080207558</v>
      </c>
      <c r="D16238" t="s">
        <v>13711</v>
      </c>
      <c r="E16238">
        <v>-5992.52</v>
      </c>
      <c r="F16238">
        <v>-1.17</v>
      </c>
      <c r="G16238" t="s">
        <v>12</v>
      </c>
      <c r="I16238" t="s">
        <v>1428</v>
      </c>
    </row>
    <row r="16239" spans="1:9" x14ac:dyDescent="0.25">
      <c r="A16239" t="s">
        <v>13540</v>
      </c>
      <c r="B16239" t="s">
        <v>868</v>
      </c>
      <c r="C16239" s="2">
        <f>HYPERLINK("https://cao.dolgi.msk.ru/account/1080207566/", 1080207566)</f>
        <v>1080207566</v>
      </c>
      <c r="D16239" t="s">
        <v>13712</v>
      </c>
      <c r="E16239">
        <v>11298.32</v>
      </c>
      <c r="F16239">
        <v>2.08</v>
      </c>
      <c r="G16239" t="s">
        <v>12</v>
      </c>
      <c r="I16239" t="s">
        <v>1428</v>
      </c>
    </row>
    <row r="16240" spans="1:9" hidden="1" x14ac:dyDescent="0.25">
      <c r="A16240" t="s">
        <v>13540</v>
      </c>
      <c r="B16240" t="s">
        <v>870</v>
      </c>
      <c r="C16240" s="2">
        <f>HYPERLINK("https://cao.dolgi.msk.ru/account/1080207574/", 1080207574)</f>
        <v>1080207574</v>
      </c>
      <c r="D16240" t="s">
        <v>13713</v>
      </c>
      <c r="E16240">
        <v>-4065.42</v>
      </c>
      <c r="F16240">
        <v>-1.18</v>
      </c>
      <c r="G16240" t="s">
        <v>12</v>
      </c>
      <c r="I16240" t="s">
        <v>1428</v>
      </c>
    </row>
    <row r="16241" spans="1:9" hidden="1" x14ac:dyDescent="0.25">
      <c r="A16241" t="s">
        <v>13540</v>
      </c>
      <c r="B16241" t="s">
        <v>872</v>
      </c>
      <c r="C16241" s="2">
        <f>HYPERLINK("https://cao.dolgi.msk.ru/account/1080207582/", 1080207582)</f>
        <v>1080207582</v>
      </c>
      <c r="D16241" t="s">
        <v>13714</v>
      </c>
      <c r="E16241">
        <v>-9093.91</v>
      </c>
      <c r="F16241">
        <v>-1.17</v>
      </c>
      <c r="G16241" t="s">
        <v>12</v>
      </c>
      <c r="I16241" t="s">
        <v>1428</v>
      </c>
    </row>
    <row r="16242" spans="1:9" x14ac:dyDescent="0.25">
      <c r="A16242" t="s">
        <v>13715</v>
      </c>
      <c r="B16242" t="s">
        <v>10</v>
      </c>
      <c r="C16242" s="2">
        <f>HYPERLINK("https://cao.dolgi.msk.ru/account/1080242687/", 1080242687)</f>
        <v>1080242687</v>
      </c>
      <c r="D16242" t="s">
        <v>736</v>
      </c>
      <c r="E16242">
        <v>11311.87</v>
      </c>
      <c r="F16242">
        <v>2.16</v>
      </c>
      <c r="G16242" t="s">
        <v>12</v>
      </c>
      <c r="H16242" t="s">
        <v>7</v>
      </c>
      <c r="I16242" t="s">
        <v>1428</v>
      </c>
    </row>
    <row r="16243" spans="1:9" hidden="1" x14ac:dyDescent="0.25">
      <c r="A16243" t="s">
        <v>13715</v>
      </c>
      <c r="B16243" t="s">
        <v>10</v>
      </c>
      <c r="C16243" s="2">
        <f>HYPERLINK("https://cao.dolgi.msk.ru/account/1080242695/", 1080242695)</f>
        <v>1080242695</v>
      </c>
      <c r="D16243" t="s">
        <v>62</v>
      </c>
      <c r="E16243">
        <v>-2948.32</v>
      </c>
      <c r="F16243">
        <v>-2.02</v>
      </c>
      <c r="G16243" t="s">
        <v>12</v>
      </c>
      <c r="H16243" t="s">
        <v>7</v>
      </c>
      <c r="I16243" t="s">
        <v>1428</v>
      </c>
    </row>
    <row r="16244" spans="1:9" hidden="1" x14ac:dyDescent="0.25">
      <c r="A16244" t="s">
        <v>13715</v>
      </c>
      <c r="B16244" t="s">
        <v>16</v>
      </c>
      <c r="C16244" s="2">
        <f>HYPERLINK("https://cao.dolgi.msk.ru/account/1080242708/", 1080242708)</f>
        <v>1080242708</v>
      </c>
      <c r="D16244" t="s">
        <v>13716</v>
      </c>
      <c r="E16244">
        <v>-4164.1499999999996</v>
      </c>
      <c r="F16244">
        <v>-1.17</v>
      </c>
      <c r="G16244" t="s">
        <v>12</v>
      </c>
      <c r="I16244" t="s">
        <v>1428</v>
      </c>
    </row>
    <row r="16245" spans="1:9" hidden="1" x14ac:dyDescent="0.25">
      <c r="A16245" t="s">
        <v>13715</v>
      </c>
      <c r="B16245" t="s">
        <v>18</v>
      </c>
      <c r="C16245" s="2">
        <f>HYPERLINK("https://cao.dolgi.msk.ru/account/1080242716/", 1080242716)</f>
        <v>1080242716</v>
      </c>
      <c r="D16245" t="s">
        <v>13717</v>
      </c>
      <c r="E16245">
        <v>-4117.68</v>
      </c>
      <c r="F16245">
        <v>-1.17</v>
      </c>
      <c r="G16245" t="s">
        <v>12</v>
      </c>
      <c r="I16245" t="s">
        <v>1428</v>
      </c>
    </row>
    <row r="16246" spans="1:9" hidden="1" x14ac:dyDescent="0.25">
      <c r="A16246" t="s">
        <v>13715</v>
      </c>
      <c r="B16246" t="s">
        <v>20</v>
      </c>
      <c r="C16246" s="2">
        <f>HYPERLINK("https://cao.dolgi.msk.ru/account/1080242724/", 1080242724)</f>
        <v>1080242724</v>
      </c>
      <c r="D16246" t="s">
        <v>13718</v>
      </c>
      <c r="E16246">
        <v>1453.98</v>
      </c>
      <c r="F16246">
        <v>0.24</v>
      </c>
      <c r="G16246" t="s">
        <v>12</v>
      </c>
      <c r="I16246" t="s">
        <v>1428</v>
      </c>
    </row>
    <row r="16247" spans="1:9" hidden="1" x14ac:dyDescent="0.25">
      <c r="A16247" t="s">
        <v>13715</v>
      </c>
      <c r="B16247" t="s">
        <v>21</v>
      </c>
      <c r="C16247" s="2">
        <f>HYPERLINK("https://cao.dolgi.msk.ru/account/1080242732/", 1080242732)</f>
        <v>1080242732</v>
      </c>
      <c r="D16247" t="s">
        <v>13719</v>
      </c>
      <c r="E16247">
        <v>-2803.85</v>
      </c>
      <c r="F16247">
        <v>-1.01</v>
      </c>
      <c r="G16247" t="s">
        <v>12</v>
      </c>
      <c r="I16247" t="s">
        <v>1428</v>
      </c>
    </row>
    <row r="16248" spans="1:9" hidden="1" x14ac:dyDescent="0.25">
      <c r="A16248" t="s">
        <v>13715</v>
      </c>
      <c r="B16248" t="s">
        <v>21</v>
      </c>
      <c r="C16248" s="2">
        <f>HYPERLINK("https://cao.dolgi.msk.ru/account/1083370975/", 1083370975)</f>
        <v>1083370975</v>
      </c>
      <c r="D16248" t="s">
        <v>15</v>
      </c>
      <c r="E16248">
        <v>-1600.5</v>
      </c>
      <c r="F16248">
        <v>-1.24</v>
      </c>
      <c r="G16248" t="s">
        <v>12</v>
      </c>
      <c r="I16248" t="s">
        <v>1428</v>
      </c>
    </row>
    <row r="16249" spans="1:9" hidden="1" x14ac:dyDescent="0.25">
      <c r="A16249" t="s">
        <v>13715</v>
      </c>
      <c r="B16249" t="s">
        <v>22</v>
      </c>
      <c r="C16249" s="2">
        <f>HYPERLINK("https://cao.dolgi.msk.ru/account/1080242759/", 1080242759)</f>
        <v>1080242759</v>
      </c>
      <c r="D16249" t="s">
        <v>15</v>
      </c>
      <c r="E16249">
        <v>-1.1000000000000001</v>
      </c>
      <c r="F16249">
        <v>0</v>
      </c>
      <c r="G16249" t="s">
        <v>12</v>
      </c>
      <c r="I16249" t="s">
        <v>1428</v>
      </c>
    </row>
    <row r="16250" spans="1:9" hidden="1" x14ac:dyDescent="0.25">
      <c r="A16250" t="s">
        <v>13715</v>
      </c>
      <c r="B16250" t="s">
        <v>23</v>
      </c>
      <c r="C16250" s="2">
        <f>HYPERLINK("https://cao.dolgi.msk.ru/account/1080242767/", 1080242767)</f>
        <v>1080242767</v>
      </c>
      <c r="D16250" t="s">
        <v>13720</v>
      </c>
      <c r="E16250">
        <v>0</v>
      </c>
      <c r="F16250">
        <v>0</v>
      </c>
      <c r="G16250" t="s">
        <v>12</v>
      </c>
      <c r="I16250" t="s">
        <v>1428</v>
      </c>
    </row>
    <row r="16251" spans="1:9" hidden="1" x14ac:dyDescent="0.25">
      <c r="A16251" t="s">
        <v>13715</v>
      </c>
      <c r="B16251" t="s">
        <v>24</v>
      </c>
      <c r="C16251" s="2">
        <f>HYPERLINK("https://cao.dolgi.msk.ru/account/1080242775/", 1080242775)</f>
        <v>1080242775</v>
      </c>
      <c r="D16251" t="s">
        <v>13721</v>
      </c>
      <c r="E16251">
        <v>-13635.53</v>
      </c>
      <c r="F16251">
        <v>-2.41</v>
      </c>
      <c r="G16251" t="s">
        <v>12</v>
      </c>
      <c r="I16251" t="s">
        <v>1428</v>
      </c>
    </row>
    <row r="16252" spans="1:9" hidden="1" x14ac:dyDescent="0.25">
      <c r="A16252" t="s">
        <v>13715</v>
      </c>
      <c r="B16252" t="s">
        <v>27</v>
      </c>
      <c r="C16252" s="2">
        <f>HYPERLINK("https://cao.dolgi.msk.ru/account/1080242783/", 1080242783)</f>
        <v>1080242783</v>
      </c>
      <c r="D16252" t="s">
        <v>13722</v>
      </c>
      <c r="E16252">
        <v>-4043.26</v>
      </c>
      <c r="F16252">
        <v>-1.04</v>
      </c>
      <c r="G16252" t="s">
        <v>12</v>
      </c>
      <c r="I16252" t="s">
        <v>1428</v>
      </c>
    </row>
    <row r="16253" spans="1:9" hidden="1" x14ac:dyDescent="0.25">
      <c r="A16253" t="s">
        <v>13715</v>
      </c>
      <c r="B16253" t="s">
        <v>29</v>
      </c>
      <c r="C16253" s="2">
        <f>HYPERLINK("https://cao.dolgi.msk.ru/account/1080242791/", 1080242791)</f>
        <v>1080242791</v>
      </c>
      <c r="D16253" t="s">
        <v>13723</v>
      </c>
      <c r="E16253">
        <v>-4671.82</v>
      </c>
      <c r="F16253">
        <v>-1.1100000000000001</v>
      </c>
      <c r="G16253" t="s">
        <v>12</v>
      </c>
      <c r="I16253" t="s">
        <v>1428</v>
      </c>
    </row>
    <row r="16254" spans="1:9" hidden="1" x14ac:dyDescent="0.25">
      <c r="A16254" t="s">
        <v>13715</v>
      </c>
      <c r="B16254" t="s">
        <v>31</v>
      </c>
      <c r="C16254" s="2">
        <f>HYPERLINK("https://cao.dolgi.msk.ru/account/1080242804/", 1080242804)</f>
        <v>1080242804</v>
      </c>
      <c r="D16254" t="s">
        <v>13724</v>
      </c>
      <c r="E16254">
        <v>-2971.18</v>
      </c>
      <c r="F16254">
        <v>-1.06</v>
      </c>
      <c r="G16254" t="s">
        <v>12</v>
      </c>
      <c r="I16254" t="s">
        <v>1428</v>
      </c>
    </row>
    <row r="16255" spans="1:9" hidden="1" x14ac:dyDescent="0.25">
      <c r="A16255" t="s">
        <v>13715</v>
      </c>
      <c r="B16255" t="s">
        <v>33</v>
      </c>
      <c r="C16255" s="2">
        <f>HYPERLINK("https://cao.dolgi.msk.ru/account/1080242812/", 1080242812)</f>
        <v>1080242812</v>
      </c>
      <c r="D16255" t="s">
        <v>13725</v>
      </c>
      <c r="E16255">
        <v>-5426.65</v>
      </c>
      <c r="F16255">
        <v>-1.08</v>
      </c>
      <c r="G16255" t="s">
        <v>12</v>
      </c>
      <c r="I16255" t="s">
        <v>1428</v>
      </c>
    </row>
    <row r="16256" spans="1:9" hidden="1" x14ac:dyDescent="0.25">
      <c r="A16256" t="s">
        <v>13715</v>
      </c>
      <c r="B16256" t="s">
        <v>34</v>
      </c>
      <c r="C16256" s="2">
        <f>HYPERLINK("https://cao.dolgi.msk.ru/account/1080242839/", 1080242839)</f>
        <v>1080242839</v>
      </c>
      <c r="D16256" t="s">
        <v>13726</v>
      </c>
      <c r="E16256">
        <v>-6253.23</v>
      </c>
      <c r="F16256">
        <v>-1.1299999999999999</v>
      </c>
      <c r="G16256" t="s">
        <v>12</v>
      </c>
      <c r="I16256" t="s">
        <v>1428</v>
      </c>
    </row>
    <row r="16257" spans="1:9" hidden="1" x14ac:dyDescent="0.25">
      <c r="A16257" t="s">
        <v>13715</v>
      </c>
      <c r="B16257" t="s">
        <v>36</v>
      </c>
      <c r="C16257" s="2">
        <f>HYPERLINK("https://cao.dolgi.msk.ru/account/1080242847/", 1080242847)</f>
        <v>1080242847</v>
      </c>
      <c r="D16257" t="s">
        <v>13727</v>
      </c>
      <c r="E16257">
        <v>4653.79</v>
      </c>
      <c r="F16257">
        <v>0.74</v>
      </c>
      <c r="G16257" t="s">
        <v>12</v>
      </c>
      <c r="I16257" t="s">
        <v>1428</v>
      </c>
    </row>
    <row r="16258" spans="1:9" hidden="1" x14ac:dyDescent="0.25">
      <c r="A16258" t="s">
        <v>13715</v>
      </c>
      <c r="B16258" t="s">
        <v>38</v>
      </c>
      <c r="C16258" s="2">
        <f>HYPERLINK("https://cao.dolgi.msk.ru/account/1080242855/", 1080242855)</f>
        <v>1080242855</v>
      </c>
      <c r="D16258" t="s">
        <v>13728</v>
      </c>
      <c r="E16258">
        <v>-3499.38</v>
      </c>
      <c r="F16258">
        <v>-1.1499999999999999</v>
      </c>
      <c r="G16258" t="s">
        <v>12</v>
      </c>
      <c r="I16258" t="s">
        <v>1428</v>
      </c>
    </row>
    <row r="16259" spans="1:9" hidden="1" x14ac:dyDescent="0.25">
      <c r="A16259" t="s">
        <v>13715</v>
      </c>
      <c r="B16259" t="s">
        <v>39</v>
      </c>
      <c r="C16259" s="2">
        <f>HYPERLINK("https://cao.dolgi.msk.ru/account/1080242863/", 1080242863)</f>
        <v>1080242863</v>
      </c>
      <c r="D16259" t="s">
        <v>13729</v>
      </c>
      <c r="E16259">
        <v>-6349.11</v>
      </c>
      <c r="F16259">
        <v>-0.95</v>
      </c>
      <c r="G16259" t="s">
        <v>12</v>
      </c>
      <c r="I16259" t="s">
        <v>1428</v>
      </c>
    </row>
    <row r="16260" spans="1:9" hidden="1" x14ac:dyDescent="0.25">
      <c r="A16260" t="s">
        <v>13715</v>
      </c>
      <c r="B16260" t="s">
        <v>40</v>
      </c>
      <c r="C16260" s="2">
        <f>HYPERLINK("https://cao.dolgi.msk.ru/account/1080242871/", 1080242871)</f>
        <v>1080242871</v>
      </c>
      <c r="D16260" t="s">
        <v>13730</v>
      </c>
      <c r="E16260">
        <v>-10506.33</v>
      </c>
      <c r="F16260">
        <v>-2.2599999999999998</v>
      </c>
      <c r="G16260" t="s">
        <v>12</v>
      </c>
      <c r="I16260" t="s">
        <v>1428</v>
      </c>
    </row>
    <row r="16261" spans="1:9" hidden="1" x14ac:dyDescent="0.25">
      <c r="A16261" t="s">
        <v>13715</v>
      </c>
      <c r="B16261" t="s">
        <v>41</v>
      </c>
      <c r="C16261" s="2">
        <f>HYPERLINK("https://cao.dolgi.msk.ru/account/1080242898/", 1080242898)</f>
        <v>1080242898</v>
      </c>
      <c r="D16261" t="s">
        <v>13731</v>
      </c>
      <c r="E16261">
        <v>-5524.08</v>
      </c>
      <c r="F16261">
        <v>-1.3</v>
      </c>
      <c r="G16261" t="s">
        <v>12</v>
      </c>
      <c r="I16261" t="s">
        <v>1428</v>
      </c>
    </row>
    <row r="16262" spans="1:9" hidden="1" x14ac:dyDescent="0.25">
      <c r="A16262" t="s">
        <v>13715</v>
      </c>
      <c r="B16262" t="s">
        <v>42</v>
      </c>
      <c r="C16262" s="2">
        <f>HYPERLINK("https://cao.dolgi.msk.ru/account/1080242919/", 1080242919)</f>
        <v>1080242919</v>
      </c>
      <c r="D16262" t="s">
        <v>13732</v>
      </c>
      <c r="E16262">
        <v>-1868.58</v>
      </c>
      <c r="F16262">
        <v>-0.92</v>
      </c>
      <c r="G16262" t="s">
        <v>12</v>
      </c>
      <c r="I16262" t="s">
        <v>1428</v>
      </c>
    </row>
    <row r="16263" spans="1:9" hidden="1" x14ac:dyDescent="0.25">
      <c r="A16263" t="s">
        <v>13715</v>
      </c>
      <c r="B16263" t="s">
        <v>44</v>
      </c>
      <c r="C16263" s="2">
        <f>HYPERLINK("https://cao.dolgi.msk.ru/account/1080242927/", 1080242927)</f>
        <v>1080242927</v>
      </c>
      <c r="D16263" t="s">
        <v>13733</v>
      </c>
      <c r="E16263">
        <v>-5210.29</v>
      </c>
      <c r="F16263">
        <v>-1.22</v>
      </c>
      <c r="G16263" t="s">
        <v>12</v>
      </c>
      <c r="I16263" t="s">
        <v>1428</v>
      </c>
    </row>
    <row r="16264" spans="1:9" hidden="1" x14ac:dyDescent="0.25">
      <c r="A16264" t="s">
        <v>13715</v>
      </c>
      <c r="B16264" t="s">
        <v>66</v>
      </c>
      <c r="C16264" s="2">
        <f>HYPERLINK("https://cao.dolgi.msk.ru/account/1080242935/", 1080242935)</f>
        <v>1080242935</v>
      </c>
      <c r="D16264" t="s">
        <v>13734</v>
      </c>
      <c r="E16264">
        <v>-7978.27</v>
      </c>
      <c r="F16264">
        <v>-1.05</v>
      </c>
      <c r="G16264" t="s">
        <v>12</v>
      </c>
      <c r="I16264" t="s">
        <v>1428</v>
      </c>
    </row>
    <row r="16265" spans="1:9" hidden="1" x14ac:dyDescent="0.25">
      <c r="A16265" t="s">
        <v>13715</v>
      </c>
      <c r="B16265" t="s">
        <v>68</v>
      </c>
      <c r="C16265" s="2">
        <f>HYPERLINK("https://cao.dolgi.msk.ru/account/1080242943/", 1080242943)</f>
        <v>1080242943</v>
      </c>
      <c r="D16265" t="s">
        <v>13735</v>
      </c>
      <c r="E16265">
        <v>-4499.93</v>
      </c>
      <c r="F16265">
        <v>-1.1399999999999999</v>
      </c>
      <c r="G16265" t="s">
        <v>12</v>
      </c>
      <c r="I16265" t="s">
        <v>1428</v>
      </c>
    </row>
    <row r="16266" spans="1:9" hidden="1" x14ac:dyDescent="0.25">
      <c r="A16266" t="s">
        <v>13715</v>
      </c>
      <c r="B16266" t="s">
        <v>70</v>
      </c>
      <c r="C16266" s="2">
        <f>HYPERLINK("https://cao.dolgi.msk.ru/account/1080242951/", 1080242951)</f>
        <v>1080242951</v>
      </c>
      <c r="D16266" t="s">
        <v>13736</v>
      </c>
      <c r="E16266">
        <v>-12879.68</v>
      </c>
      <c r="F16266">
        <v>-4.43</v>
      </c>
      <c r="G16266" t="s">
        <v>12</v>
      </c>
      <c r="I16266" t="s">
        <v>1428</v>
      </c>
    </row>
    <row r="16267" spans="1:9" hidden="1" x14ac:dyDescent="0.25">
      <c r="A16267" t="s">
        <v>13715</v>
      </c>
      <c r="B16267" t="s">
        <v>72</v>
      </c>
      <c r="C16267" s="2">
        <f>HYPERLINK("https://cao.dolgi.msk.ru/account/1080242978/", 1080242978)</f>
        <v>1080242978</v>
      </c>
      <c r="D16267" t="s">
        <v>13737</v>
      </c>
      <c r="E16267">
        <v>-87.7</v>
      </c>
      <c r="F16267">
        <v>-0.02</v>
      </c>
      <c r="G16267" t="s">
        <v>12</v>
      </c>
      <c r="I16267" t="s">
        <v>1428</v>
      </c>
    </row>
    <row r="16268" spans="1:9" hidden="1" x14ac:dyDescent="0.25">
      <c r="A16268" t="s">
        <v>13715</v>
      </c>
      <c r="B16268" t="s">
        <v>74</v>
      </c>
      <c r="C16268" s="2">
        <f>HYPERLINK("https://cao.dolgi.msk.ru/account/1080242986/", 1080242986)</f>
        <v>1080242986</v>
      </c>
      <c r="D16268" t="s">
        <v>13738</v>
      </c>
      <c r="E16268">
        <v>-5043.4399999999996</v>
      </c>
      <c r="F16268">
        <v>-1.1000000000000001</v>
      </c>
      <c r="G16268" t="s">
        <v>12</v>
      </c>
      <c r="I16268" t="s">
        <v>1428</v>
      </c>
    </row>
    <row r="16269" spans="1:9" hidden="1" x14ac:dyDescent="0.25">
      <c r="A16269" t="s">
        <v>13715</v>
      </c>
      <c r="B16269" t="s">
        <v>76</v>
      </c>
      <c r="C16269" s="2">
        <f>HYPERLINK("https://cao.dolgi.msk.ru/account/1080242994/", 1080242994)</f>
        <v>1080242994</v>
      </c>
      <c r="D16269" t="s">
        <v>13739</v>
      </c>
      <c r="E16269">
        <v>4858.55</v>
      </c>
      <c r="F16269">
        <v>0.84</v>
      </c>
      <c r="G16269" t="s">
        <v>12</v>
      </c>
      <c r="I16269" t="s">
        <v>1428</v>
      </c>
    </row>
    <row r="16270" spans="1:9" hidden="1" x14ac:dyDescent="0.25">
      <c r="A16270" t="s">
        <v>13715</v>
      </c>
      <c r="B16270" t="s">
        <v>78</v>
      </c>
      <c r="C16270" s="2">
        <f>HYPERLINK("https://cao.dolgi.msk.ru/account/1080243006/", 1080243006)</f>
        <v>1080243006</v>
      </c>
      <c r="D16270" t="s">
        <v>13740</v>
      </c>
      <c r="E16270">
        <v>-3872.8</v>
      </c>
      <c r="F16270">
        <v>-1.21</v>
      </c>
      <c r="G16270" t="s">
        <v>12</v>
      </c>
      <c r="I16270" t="s">
        <v>1428</v>
      </c>
    </row>
    <row r="16271" spans="1:9" hidden="1" x14ac:dyDescent="0.25">
      <c r="A16271" t="s">
        <v>13715</v>
      </c>
      <c r="B16271" t="s">
        <v>80</v>
      </c>
      <c r="C16271" s="2">
        <f>HYPERLINK("https://cao.dolgi.msk.ru/account/1080243014/", 1080243014)</f>
        <v>1080243014</v>
      </c>
      <c r="D16271" t="s">
        <v>13741</v>
      </c>
      <c r="E16271">
        <v>-4348.2299999999996</v>
      </c>
      <c r="F16271">
        <v>-0.94</v>
      </c>
      <c r="G16271" t="s">
        <v>12</v>
      </c>
      <c r="I16271" t="s">
        <v>1428</v>
      </c>
    </row>
    <row r="16272" spans="1:9" hidden="1" x14ac:dyDescent="0.25">
      <c r="A16272" t="s">
        <v>13715</v>
      </c>
      <c r="B16272" t="s">
        <v>82</v>
      </c>
      <c r="C16272" s="2">
        <f>HYPERLINK("https://cao.dolgi.msk.ru/account/1080243022/", 1080243022)</f>
        <v>1080243022</v>
      </c>
      <c r="D16272" t="s">
        <v>13742</v>
      </c>
      <c r="E16272">
        <v>-4705.8</v>
      </c>
      <c r="F16272">
        <v>-1.21</v>
      </c>
      <c r="G16272" t="s">
        <v>12</v>
      </c>
      <c r="I16272" t="s">
        <v>1428</v>
      </c>
    </row>
    <row r="16273" spans="1:9" hidden="1" x14ac:dyDescent="0.25">
      <c r="A16273" t="s">
        <v>13715</v>
      </c>
      <c r="B16273" t="s">
        <v>84</v>
      </c>
      <c r="C16273" s="2">
        <f>HYPERLINK("https://cao.dolgi.msk.ru/account/1080243049/", 1080243049)</f>
        <v>1080243049</v>
      </c>
      <c r="D16273" t="s">
        <v>13743</v>
      </c>
      <c r="E16273">
        <v>-6142.23</v>
      </c>
      <c r="F16273">
        <v>-1.1200000000000001</v>
      </c>
      <c r="G16273" t="s">
        <v>12</v>
      </c>
      <c r="I16273" t="s">
        <v>1428</v>
      </c>
    </row>
    <row r="16274" spans="1:9" hidden="1" x14ac:dyDescent="0.25">
      <c r="A16274" t="s">
        <v>13715</v>
      </c>
      <c r="B16274" t="s">
        <v>86</v>
      </c>
      <c r="C16274" s="2">
        <f>HYPERLINK("https://cao.dolgi.msk.ru/account/1080243057/", 1080243057)</f>
        <v>1080243057</v>
      </c>
      <c r="D16274" t="s">
        <v>13744</v>
      </c>
      <c r="E16274">
        <v>-8.4600000000000009</v>
      </c>
      <c r="F16274">
        <v>0</v>
      </c>
      <c r="G16274" t="s">
        <v>12</v>
      </c>
      <c r="I16274" t="s">
        <v>1428</v>
      </c>
    </row>
    <row r="16275" spans="1:9" hidden="1" x14ac:dyDescent="0.25">
      <c r="A16275" t="s">
        <v>13715</v>
      </c>
      <c r="B16275" t="s">
        <v>88</v>
      </c>
      <c r="C16275" s="2">
        <f>HYPERLINK("https://cao.dolgi.msk.ru/account/1080243065/", 1080243065)</f>
        <v>1080243065</v>
      </c>
      <c r="D16275" t="s">
        <v>15</v>
      </c>
      <c r="G16275" t="s">
        <v>14</v>
      </c>
      <c r="H16275" t="s">
        <v>7</v>
      </c>
      <c r="I16275" t="s">
        <v>1428</v>
      </c>
    </row>
    <row r="16276" spans="1:9" hidden="1" x14ac:dyDescent="0.25">
      <c r="A16276" t="s">
        <v>13715</v>
      </c>
      <c r="B16276" t="s">
        <v>88</v>
      </c>
      <c r="C16276" s="2">
        <f>HYPERLINK("https://cao.dolgi.msk.ru/account/1080243073/", 1080243073)</f>
        <v>1080243073</v>
      </c>
      <c r="D16276" t="s">
        <v>15</v>
      </c>
      <c r="G16276" t="s">
        <v>14</v>
      </c>
      <c r="H16276" t="s">
        <v>7</v>
      </c>
      <c r="I16276" t="s">
        <v>1428</v>
      </c>
    </row>
    <row r="16277" spans="1:9" hidden="1" x14ac:dyDescent="0.25">
      <c r="A16277" t="s">
        <v>13715</v>
      </c>
      <c r="B16277" t="s">
        <v>88</v>
      </c>
      <c r="C16277" s="2">
        <f>HYPERLINK("https://cao.dolgi.msk.ru/account/1080243081/", 1080243081)</f>
        <v>1080243081</v>
      </c>
      <c r="D16277" t="s">
        <v>15</v>
      </c>
      <c r="G16277" t="s">
        <v>14</v>
      </c>
      <c r="H16277" t="s">
        <v>7</v>
      </c>
      <c r="I16277" t="s">
        <v>1428</v>
      </c>
    </row>
    <row r="16278" spans="1:9" x14ac:dyDescent="0.25">
      <c r="A16278" t="s">
        <v>13715</v>
      </c>
      <c r="B16278" t="s">
        <v>90</v>
      </c>
      <c r="C16278" s="2">
        <f>HYPERLINK("https://cao.dolgi.msk.ru/account/1080243102/", 1080243102)</f>
        <v>1080243102</v>
      </c>
      <c r="D16278" t="s">
        <v>13745</v>
      </c>
      <c r="E16278">
        <v>762111.56</v>
      </c>
      <c r="F16278">
        <v>47.95</v>
      </c>
      <c r="G16278" t="s">
        <v>12</v>
      </c>
      <c r="I16278" t="s">
        <v>1428</v>
      </c>
    </row>
    <row r="16279" spans="1:9" hidden="1" x14ac:dyDescent="0.25">
      <c r="A16279" t="s">
        <v>13715</v>
      </c>
      <c r="B16279" t="s">
        <v>92</v>
      </c>
      <c r="C16279" s="2">
        <f>HYPERLINK("https://cao.dolgi.msk.ru/account/1080243129/", 1080243129)</f>
        <v>1080243129</v>
      </c>
      <c r="D16279" t="s">
        <v>13746</v>
      </c>
      <c r="E16279">
        <v>-4386.9399999999996</v>
      </c>
      <c r="F16279">
        <v>-0.87</v>
      </c>
      <c r="G16279" t="s">
        <v>12</v>
      </c>
      <c r="I16279" t="s">
        <v>1428</v>
      </c>
    </row>
    <row r="16280" spans="1:9" hidden="1" x14ac:dyDescent="0.25">
      <c r="A16280" t="s">
        <v>13715</v>
      </c>
      <c r="B16280" t="s">
        <v>94</v>
      </c>
      <c r="C16280" s="2">
        <f>HYPERLINK("https://cao.dolgi.msk.ru/account/1080243137/", 1080243137)</f>
        <v>1080243137</v>
      </c>
      <c r="D16280" t="s">
        <v>13747</v>
      </c>
      <c r="E16280">
        <v>-5913.88</v>
      </c>
      <c r="F16280">
        <v>-1.01</v>
      </c>
      <c r="G16280" t="s">
        <v>12</v>
      </c>
      <c r="I16280" t="s">
        <v>1428</v>
      </c>
    </row>
    <row r="16281" spans="1:9" hidden="1" x14ac:dyDescent="0.25">
      <c r="A16281" t="s">
        <v>13715</v>
      </c>
      <c r="B16281" t="s">
        <v>96</v>
      </c>
      <c r="C16281" s="2">
        <f>HYPERLINK("https://cao.dolgi.msk.ru/account/1080243145/", 1080243145)</f>
        <v>1080243145</v>
      </c>
      <c r="D16281" t="s">
        <v>13748</v>
      </c>
      <c r="E16281">
        <v>9.89</v>
      </c>
      <c r="F16281">
        <v>0</v>
      </c>
      <c r="G16281" t="s">
        <v>12</v>
      </c>
      <c r="I16281" t="s">
        <v>1428</v>
      </c>
    </row>
    <row r="16282" spans="1:9" hidden="1" x14ac:dyDescent="0.25">
      <c r="A16282" t="s">
        <v>13715</v>
      </c>
      <c r="B16282" t="s">
        <v>98</v>
      </c>
      <c r="C16282" s="2">
        <f>HYPERLINK("https://cao.dolgi.msk.ru/account/1080243153/", 1080243153)</f>
        <v>1080243153</v>
      </c>
      <c r="D16282" t="s">
        <v>13749</v>
      </c>
      <c r="E16282">
        <v>-5989.23</v>
      </c>
      <c r="F16282">
        <v>-1.01</v>
      </c>
      <c r="G16282" t="s">
        <v>12</v>
      </c>
      <c r="I16282" t="s">
        <v>1428</v>
      </c>
    </row>
    <row r="16283" spans="1:9" hidden="1" x14ac:dyDescent="0.25">
      <c r="A16283" t="s">
        <v>13715</v>
      </c>
      <c r="B16283" t="s">
        <v>100</v>
      </c>
      <c r="C16283" s="2">
        <f>HYPERLINK("https://cao.dolgi.msk.ru/account/1080243161/", 1080243161)</f>
        <v>1080243161</v>
      </c>
      <c r="D16283" t="s">
        <v>13750</v>
      </c>
      <c r="E16283">
        <v>-4034.42</v>
      </c>
      <c r="F16283">
        <v>-1.02</v>
      </c>
      <c r="G16283" t="s">
        <v>12</v>
      </c>
      <c r="I16283" t="s">
        <v>1428</v>
      </c>
    </row>
    <row r="16284" spans="1:9" hidden="1" x14ac:dyDescent="0.25">
      <c r="A16284" t="s">
        <v>13715</v>
      </c>
      <c r="B16284" t="s">
        <v>102</v>
      </c>
      <c r="C16284" s="2">
        <f>HYPERLINK("https://cao.dolgi.msk.ru/account/1080243188/", 1080243188)</f>
        <v>1080243188</v>
      </c>
      <c r="D16284" t="s">
        <v>13751</v>
      </c>
      <c r="E16284">
        <v>-3758.82</v>
      </c>
      <c r="F16284">
        <v>-1.22</v>
      </c>
      <c r="G16284" t="s">
        <v>12</v>
      </c>
      <c r="I16284" t="s">
        <v>1428</v>
      </c>
    </row>
    <row r="16285" spans="1:9" hidden="1" x14ac:dyDescent="0.25">
      <c r="A16285" t="s">
        <v>13715</v>
      </c>
      <c r="B16285" t="s">
        <v>104</v>
      </c>
      <c r="C16285" s="2">
        <f>HYPERLINK("https://cao.dolgi.msk.ru/account/1080243196/", 1080243196)</f>
        <v>1080243196</v>
      </c>
      <c r="D16285" t="s">
        <v>15</v>
      </c>
      <c r="E16285">
        <v>-6206.29</v>
      </c>
      <c r="F16285">
        <v>-1.05</v>
      </c>
      <c r="G16285" t="s">
        <v>12</v>
      </c>
      <c r="I16285" t="s">
        <v>1428</v>
      </c>
    </row>
    <row r="16286" spans="1:9" hidden="1" x14ac:dyDescent="0.25">
      <c r="A16286" t="s">
        <v>13715</v>
      </c>
      <c r="B16286" t="s">
        <v>106</v>
      </c>
      <c r="C16286" s="2">
        <f>HYPERLINK("https://cao.dolgi.msk.ru/account/1080243209/", 1080243209)</f>
        <v>1080243209</v>
      </c>
      <c r="D16286" t="s">
        <v>13752</v>
      </c>
      <c r="E16286">
        <v>-5259.71</v>
      </c>
      <c r="F16286">
        <v>-1.1599999999999999</v>
      </c>
      <c r="G16286" t="s">
        <v>12</v>
      </c>
      <c r="I16286" t="s">
        <v>1428</v>
      </c>
    </row>
    <row r="16287" spans="1:9" hidden="1" x14ac:dyDescent="0.25">
      <c r="A16287" t="s">
        <v>13715</v>
      </c>
      <c r="B16287" t="s">
        <v>108</v>
      </c>
      <c r="C16287" s="2">
        <f>HYPERLINK("https://cao.dolgi.msk.ru/account/1080243217/", 1080243217)</f>
        <v>1080243217</v>
      </c>
      <c r="D16287" t="s">
        <v>13753</v>
      </c>
      <c r="E16287">
        <v>-2952.51</v>
      </c>
      <c r="F16287">
        <v>-1.08</v>
      </c>
      <c r="G16287" t="s">
        <v>12</v>
      </c>
      <c r="I16287" t="s">
        <v>1428</v>
      </c>
    </row>
    <row r="16288" spans="1:9" hidden="1" x14ac:dyDescent="0.25">
      <c r="A16288" t="s">
        <v>13715</v>
      </c>
      <c r="B16288" t="s">
        <v>110</v>
      </c>
      <c r="C16288" s="2">
        <f>HYPERLINK("https://cao.dolgi.msk.ru/account/1080243225/", 1080243225)</f>
        <v>1080243225</v>
      </c>
      <c r="D16288" t="s">
        <v>13754</v>
      </c>
      <c r="E16288">
        <v>-7235.4</v>
      </c>
      <c r="F16288">
        <v>-1.1299999999999999</v>
      </c>
      <c r="G16288" t="s">
        <v>12</v>
      </c>
      <c r="I16288" t="s">
        <v>1428</v>
      </c>
    </row>
    <row r="16289" spans="1:9" hidden="1" x14ac:dyDescent="0.25">
      <c r="A16289" t="s">
        <v>13715</v>
      </c>
      <c r="B16289" t="s">
        <v>112</v>
      </c>
      <c r="C16289" s="2">
        <f>HYPERLINK("https://cao.dolgi.msk.ru/account/1080243233/", 1080243233)</f>
        <v>1080243233</v>
      </c>
      <c r="D16289" t="s">
        <v>13755</v>
      </c>
      <c r="E16289">
        <v>-3522.75</v>
      </c>
      <c r="F16289">
        <v>-1.19</v>
      </c>
      <c r="G16289" t="s">
        <v>12</v>
      </c>
      <c r="I16289" t="s">
        <v>1428</v>
      </c>
    </row>
    <row r="16290" spans="1:9" x14ac:dyDescent="0.25">
      <c r="A16290" t="s">
        <v>13715</v>
      </c>
      <c r="B16290" t="s">
        <v>114</v>
      </c>
      <c r="C16290" s="2">
        <f>HYPERLINK("https://cao.dolgi.msk.ru/account/1080243241/", 1080243241)</f>
        <v>1080243241</v>
      </c>
      <c r="D16290" t="s">
        <v>13756</v>
      </c>
      <c r="E16290">
        <v>13545.69</v>
      </c>
      <c r="F16290">
        <v>3</v>
      </c>
      <c r="G16290" t="s">
        <v>12</v>
      </c>
      <c r="I16290" t="s">
        <v>1428</v>
      </c>
    </row>
    <row r="16291" spans="1:9" hidden="1" x14ac:dyDescent="0.25">
      <c r="A16291" t="s">
        <v>13715</v>
      </c>
      <c r="B16291" t="s">
        <v>116</v>
      </c>
      <c r="C16291" s="2">
        <f>HYPERLINK("https://cao.dolgi.msk.ru/account/1080243268/", 1080243268)</f>
        <v>1080243268</v>
      </c>
      <c r="D16291" t="s">
        <v>13757</v>
      </c>
      <c r="E16291">
        <v>-6350.72</v>
      </c>
      <c r="F16291">
        <v>-1.1200000000000001</v>
      </c>
      <c r="G16291" t="s">
        <v>12</v>
      </c>
      <c r="I16291" t="s">
        <v>1428</v>
      </c>
    </row>
    <row r="16292" spans="1:9" hidden="1" x14ac:dyDescent="0.25">
      <c r="A16292" t="s">
        <v>13715</v>
      </c>
      <c r="B16292" t="s">
        <v>118</v>
      </c>
      <c r="C16292" s="2">
        <f>HYPERLINK("https://cao.dolgi.msk.ru/account/1080243276/", 1080243276)</f>
        <v>1080243276</v>
      </c>
      <c r="D16292" t="s">
        <v>13758</v>
      </c>
      <c r="E16292">
        <v>-4994.59</v>
      </c>
      <c r="F16292">
        <v>-1.58</v>
      </c>
      <c r="G16292" t="s">
        <v>12</v>
      </c>
      <c r="I16292" t="s">
        <v>1428</v>
      </c>
    </row>
    <row r="16293" spans="1:9" hidden="1" x14ac:dyDescent="0.25">
      <c r="A16293" t="s">
        <v>13715</v>
      </c>
      <c r="B16293" t="s">
        <v>120</v>
      </c>
      <c r="C16293" s="2">
        <f>HYPERLINK("https://cao.dolgi.msk.ru/account/1080243284/", 1080243284)</f>
        <v>1080243284</v>
      </c>
      <c r="D16293" t="s">
        <v>13759</v>
      </c>
      <c r="E16293">
        <v>-6744.63</v>
      </c>
      <c r="F16293">
        <v>-1.3</v>
      </c>
      <c r="G16293" t="s">
        <v>12</v>
      </c>
      <c r="I16293" t="s">
        <v>1428</v>
      </c>
    </row>
    <row r="16294" spans="1:9" hidden="1" x14ac:dyDescent="0.25">
      <c r="A16294" t="s">
        <v>13715</v>
      </c>
      <c r="B16294" t="s">
        <v>122</v>
      </c>
      <c r="C16294" s="2">
        <f>HYPERLINK("https://cao.dolgi.msk.ru/account/1080243292/", 1080243292)</f>
        <v>1080243292</v>
      </c>
      <c r="D16294" t="s">
        <v>13760</v>
      </c>
      <c r="E16294">
        <v>-8630.76</v>
      </c>
      <c r="F16294">
        <v>-1.1399999999999999</v>
      </c>
      <c r="G16294" t="s">
        <v>12</v>
      </c>
      <c r="I16294" t="s">
        <v>1428</v>
      </c>
    </row>
    <row r="16295" spans="1:9" hidden="1" x14ac:dyDescent="0.25">
      <c r="A16295" t="s">
        <v>13715</v>
      </c>
      <c r="B16295" t="s">
        <v>124</v>
      </c>
      <c r="C16295" s="2">
        <f>HYPERLINK("https://cao.dolgi.msk.ru/account/1080243305/", 1080243305)</f>
        <v>1080243305</v>
      </c>
      <c r="D16295" t="s">
        <v>13761</v>
      </c>
      <c r="E16295">
        <v>-4943.46</v>
      </c>
      <c r="F16295">
        <v>-1.1100000000000001</v>
      </c>
      <c r="G16295" t="s">
        <v>12</v>
      </c>
      <c r="I16295" t="s">
        <v>1428</v>
      </c>
    </row>
    <row r="16296" spans="1:9" hidden="1" x14ac:dyDescent="0.25">
      <c r="A16296" t="s">
        <v>13715</v>
      </c>
      <c r="B16296" t="s">
        <v>126</v>
      </c>
      <c r="C16296" s="2">
        <f>HYPERLINK("https://cao.dolgi.msk.ru/account/1080243313/", 1080243313)</f>
        <v>1080243313</v>
      </c>
      <c r="D16296" t="s">
        <v>13762</v>
      </c>
      <c r="E16296">
        <v>-7224.07</v>
      </c>
      <c r="F16296">
        <v>-1.1399999999999999</v>
      </c>
      <c r="G16296" t="s">
        <v>12</v>
      </c>
      <c r="I16296" t="s">
        <v>1428</v>
      </c>
    </row>
    <row r="16297" spans="1:9" hidden="1" x14ac:dyDescent="0.25">
      <c r="A16297" t="s">
        <v>13715</v>
      </c>
      <c r="B16297" t="s">
        <v>128</v>
      </c>
      <c r="C16297" s="2">
        <f>HYPERLINK("https://cao.dolgi.msk.ru/account/1080243321/", 1080243321)</f>
        <v>1080243321</v>
      </c>
      <c r="D16297" t="s">
        <v>13763</v>
      </c>
      <c r="E16297">
        <v>-13767.39</v>
      </c>
      <c r="F16297">
        <v>-2.2799999999999998</v>
      </c>
      <c r="G16297" t="s">
        <v>12</v>
      </c>
      <c r="I16297" t="s">
        <v>1428</v>
      </c>
    </row>
    <row r="16298" spans="1:9" hidden="1" x14ac:dyDescent="0.25">
      <c r="A16298" t="s">
        <v>13715</v>
      </c>
      <c r="B16298" t="s">
        <v>130</v>
      </c>
      <c r="C16298" s="2">
        <f>HYPERLINK("https://cao.dolgi.msk.ru/account/1080243348/", 1080243348)</f>
        <v>1080243348</v>
      </c>
      <c r="D16298" t="s">
        <v>13764</v>
      </c>
      <c r="E16298">
        <v>-1929.79</v>
      </c>
      <c r="F16298">
        <v>-0.83</v>
      </c>
      <c r="G16298" t="s">
        <v>12</v>
      </c>
      <c r="I16298" t="s">
        <v>1428</v>
      </c>
    </row>
    <row r="16299" spans="1:9" hidden="1" x14ac:dyDescent="0.25">
      <c r="A16299" t="s">
        <v>13715</v>
      </c>
      <c r="B16299" t="s">
        <v>132</v>
      </c>
      <c r="C16299" s="2">
        <f>HYPERLINK("https://cao.dolgi.msk.ru/account/1080243356/", 1080243356)</f>
        <v>1080243356</v>
      </c>
      <c r="D16299" t="s">
        <v>13765</v>
      </c>
      <c r="E16299">
        <v>232.8</v>
      </c>
      <c r="F16299">
        <v>0.06</v>
      </c>
      <c r="G16299" t="s">
        <v>12</v>
      </c>
      <c r="I16299" t="s">
        <v>1428</v>
      </c>
    </row>
    <row r="16300" spans="1:9" hidden="1" x14ac:dyDescent="0.25">
      <c r="A16300" t="s">
        <v>13715</v>
      </c>
      <c r="B16300" t="s">
        <v>133</v>
      </c>
      <c r="C16300" s="2">
        <f>HYPERLINK("https://cao.dolgi.msk.ru/account/1080243364/", 1080243364)</f>
        <v>1080243364</v>
      </c>
      <c r="D16300" t="s">
        <v>13766</v>
      </c>
      <c r="E16300">
        <v>-4708.47</v>
      </c>
      <c r="F16300">
        <v>-1.0900000000000001</v>
      </c>
      <c r="G16300" t="s">
        <v>12</v>
      </c>
      <c r="I16300" t="s">
        <v>1428</v>
      </c>
    </row>
    <row r="16301" spans="1:9" hidden="1" x14ac:dyDescent="0.25">
      <c r="A16301" t="s">
        <v>13715</v>
      </c>
      <c r="B16301" t="s">
        <v>135</v>
      </c>
      <c r="C16301" s="2">
        <f>HYPERLINK("https://cao.dolgi.msk.ru/account/1080243372/", 1080243372)</f>
        <v>1080243372</v>
      </c>
      <c r="D16301" t="s">
        <v>13767</v>
      </c>
      <c r="E16301">
        <v>-4473.74</v>
      </c>
      <c r="F16301">
        <v>-1.1200000000000001</v>
      </c>
      <c r="G16301" t="s">
        <v>12</v>
      </c>
      <c r="I16301" t="s">
        <v>1428</v>
      </c>
    </row>
    <row r="16302" spans="1:9" hidden="1" x14ac:dyDescent="0.25">
      <c r="A16302" t="s">
        <v>13715</v>
      </c>
      <c r="B16302" t="s">
        <v>137</v>
      </c>
      <c r="C16302" s="2">
        <f>HYPERLINK("https://cao.dolgi.msk.ru/account/1080243399/", 1080243399)</f>
        <v>1080243399</v>
      </c>
      <c r="D16302" t="s">
        <v>13768</v>
      </c>
      <c r="E16302">
        <v>564.22</v>
      </c>
      <c r="F16302">
        <v>0.12</v>
      </c>
      <c r="G16302" t="s">
        <v>12</v>
      </c>
      <c r="I16302" t="s">
        <v>1428</v>
      </c>
    </row>
    <row r="16303" spans="1:9" hidden="1" x14ac:dyDescent="0.25">
      <c r="A16303" t="s">
        <v>13715</v>
      </c>
      <c r="B16303" t="s">
        <v>139</v>
      </c>
      <c r="C16303" s="2">
        <f>HYPERLINK("https://cao.dolgi.msk.ru/account/1080243401/", 1080243401)</f>
        <v>1080243401</v>
      </c>
      <c r="D16303" t="s">
        <v>13769</v>
      </c>
      <c r="E16303">
        <v>-5152.08</v>
      </c>
      <c r="F16303">
        <v>-0.95</v>
      </c>
      <c r="G16303" t="s">
        <v>12</v>
      </c>
      <c r="I16303" t="s">
        <v>1428</v>
      </c>
    </row>
    <row r="16304" spans="1:9" hidden="1" x14ac:dyDescent="0.25">
      <c r="A16304" t="s">
        <v>13715</v>
      </c>
      <c r="B16304" t="s">
        <v>141</v>
      </c>
      <c r="C16304" s="2">
        <f>HYPERLINK("https://cao.dolgi.msk.ru/account/1080243428/", 1080243428)</f>
        <v>1080243428</v>
      </c>
      <c r="D16304" t="s">
        <v>13770</v>
      </c>
      <c r="E16304">
        <v>-15735.35</v>
      </c>
      <c r="F16304">
        <v>-3.07</v>
      </c>
      <c r="G16304" t="s">
        <v>12</v>
      </c>
      <c r="I16304" t="s">
        <v>1428</v>
      </c>
    </row>
    <row r="16305" spans="1:9" hidden="1" x14ac:dyDescent="0.25">
      <c r="A16305" t="s">
        <v>13715</v>
      </c>
      <c r="B16305" t="s">
        <v>143</v>
      </c>
      <c r="C16305" s="2">
        <f>HYPERLINK("https://cao.dolgi.msk.ru/account/1080243436/", 1080243436)</f>
        <v>1080243436</v>
      </c>
      <c r="D16305" t="s">
        <v>13771</v>
      </c>
      <c r="E16305">
        <v>-5067.84</v>
      </c>
      <c r="F16305">
        <v>-1.1000000000000001</v>
      </c>
      <c r="G16305" t="s">
        <v>12</v>
      </c>
      <c r="I16305" t="s">
        <v>1428</v>
      </c>
    </row>
    <row r="16306" spans="1:9" hidden="1" x14ac:dyDescent="0.25">
      <c r="A16306" t="s">
        <v>13715</v>
      </c>
      <c r="B16306" t="s">
        <v>145</v>
      </c>
      <c r="C16306" s="2">
        <f>HYPERLINK("https://cao.dolgi.msk.ru/account/1080243444/", 1080243444)</f>
        <v>1080243444</v>
      </c>
      <c r="D16306" t="s">
        <v>13772</v>
      </c>
      <c r="E16306">
        <v>-8704.9599999999991</v>
      </c>
      <c r="F16306">
        <v>-1.1299999999999999</v>
      </c>
      <c r="G16306" t="s">
        <v>12</v>
      </c>
      <c r="I16306" t="s">
        <v>1428</v>
      </c>
    </row>
    <row r="16307" spans="1:9" hidden="1" x14ac:dyDescent="0.25">
      <c r="A16307" t="s">
        <v>13715</v>
      </c>
      <c r="B16307" t="s">
        <v>147</v>
      </c>
      <c r="C16307" s="2">
        <f>HYPERLINK("https://cao.dolgi.msk.ru/account/1080243452/", 1080243452)</f>
        <v>1080243452</v>
      </c>
      <c r="D16307" t="s">
        <v>13773</v>
      </c>
      <c r="E16307">
        <v>-7498.41</v>
      </c>
      <c r="F16307">
        <v>-1.1000000000000001</v>
      </c>
      <c r="G16307" t="s">
        <v>12</v>
      </c>
      <c r="I16307" t="s">
        <v>1428</v>
      </c>
    </row>
    <row r="16308" spans="1:9" hidden="1" x14ac:dyDescent="0.25">
      <c r="A16308" t="s">
        <v>13715</v>
      </c>
      <c r="B16308" t="s">
        <v>149</v>
      </c>
      <c r="C16308" s="2">
        <f>HYPERLINK("https://cao.dolgi.msk.ru/account/1080243479/", 1080243479)</f>
        <v>1080243479</v>
      </c>
      <c r="D16308" t="s">
        <v>13774</v>
      </c>
      <c r="E16308">
        <v>17.04</v>
      </c>
      <c r="F16308">
        <v>0.01</v>
      </c>
      <c r="G16308" t="s">
        <v>12</v>
      </c>
      <c r="I16308" t="s">
        <v>1428</v>
      </c>
    </row>
    <row r="16309" spans="1:9" hidden="1" x14ac:dyDescent="0.25">
      <c r="A16309" t="s">
        <v>13715</v>
      </c>
      <c r="B16309" t="s">
        <v>151</v>
      </c>
      <c r="C16309" s="2">
        <f>HYPERLINK("https://cao.dolgi.msk.ru/account/1080243487/", 1080243487)</f>
        <v>1080243487</v>
      </c>
      <c r="D16309" t="s">
        <v>15</v>
      </c>
      <c r="G16309" t="s">
        <v>14</v>
      </c>
      <c r="I16309" t="s">
        <v>1428</v>
      </c>
    </row>
    <row r="16310" spans="1:9" hidden="1" x14ac:dyDescent="0.25">
      <c r="A16310" t="s">
        <v>13715</v>
      </c>
      <c r="B16310" t="s">
        <v>153</v>
      </c>
      <c r="C16310" s="2">
        <f>HYPERLINK("https://cao.dolgi.msk.ru/account/1080243495/", 1080243495)</f>
        <v>1080243495</v>
      </c>
      <c r="D16310" t="s">
        <v>15</v>
      </c>
      <c r="G16310" t="s">
        <v>14</v>
      </c>
      <c r="I16310" t="s">
        <v>1428</v>
      </c>
    </row>
    <row r="16311" spans="1:9" hidden="1" x14ac:dyDescent="0.25">
      <c r="A16311" t="s">
        <v>13715</v>
      </c>
      <c r="B16311" t="s">
        <v>155</v>
      </c>
      <c r="C16311" s="2">
        <f>HYPERLINK("https://cao.dolgi.msk.ru/account/1080243508/", 1080243508)</f>
        <v>1080243508</v>
      </c>
      <c r="D16311" t="s">
        <v>13775</v>
      </c>
      <c r="E16311">
        <v>845.05</v>
      </c>
      <c r="F16311">
        <v>0.15</v>
      </c>
      <c r="G16311" t="s">
        <v>12</v>
      </c>
      <c r="I16311" t="s">
        <v>1428</v>
      </c>
    </row>
    <row r="16312" spans="1:9" hidden="1" x14ac:dyDescent="0.25">
      <c r="A16312" t="s">
        <v>13715</v>
      </c>
      <c r="B16312" t="s">
        <v>157</v>
      </c>
      <c r="C16312" s="2">
        <f>HYPERLINK("https://cao.dolgi.msk.ru/account/1080243516/", 1080243516)</f>
        <v>1080243516</v>
      </c>
      <c r="D16312" t="s">
        <v>13776</v>
      </c>
      <c r="E16312">
        <v>-9614.0400000000009</v>
      </c>
      <c r="F16312">
        <v>-2.09</v>
      </c>
      <c r="G16312" t="s">
        <v>12</v>
      </c>
      <c r="I16312" t="s">
        <v>1428</v>
      </c>
    </row>
    <row r="16313" spans="1:9" hidden="1" x14ac:dyDescent="0.25">
      <c r="A16313" t="s">
        <v>13715</v>
      </c>
      <c r="B16313" t="s">
        <v>159</v>
      </c>
      <c r="C16313" s="2">
        <f>HYPERLINK("https://cao.dolgi.msk.ru/account/1080243524/", 1080243524)</f>
        <v>1080243524</v>
      </c>
      <c r="D16313" t="s">
        <v>13777</v>
      </c>
      <c r="E16313">
        <v>-5665.95</v>
      </c>
      <c r="F16313">
        <v>-1.06</v>
      </c>
      <c r="G16313" t="s">
        <v>12</v>
      </c>
      <c r="I16313" t="s">
        <v>1428</v>
      </c>
    </row>
    <row r="16314" spans="1:9" hidden="1" x14ac:dyDescent="0.25">
      <c r="A16314" t="s">
        <v>13715</v>
      </c>
      <c r="B16314" t="s">
        <v>161</v>
      </c>
      <c r="C16314" s="2">
        <f>HYPERLINK("https://cao.dolgi.msk.ru/account/1080243532/", 1080243532)</f>
        <v>1080243532</v>
      </c>
      <c r="D16314" t="s">
        <v>13778</v>
      </c>
      <c r="E16314">
        <v>-98.35</v>
      </c>
      <c r="F16314">
        <v>-0.02</v>
      </c>
      <c r="G16314" t="s">
        <v>12</v>
      </c>
      <c r="I16314" t="s">
        <v>1428</v>
      </c>
    </row>
    <row r="16315" spans="1:9" x14ac:dyDescent="0.25">
      <c r="A16315" t="s">
        <v>13715</v>
      </c>
      <c r="B16315" t="s">
        <v>163</v>
      </c>
      <c r="C16315" s="2">
        <f>HYPERLINK("https://cao.dolgi.msk.ru/account/1080243559/", 1080243559)</f>
        <v>1080243559</v>
      </c>
      <c r="D16315" t="s">
        <v>13779</v>
      </c>
      <c r="E16315">
        <v>4932.29</v>
      </c>
      <c r="F16315">
        <v>2</v>
      </c>
      <c r="G16315" t="s">
        <v>12</v>
      </c>
      <c r="I16315" t="s">
        <v>1428</v>
      </c>
    </row>
    <row r="16316" spans="1:9" x14ac:dyDescent="0.25">
      <c r="A16316" t="s">
        <v>13715</v>
      </c>
      <c r="B16316" t="s">
        <v>571</v>
      </c>
      <c r="C16316" s="2">
        <f>HYPERLINK("https://cao.dolgi.msk.ru/account/1080243567/", 1080243567)</f>
        <v>1080243567</v>
      </c>
      <c r="D16316" t="s">
        <v>13780</v>
      </c>
      <c r="E16316">
        <v>8202.7999999999993</v>
      </c>
      <c r="F16316">
        <v>1.81</v>
      </c>
      <c r="G16316" t="s">
        <v>12</v>
      </c>
      <c r="I16316" t="s">
        <v>1428</v>
      </c>
    </row>
    <row r="16317" spans="1:9" hidden="1" x14ac:dyDescent="0.25">
      <c r="A16317" t="s">
        <v>13715</v>
      </c>
      <c r="B16317" t="s">
        <v>682</v>
      </c>
      <c r="C16317" s="2">
        <f>HYPERLINK("https://cao.dolgi.msk.ru/account/1080243575/", 1080243575)</f>
        <v>1080243575</v>
      </c>
      <c r="D16317" t="s">
        <v>13781</v>
      </c>
      <c r="E16317">
        <v>-6813.26</v>
      </c>
      <c r="F16317">
        <v>-1.23</v>
      </c>
      <c r="G16317" t="s">
        <v>12</v>
      </c>
      <c r="I16317" t="s">
        <v>1428</v>
      </c>
    </row>
    <row r="16318" spans="1:9" x14ac:dyDescent="0.25">
      <c r="A16318" t="s">
        <v>13715</v>
      </c>
      <c r="B16318" t="s">
        <v>578</v>
      </c>
      <c r="C16318" s="2">
        <f>HYPERLINK("https://cao.dolgi.msk.ru/account/1080243583/", 1080243583)</f>
        <v>1080243583</v>
      </c>
      <c r="D16318" t="s">
        <v>13782</v>
      </c>
      <c r="E16318">
        <v>13580.68</v>
      </c>
      <c r="F16318">
        <v>2.0299999999999998</v>
      </c>
      <c r="G16318" t="s">
        <v>12</v>
      </c>
      <c r="I16318" t="s">
        <v>1428</v>
      </c>
    </row>
    <row r="16319" spans="1:9" hidden="1" x14ac:dyDescent="0.25">
      <c r="A16319" t="s">
        <v>13715</v>
      </c>
      <c r="B16319" t="s">
        <v>580</v>
      </c>
      <c r="C16319" s="2">
        <f>HYPERLINK("https://cao.dolgi.msk.ru/account/1080243591/", 1080243591)</f>
        <v>1080243591</v>
      </c>
      <c r="D16319" t="s">
        <v>13783</v>
      </c>
      <c r="E16319">
        <v>13.04</v>
      </c>
      <c r="F16319">
        <v>0</v>
      </c>
      <c r="G16319" t="s">
        <v>12</v>
      </c>
      <c r="I16319" t="s">
        <v>1428</v>
      </c>
    </row>
    <row r="16320" spans="1:9" hidden="1" x14ac:dyDescent="0.25">
      <c r="A16320" t="s">
        <v>13715</v>
      </c>
      <c r="B16320" t="s">
        <v>686</v>
      </c>
      <c r="C16320" s="2">
        <f>HYPERLINK("https://cao.dolgi.msk.ru/account/1080243604/", 1080243604)</f>
        <v>1080243604</v>
      </c>
      <c r="D16320" t="s">
        <v>13784</v>
      </c>
      <c r="E16320">
        <v>-2900.03</v>
      </c>
      <c r="F16320">
        <v>-1.0900000000000001</v>
      </c>
      <c r="G16320" t="s">
        <v>12</v>
      </c>
      <c r="I16320" t="s">
        <v>1428</v>
      </c>
    </row>
    <row r="16321" spans="1:9" hidden="1" x14ac:dyDescent="0.25">
      <c r="A16321" t="s">
        <v>13715</v>
      </c>
      <c r="B16321" t="s">
        <v>582</v>
      </c>
      <c r="C16321" s="2">
        <f>HYPERLINK("https://cao.dolgi.msk.ru/account/1080243612/", 1080243612)</f>
        <v>1080243612</v>
      </c>
      <c r="D16321" t="s">
        <v>13785</v>
      </c>
      <c r="E16321">
        <v>-6661.51</v>
      </c>
      <c r="F16321">
        <v>-1.03</v>
      </c>
      <c r="G16321" t="s">
        <v>12</v>
      </c>
      <c r="I16321" t="s">
        <v>1428</v>
      </c>
    </row>
    <row r="16322" spans="1:9" hidden="1" x14ac:dyDescent="0.25">
      <c r="A16322" t="s">
        <v>13715</v>
      </c>
      <c r="B16322" t="s">
        <v>584</v>
      </c>
      <c r="C16322" s="2">
        <f>HYPERLINK("https://cao.dolgi.msk.ru/account/1080243639/", 1080243639)</f>
        <v>1080243639</v>
      </c>
      <c r="D16322" t="s">
        <v>13786</v>
      </c>
      <c r="E16322">
        <v>-4014.89</v>
      </c>
      <c r="F16322">
        <v>-0.68</v>
      </c>
      <c r="G16322" t="s">
        <v>12</v>
      </c>
      <c r="I16322" t="s">
        <v>1428</v>
      </c>
    </row>
    <row r="16323" spans="1:9" hidden="1" x14ac:dyDescent="0.25">
      <c r="A16323" t="s">
        <v>13715</v>
      </c>
      <c r="B16323" t="s">
        <v>586</v>
      </c>
      <c r="C16323" s="2">
        <f>HYPERLINK("https://cao.dolgi.msk.ru/account/1080243647/", 1080243647)</f>
        <v>1080243647</v>
      </c>
      <c r="D16323" t="s">
        <v>13787</v>
      </c>
      <c r="E16323">
        <v>-277.39999999999998</v>
      </c>
      <c r="F16323">
        <v>-0.2</v>
      </c>
      <c r="G16323" t="s">
        <v>12</v>
      </c>
      <c r="I16323" t="s">
        <v>1428</v>
      </c>
    </row>
    <row r="16324" spans="1:9" hidden="1" x14ac:dyDescent="0.25">
      <c r="A16324" t="s">
        <v>13715</v>
      </c>
      <c r="B16324" t="s">
        <v>588</v>
      </c>
      <c r="C16324" s="2">
        <f>HYPERLINK("https://cao.dolgi.msk.ru/account/1080243655/", 1080243655)</f>
        <v>1080243655</v>
      </c>
      <c r="D16324" t="s">
        <v>13788</v>
      </c>
      <c r="E16324">
        <v>-3560.19</v>
      </c>
      <c r="F16324">
        <v>-1.1100000000000001</v>
      </c>
      <c r="G16324" t="s">
        <v>12</v>
      </c>
      <c r="I16324" t="s">
        <v>1428</v>
      </c>
    </row>
    <row r="16325" spans="1:9" hidden="1" x14ac:dyDescent="0.25">
      <c r="A16325" t="s">
        <v>13715</v>
      </c>
      <c r="B16325" t="s">
        <v>590</v>
      </c>
      <c r="C16325" s="2">
        <f>HYPERLINK("https://cao.dolgi.msk.ru/account/1080243663/", 1080243663)</f>
        <v>1080243663</v>
      </c>
      <c r="D16325" t="s">
        <v>13789</v>
      </c>
      <c r="E16325">
        <v>-10561.64</v>
      </c>
      <c r="F16325">
        <v>-1.99</v>
      </c>
      <c r="G16325" t="s">
        <v>12</v>
      </c>
      <c r="I16325" t="s">
        <v>1428</v>
      </c>
    </row>
    <row r="16326" spans="1:9" hidden="1" x14ac:dyDescent="0.25">
      <c r="A16326" t="s">
        <v>13715</v>
      </c>
      <c r="B16326" t="s">
        <v>693</v>
      </c>
      <c r="C16326" s="2">
        <f>HYPERLINK("https://cao.dolgi.msk.ru/account/1080243671/", 1080243671)</f>
        <v>1080243671</v>
      </c>
      <c r="D16326" t="s">
        <v>13790</v>
      </c>
      <c r="E16326">
        <v>-5717.8</v>
      </c>
      <c r="F16326">
        <v>-1.6</v>
      </c>
      <c r="G16326" t="s">
        <v>12</v>
      </c>
      <c r="I16326" t="s">
        <v>1428</v>
      </c>
    </row>
    <row r="16327" spans="1:9" hidden="1" x14ac:dyDescent="0.25">
      <c r="A16327" t="s">
        <v>13715</v>
      </c>
      <c r="B16327" t="s">
        <v>694</v>
      </c>
      <c r="C16327" s="2">
        <f>HYPERLINK("https://cao.dolgi.msk.ru/account/1080243698/", 1080243698)</f>
        <v>1080243698</v>
      </c>
      <c r="D16327" t="s">
        <v>13791</v>
      </c>
      <c r="E16327">
        <v>-4276.45</v>
      </c>
      <c r="F16327">
        <v>-1.23</v>
      </c>
      <c r="G16327" t="s">
        <v>12</v>
      </c>
      <c r="I16327" t="s">
        <v>1428</v>
      </c>
    </row>
    <row r="16328" spans="1:9" hidden="1" x14ac:dyDescent="0.25">
      <c r="A16328" t="s">
        <v>13715</v>
      </c>
      <c r="B16328" t="s">
        <v>696</v>
      </c>
      <c r="C16328" s="2">
        <f>HYPERLINK("https://cao.dolgi.msk.ru/account/1080243719/", 1080243719)</f>
        <v>1080243719</v>
      </c>
      <c r="D16328" t="s">
        <v>13792</v>
      </c>
      <c r="E16328">
        <v>-26999.9</v>
      </c>
      <c r="F16328">
        <v>-10.61</v>
      </c>
      <c r="G16328" t="s">
        <v>12</v>
      </c>
      <c r="I16328" t="s">
        <v>1428</v>
      </c>
    </row>
    <row r="16329" spans="1:9" hidden="1" x14ac:dyDescent="0.25">
      <c r="A16329" t="s">
        <v>13715</v>
      </c>
      <c r="B16329" t="s">
        <v>698</v>
      </c>
      <c r="C16329" s="2">
        <f>HYPERLINK("https://cao.dolgi.msk.ru/account/1080243727/", 1080243727)</f>
        <v>1080243727</v>
      </c>
      <c r="D16329" t="s">
        <v>13793</v>
      </c>
      <c r="E16329">
        <v>-3392.46</v>
      </c>
      <c r="F16329">
        <v>-1.1000000000000001</v>
      </c>
      <c r="G16329" t="s">
        <v>12</v>
      </c>
      <c r="I16329" t="s">
        <v>1428</v>
      </c>
    </row>
    <row r="16330" spans="1:9" hidden="1" x14ac:dyDescent="0.25">
      <c r="A16330" t="s">
        <v>13715</v>
      </c>
      <c r="B16330" t="s">
        <v>700</v>
      </c>
      <c r="C16330" s="2">
        <f>HYPERLINK("https://cao.dolgi.msk.ru/account/1080243735/", 1080243735)</f>
        <v>1080243735</v>
      </c>
      <c r="D16330" t="s">
        <v>15</v>
      </c>
      <c r="E16330">
        <v>-2636.84</v>
      </c>
      <c r="F16330">
        <v>-0.56999999999999995</v>
      </c>
      <c r="G16330" t="s">
        <v>12</v>
      </c>
      <c r="I16330" t="s">
        <v>1428</v>
      </c>
    </row>
    <row r="16331" spans="1:9" hidden="1" x14ac:dyDescent="0.25">
      <c r="A16331" t="s">
        <v>13715</v>
      </c>
      <c r="B16331" t="s">
        <v>702</v>
      </c>
      <c r="C16331" s="2">
        <f>HYPERLINK("https://cao.dolgi.msk.ru/account/1080243743/", 1080243743)</f>
        <v>1080243743</v>
      </c>
      <c r="D16331" t="s">
        <v>13794</v>
      </c>
      <c r="E16331">
        <v>-11461.26</v>
      </c>
      <c r="F16331">
        <v>-2.25</v>
      </c>
      <c r="G16331" t="s">
        <v>12</v>
      </c>
      <c r="I16331" t="s">
        <v>1428</v>
      </c>
    </row>
    <row r="16332" spans="1:9" hidden="1" x14ac:dyDescent="0.25">
      <c r="A16332" t="s">
        <v>13715</v>
      </c>
      <c r="B16332" t="s">
        <v>703</v>
      </c>
      <c r="C16332" s="2">
        <f>HYPERLINK("https://cao.dolgi.msk.ru/account/1080243751/", 1080243751)</f>
        <v>1080243751</v>
      </c>
      <c r="D16332" t="s">
        <v>13795</v>
      </c>
      <c r="E16332">
        <v>-4819.76</v>
      </c>
      <c r="F16332">
        <v>-1.51</v>
      </c>
      <c r="G16332" t="s">
        <v>12</v>
      </c>
      <c r="I16332" t="s">
        <v>1428</v>
      </c>
    </row>
    <row r="16333" spans="1:9" hidden="1" x14ac:dyDescent="0.25">
      <c r="A16333" t="s">
        <v>13715</v>
      </c>
      <c r="B16333" t="s">
        <v>705</v>
      </c>
      <c r="C16333" s="2">
        <f>HYPERLINK("https://cao.dolgi.msk.ru/account/1080243778/", 1080243778)</f>
        <v>1080243778</v>
      </c>
      <c r="D16333" t="s">
        <v>13796</v>
      </c>
      <c r="E16333">
        <v>-4802.93</v>
      </c>
      <c r="F16333">
        <v>-1.18</v>
      </c>
      <c r="G16333" t="s">
        <v>12</v>
      </c>
      <c r="I16333" t="s">
        <v>1428</v>
      </c>
    </row>
    <row r="16334" spans="1:9" hidden="1" x14ac:dyDescent="0.25">
      <c r="A16334" t="s">
        <v>13715</v>
      </c>
      <c r="B16334" t="s">
        <v>707</v>
      </c>
      <c r="C16334" s="2">
        <f>HYPERLINK("https://cao.dolgi.msk.ru/account/1080243786/", 1080243786)</f>
        <v>1080243786</v>
      </c>
      <c r="D16334" t="s">
        <v>13797</v>
      </c>
      <c r="E16334">
        <v>-5608.35</v>
      </c>
      <c r="F16334">
        <v>-1.02</v>
      </c>
      <c r="G16334" t="s">
        <v>12</v>
      </c>
      <c r="I16334" t="s">
        <v>1428</v>
      </c>
    </row>
    <row r="16335" spans="1:9" hidden="1" x14ac:dyDescent="0.25">
      <c r="A16335" t="s">
        <v>13715</v>
      </c>
      <c r="B16335" t="s">
        <v>709</v>
      </c>
      <c r="C16335" s="2">
        <f>HYPERLINK("https://cao.dolgi.msk.ru/account/1080243794/", 1080243794)</f>
        <v>1080243794</v>
      </c>
      <c r="D16335" t="s">
        <v>13798</v>
      </c>
      <c r="E16335">
        <v>-3264.37</v>
      </c>
      <c r="F16335">
        <v>-1</v>
      </c>
      <c r="G16335" t="s">
        <v>12</v>
      </c>
      <c r="I16335" t="s">
        <v>1428</v>
      </c>
    </row>
    <row r="16336" spans="1:9" hidden="1" x14ac:dyDescent="0.25">
      <c r="A16336" t="s">
        <v>13715</v>
      </c>
      <c r="B16336" t="s">
        <v>711</v>
      </c>
      <c r="C16336" s="2">
        <f>HYPERLINK("https://cao.dolgi.msk.ru/account/1080243807/", 1080243807)</f>
        <v>1080243807</v>
      </c>
      <c r="D16336" t="s">
        <v>13799</v>
      </c>
      <c r="E16336">
        <v>115.07</v>
      </c>
      <c r="F16336">
        <v>0.02</v>
      </c>
      <c r="G16336" t="s">
        <v>12</v>
      </c>
      <c r="I16336" t="s">
        <v>1428</v>
      </c>
    </row>
    <row r="16337" spans="1:9" hidden="1" x14ac:dyDescent="0.25">
      <c r="A16337" t="s">
        <v>13715</v>
      </c>
      <c r="B16337" t="s">
        <v>713</v>
      </c>
      <c r="C16337" s="2">
        <f>HYPERLINK("https://cao.dolgi.msk.ru/account/1080243815/", 1080243815)</f>
        <v>1080243815</v>
      </c>
      <c r="D16337" t="s">
        <v>13800</v>
      </c>
      <c r="E16337">
        <v>-5610.17</v>
      </c>
      <c r="F16337">
        <v>-1.1299999999999999</v>
      </c>
      <c r="G16337" t="s">
        <v>12</v>
      </c>
      <c r="I16337" t="s">
        <v>1428</v>
      </c>
    </row>
    <row r="16338" spans="1:9" hidden="1" x14ac:dyDescent="0.25">
      <c r="A16338" t="s">
        <v>13715</v>
      </c>
      <c r="B16338" t="s">
        <v>528</v>
      </c>
      <c r="C16338" s="2">
        <f>HYPERLINK("https://cao.dolgi.msk.ru/account/1080243823/", 1080243823)</f>
        <v>1080243823</v>
      </c>
      <c r="D16338" t="s">
        <v>13801</v>
      </c>
      <c r="E16338">
        <v>-4925.92</v>
      </c>
      <c r="F16338">
        <v>-1.06</v>
      </c>
      <c r="G16338" t="s">
        <v>12</v>
      </c>
      <c r="I16338" t="s">
        <v>1428</v>
      </c>
    </row>
    <row r="16339" spans="1:9" hidden="1" x14ac:dyDescent="0.25">
      <c r="A16339" t="s">
        <v>13802</v>
      </c>
      <c r="B16339" t="s">
        <v>10</v>
      </c>
      <c r="C16339" s="2">
        <f>HYPERLINK("https://cao.dolgi.msk.ru/account/1080243831/", 1080243831)</f>
        <v>1080243831</v>
      </c>
      <c r="D16339" t="s">
        <v>13803</v>
      </c>
      <c r="E16339">
        <v>-1316.8</v>
      </c>
      <c r="F16339">
        <v>-0.32</v>
      </c>
      <c r="G16339" t="s">
        <v>12</v>
      </c>
      <c r="I16339" t="s">
        <v>1428</v>
      </c>
    </row>
    <row r="16340" spans="1:9" x14ac:dyDescent="0.25">
      <c r="A16340" t="s">
        <v>13802</v>
      </c>
      <c r="B16340" t="s">
        <v>16</v>
      </c>
      <c r="C16340" s="2">
        <f>HYPERLINK("https://cao.dolgi.msk.ru/account/1080243858/", 1080243858)</f>
        <v>1080243858</v>
      </c>
      <c r="D16340" t="s">
        <v>13804</v>
      </c>
      <c r="E16340">
        <v>21074.53</v>
      </c>
      <c r="F16340">
        <v>4.7300000000000004</v>
      </c>
      <c r="G16340" t="s">
        <v>12</v>
      </c>
      <c r="I16340" t="s">
        <v>1428</v>
      </c>
    </row>
    <row r="16341" spans="1:9" hidden="1" x14ac:dyDescent="0.25">
      <c r="A16341" t="s">
        <v>13802</v>
      </c>
      <c r="B16341" t="s">
        <v>18</v>
      </c>
      <c r="C16341" s="2">
        <f>HYPERLINK("https://cao.dolgi.msk.ru/account/1080243866/", 1080243866)</f>
        <v>1080243866</v>
      </c>
      <c r="D16341" t="s">
        <v>13805</v>
      </c>
      <c r="E16341">
        <v>-2270.94</v>
      </c>
      <c r="F16341">
        <v>-1.07</v>
      </c>
      <c r="G16341" t="s">
        <v>12</v>
      </c>
      <c r="H16341" t="s">
        <v>7</v>
      </c>
      <c r="I16341" t="s">
        <v>1428</v>
      </c>
    </row>
    <row r="16342" spans="1:9" hidden="1" x14ac:dyDescent="0.25">
      <c r="A16342" t="s">
        <v>13802</v>
      </c>
      <c r="B16342" t="s">
        <v>18</v>
      </c>
      <c r="C16342" s="2">
        <f>HYPERLINK("https://cao.dolgi.msk.ru/account/1080243874/", 1080243874)</f>
        <v>1080243874</v>
      </c>
      <c r="D16342" t="s">
        <v>1082</v>
      </c>
      <c r="E16342">
        <v>-2049.94</v>
      </c>
      <c r="F16342">
        <v>-1.04</v>
      </c>
      <c r="G16342" t="s">
        <v>12</v>
      </c>
      <c r="H16342" t="s">
        <v>7</v>
      </c>
      <c r="I16342" t="s">
        <v>1428</v>
      </c>
    </row>
    <row r="16343" spans="1:9" hidden="1" x14ac:dyDescent="0.25">
      <c r="A16343" t="s">
        <v>13802</v>
      </c>
      <c r="B16343" t="s">
        <v>20</v>
      </c>
      <c r="C16343" s="2">
        <f>HYPERLINK("https://cao.dolgi.msk.ru/account/1080243882/", 1080243882)</f>
        <v>1080243882</v>
      </c>
      <c r="D16343" t="s">
        <v>13806</v>
      </c>
      <c r="E16343">
        <v>-3461.83</v>
      </c>
      <c r="F16343">
        <v>-1.07</v>
      </c>
      <c r="G16343" t="s">
        <v>12</v>
      </c>
      <c r="I16343" t="s">
        <v>1428</v>
      </c>
    </row>
    <row r="16344" spans="1:9" hidden="1" x14ac:dyDescent="0.25">
      <c r="A16344" t="s">
        <v>13802</v>
      </c>
      <c r="B16344" t="s">
        <v>21</v>
      </c>
      <c r="C16344" s="2">
        <f>HYPERLINK("https://cao.dolgi.msk.ru/account/1080243903/", 1080243903)</f>
        <v>1080243903</v>
      </c>
      <c r="D16344" t="s">
        <v>13807</v>
      </c>
      <c r="E16344">
        <v>-3495.59</v>
      </c>
      <c r="F16344">
        <v>-1.08</v>
      </c>
      <c r="G16344" t="s">
        <v>12</v>
      </c>
      <c r="I16344" t="s">
        <v>1428</v>
      </c>
    </row>
    <row r="16345" spans="1:9" hidden="1" x14ac:dyDescent="0.25">
      <c r="A16345" t="s">
        <v>13802</v>
      </c>
      <c r="B16345" t="s">
        <v>22</v>
      </c>
      <c r="C16345" s="2">
        <f>HYPERLINK("https://cao.dolgi.msk.ru/account/1080243911/", 1080243911)</f>
        <v>1080243911</v>
      </c>
      <c r="D16345" t="s">
        <v>13808</v>
      </c>
      <c r="E16345">
        <v>-2343.94</v>
      </c>
      <c r="F16345">
        <v>-0.79</v>
      </c>
      <c r="G16345" t="s">
        <v>12</v>
      </c>
      <c r="I16345" t="s">
        <v>1428</v>
      </c>
    </row>
    <row r="16346" spans="1:9" hidden="1" x14ac:dyDescent="0.25">
      <c r="A16346" t="s">
        <v>13802</v>
      </c>
      <c r="B16346" t="s">
        <v>23</v>
      </c>
      <c r="C16346" s="2">
        <f>HYPERLINK("https://cao.dolgi.msk.ru/account/1080243938/", 1080243938)</f>
        <v>1080243938</v>
      </c>
      <c r="D16346" t="s">
        <v>13809</v>
      </c>
      <c r="E16346">
        <v>-3846.74</v>
      </c>
      <c r="F16346">
        <v>-1</v>
      </c>
      <c r="G16346" t="s">
        <v>12</v>
      </c>
      <c r="I16346" t="s">
        <v>1428</v>
      </c>
    </row>
    <row r="16347" spans="1:9" hidden="1" x14ac:dyDescent="0.25">
      <c r="A16347" t="s">
        <v>13802</v>
      </c>
      <c r="B16347" t="s">
        <v>24</v>
      </c>
      <c r="C16347" s="2">
        <f>HYPERLINK("https://cao.dolgi.msk.ru/account/1080243946/", 1080243946)</f>
        <v>1080243946</v>
      </c>
      <c r="D16347" t="s">
        <v>13810</v>
      </c>
      <c r="E16347">
        <v>-3909.41</v>
      </c>
      <c r="F16347">
        <v>-1.1299999999999999</v>
      </c>
      <c r="G16347" t="s">
        <v>12</v>
      </c>
      <c r="I16347" t="s">
        <v>1428</v>
      </c>
    </row>
    <row r="16348" spans="1:9" hidden="1" x14ac:dyDescent="0.25">
      <c r="A16348" t="s">
        <v>13802</v>
      </c>
      <c r="B16348" t="s">
        <v>27</v>
      </c>
      <c r="C16348" s="2">
        <f>HYPERLINK("https://cao.dolgi.msk.ru/account/1080243954/", 1080243954)</f>
        <v>1080243954</v>
      </c>
      <c r="D16348" t="s">
        <v>13811</v>
      </c>
      <c r="E16348">
        <v>-1283.94</v>
      </c>
      <c r="F16348">
        <v>-0.8</v>
      </c>
      <c r="G16348" t="s">
        <v>12</v>
      </c>
      <c r="I16348" t="s">
        <v>1428</v>
      </c>
    </row>
    <row r="16349" spans="1:9" hidden="1" x14ac:dyDescent="0.25">
      <c r="A16349" t="s">
        <v>13802</v>
      </c>
      <c r="B16349" t="s">
        <v>29</v>
      </c>
      <c r="C16349" s="2">
        <f>HYPERLINK("https://cao.dolgi.msk.ru/account/1080243962/", 1080243962)</f>
        <v>1080243962</v>
      </c>
      <c r="D16349" t="s">
        <v>13812</v>
      </c>
      <c r="E16349">
        <v>-4709.8500000000004</v>
      </c>
      <c r="F16349">
        <v>-1.05</v>
      </c>
      <c r="G16349" t="s">
        <v>12</v>
      </c>
      <c r="I16349" t="s">
        <v>1428</v>
      </c>
    </row>
    <row r="16350" spans="1:9" hidden="1" x14ac:dyDescent="0.25">
      <c r="A16350" t="s">
        <v>13802</v>
      </c>
      <c r="B16350" t="s">
        <v>31</v>
      </c>
      <c r="C16350" s="2">
        <f>HYPERLINK("https://cao.dolgi.msk.ru/account/1080243989/", 1080243989)</f>
        <v>1080243989</v>
      </c>
      <c r="D16350" t="s">
        <v>13813</v>
      </c>
      <c r="E16350">
        <v>-5752.04</v>
      </c>
      <c r="F16350">
        <v>-1.1599999999999999</v>
      </c>
      <c r="G16350" t="s">
        <v>12</v>
      </c>
      <c r="I16350" t="s">
        <v>1428</v>
      </c>
    </row>
    <row r="16351" spans="1:9" hidden="1" x14ac:dyDescent="0.25">
      <c r="A16351" t="s">
        <v>13802</v>
      </c>
      <c r="B16351" t="s">
        <v>33</v>
      </c>
      <c r="C16351" s="2">
        <f>HYPERLINK("https://cao.dolgi.msk.ru/account/1080243997/", 1080243997)</f>
        <v>1080243997</v>
      </c>
      <c r="D16351" t="s">
        <v>13814</v>
      </c>
      <c r="E16351">
        <v>-6071.64</v>
      </c>
      <c r="F16351">
        <v>-1.1499999999999999</v>
      </c>
      <c r="G16351" t="s">
        <v>12</v>
      </c>
      <c r="I16351" t="s">
        <v>1428</v>
      </c>
    </row>
    <row r="16352" spans="1:9" hidden="1" x14ac:dyDescent="0.25">
      <c r="A16352" t="s">
        <v>13802</v>
      </c>
      <c r="B16352" t="s">
        <v>34</v>
      </c>
      <c r="C16352" s="2">
        <f>HYPERLINK("https://cao.dolgi.msk.ru/account/1080244009/", 1080244009)</f>
        <v>1080244009</v>
      </c>
      <c r="D16352" t="s">
        <v>13815</v>
      </c>
      <c r="E16352">
        <v>-2537.83</v>
      </c>
      <c r="F16352">
        <v>-1.06</v>
      </c>
      <c r="G16352" t="s">
        <v>12</v>
      </c>
      <c r="I16352" t="s">
        <v>1428</v>
      </c>
    </row>
    <row r="16353" spans="1:9" hidden="1" x14ac:dyDescent="0.25">
      <c r="A16353" t="s">
        <v>13802</v>
      </c>
      <c r="B16353" t="s">
        <v>36</v>
      </c>
      <c r="C16353" s="2">
        <f>HYPERLINK("https://cao.dolgi.msk.ru/account/1080244017/", 1080244017)</f>
        <v>1080244017</v>
      </c>
      <c r="D16353" t="s">
        <v>13816</v>
      </c>
      <c r="E16353">
        <v>-4834.54</v>
      </c>
      <c r="F16353">
        <v>-1.18</v>
      </c>
      <c r="G16353" t="s">
        <v>12</v>
      </c>
      <c r="I16353" t="s">
        <v>1428</v>
      </c>
    </row>
    <row r="16354" spans="1:9" hidden="1" x14ac:dyDescent="0.25">
      <c r="A16354" t="s">
        <v>13802</v>
      </c>
      <c r="B16354" t="s">
        <v>38</v>
      </c>
      <c r="C16354" s="2">
        <f>HYPERLINK("https://cao.dolgi.msk.ru/account/1080244025/", 1080244025)</f>
        <v>1080244025</v>
      </c>
      <c r="D16354" t="s">
        <v>13817</v>
      </c>
      <c r="E16354">
        <v>-4067.93</v>
      </c>
      <c r="F16354">
        <v>-1.1499999999999999</v>
      </c>
      <c r="G16354" t="s">
        <v>12</v>
      </c>
      <c r="I16354" t="s">
        <v>1428</v>
      </c>
    </row>
    <row r="16355" spans="1:9" hidden="1" x14ac:dyDescent="0.25">
      <c r="A16355" t="s">
        <v>13802</v>
      </c>
      <c r="B16355" t="s">
        <v>39</v>
      </c>
      <c r="C16355" s="2">
        <f>HYPERLINK("https://cao.dolgi.msk.ru/account/1080244033/", 1080244033)</f>
        <v>1080244033</v>
      </c>
      <c r="D16355" t="s">
        <v>13818</v>
      </c>
      <c r="E16355">
        <v>-3822.87</v>
      </c>
      <c r="F16355">
        <v>-1.1100000000000001</v>
      </c>
      <c r="G16355" t="s">
        <v>12</v>
      </c>
      <c r="I16355" t="s">
        <v>1428</v>
      </c>
    </row>
    <row r="16356" spans="1:9" hidden="1" x14ac:dyDescent="0.25">
      <c r="A16356" t="s">
        <v>13802</v>
      </c>
      <c r="B16356" t="s">
        <v>40</v>
      </c>
      <c r="C16356" s="2">
        <f>HYPERLINK("https://cao.dolgi.msk.ru/account/1080244041/", 1080244041)</f>
        <v>1080244041</v>
      </c>
      <c r="D16356" t="s">
        <v>13819</v>
      </c>
      <c r="E16356">
        <v>-2061.5300000000002</v>
      </c>
      <c r="F16356">
        <v>-1.18</v>
      </c>
      <c r="G16356" t="s">
        <v>12</v>
      </c>
      <c r="I16356" t="s">
        <v>1428</v>
      </c>
    </row>
    <row r="16357" spans="1:9" hidden="1" x14ac:dyDescent="0.25">
      <c r="A16357" t="s">
        <v>13802</v>
      </c>
      <c r="B16357" t="s">
        <v>41</v>
      </c>
      <c r="C16357" s="2">
        <f>HYPERLINK("https://cao.dolgi.msk.ru/account/1080244068/", 1080244068)</f>
        <v>1080244068</v>
      </c>
      <c r="D16357" t="s">
        <v>13820</v>
      </c>
      <c r="E16357">
        <v>-2751.77</v>
      </c>
      <c r="F16357">
        <v>-1.1000000000000001</v>
      </c>
      <c r="G16357" t="s">
        <v>12</v>
      </c>
      <c r="I16357" t="s">
        <v>1428</v>
      </c>
    </row>
    <row r="16358" spans="1:9" hidden="1" x14ac:dyDescent="0.25">
      <c r="A16358" t="s">
        <v>13802</v>
      </c>
      <c r="B16358" t="s">
        <v>42</v>
      </c>
      <c r="C16358" s="2">
        <f>HYPERLINK("https://cao.dolgi.msk.ru/account/1080244076/", 1080244076)</f>
        <v>1080244076</v>
      </c>
      <c r="D16358" t="s">
        <v>13821</v>
      </c>
      <c r="E16358">
        <v>-6533.43</v>
      </c>
      <c r="F16358">
        <v>-1.49</v>
      </c>
      <c r="G16358" t="s">
        <v>12</v>
      </c>
      <c r="I16358" t="s">
        <v>1428</v>
      </c>
    </row>
    <row r="16359" spans="1:9" hidden="1" x14ac:dyDescent="0.25">
      <c r="A16359" t="s">
        <v>13802</v>
      </c>
      <c r="B16359" t="s">
        <v>44</v>
      </c>
      <c r="C16359" s="2">
        <f>HYPERLINK("https://cao.dolgi.msk.ru/account/1080244084/", 1080244084)</f>
        <v>1080244084</v>
      </c>
      <c r="D16359" t="s">
        <v>13822</v>
      </c>
      <c r="E16359">
        <v>-5182.7</v>
      </c>
      <c r="F16359">
        <v>-1.07</v>
      </c>
      <c r="G16359" t="s">
        <v>12</v>
      </c>
      <c r="I16359" t="s">
        <v>1428</v>
      </c>
    </row>
    <row r="16360" spans="1:9" hidden="1" x14ac:dyDescent="0.25">
      <c r="A16360" t="s">
        <v>13802</v>
      </c>
      <c r="B16360" t="s">
        <v>44</v>
      </c>
      <c r="C16360" s="2">
        <f>HYPERLINK("https://cao.dolgi.msk.ru/account/1080324471/", 1080324471)</f>
        <v>1080324471</v>
      </c>
      <c r="D16360" t="s">
        <v>15</v>
      </c>
      <c r="G16360" t="s">
        <v>14</v>
      </c>
      <c r="I16360" t="s">
        <v>1428</v>
      </c>
    </row>
    <row r="16361" spans="1:9" hidden="1" x14ac:dyDescent="0.25">
      <c r="A16361" t="s">
        <v>13802</v>
      </c>
      <c r="B16361" t="s">
        <v>66</v>
      </c>
      <c r="C16361" s="2">
        <f>HYPERLINK("https://cao.dolgi.msk.ru/account/1080244092/", 1080244092)</f>
        <v>1080244092</v>
      </c>
      <c r="D16361" t="s">
        <v>13823</v>
      </c>
      <c r="E16361">
        <v>-82.53</v>
      </c>
      <c r="F16361">
        <v>-0.02</v>
      </c>
      <c r="G16361" t="s">
        <v>12</v>
      </c>
      <c r="I16361" t="s">
        <v>1428</v>
      </c>
    </row>
    <row r="16362" spans="1:9" hidden="1" x14ac:dyDescent="0.25">
      <c r="A16362" t="s">
        <v>13802</v>
      </c>
      <c r="B16362" t="s">
        <v>68</v>
      </c>
      <c r="C16362" s="2">
        <f>HYPERLINK("https://cao.dolgi.msk.ru/account/1080244105/", 1080244105)</f>
        <v>1080244105</v>
      </c>
      <c r="D16362" t="s">
        <v>13824</v>
      </c>
      <c r="E16362">
        <v>-4301.5600000000004</v>
      </c>
      <c r="F16362">
        <v>-1.04</v>
      </c>
      <c r="G16362" t="s">
        <v>12</v>
      </c>
      <c r="I16362" t="s">
        <v>1428</v>
      </c>
    </row>
    <row r="16363" spans="1:9" hidden="1" x14ac:dyDescent="0.25">
      <c r="A16363" t="s">
        <v>13802</v>
      </c>
      <c r="B16363" t="s">
        <v>70</v>
      </c>
      <c r="C16363" s="2">
        <f>HYPERLINK("https://cao.dolgi.msk.ru/account/1080244113/", 1080244113)</f>
        <v>1080244113</v>
      </c>
      <c r="D16363" t="s">
        <v>13825</v>
      </c>
      <c r="E16363">
        <v>-3469.71</v>
      </c>
      <c r="F16363">
        <v>-1.24</v>
      </c>
      <c r="G16363" t="s">
        <v>12</v>
      </c>
      <c r="I16363" t="s">
        <v>1428</v>
      </c>
    </row>
    <row r="16364" spans="1:9" hidden="1" x14ac:dyDescent="0.25">
      <c r="A16364" t="s">
        <v>13802</v>
      </c>
      <c r="B16364" t="s">
        <v>72</v>
      </c>
      <c r="C16364" s="2">
        <f>HYPERLINK("https://cao.dolgi.msk.ru/account/1080244121/", 1080244121)</f>
        <v>1080244121</v>
      </c>
      <c r="D16364" t="s">
        <v>13826</v>
      </c>
      <c r="E16364">
        <v>-3795.56</v>
      </c>
      <c r="F16364">
        <v>-1.06</v>
      </c>
      <c r="G16364" t="s">
        <v>12</v>
      </c>
      <c r="I16364" t="s">
        <v>1428</v>
      </c>
    </row>
    <row r="16365" spans="1:9" hidden="1" x14ac:dyDescent="0.25">
      <c r="A16365" t="s">
        <v>13802</v>
      </c>
      <c r="B16365" t="s">
        <v>74</v>
      </c>
      <c r="C16365" s="2">
        <f>HYPERLINK("https://cao.dolgi.msk.ru/account/1080244148/", 1080244148)</f>
        <v>1080244148</v>
      </c>
      <c r="D16365" t="s">
        <v>13827</v>
      </c>
      <c r="E16365">
        <v>-3946.37</v>
      </c>
      <c r="F16365">
        <v>-2.97</v>
      </c>
      <c r="G16365" t="s">
        <v>12</v>
      </c>
      <c r="I16365" t="s">
        <v>1428</v>
      </c>
    </row>
    <row r="16366" spans="1:9" hidden="1" x14ac:dyDescent="0.25">
      <c r="A16366" t="s">
        <v>13802</v>
      </c>
      <c r="B16366" t="s">
        <v>76</v>
      </c>
      <c r="C16366" s="2">
        <f>HYPERLINK("https://cao.dolgi.msk.ru/account/1080244156/", 1080244156)</f>
        <v>1080244156</v>
      </c>
      <c r="D16366" t="s">
        <v>13828</v>
      </c>
      <c r="E16366">
        <v>4714.7299999999996</v>
      </c>
      <c r="F16366">
        <v>0.97</v>
      </c>
      <c r="G16366" t="s">
        <v>12</v>
      </c>
      <c r="I16366" t="s">
        <v>1428</v>
      </c>
    </row>
    <row r="16367" spans="1:9" hidden="1" x14ac:dyDescent="0.25">
      <c r="A16367" t="s">
        <v>13802</v>
      </c>
      <c r="B16367" t="s">
        <v>78</v>
      </c>
      <c r="C16367" s="2">
        <f>HYPERLINK("https://cao.dolgi.msk.ru/account/1080244164/", 1080244164)</f>
        <v>1080244164</v>
      </c>
      <c r="D16367" t="s">
        <v>13829</v>
      </c>
      <c r="E16367">
        <v>-4567.6400000000003</v>
      </c>
      <c r="F16367">
        <v>-1.08</v>
      </c>
      <c r="G16367" t="s">
        <v>12</v>
      </c>
      <c r="I16367" t="s">
        <v>1428</v>
      </c>
    </row>
    <row r="16368" spans="1:9" hidden="1" x14ac:dyDescent="0.25">
      <c r="A16368" t="s">
        <v>13802</v>
      </c>
      <c r="B16368" t="s">
        <v>80</v>
      </c>
      <c r="C16368" s="2">
        <f>HYPERLINK("https://cao.dolgi.msk.ru/account/1080244172/", 1080244172)</f>
        <v>1080244172</v>
      </c>
      <c r="D16368" t="s">
        <v>13830</v>
      </c>
      <c r="E16368">
        <v>-5531.83</v>
      </c>
      <c r="F16368">
        <v>-1.1100000000000001</v>
      </c>
      <c r="G16368" t="s">
        <v>12</v>
      </c>
      <c r="I16368" t="s">
        <v>1428</v>
      </c>
    </row>
    <row r="16369" spans="1:9" hidden="1" x14ac:dyDescent="0.25">
      <c r="A16369" t="s">
        <v>13802</v>
      </c>
      <c r="B16369" t="s">
        <v>82</v>
      </c>
      <c r="C16369" s="2">
        <f>HYPERLINK("https://cao.dolgi.msk.ru/account/1080244199/", 1080244199)</f>
        <v>1080244199</v>
      </c>
      <c r="D16369" t="s">
        <v>13831</v>
      </c>
      <c r="E16369">
        <v>-7483.95</v>
      </c>
      <c r="F16369">
        <v>-1.1200000000000001</v>
      </c>
      <c r="G16369" t="s">
        <v>12</v>
      </c>
      <c r="I16369" t="s">
        <v>1428</v>
      </c>
    </row>
    <row r="16370" spans="1:9" hidden="1" x14ac:dyDescent="0.25">
      <c r="A16370" t="s">
        <v>13802</v>
      </c>
      <c r="B16370" t="s">
        <v>84</v>
      </c>
      <c r="C16370" s="2">
        <f>HYPERLINK("https://cao.dolgi.msk.ru/account/1080244201/", 1080244201)</f>
        <v>1080244201</v>
      </c>
      <c r="D16370" t="s">
        <v>15</v>
      </c>
      <c r="E16370">
        <v>2237</v>
      </c>
      <c r="G16370" t="s">
        <v>14</v>
      </c>
      <c r="I16370" t="s">
        <v>1428</v>
      </c>
    </row>
    <row r="16371" spans="1:9" hidden="1" x14ac:dyDescent="0.25">
      <c r="A16371" t="s">
        <v>13802</v>
      </c>
      <c r="B16371" t="s">
        <v>84</v>
      </c>
      <c r="C16371" s="2">
        <f>HYPERLINK("https://cao.dolgi.msk.ru/account/1080320235/", 1080320235)</f>
        <v>1080320235</v>
      </c>
      <c r="D16371" t="s">
        <v>13832</v>
      </c>
      <c r="E16371">
        <v>-5039.08</v>
      </c>
      <c r="F16371">
        <v>-1.1499999999999999</v>
      </c>
      <c r="G16371" t="s">
        <v>12</v>
      </c>
      <c r="I16371" t="s">
        <v>1428</v>
      </c>
    </row>
    <row r="16372" spans="1:9" hidden="1" x14ac:dyDescent="0.25">
      <c r="A16372" t="s">
        <v>13802</v>
      </c>
      <c r="B16372" t="s">
        <v>86</v>
      </c>
      <c r="C16372" s="2">
        <f>HYPERLINK("https://cao.dolgi.msk.ru/account/1080244228/", 1080244228)</f>
        <v>1080244228</v>
      </c>
      <c r="D16372" t="s">
        <v>13833</v>
      </c>
      <c r="E16372">
        <v>-3246.65</v>
      </c>
      <c r="F16372">
        <v>-0.94</v>
      </c>
      <c r="G16372" t="s">
        <v>12</v>
      </c>
      <c r="I16372" t="s">
        <v>1428</v>
      </c>
    </row>
    <row r="16373" spans="1:9" hidden="1" x14ac:dyDescent="0.25">
      <c r="A16373" t="s">
        <v>13802</v>
      </c>
      <c r="B16373" t="s">
        <v>88</v>
      </c>
      <c r="C16373" s="2">
        <f>HYPERLINK("https://cao.dolgi.msk.ru/account/1080244236/", 1080244236)</f>
        <v>1080244236</v>
      </c>
      <c r="D16373" t="s">
        <v>13834</v>
      </c>
      <c r="E16373">
        <v>-553.22</v>
      </c>
      <c r="F16373">
        <v>-0.13</v>
      </c>
      <c r="G16373" t="s">
        <v>12</v>
      </c>
      <c r="I16373" t="s">
        <v>1428</v>
      </c>
    </row>
    <row r="16374" spans="1:9" hidden="1" x14ac:dyDescent="0.25">
      <c r="A16374" t="s">
        <v>13802</v>
      </c>
      <c r="B16374" t="s">
        <v>90</v>
      </c>
      <c r="C16374" s="2">
        <f>HYPERLINK("https://cao.dolgi.msk.ru/account/1080244244/", 1080244244)</f>
        <v>1080244244</v>
      </c>
      <c r="D16374" t="s">
        <v>13835</v>
      </c>
      <c r="E16374">
        <v>-6609.62</v>
      </c>
      <c r="F16374">
        <v>-1.08</v>
      </c>
      <c r="G16374" t="s">
        <v>12</v>
      </c>
      <c r="I16374" t="s">
        <v>1428</v>
      </c>
    </row>
    <row r="16375" spans="1:9" hidden="1" x14ac:dyDescent="0.25">
      <c r="A16375" t="s">
        <v>13802</v>
      </c>
      <c r="B16375" t="s">
        <v>92</v>
      </c>
      <c r="C16375" s="2">
        <f>HYPERLINK("https://cao.dolgi.msk.ru/account/1080244252/", 1080244252)</f>
        <v>1080244252</v>
      </c>
      <c r="D16375" t="s">
        <v>13836</v>
      </c>
      <c r="E16375">
        <v>-128</v>
      </c>
      <c r="F16375">
        <v>-0.03</v>
      </c>
      <c r="G16375" t="s">
        <v>12</v>
      </c>
      <c r="I16375" t="s">
        <v>1428</v>
      </c>
    </row>
    <row r="16376" spans="1:9" hidden="1" x14ac:dyDescent="0.25">
      <c r="A16376" t="s">
        <v>13802</v>
      </c>
      <c r="B16376" t="s">
        <v>94</v>
      </c>
      <c r="C16376" s="2">
        <f>HYPERLINK("https://cao.dolgi.msk.ru/account/1080244279/", 1080244279)</f>
        <v>1080244279</v>
      </c>
      <c r="D16376" t="s">
        <v>13837</v>
      </c>
      <c r="E16376">
        <v>-512.71</v>
      </c>
      <c r="F16376">
        <v>-0.13</v>
      </c>
      <c r="G16376" t="s">
        <v>12</v>
      </c>
      <c r="I16376" t="s">
        <v>1428</v>
      </c>
    </row>
    <row r="16377" spans="1:9" hidden="1" x14ac:dyDescent="0.25">
      <c r="A16377" t="s">
        <v>13802</v>
      </c>
      <c r="B16377" t="s">
        <v>96</v>
      </c>
      <c r="C16377" s="2">
        <f>HYPERLINK("https://cao.dolgi.msk.ru/account/1080244287/", 1080244287)</f>
        <v>1080244287</v>
      </c>
      <c r="D16377" t="s">
        <v>13838</v>
      </c>
      <c r="E16377">
        <v>154.01</v>
      </c>
      <c r="F16377">
        <v>0.04</v>
      </c>
      <c r="G16377" t="s">
        <v>12</v>
      </c>
      <c r="I16377" t="s">
        <v>1428</v>
      </c>
    </row>
    <row r="16378" spans="1:9" hidden="1" x14ac:dyDescent="0.25">
      <c r="A16378" t="s">
        <v>13802</v>
      </c>
      <c r="B16378" t="s">
        <v>98</v>
      </c>
      <c r="C16378" s="2">
        <f>HYPERLINK("https://cao.dolgi.msk.ru/account/1080244295/", 1080244295)</f>
        <v>1080244295</v>
      </c>
      <c r="D16378" t="s">
        <v>15</v>
      </c>
      <c r="E16378">
        <v>-414.88</v>
      </c>
      <c r="F16378">
        <v>-0.12</v>
      </c>
      <c r="G16378" t="s">
        <v>12</v>
      </c>
      <c r="I16378" t="s">
        <v>1428</v>
      </c>
    </row>
    <row r="16379" spans="1:9" hidden="1" x14ac:dyDescent="0.25">
      <c r="A16379" t="s">
        <v>13802</v>
      </c>
      <c r="B16379" t="s">
        <v>100</v>
      </c>
      <c r="C16379" s="2">
        <f>HYPERLINK("https://cao.dolgi.msk.ru/account/1080244308/", 1080244308)</f>
        <v>1080244308</v>
      </c>
      <c r="D16379" t="s">
        <v>13839</v>
      </c>
      <c r="E16379">
        <v>-2585.35</v>
      </c>
      <c r="F16379">
        <v>-1.23</v>
      </c>
      <c r="G16379" t="s">
        <v>12</v>
      </c>
      <c r="I16379" t="s">
        <v>1428</v>
      </c>
    </row>
    <row r="16380" spans="1:9" hidden="1" x14ac:dyDescent="0.25">
      <c r="A16380" t="s">
        <v>13802</v>
      </c>
      <c r="B16380" t="s">
        <v>102</v>
      </c>
      <c r="C16380" s="2">
        <f>HYPERLINK("https://cao.dolgi.msk.ru/account/1080244324/", 1080244324)</f>
        <v>1080244324</v>
      </c>
      <c r="D16380" t="s">
        <v>13840</v>
      </c>
      <c r="E16380">
        <v>-5877.94</v>
      </c>
      <c r="F16380">
        <v>-1.03</v>
      </c>
      <c r="G16380" t="s">
        <v>12</v>
      </c>
      <c r="H16380" t="s">
        <v>7</v>
      </c>
      <c r="I16380" t="s">
        <v>1428</v>
      </c>
    </row>
    <row r="16381" spans="1:9" hidden="1" x14ac:dyDescent="0.25">
      <c r="A16381" t="s">
        <v>13802</v>
      </c>
      <c r="B16381" t="s">
        <v>104</v>
      </c>
      <c r="C16381" s="2">
        <f>HYPERLINK("https://cao.dolgi.msk.ru/account/1080244332/", 1080244332)</f>
        <v>1080244332</v>
      </c>
      <c r="D16381" t="s">
        <v>13841</v>
      </c>
      <c r="E16381">
        <v>-20734.34</v>
      </c>
      <c r="F16381">
        <v>-6.74</v>
      </c>
      <c r="G16381" t="s">
        <v>12</v>
      </c>
      <c r="I16381" t="s">
        <v>1428</v>
      </c>
    </row>
    <row r="16382" spans="1:9" hidden="1" x14ac:dyDescent="0.25">
      <c r="A16382" t="s">
        <v>13802</v>
      </c>
      <c r="B16382" t="s">
        <v>106</v>
      </c>
      <c r="C16382" s="2">
        <f>HYPERLINK("https://cao.dolgi.msk.ru/account/1080244359/", 1080244359)</f>
        <v>1080244359</v>
      </c>
      <c r="D16382" t="s">
        <v>13842</v>
      </c>
      <c r="E16382">
        <v>-2876.72</v>
      </c>
      <c r="F16382">
        <v>-1.1000000000000001</v>
      </c>
      <c r="G16382" t="s">
        <v>12</v>
      </c>
      <c r="I16382" t="s">
        <v>1428</v>
      </c>
    </row>
    <row r="16383" spans="1:9" hidden="1" x14ac:dyDescent="0.25">
      <c r="A16383" t="s">
        <v>13802</v>
      </c>
      <c r="B16383" t="s">
        <v>108</v>
      </c>
      <c r="C16383" s="2">
        <f>HYPERLINK("https://cao.dolgi.msk.ru/account/1080244367/", 1080244367)</f>
        <v>1080244367</v>
      </c>
      <c r="D16383" t="s">
        <v>13843</v>
      </c>
      <c r="E16383">
        <v>-3984.28</v>
      </c>
      <c r="F16383">
        <v>-1.23</v>
      </c>
      <c r="G16383" t="s">
        <v>12</v>
      </c>
      <c r="I16383" t="s">
        <v>1428</v>
      </c>
    </row>
    <row r="16384" spans="1:9" hidden="1" x14ac:dyDescent="0.25">
      <c r="A16384" t="s">
        <v>13802</v>
      </c>
      <c r="B16384" t="s">
        <v>110</v>
      </c>
      <c r="C16384" s="2">
        <f>HYPERLINK("https://cao.dolgi.msk.ru/account/1080244375/", 1080244375)</f>
        <v>1080244375</v>
      </c>
      <c r="D16384" t="s">
        <v>13844</v>
      </c>
      <c r="E16384">
        <v>-6250.94</v>
      </c>
      <c r="F16384">
        <v>-1.19</v>
      </c>
      <c r="G16384" t="s">
        <v>12</v>
      </c>
      <c r="I16384" t="s">
        <v>1428</v>
      </c>
    </row>
    <row r="16385" spans="1:9" hidden="1" x14ac:dyDescent="0.25">
      <c r="A16385" t="s">
        <v>13802</v>
      </c>
      <c r="B16385" t="s">
        <v>112</v>
      </c>
      <c r="C16385" s="2">
        <f>HYPERLINK("https://cao.dolgi.msk.ru/account/1080244383/", 1080244383)</f>
        <v>1080244383</v>
      </c>
      <c r="D16385" t="s">
        <v>13845</v>
      </c>
      <c r="E16385">
        <v>-5781.2</v>
      </c>
      <c r="F16385">
        <v>-1.1299999999999999</v>
      </c>
      <c r="G16385" t="s">
        <v>12</v>
      </c>
      <c r="I16385" t="s">
        <v>1428</v>
      </c>
    </row>
    <row r="16386" spans="1:9" hidden="1" x14ac:dyDescent="0.25">
      <c r="A16386" t="s">
        <v>13802</v>
      </c>
      <c r="B16386" t="s">
        <v>114</v>
      </c>
      <c r="C16386" s="2">
        <f>HYPERLINK("https://cao.dolgi.msk.ru/account/1080244391/", 1080244391)</f>
        <v>1080244391</v>
      </c>
      <c r="D16386" t="s">
        <v>13846</v>
      </c>
      <c r="E16386">
        <v>-8489.3700000000008</v>
      </c>
      <c r="F16386">
        <v>-1.74</v>
      </c>
      <c r="G16386" t="s">
        <v>12</v>
      </c>
      <c r="I16386" t="s">
        <v>1428</v>
      </c>
    </row>
    <row r="16387" spans="1:9" hidden="1" x14ac:dyDescent="0.25">
      <c r="A16387" t="s">
        <v>13802</v>
      </c>
      <c r="B16387" t="s">
        <v>116</v>
      </c>
      <c r="C16387" s="2">
        <f>HYPERLINK("https://cao.dolgi.msk.ru/account/1080244404/", 1080244404)</f>
        <v>1080244404</v>
      </c>
      <c r="D16387" t="s">
        <v>13847</v>
      </c>
      <c r="E16387">
        <v>-4267.16</v>
      </c>
      <c r="F16387">
        <v>-1.1399999999999999</v>
      </c>
      <c r="G16387" t="s">
        <v>12</v>
      </c>
      <c r="I16387" t="s">
        <v>1428</v>
      </c>
    </row>
    <row r="16388" spans="1:9" hidden="1" x14ac:dyDescent="0.25">
      <c r="A16388" t="s">
        <v>13802</v>
      </c>
      <c r="B16388" t="s">
        <v>118</v>
      </c>
      <c r="C16388" s="2">
        <f>HYPERLINK("https://cao.dolgi.msk.ru/account/1080244412/", 1080244412)</f>
        <v>1080244412</v>
      </c>
      <c r="D16388" t="s">
        <v>13848</v>
      </c>
      <c r="E16388">
        <v>-3991.33</v>
      </c>
      <c r="F16388">
        <v>-1.01</v>
      </c>
      <c r="G16388" t="s">
        <v>12</v>
      </c>
      <c r="I16388" t="s">
        <v>1428</v>
      </c>
    </row>
    <row r="16389" spans="1:9" hidden="1" x14ac:dyDescent="0.25">
      <c r="A16389" t="s">
        <v>13802</v>
      </c>
      <c r="B16389" t="s">
        <v>120</v>
      </c>
      <c r="C16389" s="2">
        <f>HYPERLINK("https://cao.dolgi.msk.ru/account/1080244439/", 1080244439)</f>
        <v>1080244439</v>
      </c>
      <c r="D16389" t="s">
        <v>13849</v>
      </c>
      <c r="E16389">
        <v>-3271.55</v>
      </c>
      <c r="F16389">
        <v>-1.1200000000000001</v>
      </c>
      <c r="G16389" t="s">
        <v>12</v>
      </c>
      <c r="I16389" t="s">
        <v>1428</v>
      </c>
    </row>
    <row r="16390" spans="1:9" hidden="1" x14ac:dyDescent="0.25">
      <c r="A16390" t="s">
        <v>13802</v>
      </c>
      <c r="B16390" t="s">
        <v>122</v>
      </c>
      <c r="C16390" s="2">
        <f>HYPERLINK("https://cao.dolgi.msk.ru/account/1080244447/", 1080244447)</f>
        <v>1080244447</v>
      </c>
      <c r="D16390" t="s">
        <v>13850</v>
      </c>
      <c r="E16390">
        <v>-5299.67</v>
      </c>
      <c r="F16390">
        <v>-1.1200000000000001</v>
      </c>
      <c r="G16390" t="s">
        <v>12</v>
      </c>
      <c r="I16390" t="s">
        <v>1428</v>
      </c>
    </row>
    <row r="16391" spans="1:9" hidden="1" x14ac:dyDescent="0.25">
      <c r="A16391" t="s">
        <v>13802</v>
      </c>
      <c r="B16391" t="s">
        <v>124</v>
      </c>
      <c r="C16391" s="2">
        <f>HYPERLINK("https://cao.dolgi.msk.ru/account/1080244455/", 1080244455)</f>
        <v>1080244455</v>
      </c>
      <c r="D16391" t="s">
        <v>13851</v>
      </c>
      <c r="E16391">
        <v>-3691.56</v>
      </c>
      <c r="F16391">
        <v>-1.27</v>
      </c>
      <c r="G16391" t="s">
        <v>12</v>
      </c>
      <c r="I16391" t="s">
        <v>1428</v>
      </c>
    </row>
    <row r="16392" spans="1:9" hidden="1" x14ac:dyDescent="0.25">
      <c r="A16392" t="s">
        <v>13802</v>
      </c>
      <c r="B16392" t="s">
        <v>126</v>
      </c>
      <c r="C16392" s="2">
        <f>HYPERLINK("https://cao.dolgi.msk.ru/account/1080244471/", 1080244471)</f>
        <v>1080244471</v>
      </c>
      <c r="D16392" t="s">
        <v>13852</v>
      </c>
      <c r="E16392">
        <v>-11710.04</v>
      </c>
      <c r="F16392">
        <v>-2.39</v>
      </c>
      <c r="G16392" t="s">
        <v>12</v>
      </c>
      <c r="I16392" t="s">
        <v>1428</v>
      </c>
    </row>
    <row r="16393" spans="1:9" hidden="1" x14ac:dyDescent="0.25">
      <c r="A16393" t="s">
        <v>13802</v>
      </c>
      <c r="B16393" t="s">
        <v>128</v>
      </c>
      <c r="C16393" s="2">
        <f>HYPERLINK("https://cao.dolgi.msk.ru/account/1080244498/", 1080244498)</f>
        <v>1080244498</v>
      </c>
      <c r="D16393" t="s">
        <v>13853</v>
      </c>
      <c r="E16393">
        <v>-605.08000000000004</v>
      </c>
      <c r="F16393">
        <v>-0.09</v>
      </c>
      <c r="G16393" t="s">
        <v>12</v>
      </c>
      <c r="I16393" t="s">
        <v>1428</v>
      </c>
    </row>
    <row r="16394" spans="1:9" hidden="1" x14ac:dyDescent="0.25">
      <c r="A16394" t="s">
        <v>13802</v>
      </c>
      <c r="B16394" t="s">
        <v>130</v>
      </c>
      <c r="C16394" s="2">
        <f>HYPERLINK("https://cao.dolgi.msk.ru/account/1080244519/", 1080244519)</f>
        <v>1080244519</v>
      </c>
      <c r="D16394" t="s">
        <v>13854</v>
      </c>
      <c r="E16394">
        <v>-3215.82</v>
      </c>
      <c r="F16394">
        <v>-1.0900000000000001</v>
      </c>
      <c r="G16394" t="s">
        <v>12</v>
      </c>
      <c r="I16394" t="s">
        <v>1428</v>
      </c>
    </row>
    <row r="16395" spans="1:9" hidden="1" x14ac:dyDescent="0.25">
      <c r="A16395" t="s">
        <v>13802</v>
      </c>
      <c r="B16395" t="s">
        <v>132</v>
      </c>
      <c r="C16395" s="2">
        <f>HYPERLINK("https://cao.dolgi.msk.ru/account/1080244527/", 1080244527)</f>
        <v>1080244527</v>
      </c>
      <c r="D16395" t="s">
        <v>13855</v>
      </c>
      <c r="E16395">
        <v>-4865.95</v>
      </c>
      <c r="F16395">
        <v>-1.1200000000000001</v>
      </c>
      <c r="G16395" t="s">
        <v>12</v>
      </c>
      <c r="I16395" t="s">
        <v>1428</v>
      </c>
    </row>
    <row r="16396" spans="1:9" hidden="1" x14ac:dyDescent="0.25">
      <c r="A16396" t="s">
        <v>13802</v>
      </c>
      <c r="B16396" t="s">
        <v>133</v>
      </c>
      <c r="C16396" s="2">
        <f>HYPERLINK("https://cao.dolgi.msk.ru/account/1080244535/", 1080244535)</f>
        <v>1080244535</v>
      </c>
      <c r="D16396" t="s">
        <v>13856</v>
      </c>
      <c r="E16396">
        <v>-5487.8</v>
      </c>
      <c r="F16396">
        <v>-1.05</v>
      </c>
      <c r="G16396" t="s">
        <v>12</v>
      </c>
      <c r="I16396" t="s">
        <v>1428</v>
      </c>
    </row>
    <row r="16397" spans="1:9" hidden="1" x14ac:dyDescent="0.25">
      <c r="A16397" t="s">
        <v>13802</v>
      </c>
      <c r="B16397" t="s">
        <v>135</v>
      </c>
      <c r="C16397" s="2">
        <f>HYPERLINK("https://cao.dolgi.msk.ru/account/1080244543/", 1080244543)</f>
        <v>1080244543</v>
      </c>
      <c r="D16397" t="s">
        <v>15</v>
      </c>
      <c r="E16397">
        <v>-1661.22</v>
      </c>
      <c r="F16397">
        <v>-0.56999999999999995</v>
      </c>
      <c r="G16397" t="s">
        <v>12</v>
      </c>
      <c r="I16397" t="s">
        <v>1428</v>
      </c>
    </row>
    <row r="16398" spans="1:9" hidden="1" x14ac:dyDescent="0.25">
      <c r="A16398" t="s">
        <v>13802</v>
      </c>
      <c r="B16398" t="s">
        <v>137</v>
      </c>
      <c r="C16398" s="2">
        <f>HYPERLINK("https://cao.dolgi.msk.ru/account/1080244551/", 1080244551)</f>
        <v>1080244551</v>
      </c>
      <c r="D16398" t="s">
        <v>13857</v>
      </c>
      <c r="E16398">
        <v>-158.86000000000001</v>
      </c>
      <c r="F16398">
        <v>-0.03</v>
      </c>
      <c r="G16398" t="s">
        <v>12</v>
      </c>
      <c r="I16398" t="s">
        <v>1428</v>
      </c>
    </row>
    <row r="16399" spans="1:9" hidden="1" x14ac:dyDescent="0.25">
      <c r="A16399" t="s">
        <v>13802</v>
      </c>
      <c r="B16399" t="s">
        <v>139</v>
      </c>
      <c r="C16399" s="2">
        <f>HYPERLINK("https://cao.dolgi.msk.ru/account/1080244578/", 1080244578)</f>
        <v>1080244578</v>
      </c>
      <c r="D16399" t="s">
        <v>13858</v>
      </c>
      <c r="E16399">
        <v>-3703.48</v>
      </c>
      <c r="F16399">
        <v>-0.93</v>
      </c>
      <c r="G16399" t="s">
        <v>12</v>
      </c>
      <c r="I16399" t="s">
        <v>1428</v>
      </c>
    </row>
    <row r="16400" spans="1:9" hidden="1" x14ac:dyDescent="0.25">
      <c r="A16400" t="s">
        <v>13802</v>
      </c>
      <c r="B16400" t="s">
        <v>141</v>
      </c>
      <c r="C16400" s="2">
        <f>HYPERLINK("https://cao.dolgi.msk.ru/account/1080244586/", 1080244586)</f>
        <v>1080244586</v>
      </c>
      <c r="D16400" t="s">
        <v>13859</v>
      </c>
      <c r="E16400">
        <v>-5258.99</v>
      </c>
      <c r="F16400">
        <v>-1.1100000000000001</v>
      </c>
      <c r="G16400" t="s">
        <v>12</v>
      </c>
      <c r="I16400" t="s">
        <v>1428</v>
      </c>
    </row>
    <row r="16401" spans="1:9" hidden="1" x14ac:dyDescent="0.25">
      <c r="A16401" t="s">
        <v>13802</v>
      </c>
      <c r="B16401" t="s">
        <v>143</v>
      </c>
      <c r="C16401" s="2">
        <f>HYPERLINK("https://cao.dolgi.msk.ru/account/1080244594/", 1080244594)</f>
        <v>1080244594</v>
      </c>
      <c r="D16401" t="s">
        <v>13860</v>
      </c>
      <c r="E16401">
        <v>-6465.9</v>
      </c>
      <c r="F16401">
        <v>-1.06</v>
      </c>
      <c r="G16401" t="s">
        <v>12</v>
      </c>
      <c r="I16401" t="s">
        <v>1428</v>
      </c>
    </row>
    <row r="16402" spans="1:9" hidden="1" x14ac:dyDescent="0.25">
      <c r="A16402" t="s">
        <v>13802</v>
      </c>
      <c r="B16402" t="s">
        <v>145</v>
      </c>
      <c r="C16402" s="2">
        <f>HYPERLINK("https://cao.dolgi.msk.ru/account/1080244607/", 1080244607)</f>
        <v>1080244607</v>
      </c>
      <c r="D16402" t="s">
        <v>13861</v>
      </c>
      <c r="E16402">
        <v>-96</v>
      </c>
      <c r="F16402">
        <v>-0.02</v>
      </c>
      <c r="G16402" t="s">
        <v>12</v>
      </c>
      <c r="I16402" t="s">
        <v>1428</v>
      </c>
    </row>
    <row r="16403" spans="1:9" hidden="1" x14ac:dyDescent="0.25">
      <c r="A16403" t="s">
        <v>13802</v>
      </c>
      <c r="B16403" t="s">
        <v>147</v>
      </c>
      <c r="C16403" s="2">
        <f>HYPERLINK("https://cao.dolgi.msk.ru/account/1080244615/", 1080244615)</f>
        <v>1080244615</v>
      </c>
      <c r="D16403" t="s">
        <v>13862</v>
      </c>
      <c r="E16403">
        <v>-128</v>
      </c>
      <c r="F16403">
        <v>-0.02</v>
      </c>
      <c r="G16403" t="s">
        <v>12</v>
      </c>
      <c r="I16403" t="s">
        <v>1428</v>
      </c>
    </row>
    <row r="16404" spans="1:9" hidden="1" x14ac:dyDescent="0.25">
      <c r="A16404" t="s">
        <v>13802</v>
      </c>
      <c r="B16404" t="s">
        <v>149</v>
      </c>
      <c r="C16404" s="2">
        <f>HYPERLINK("https://cao.dolgi.msk.ru/account/1080244623/", 1080244623)</f>
        <v>1080244623</v>
      </c>
      <c r="D16404" t="s">
        <v>13863</v>
      </c>
      <c r="E16404">
        <v>-6389.77</v>
      </c>
      <c r="F16404">
        <v>-1.02</v>
      </c>
      <c r="G16404" t="s">
        <v>12</v>
      </c>
      <c r="I16404" t="s">
        <v>1428</v>
      </c>
    </row>
    <row r="16405" spans="1:9" hidden="1" x14ac:dyDescent="0.25">
      <c r="A16405" t="s">
        <v>13802</v>
      </c>
      <c r="B16405" t="s">
        <v>151</v>
      </c>
      <c r="C16405" s="2">
        <f>HYPERLINK("https://cao.dolgi.msk.ru/account/1080244631/", 1080244631)</f>
        <v>1080244631</v>
      </c>
      <c r="D16405" t="s">
        <v>13864</v>
      </c>
      <c r="E16405">
        <v>-2816.58</v>
      </c>
      <c r="F16405">
        <v>-1.26</v>
      </c>
      <c r="G16405" t="s">
        <v>12</v>
      </c>
      <c r="I16405" t="s">
        <v>1428</v>
      </c>
    </row>
    <row r="16406" spans="1:9" hidden="1" x14ac:dyDescent="0.25">
      <c r="A16406" t="s">
        <v>13802</v>
      </c>
      <c r="B16406" t="s">
        <v>153</v>
      </c>
      <c r="C16406" s="2">
        <f>HYPERLINK("https://cao.dolgi.msk.ru/account/1080244658/", 1080244658)</f>
        <v>1080244658</v>
      </c>
      <c r="D16406" t="s">
        <v>15</v>
      </c>
      <c r="E16406">
        <v>-4658.4399999999996</v>
      </c>
      <c r="F16406">
        <v>-1.27</v>
      </c>
      <c r="G16406" t="s">
        <v>12</v>
      </c>
      <c r="I16406" t="s">
        <v>1428</v>
      </c>
    </row>
    <row r="16407" spans="1:9" hidden="1" x14ac:dyDescent="0.25">
      <c r="A16407" t="s">
        <v>13802</v>
      </c>
      <c r="B16407" t="s">
        <v>155</v>
      </c>
      <c r="C16407" s="2">
        <f>HYPERLINK("https://cao.dolgi.msk.ru/account/1080244666/", 1080244666)</f>
        <v>1080244666</v>
      </c>
      <c r="D16407" t="s">
        <v>13865</v>
      </c>
      <c r="E16407">
        <v>-3011.24</v>
      </c>
      <c r="F16407">
        <v>-1.1599999999999999</v>
      </c>
      <c r="G16407" t="s">
        <v>12</v>
      </c>
      <c r="I16407" t="s">
        <v>1428</v>
      </c>
    </row>
    <row r="16408" spans="1:9" hidden="1" x14ac:dyDescent="0.25">
      <c r="A16408" t="s">
        <v>13802</v>
      </c>
      <c r="B16408" t="s">
        <v>157</v>
      </c>
      <c r="C16408" s="2">
        <f>HYPERLINK("https://cao.dolgi.msk.ru/account/1080244674/", 1080244674)</f>
        <v>1080244674</v>
      </c>
      <c r="D16408" t="s">
        <v>13866</v>
      </c>
      <c r="E16408">
        <v>-96</v>
      </c>
      <c r="F16408">
        <v>-0.02</v>
      </c>
      <c r="G16408" t="s">
        <v>12</v>
      </c>
      <c r="I16408" t="s">
        <v>1428</v>
      </c>
    </row>
    <row r="16409" spans="1:9" hidden="1" x14ac:dyDescent="0.25">
      <c r="A16409" t="s">
        <v>13802</v>
      </c>
      <c r="B16409" t="s">
        <v>159</v>
      </c>
      <c r="C16409" s="2">
        <f>HYPERLINK("https://cao.dolgi.msk.ru/account/1080244682/", 1080244682)</f>
        <v>1080244682</v>
      </c>
      <c r="D16409" t="s">
        <v>13867</v>
      </c>
      <c r="E16409">
        <v>-8502.19</v>
      </c>
      <c r="F16409">
        <v>-1.08</v>
      </c>
      <c r="G16409" t="s">
        <v>12</v>
      </c>
      <c r="I16409" t="s">
        <v>1428</v>
      </c>
    </row>
    <row r="16410" spans="1:9" hidden="1" x14ac:dyDescent="0.25">
      <c r="A16410" t="s">
        <v>13802</v>
      </c>
      <c r="B16410" t="s">
        <v>161</v>
      </c>
      <c r="C16410" s="2">
        <f>HYPERLINK("https://cao.dolgi.msk.ru/account/1080244703/", 1080244703)</f>
        <v>1080244703</v>
      </c>
      <c r="D16410" t="s">
        <v>13868</v>
      </c>
      <c r="E16410">
        <v>-6653.52</v>
      </c>
      <c r="F16410">
        <v>-2.08</v>
      </c>
      <c r="G16410" t="s">
        <v>12</v>
      </c>
      <c r="I16410" t="s">
        <v>1428</v>
      </c>
    </row>
    <row r="16411" spans="1:9" hidden="1" x14ac:dyDescent="0.25">
      <c r="A16411" t="s">
        <v>13802</v>
      </c>
      <c r="B16411" t="s">
        <v>163</v>
      </c>
      <c r="C16411" s="2">
        <f>HYPERLINK("https://cao.dolgi.msk.ru/account/1080244711/", 1080244711)</f>
        <v>1080244711</v>
      </c>
      <c r="D16411" t="s">
        <v>13869</v>
      </c>
      <c r="E16411">
        <v>-11214</v>
      </c>
      <c r="F16411">
        <v>-2.02</v>
      </c>
      <c r="G16411" t="s">
        <v>12</v>
      </c>
      <c r="I16411" t="s">
        <v>1428</v>
      </c>
    </row>
    <row r="16412" spans="1:9" hidden="1" x14ac:dyDescent="0.25">
      <c r="A16412" t="s">
        <v>13802</v>
      </c>
      <c r="B16412" t="s">
        <v>571</v>
      </c>
      <c r="C16412" s="2">
        <f>HYPERLINK("https://cao.dolgi.msk.ru/account/1080244738/", 1080244738)</f>
        <v>1080244738</v>
      </c>
      <c r="D16412" t="s">
        <v>13870</v>
      </c>
      <c r="E16412">
        <v>-6294.65</v>
      </c>
      <c r="F16412">
        <v>-0.95</v>
      </c>
      <c r="G16412" t="s">
        <v>12</v>
      </c>
      <c r="I16412" t="s">
        <v>1428</v>
      </c>
    </row>
    <row r="16413" spans="1:9" hidden="1" x14ac:dyDescent="0.25">
      <c r="A16413" t="s">
        <v>13802</v>
      </c>
      <c r="B16413" t="s">
        <v>682</v>
      </c>
      <c r="C16413" s="2">
        <f>HYPERLINK("https://cao.dolgi.msk.ru/account/1080244746/", 1080244746)</f>
        <v>1080244746</v>
      </c>
      <c r="D16413" t="s">
        <v>13871</v>
      </c>
      <c r="E16413">
        <v>-36.42</v>
      </c>
      <c r="F16413">
        <v>-0.01</v>
      </c>
      <c r="G16413" t="s">
        <v>12</v>
      </c>
      <c r="I16413" t="s">
        <v>1428</v>
      </c>
    </row>
    <row r="16414" spans="1:9" hidden="1" x14ac:dyDescent="0.25">
      <c r="A16414" t="s">
        <v>13872</v>
      </c>
      <c r="B16414" t="s">
        <v>10</v>
      </c>
      <c r="C16414" s="2">
        <f>HYPERLINK("https://cao.dolgi.msk.ru/account/1080254311/", 1080254311)</f>
        <v>1080254311</v>
      </c>
      <c r="D16414" t="s">
        <v>13873</v>
      </c>
      <c r="E16414">
        <v>-5440.37</v>
      </c>
      <c r="F16414">
        <v>-1.72</v>
      </c>
      <c r="G16414" t="s">
        <v>12</v>
      </c>
      <c r="I16414" t="s">
        <v>1428</v>
      </c>
    </row>
    <row r="16415" spans="1:9" hidden="1" x14ac:dyDescent="0.25">
      <c r="A16415" t="s">
        <v>13872</v>
      </c>
      <c r="B16415" t="s">
        <v>16</v>
      </c>
      <c r="C16415" s="2">
        <f>HYPERLINK("https://cao.dolgi.msk.ru/account/1080254338/", 1080254338)</f>
        <v>1080254338</v>
      </c>
      <c r="D16415" t="s">
        <v>13874</v>
      </c>
      <c r="E16415">
        <v>-5028.1400000000003</v>
      </c>
      <c r="F16415">
        <v>-1.02</v>
      </c>
      <c r="G16415" t="s">
        <v>12</v>
      </c>
      <c r="I16415" t="s">
        <v>1428</v>
      </c>
    </row>
    <row r="16416" spans="1:9" hidden="1" x14ac:dyDescent="0.25">
      <c r="A16416" t="s">
        <v>13872</v>
      </c>
      <c r="B16416" t="s">
        <v>18</v>
      </c>
      <c r="C16416" s="2">
        <f>HYPERLINK("https://cao.dolgi.msk.ru/account/1080254346/", 1080254346)</f>
        <v>1080254346</v>
      </c>
      <c r="D16416" t="s">
        <v>13875</v>
      </c>
      <c r="E16416">
        <v>-4600.3100000000004</v>
      </c>
      <c r="F16416">
        <v>-1.21</v>
      </c>
      <c r="G16416" t="s">
        <v>12</v>
      </c>
      <c r="I16416" t="s">
        <v>1428</v>
      </c>
    </row>
    <row r="16417" spans="1:9" hidden="1" x14ac:dyDescent="0.25">
      <c r="A16417" t="s">
        <v>13872</v>
      </c>
      <c r="B16417" t="s">
        <v>20</v>
      </c>
      <c r="C16417" s="2">
        <f>HYPERLINK("https://cao.dolgi.msk.ru/account/1080254354/", 1080254354)</f>
        <v>1080254354</v>
      </c>
      <c r="D16417" t="s">
        <v>13876</v>
      </c>
      <c r="E16417">
        <v>-2578.89</v>
      </c>
      <c r="F16417">
        <v>-0.98</v>
      </c>
      <c r="G16417" t="s">
        <v>12</v>
      </c>
      <c r="I16417" t="s">
        <v>1428</v>
      </c>
    </row>
    <row r="16418" spans="1:9" hidden="1" x14ac:dyDescent="0.25">
      <c r="A16418" t="s">
        <v>13872</v>
      </c>
      <c r="B16418" t="s">
        <v>21</v>
      </c>
      <c r="C16418" s="2">
        <f>HYPERLINK("https://cao.dolgi.msk.ru/account/1080254362/", 1080254362)</f>
        <v>1080254362</v>
      </c>
      <c r="D16418" t="s">
        <v>13877</v>
      </c>
      <c r="E16418">
        <v>-4460.29</v>
      </c>
      <c r="F16418">
        <v>-1.1299999999999999</v>
      </c>
      <c r="G16418" t="s">
        <v>12</v>
      </c>
      <c r="I16418" t="s">
        <v>1428</v>
      </c>
    </row>
    <row r="16419" spans="1:9" hidden="1" x14ac:dyDescent="0.25">
      <c r="A16419" t="s">
        <v>13872</v>
      </c>
      <c r="B16419" t="s">
        <v>22</v>
      </c>
      <c r="C16419" s="2">
        <f>HYPERLINK("https://cao.dolgi.msk.ru/account/1080254389/", 1080254389)</f>
        <v>1080254389</v>
      </c>
      <c r="D16419" t="s">
        <v>13878</v>
      </c>
      <c r="E16419">
        <v>-4588.05</v>
      </c>
      <c r="F16419">
        <v>-1.1200000000000001</v>
      </c>
      <c r="G16419" t="s">
        <v>12</v>
      </c>
      <c r="I16419" t="s">
        <v>1428</v>
      </c>
    </row>
    <row r="16420" spans="1:9" hidden="1" x14ac:dyDescent="0.25">
      <c r="A16420" t="s">
        <v>13872</v>
      </c>
      <c r="B16420" t="s">
        <v>23</v>
      </c>
      <c r="C16420" s="2">
        <f>HYPERLINK("https://cao.dolgi.msk.ru/account/1080254397/", 1080254397)</f>
        <v>1080254397</v>
      </c>
      <c r="D16420" t="s">
        <v>13879</v>
      </c>
      <c r="E16420">
        <v>-4553.54</v>
      </c>
      <c r="F16420">
        <v>-1.04</v>
      </c>
      <c r="G16420" t="s">
        <v>12</v>
      </c>
      <c r="I16420" t="s">
        <v>1428</v>
      </c>
    </row>
    <row r="16421" spans="1:9" hidden="1" x14ac:dyDescent="0.25">
      <c r="A16421" t="s">
        <v>13872</v>
      </c>
      <c r="B16421" t="s">
        <v>24</v>
      </c>
      <c r="C16421" s="2">
        <f>HYPERLINK("https://cao.dolgi.msk.ru/account/1080254418/", 1080254418)</f>
        <v>1080254418</v>
      </c>
      <c r="D16421" t="s">
        <v>13880</v>
      </c>
      <c r="E16421">
        <v>-4687.26</v>
      </c>
      <c r="F16421">
        <v>-1.04</v>
      </c>
      <c r="G16421" t="s">
        <v>12</v>
      </c>
      <c r="I16421" t="s">
        <v>1428</v>
      </c>
    </row>
    <row r="16422" spans="1:9" x14ac:dyDescent="0.25">
      <c r="A16422" t="s">
        <v>13872</v>
      </c>
      <c r="B16422" t="s">
        <v>27</v>
      </c>
      <c r="C16422" s="2">
        <f>HYPERLINK("https://cao.dolgi.msk.ru/account/1080254426/", 1080254426)</f>
        <v>1080254426</v>
      </c>
      <c r="D16422" t="s">
        <v>13881</v>
      </c>
      <c r="E16422">
        <v>75473.03</v>
      </c>
      <c r="F16422">
        <v>8.35</v>
      </c>
      <c r="G16422" t="s">
        <v>12</v>
      </c>
      <c r="I16422" t="s">
        <v>1428</v>
      </c>
    </row>
    <row r="16423" spans="1:9" hidden="1" x14ac:dyDescent="0.25">
      <c r="A16423" t="s">
        <v>13872</v>
      </c>
      <c r="B16423" t="s">
        <v>29</v>
      </c>
      <c r="C16423" s="2">
        <f>HYPERLINK("https://cao.dolgi.msk.ru/account/1080254434/", 1080254434)</f>
        <v>1080254434</v>
      </c>
      <c r="D16423" t="s">
        <v>13882</v>
      </c>
      <c r="E16423">
        <v>-3024.4</v>
      </c>
      <c r="F16423">
        <v>-1.06</v>
      </c>
      <c r="G16423" t="s">
        <v>12</v>
      </c>
      <c r="I16423" t="s">
        <v>1428</v>
      </c>
    </row>
    <row r="16424" spans="1:9" hidden="1" x14ac:dyDescent="0.25">
      <c r="A16424" t="s">
        <v>13872</v>
      </c>
      <c r="B16424" t="s">
        <v>31</v>
      </c>
      <c r="C16424" s="2">
        <f>HYPERLINK("https://cao.dolgi.msk.ru/account/1080254442/", 1080254442)</f>
        <v>1080254442</v>
      </c>
      <c r="D16424" t="s">
        <v>13883</v>
      </c>
      <c r="E16424">
        <v>-7420.5</v>
      </c>
      <c r="F16424">
        <v>-1.05</v>
      </c>
      <c r="G16424" t="s">
        <v>12</v>
      </c>
      <c r="I16424" t="s">
        <v>1428</v>
      </c>
    </row>
    <row r="16425" spans="1:9" hidden="1" x14ac:dyDescent="0.25">
      <c r="A16425" t="s">
        <v>13872</v>
      </c>
      <c r="B16425" t="s">
        <v>33</v>
      </c>
      <c r="C16425" s="2">
        <f>HYPERLINK("https://cao.dolgi.msk.ru/account/1080254469/", 1080254469)</f>
        <v>1080254469</v>
      </c>
      <c r="D16425" t="s">
        <v>13884</v>
      </c>
      <c r="E16425">
        <v>-4227.24</v>
      </c>
      <c r="F16425">
        <v>-1.07</v>
      </c>
      <c r="G16425" t="s">
        <v>12</v>
      </c>
      <c r="I16425" t="s">
        <v>1428</v>
      </c>
    </row>
    <row r="16426" spans="1:9" hidden="1" x14ac:dyDescent="0.25">
      <c r="A16426" t="s">
        <v>13872</v>
      </c>
      <c r="B16426" t="s">
        <v>34</v>
      </c>
      <c r="C16426" s="2">
        <f>HYPERLINK("https://cao.dolgi.msk.ru/account/1080254477/", 1080254477)</f>
        <v>1080254477</v>
      </c>
      <c r="D16426" t="s">
        <v>13885</v>
      </c>
      <c r="E16426">
        <v>-5109.67</v>
      </c>
      <c r="F16426">
        <v>-1.1100000000000001</v>
      </c>
      <c r="G16426" t="s">
        <v>12</v>
      </c>
      <c r="I16426" t="s">
        <v>1428</v>
      </c>
    </row>
    <row r="16427" spans="1:9" hidden="1" x14ac:dyDescent="0.25">
      <c r="A16427" t="s">
        <v>13872</v>
      </c>
      <c r="B16427" t="s">
        <v>36</v>
      </c>
      <c r="C16427" s="2">
        <f>HYPERLINK("https://cao.dolgi.msk.ru/account/1080254485/", 1080254485)</f>
        <v>1080254485</v>
      </c>
      <c r="D16427" t="s">
        <v>13886</v>
      </c>
      <c r="E16427">
        <v>-7408.23</v>
      </c>
      <c r="F16427">
        <v>-1.04</v>
      </c>
      <c r="G16427" t="s">
        <v>12</v>
      </c>
      <c r="I16427" t="s">
        <v>1428</v>
      </c>
    </row>
    <row r="16428" spans="1:9" hidden="1" x14ac:dyDescent="0.25">
      <c r="A16428" t="s">
        <v>13872</v>
      </c>
      <c r="B16428" t="s">
        <v>38</v>
      </c>
      <c r="C16428" s="2">
        <f>HYPERLINK("https://cao.dolgi.msk.ru/account/1080254493/", 1080254493)</f>
        <v>1080254493</v>
      </c>
      <c r="D16428" t="s">
        <v>13887</v>
      </c>
      <c r="E16428">
        <v>-4201.76</v>
      </c>
      <c r="F16428">
        <v>-1.01</v>
      </c>
      <c r="G16428" t="s">
        <v>12</v>
      </c>
      <c r="I16428" t="s">
        <v>1428</v>
      </c>
    </row>
    <row r="16429" spans="1:9" hidden="1" x14ac:dyDescent="0.25">
      <c r="A16429" t="s">
        <v>13872</v>
      </c>
      <c r="B16429" t="s">
        <v>39</v>
      </c>
      <c r="C16429" s="2">
        <f>HYPERLINK("https://cao.dolgi.msk.ru/account/1080254506/", 1080254506)</f>
        <v>1080254506</v>
      </c>
      <c r="D16429" t="s">
        <v>13888</v>
      </c>
      <c r="E16429">
        <v>-7376.51</v>
      </c>
      <c r="F16429">
        <v>-2.6</v>
      </c>
      <c r="G16429" t="s">
        <v>12</v>
      </c>
      <c r="I16429" t="s">
        <v>1428</v>
      </c>
    </row>
    <row r="16430" spans="1:9" hidden="1" x14ac:dyDescent="0.25">
      <c r="A16430" t="s">
        <v>13872</v>
      </c>
      <c r="B16430" t="s">
        <v>40</v>
      </c>
      <c r="C16430" s="2">
        <f>HYPERLINK("https://cao.dolgi.msk.ru/account/1080254514/", 1080254514)</f>
        <v>1080254514</v>
      </c>
      <c r="D16430" t="s">
        <v>15</v>
      </c>
      <c r="E16430">
        <v>33.9</v>
      </c>
      <c r="F16430">
        <v>0.01</v>
      </c>
      <c r="G16430" t="s">
        <v>12</v>
      </c>
      <c r="I16430" t="s">
        <v>1428</v>
      </c>
    </row>
    <row r="16431" spans="1:9" hidden="1" x14ac:dyDescent="0.25">
      <c r="A16431" t="s">
        <v>13872</v>
      </c>
      <c r="B16431" t="s">
        <v>41</v>
      </c>
      <c r="C16431" s="2">
        <f>HYPERLINK("https://cao.dolgi.msk.ru/account/1080254522/", 1080254522)</f>
        <v>1080254522</v>
      </c>
      <c r="D16431" t="s">
        <v>13889</v>
      </c>
      <c r="E16431">
        <v>-4857.76</v>
      </c>
      <c r="F16431">
        <v>-0.82</v>
      </c>
      <c r="G16431" t="s">
        <v>12</v>
      </c>
      <c r="I16431" t="s">
        <v>1428</v>
      </c>
    </row>
    <row r="16432" spans="1:9" hidden="1" x14ac:dyDescent="0.25">
      <c r="A16432" t="s">
        <v>13872</v>
      </c>
      <c r="B16432" t="s">
        <v>42</v>
      </c>
      <c r="C16432" s="2">
        <f>HYPERLINK("https://cao.dolgi.msk.ru/account/1080254549/", 1080254549)</f>
        <v>1080254549</v>
      </c>
      <c r="D16432" t="s">
        <v>13890</v>
      </c>
      <c r="E16432">
        <v>0</v>
      </c>
      <c r="F16432">
        <v>0</v>
      </c>
      <c r="G16432" t="s">
        <v>12</v>
      </c>
      <c r="I16432" t="s">
        <v>1428</v>
      </c>
    </row>
    <row r="16433" spans="1:9" hidden="1" x14ac:dyDescent="0.25">
      <c r="A16433" t="s">
        <v>13872</v>
      </c>
      <c r="B16433" t="s">
        <v>44</v>
      </c>
      <c r="C16433" s="2">
        <f>HYPERLINK("https://cao.dolgi.msk.ru/account/1080254557/", 1080254557)</f>
        <v>1080254557</v>
      </c>
      <c r="D16433" t="s">
        <v>13891</v>
      </c>
      <c r="E16433">
        <v>0</v>
      </c>
      <c r="F16433">
        <v>0</v>
      </c>
      <c r="G16433" t="s">
        <v>12</v>
      </c>
      <c r="I16433" t="s">
        <v>1428</v>
      </c>
    </row>
    <row r="16434" spans="1:9" hidden="1" x14ac:dyDescent="0.25">
      <c r="A16434" t="s">
        <v>13872</v>
      </c>
      <c r="B16434" t="s">
        <v>66</v>
      </c>
      <c r="C16434" s="2">
        <f>HYPERLINK("https://cao.dolgi.msk.ru/account/1080254565/", 1080254565)</f>
        <v>1080254565</v>
      </c>
      <c r="D16434" t="s">
        <v>13892</v>
      </c>
      <c r="E16434">
        <v>-211.35</v>
      </c>
      <c r="F16434">
        <v>-0.06</v>
      </c>
      <c r="G16434" t="s">
        <v>12</v>
      </c>
      <c r="I16434" t="s">
        <v>1428</v>
      </c>
    </row>
    <row r="16435" spans="1:9" hidden="1" x14ac:dyDescent="0.25">
      <c r="A16435" t="s">
        <v>13872</v>
      </c>
      <c r="B16435" t="s">
        <v>68</v>
      </c>
      <c r="C16435" s="2">
        <f>HYPERLINK("https://cao.dolgi.msk.ru/account/1080254573/", 1080254573)</f>
        <v>1080254573</v>
      </c>
      <c r="D16435" t="s">
        <v>13893</v>
      </c>
      <c r="E16435">
        <v>-3058.83</v>
      </c>
      <c r="F16435">
        <v>-1.03</v>
      </c>
      <c r="G16435" t="s">
        <v>12</v>
      </c>
      <c r="I16435" t="s">
        <v>1428</v>
      </c>
    </row>
    <row r="16436" spans="1:9" hidden="1" x14ac:dyDescent="0.25">
      <c r="A16436" t="s">
        <v>13872</v>
      </c>
      <c r="B16436" t="s">
        <v>70</v>
      </c>
      <c r="C16436" s="2">
        <f>HYPERLINK("https://cao.dolgi.msk.ru/account/1080254581/", 1080254581)</f>
        <v>1080254581</v>
      </c>
      <c r="D16436" t="s">
        <v>13894</v>
      </c>
      <c r="E16436">
        <v>-2483.1999999999998</v>
      </c>
      <c r="F16436">
        <v>-1.07</v>
      </c>
      <c r="G16436" t="s">
        <v>12</v>
      </c>
      <c r="I16436" t="s">
        <v>1428</v>
      </c>
    </row>
    <row r="16437" spans="1:9" hidden="1" x14ac:dyDescent="0.25">
      <c r="A16437" t="s">
        <v>13872</v>
      </c>
      <c r="B16437" t="s">
        <v>72</v>
      </c>
      <c r="C16437" s="2">
        <f>HYPERLINK("https://cao.dolgi.msk.ru/account/1080254602/", 1080254602)</f>
        <v>1080254602</v>
      </c>
      <c r="D16437" t="s">
        <v>13895</v>
      </c>
      <c r="E16437">
        <v>-4404.41</v>
      </c>
      <c r="F16437">
        <v>-0.82</v>
      </c>
      <c r="G16437" t="s">
        <v>12</v>
      </c>
      <c r="I16437" t="s">
        <v>1428</v>
      </c>
    </row>
    <row r="16438" spans="1:9" hidden="1" x14ac:dyDescent="0.25">
      <c r="A16438" t="s">
        <v>13872</v>
      </c>
      <c r="B16438" t="s">
        <v>74</v>
      </c>
      <c r="C16438" s="2">
        <f>HYPERLINK("https://cao.dolgi.msk.ru/account/1080254629/", 1080254629)</f>
        <v>1080254629</v>
      </c>
      <c r="D16438" t="s">
        <v>13896</v>
      </c>
      <c r="E16438">
        <v>-3211.97</v>
      </c>
      <c r="F16438">
        <v>-0.76</v>
      </c>
      <c r="G16438" t="s">
        <v>12</v>
      </c>
      <c r="I16438" t="s">
        <v>1428</v>
      </c>
    </row>
    <row r="16439" spans="1:9" hidden="1" x14ac:dyDescent="0.25">
      <c r="A16439" t="s">
        <v>13872</v>
      </c>
      <c r="B16439" t="s">
        <v>76</v>
      </c>
      <c r="C16439" s="2">
        <f>HYPERLINK("https://cao.dolgi.msk.ru/account/1080254637/", 1080254637)</f>
        <v>1080254637</v>
      </c>
      <c r="D16439" t="s">
        <v>13897</v>
      </c>
      <c r="E16439">
        <v>-3946.76</v>
      </c>
      <c r="F16439">
        <v>-1</v>
      </c>
      <c r="G16439" t="s">
        <v>12</v>
      </c>
      <c r="I16439" t="s">
        <v>1428</v>
      </c>
    </row>
    <row r="16440" spans="1:9" hidden="1" x14ac:dyDescent="0.25">
      <c r="A16440" t="s">
        <v>13872</v>
      </c>
      <c r="B16440" t="s">
        <v>78</v>
      </c>
      <c r="C16440" s="2">
        <f>HYPERLINK("https://cao.dolgi.msk.ru/account/1080254645/", 1080254645)</f>
        <v>1080254645</v>
      </c>
      <c r="D16440" t="s">
        <v>13898</v>
      </c>
      <c r="E16440">
        <v>-6462.57</v>
      </c>
      <c r="F16440">
        <v>-1.08</v>
      </c>
      <c r="G16440" t="s">
        <v>12</v>
      </c>
      <c r="I16440" t="s">
        <v>1428</v>
      </c>
    </row>
    <row r="16441" spans="1:9" hidden="1" x14ac:dyDescent="0.25">
      <c r="A16441" t="s">
        <v>13872</v>
      </c>
      <c r="B16441" t="s">
        <v>80</v>
      </c>
      <c r="C16441" s="2">
        <f>HYPERLINK("https://cao.dolgi.msk.ru/account/1080254653/", 1080254653)</f>
        <v>1080254653</v>
      </c>
      <c r="D16441" t="s">
        <v>13899</v>
      </c>
      <c r="E16441">
        <v>-5071.6099999999997</v>
      </c>
      <c r="F16441">
        <v>-1.1000000000000001</v>
      </c>
      <c r="G16441" t="s">
        <v>12</v>
      </c>
      <c r="I16441" t="s">
        <v>1428</v>
      </c>
    </row>
    <row r="16442" spans="1:9" hidden="1" x14ac:dyDescent="0.25">
      <c r="A16442" t="s">
        <v>13872</v>
      </c>
      <c r="B16442" t="s">
        <v>82</v>
      </c>
      <c r="C16442" s="2">
        <f>HYPERLINK("https://cao.dolgi.msk.ru/account/1080254661/", 1080254661)</f>
        <v>1080254661</v>
      </c>
      <c r="D16442" t="s">
        <v>13900</v>
      </c>
      <c r="E16442">
        <v>-106.36</v>
      </c>
      <c r="F16442">
        <v>-0.03</v>
      </c>
      <c r="G16442" t="s">
        <v>12</v>
      </c>
      <c r="I16442" t="s">
        <v>1428</v>
      </c>
    </row>
    <row r="16443" spans="1:9" hidden="1" x14ac:dyDescent="0.25">
      <c r="A16443" t="s">
        <v>13872</v>
      </c>
      <c r="B16443" t="s">
        <v>84</v>
      </c>
      <c r="C16443" s="2">
        <f>HYPERLINK("https://cao.dolgi.msk.ru/account/1080254688/", 1080254688)</f>
        <v>1080254688</v>
      </c>
      <c r="D16443" t="s">
        <v>13901</v>
      </c>
      <c r="E16443">
        <v>-2513.11</v>
      </c>
      <c r="F16443">
        <v>-1.07</v>
      </c>
      <c r="G16443" t="s">
        <v>12</v>
      </c>
      <c r="I16443" t="s">
        <v>1428</v>
      </c>
    </row>
    <row r="16444" spans="1:9" hidden="1" x14ac:dyDescent="0.25">
      <c r="A16444" t="s">
        <v>13872</v>
      </c>
      <c r="B16444" t="s">
        <v>86</v>
      </c>
      <c r="C16444" s="2">
        <f>HYPERLINK("https://cao.dolgi.msk.ru/account/1080254696/", 1080254696)</f>
        <v>1080254696</v>
      </c>
      <c r="D16444" t="s">
        <v>13902</v>
      </c>
      <c r="E16444">
        <v>-4788.67</v>
      </c>
      <c r="F16444">
        <v>-0.96</v>
      </c>
      <c r="G16444" t="s">
        <v>12</v>
      </c>
      <c r="I16444" t="s">
        <v>1428</v>
      </c>
    </row>
    <row r="16445" spans="1:9" hidden="1" x14ac:dyDescent="0.25">
      <c r="A16445" t="s">
        <v>13872</v>
      </c>
      <c r="B16445" t="s">
        <v>88</v>
      </c>
      <c r="C16445" s="2">
        <f>HYPERLINK("https://cao.dolgi.msk.ru/account/1080254709/", 1080254709)</f>
        <v>1080254709</v>
      </c>
      <c r="D16445" t="s">
        <v>13903</v>
      </c>
      <c r="E16445">
        <v>-2018.06</v>
      </c>
      <c r="F16445">
        <v>-1.37</v>
      </c>
      <c r="G16445" t="s">
        <v>12</v>
      </c>
      <c r="I16445" t="s">
        <v>1428</v>
      </c>
    </row>
    <row r="16446" spans="1:9" hidden="1" x14ac:dyDescent="0.25">
      <c r="A16446" t="s">
        <v>13872</v>
      </c>
      <c r="B16446" t="s">
        <v>90</v>
      </c>
      <c r="C16446" s="2">
        <f>HYPERLINK("https://cao.dolgi.msk.ru/account/1080254717/", 1080254717)</f>
        <v>1080254717</v>
      </c>
      <c r="D16446" t="s">
        <v>13904</v>
      </c>
      <c r="E16446">
        <v>-5169.7</v>
      </c>
      <c r="F16446">
        <v>-1.05</v>
      </c>
      <c r="G16446" t="s">
        <v>12</v>
      </c>
      <c r="I16446" t="s">
        <v>1428</v>
      </c>
    </row>
    <row r="16447" spans="1:9" hidden="1" x14ac:dyDescent="0.25">
      <c r="A16447" t="s">
        <v>13872</v>
      </c>
      <c r="B16447" t="s">
        <v>92</v>
      </c>
      <c r="C16447" s="2">
        <f>HYPERLINK("https://cao.dolgi.msk.ru/account/1080254725/", 1080254725)</f>
        <v>1080254725</v>
      </c>
      <c r="D16447" t="s">
        <v>13905</v>
      </c>
      <c r="E16447">
        <v>-6881.25</v>
      </c>
      <c r="F16447">
        <v>-1.61</v>
      </c>
      <c r="G16447" t="s">
        <v>12</v>
      </c>
      <c r="I16447" t="s">
        <v>1428</v>
      </c>
    </row>
    <row r="16448" spans="1:9" hidden="1" x14ac:dyDescent="0.25">
      <c r="A16448" t="s">
        <v>13872</v>
      </c>
      <c r="B16448" t="s">
        <v>94</v>
      </c>
      <c r="C16448" s="2">
        <f>HYPERLINK("https://cao.dolgi.msk.ru/account/1080254733/", 1080254733)</f>
        <v>1080254733</v>
      </c>
      <c r="D16448" t="s">
        <v>13906</v>
      </c>
      <c r="E16448">
        <v>-3924.89</v>
      </c>
      <c r="F16448">
        <v>-1.0900000000000001</v>
      </c>
      <c r="G16448" t="s">
        <v>12</v>
      </c>
      <c r="I16448" t="s">
        <v>1428</v>
      </c>
    </row>
    <row r="16449" spans="1:9" hidden="1" x14ac:dyDescent="0.25">
      <c r="A16449" t="s">
        <v>13872</v>
      </c>
      <c r="B16449" t="s">
        <v>96</v>
      </c>
      <c r="C16449" s="2">
        <f>HYPERLINK("https://cao.dolgi.msk.ru/account/1080254741/", 1080254741)</f>
        <v>1080254741</v>
      </c>
      <c r="D16449" t="s">
        <v>13907</v>
      </c>
      <c r="E16449">
        <v>-3348.2</v>
      </c>
      <c r="F16449">
        <v>-1.1200000000000001</v>
      </c>
      <c r="G16449" t="s">
        <v>12</v>
      </c>
      <c r="I16449" t="s">
        <v>1428</v>
      </c>
    </row>
    <row r="16450" spans="1:9" hidden="1" x14ac:dyDescent="0.25">
      <c r="A16450" t="s">
        <v>13872</v>
      </c>
      <c r="B16450" t="s">
        <v>98</v>
      </c>
      <c r="C16450" s="2">
        <f>HYPERLINK("https://cao.dolgi.msk.ru/account/1080254768/", 1080254768)</f>
        <v>1080254768</v>
      </c>
      <c r="D16450" t="s">
        <v>13908</v>
      </c>
      <c r="E16450">
        <v>-16568.259999999998</v>
      </c>
      <c r="F16450">
        <v>-1.7</v>
      </c>
      <c r="G16450" t="s">
        <v>12</v>
      </c>
      <c r="I16450" t="s">
        <v>1428</v>
      </c>
    </row>
    <row r="16451" spans="1:9" hidden="1" x14ac:dyDescent="0.25">
      <c r="A16451" t="s">
        <v>13872</v>
      </c>
      <c r="B16451" t="s">
        <v>100</v>
      </c>
      <c r="C16451" s="2">
        <f>HYPERLINK("https://cao.dolgi.msk.ru/account/1080254776/", 1080254776)</f>
        <v>1080254776</v>
      </c>
      <c r="D16451" t="s">
        <v>13909</v>
      </c>
      <c r="E16451">
        <v>-5351.65</v>
      </c>
      <c r="F16451">
        <v>-1.1000000000000001</v>
      </c>
      <c r="G16451" t="s">
        <v>12</v>
      </c>
      <c r="I16451" t="s">
        <v>1428</v>
      </c>
    </row>
    <row r="16452" spans="1:9" hidden="1" x14ac:dyDescent="0.25">
      <c r="A16452" t="s">
        <v>13872</v>
      </c>
      <c r="B16452" t="s">
        <v>102</v>
      </c>
      <c r="C16452" s="2">
        <f>HYPERLINK("https://cao.dolgi.msk.ru/account/1080254784/", 1080254784)</f>
        <v>1080254784</v>
      </c>
      <c r="D16452" t="s">
        <v>13910</v>
      </c>
      <c r="E16452">
        <v>4681.59</v>
      </c>
      <c r="F16452">
        <v>0.84</v>
      </c>
      <c r="G16452" t="s">
        <v>14</v>
      </c>
      <c r="I16452" t="s">
        <v>1428</v>
      </c>
    </row>
    <row r="16453" spans="1:9" hidden="1" x14ac:dyDescent="0.25">
      <c r="A16453" t="s">
        <v>13872</v>
      </c>
      <c r="B16453" t="s">
        <v>102</v>
      </c>
      <c r="C16453" s="2">
        <f>HYPERLINK("https://cao.dolgi.msk.ru/account/1083395742/", 1083395742)</f>
        <v>1083395742</v>
      </c>
      <c r="D16453" t="s">
        <v>189</v>
      </c>
      <c r="E16453">
        <v>-5042</v>
      </c>
      <c r="F16453">
        <v>-1.1499999999999999</v>
      </c>
      <c r="G16453" t="s">
        <v>12</v>
      </c>
      <c r="I16453" t="s">
        <v>1428</v>
      </c>
    </row>
    <row r="16454" spans="1:9" hidden="1" x14ac:dyDescent="0.25">
      <c r="A16454" t="s">
        <v>13872</v>
      </c>
      <c r="B16454" t="s">
        <v>104</v>
      </c>
      <c r="C16454" s="2">
        <f>HYPERLINK("https://cao.dolgi.msk.ru/account/1080254792/", 1080254792)</f>
        <v>1080254792</v>
      </c>
      <c r="D16454" t="s">
        <v>13911</v>
      </c>
      <c r="E16454">
        <v>-1765.89</v>
      </c>
      <c r="F16454">
        <v>-1</v>
      </c>
      <c r="G16454" t="s">
        <v>12</v>
      </c>
      <c r="I16454" t="s">
        <v>1428</v>
      </c>
    </row>
    <row r="16455" spans="1:9" hidden="1" x14ac:dyDescent="0.25">
      <c r="A16455" t="s">
        <v>13872</v>
      </c>
      <c r="B16455" t="s">
        <v>106</v>
      </c>
      <c r="C16455" s="2">
        <f>HYPERLINK("https://cao.dolgi.msk.ru/account/1080254805/", 1080254805)</f>
        <v>1080254805</v>
      </c>
      <c r="D16455" t="s">
        <v>13912</v>
      </c>
      <c r="E16455">
        <v>-3849.14</v>
      </c>
      <c r="F16455">
        <v>-1.06</v>
      </c>
      <c r="G16455" t="s">
        <v>12</v>
      </c>
      <c r="I16455" t="s">
        <v>1428</v>
      </c>
    </row>
    <row r="16456" spans="1:9" hidden="1" x14ac:dyDescent="0.25">
      <c r="A16456" t="s">
        <v>13872</v>
      </c>
      <c r="B16456" t="s">
        <v>108</v>
      </c>
      <c r="C16456" s="2">
        <f>HYPERLINK("https://cao.dolgi.msk.ru/account/1080254813/", 1080254813)</f>
        <v>1080254813</v>
      </c>
      <c r="D16456" t="s">
        <v>13913</v>
      </c>
      <c r="E16456">
        <v>-4290.8900000000003</v>
      </c>
      <c r="F16456">
        <v>-1.07</v>
      </c>
      <c r="G16456" t="s">
        <v>12</v>
      </c>
      <c r="I16456" t="s">
        <v>1428</v>
      </c>
    </row>
    <row r="16457" spans="1:9" hidden="1" x14ac:dyDescent="0.25">
      <c r="A16457" t="s">
        <v>13872</v>
      </c>
      <c r="B16457" t="s">
        <v>110</v>
      </c>
      <c r="C16457" s="2">
        <f>HYPERLINK("https://cao.dolgi.msk.ru/account/1080254821/", 1080254821)</f>
        <v>1080254821</v>
      </c>
      <c r="D16457" t="s">
        <v>13914</v>
      </c>
      <c r="E16457">
        <v>-5488.95</v>
      </c>
      <c r="F16457">
        <v>-1.01</v>
      </c>
      <c r="G16457" t="s">
        <v>12</v>
      </c>
      <c r="I16457" t="s">
        <v>1428</v>
      </c>
    </row>
    <row r="16458" spans="1:9" hidden="1" x14ac:dyDescent="0.25">
      <c r="A16458" t="s">
        <v>13872</v>
      </c>
      <c r="B16458" t="s">
        <v>112</v>
      </c>
      <c r="C16458" s="2">
        <f>HYPERLINK("https://cao.dolgi.msk.ru/account/1080254848/", 1080254848)</f>
        <v>1080254848</v>
      </c>
      <c r="D16458" t="s">
        <v>13915</v>
      </c>
      <c r="E16458">
        <v>-519.02</v>
      </c>
      <c r="F16458">
        <v>-0.09</v>
      </c>
      <c r="G16458" t="s">
        <v>12</v>
      </c>
      <c r="I16458" t="s">
        <v>1428</v>
      </c>
    </row>
    <row r="16459" spans="1:9" hidden="1" x14ac:dyDescent="0.25">
      <c r="A16459" t="s">
        <v>13872</v>
      </c>
      <c r="B16459" t="s">
        <v>114</v>
      </c>
      <c r="C16459" s="2">
        <f>HYPERLINK("https://cao.dolgi.msk.ru/account/1080254856/", 1080254856)</f>
        <v>1080254856</v>
      </c>
      <c r="D16459" t="s">
        <v>13916</v>
      </c>
      <c r="E16459">
        <v>0</v>
      </c>
      <c r="F16459">
        <v>0</v>
      </c>
      <c r="G16459" t="s">
        <v>12</v>
      </c>
      <c r="I16459" t="s">
        <v>1428</v>
      </c>
    </row>
    <row r="16460" spans="1:9" hidden="1" x14ac:dyDescent="0.25">
      <c r="A16460" t="s">
        <v>13872</v>
      </c>
      <c r="B16460" t="s">
        <v>116</v>
      </c>
      <c r="C16460" s="2">
        <f>HYPERLINK("https://cao.dolgi.msk.ru/account/1080254864/", 1080254864)</f>
        <v>1080254864</v>
      </c>
      <c r="D16460" t="s">
        <v>13917</v>
      </c>
      <c r="E16460">
        <v>0</v>
      </c>
      <c r="F16460">
        <v>0</v>
      </c>
      <c r="G16460" t="s">
        <v>12</v>
      </c>
      <c r="I16460" t="s">
        <v>1428</v>
      </c>
    </row>
    <row r="16461" spans="1:9" hidden="1" x14ac:dyDescent="0.25">
      <c r="A16461" t="s">
        <v>13872</v>
      </c>
      <c r="B16461" t="s">
        <v>118</v>
      </c>
      <c r="C16461" s="2">
        <f>HYPERLINK("https://cao.dolgi.msk.ru/account/1080254872/", 1080254872)</f>
        <v>1080254872</v>
      </c>
      <c r="D16461" t="s">
        <v>13918</v>
      </c>
      <c r="E16461">
        <v>-5678.27</v>
      </c>
      <c r="F16461">
        <v>-1.1100000000000001</v>
      </c>
      <c r="G16461" t="s">
        <v>12</v>
      </c>
      <c r="I16461" t="s">
        <v>1428</v>
      </c>
    </row>
    <row r="16462" spans="1:9" hidden="1" x14ac:dyDescent="0.25">
      <c r="A16462" t="s">
        <v>13872</v>
      </c>
      <c r="B16462" t="s">
        <v>118</v>
      </c>
      <c r="C16462" s="2">
        <f>HYPERLINK("https://cao.dolgi.msk.ru/account/1080322118/", 1080322118)</f>
        <v>1080322118</v>
      </c>
      <c r="D16462" t="s">
        <v>15</v>
      </c>
      <c r="G16462" t="s">
        <v>14</v>
      </c>
      <c r="I16462" t="s">
        <v>1428</v>
      </c>
    </row>
    <row r="16463" spans="1:9" hidden="1" x14ac:dyDescent="0.25">
      <c r="A16463" t="s">
        <v>13872</v>
      </c>
      <c r="B16463" t="s">
        <v>120</v>
      </c>
      <c r="C16463" s="2">
        <f>HYPERLINK("https://cao.dolgi.msk.ru/account/1080254899/", 1080254899)</f>
        <v>1080254899</v>
      </c>
      <c r="D16463" t="s">
        <v>13919</v>
      </c>
      <c r="E16463">
        <v>4794.6099999999997</v>
      </c>
      <c r="F16463">
        <v>1</v>
      </c>
      <c r="G16463" t="s">
        <v>12</v>
      </c>
      <c r="I16463" t="s">
        <v>1428</v>
      </c>
    </row>
    <row r="16464" spans="1:9" hidden="1" x14ac:dyDescent="0.25">
      <c r="A16464" t="s">
        <v>13872</v>
      </c>
      <c r="B16464" t="s">
        <v>122</v>
      </c>
      <c r="C16464" s="2">
        <f>HYPERLINK("https://cao.dolgi.msk.ru/account/1080254901/", 1080254901)</f>
        <v>1080254901</v>
      </c>
      <c r="D16464" t="s">
        <v>13920</v>
      </c>
      <c r="E16464">
        <v>0</v>
      </c>
      <c r="F16464">
        <v>0</v>
      </c>
      <c r="G16464" t="s">
        <v>12</v>
      </c>
      <c r="I16464" t="s">
        <v>1428</v>
      </c>
    </row>
    <row r="16465" spans="1:9" hidden="1" x14ac:dyDescent="0.25">
      <c r="A16465" t="s">
        <v>13872</v>
      </c>
      <c r="B16465" t="s">
        <v>124</v>
      </c>
      <c r="C16465" s="2">
        <f>HYPERLINK("https://cao.dolgi.msk.ru/account/1080254928/", 1080254928)</f>
        <v>1080254928</v>
      </c>
      <c r="D16465" t="s">
        <v>13921</v>
      </c>
      <c r="E16465">
        <v>-1137.29</v>
      </c>
      <c r="F16465">
        <v>-1.03</v>
      </c>
      <c r="G16465" t="s">
        <v>12</v>
      </c>
      <c r="I16465" t="s">
        <v>1428</v>
      </c>
    </row>
    <row r="16466" spans="1:9" hidden="1" x14ac:dyDescent="0.25">
      <c r="A16466" t="s">
        <v>13872</v>
      </c>
      <c r="B16466" t="s">
        <v>124</v>
      </c>
      <c r="C16466" s="2">
        <f>HYPERLINK("https://cao.dolgi.msk.ru/account/1083274262/", 1083274262)</f>
        <v>1083274262</v>
      </c>
      <c r="D16466" t="s">
        <v>13921</v>
      </c>
      <c r="E16466">
        <v>-1337.44</v>
      </c>
      <c r="F16466">
        <v>-1.38</v>
      </c>
      <c r="G16466" t="s">
        <v>12</v>
      </c>
      <c r="I16466" t="s">
        <v>1428</v>
      </c>
    </row>
    <row r="16467" spans="1:9" hidden="1" x14ac:dyDescent="0.25">
      <c r="A16467" t="s">
        <v>13872</v>
      </c>
      <c r="B16467" t="s">
        <v>124</v>
      </c>
      <c r="C16467" s="2">
        <f>HYPERLINK("https://cao.dolgi.msk.ru/account/1089126519/", 1089126519)</f>
        <v>1089126519</v>
      </c>
      <c r="D16467" t="s">
        <v>13921</v>
      </c>
      <c r="E16467">
        <v>-1414.69</v>
      </c>
      <c r="F16467">
        <v>-1.35</v>
      </c>
      <c r="G16467" t="s">
        <v>12</v>
      </c>
      <c r="I16467" t="s">
        <v>1428</v>
      </c>
    </row>
    <row r="16468" spans="1:9" hidden="1" x14ac:dyDescent="0.25">
      <c r="A16468" t="s">
        <v>13872</v>
      </c>
      <c r="B16468" t="s">
        <v>126</v>
      </c>
      <c r="C16468" s="2">
        <f>HYPERLINK("https://cao.dolgi.msk.ru/account/1080254936/", 1080254936)</f>
        <v>1080254936</v>
      </c>
      <c r="D16468" t="s">
        <v>13922</v>
      </c>
      <c r="E16468">
        <v>0</v>
      </c>
      <c r="F16468">
        <v>0</v>
      </c>
      <c r="G16468" t="s">
        <v>12</v>
      </c>
      <c r="I16468" t="s">
        <v>1428</v>
      </c>
    </row>
    <row r="16469" spans="1:9" hidden="1" x14ac:dyDescent="0.25">
      <c r="A16469" t="s">
        <v>13872</v>
      </c>
      <c r="B16469" t="s">
        <v>128</v>
      </c>
      <c r="C16469" s="2">
        <f>HYPERLINK("https://cao.dolgi.msk.ru/account/1080254944/", 1080254944)</f>
        <v>1080254944</v>
      </c>
      <c r="D16469" t="s">
        <v>13923</v>
      </c>
      <c r="E16469">
        <v>-3656.5</v>
      </c>
      <c r="F16469">
        <v>-1.0900000000000001</v>
      </c>
      <c r="G16469" t="s">
        <v>12</v>
      </c>
      <c r="I16469" t="s">
        <v>1428</v>
      </c>
    </row>
    <row r="16470" spans="1:9" hidden="1" x14ac:dyDescent="0.25">
      <c r="A16470" t="s">
        <v>13872</v>
      </c>
      <c r="B16470" t="s">
        <v>130</v>
      </c>
      <c r="C16470" s="2">
        <f>HYPERLINK("https://cao.dolgi.msk.ru/account/1080254952/", 1080254952)</f>
        <v>1080254952</v>
      </c>
      <c r="D16470" t="s">
        <v>13924</v>
      </c>
      <c r="E16470">
        <v>-110.46</v>
      </c>
      <c r="F16470">
        <v>-0.03</v>
      </c>
      <c r="G16470" t="s">
        <v>12</v>
      </c>
      <c r="I16470" t="s">
        <v>1428</v>
      </c>
    </row>
    <row r="16471" spans="1:9" hidden="1" x14ac:dyDescent="0.25">
      <c r="A16471" t="s">
        <v>13872</v>
      </c>
      <c r="B16471" t="s">
        <v>132</v>
      </c>
      <c r="C16471" s="2">
        <f>HYPERLINK("https://cao.dolgi.msk.ru/account/1080254979/", 1080254979)</f>
        <v>1080254979</v>
      </c>
      <c r="D16471" t="s">
        <v>13925</v>
      </c>
      <c r="E16471">
        <v>-5435.74</v>
      </c>
      <c r="F16471">
        <v>-0.92</v>
      </c>
      <c r="G16471" t="s">
        <v>12</v>
      </c>
      <c r="I16471" t="s">
        <v>1428</v>
      </c>
    </row>
    <row r="16472" spans="1:9" hidden="1" x14ac:dyDescent="0.25">
      <c r="A16472" t="s">
        <v>13872</v>
      </c>
      <c r="B16472" t="s">
        <v>133</v>
      </c>
      <c r="C16472" s="2">
        <f>HYPERLINK("https://cao.dolgi.msk.ru/account/1080254987/", 1080254987)</f>
        <v>1080254987</v>
      </c>
      <c r="D16472" t="s">
        <v>13926</v>
      </c>
      <c r="E16472">
        <v>-1912.54</v>
      </c>
      <c r="F16472">
        <v>-0.34</v>
      </c>
      <c r="G16472" t="s">
        <v>12</v>
      </c>
      <c r="I16472" t="s">
        <v>1428</v>
      </c>
    </row>
    <row r="16473" spans="1:9" hidden="1" x14ac:dyDescent="0.25">
      <c r="A16473" t="s">
        <v>13872</v>
      </c>
      <c r="B16473" t="s">
        <v>135</v>
      </c>
      <c r="C16473" s="2">
        <f>HYPERLINK("https://cao.dolgi.msk.ru/account/1080254995/", 1080254995)</f>
        <v>1080254995</v>
      </c>
      <c r="D16473" t="s">
        <v>13927</v>
      </c>
      <c r="E16473">
        <v>-3561.38</v>
      </c>
      <c r="F16473">
        <v>-1.07</v>
      </c>
      <c r="G16473" t="s">
        <v>12</v>
      </c>
      <c r="I16473" t="s">
        <v>1428</v>
      </c>
    </row>
    <row r="16474" spans="1:9" hidden="1" x14ac:dyDescent="0.25">
      <c r="A16474" t="s">
        <v>13872</v>
      </c>
      <c r="B16474" t="s">
        <v>137</v>
      </c>
      <c r="C16474" s="2">
        <f>HYPERLINK("https://cao.dolgi.msk.ru/account/1080255007/", 1080255007)</f>
        <v>1080255007</v>
      </c>
      <c r="D16474" t="s">
        <v>13928</v>
      </c>
      <c r="E16474">
        <v>4160.3999999999996</v>
      </c>
      <c r="F16474">
        <v>1</v>
      </c>
      <c r="G16474" t="s">
        <v>12</v>
      </c>
      <c r="I16474" t="s">
        <v>1428</v>
      </c>
    </row>
    <row r="16475" spans="1:9" hidden="1" x14ac:dyDescent="0.25">
      <c r="A16475" t="s">
        <v>13872</v>
      </c>
      <c r="B16475" t="s">
        <v>139</v>
      </c>
      <c r="C16475" s="2">
        <f>HYPERLINK("https://cao.dolgi.msk.ru/account/1080255015/", 1080255015)</f>
        <v>1080255015</v>
      </c>
      <c r="D16475" t="s">
        <v>13929</v>
      </c>
      <c r="E16475">
        <v>-5866.21</v>
      </c>
      <c r="F16475">
        <v>-1.05</v>
      </c>
      <c r="G16475" t="s">
        <v>12</v>
      </c>
      <c r="I16475" t="s">
        <v>1428</v>
      </c>
    </row>
    <row r="16476" spans="1:9" hidden="1" x14ac:dyDescent="0.25">
      <c r="A16476" t="s">
        <v>13872</v>
      </c>
      <c r="B16476" t="s">
        <v>141</v>
      </c>
      <c r="C16476" s="2">
        <f>HYPERLINK("https://cao.dolgi.msk.ru/account/1080255023/", 1080255023)</f>
        <v>1080255023</v>
      </c>
      <c r="D16476" t="s">
        <v>13930</v>
      </c>
      <c r="E16476">
        <v>-3711.15</v>
      </c>
      <c r="F16476">
        <v>-1.17</v>
      </c>
      <c r="G16476" t="s">
        <v>12</v>
      </c>
      <c r="I16476" t="s">
        <v>1428</v>
      </c>
    </row>
    <row r="16477" spans="1:9" hidden="1" x14ac:dyDescent="0.25">
      <c r="A16477" t="s">
        <v>13872</v>
      </c>
      <c r="B16477" t="s">
        <v>143</v>
      </c>
      <c r="C16477" s="2">
        <f>HYPERLINK("https://cao.dolgi.msk.ru/account/1080255031/", 1080255031)</f>
        <v>1080255031</v>
      </c>
      <c r="D16477" t="s">
        <v>13931</v>
      </c>
      <c r="E16477">
        <v>-6330.85</v>
      </c>
      <c r="F16477">
        <v>-1.03</v>
      </c>
      <c r="G16477" t="s">
        <v>12</v>
      </c>
      <c r="I16477" t="s">
        <v>1428</v>
      </c>
    </row>
    <row r="16478" spans="1:9" hidden="1" x14ac:dyDescent="0.25">
      <c r="A16478" t="s">
        <v>13872</v>
      </c>
      <c r="B16478" t="s">
        <v>145</v>
      </c>
      <c r="C16478" s="2">
        <f>HYPERLINK("https://cao.dolgi.msk.ru/account/1080255058/", 1080255058)</f>
        <v>1080255058</v>
      </c>
      <c r="D16478" t="s">
        <v>15</v>
      </c>
      <c r="E16478">
        <v>0</v>
      </c>
      <c r="G16478" t="s">
        <v>12</v>
      </c>
      <c r="I16478" t="s">
        <v>1428</v>
      </c>
    </row>
    <row r="16479" spans="1:9" hidden="1" x14ac:dyDescent="0.25">
      <c r="A16479" t="s">
        <v>13872</v>
      </c>
      <c r="B16479" t="s">
        <v>147</v>
      </c>
      <c r="C16479" s="2">
        <f>HYPERLINK("https://cao.dolgi.msk.ru/account/1080255066/", 1080255066)</f>
        <v>1080255066</v>
      </c>
      <c r="D16479" t="s">
        <v>13932</v>
      </c>
      <c r="E16479">
        <v>-4698.58</v>
      </c>
      <c r="F16479">
        <v>-1.04</v>
      </c>
      <c r="G16479" t="s">
        <v>12</v>
      </c>
      <c r="I16479" t="s">
        <v>1428</v>
      </c>
    </row>
    <row r="16480" spans="1:9" hidden="1" x14ac:dyDescent="0.25">
      <c r="A16480" t="s">
        <v>13872</v>
      </c>
      <c r="B16480" t="s">
        <v>149</v>
      </c>
      <c r="C16480" s="2">
        <f>HYPERLINK("https://cao.dolgi.msk.ru/account/1080255074/", 1080255074)</f>
        <v>1080255074</v>
      </c>
      <c r="D16480" t="s">
        <v>13933</v>
      </c>
      <c r="E16480">
        <v>-5278.02</v>
      </c>
      <c r="F16480">
        <v>-1.06</v>
      </c>
      <c r="G16480" t="s">
        <v>12</v>
      </c>
      <c r="I16480" t="s">
        <v>1428</v>
      </c>
    </row>
    <row r="16481" spans="1:9" hidden="1" x14ac:dyDescent="0.25">
      <c r="A16481" t="s">
        <v>13872</v>
      </c>
      <c r="B16481" t="s">
        <v>151</v>
      </c>
      <c r="C16481" s="2">
        <f>HYPERLINK("https://cao.dolgi.msk.ru/account/1080255082/", 1080255082)</f>
        <v>1080255082</v>
      </c>
      <c r="D16481" t="s">
        <v>13934</v>
      </c>
      <c r="E16481">
        <v>-4224.7</v>
      </c>
      <c r="F16481">
        <v>-1.06</v>
      </c>
      <c r="G16481" t="s">
        <v>12</v>
      </c>
      <c r="I16481" t="s">
        <v>1428</v>
      </c>
    </row>
    <row r="16482" spans="1:9" hidden="1" x14ac:dyDescent="0.25">
      <c r="A16482" t="s">
        <v>13872</v>
      </c>
      <c r="B16482" t="s">
        <v>153</v>
      </c>
      <c r="C16482" s="2">
        <f>HYPERLINK("https://cao.dolgi.msk.ru/account/1080255103/", 1080255103)</f>
        <v>1080255103</v>
      </c>
      <c r="D16482" t="s">
        <v>13935</v>
      </c>
      <c r="E16482">
        <v>-2247.08</v>
      </c>
      <c r="F16482">
        <v>-1.1200000000000001</v>
      </c>
      <c r="G16482" t="s">
        <v>12</v>
      </c>
      <c r="I16482" t="s">
        <v>1428</v>
      </c>
    </row>
    <row r="16483" spans="1:9" hidden="1" x14ac:dyDescent="0.25">
      <c r="A16483" t="s">
        <v>13872</v>
      </c>
      <c r="B16483" t="s">
        <v>155</v>
      </c>
      <c r="C16483" s="2">
        <f>HYPERLINK("https://cao.dolgi.msk.ru/account/1080255111/", 1080255111)</f>
        <v>1080255111</v>
      </c>
      <c r="D16483" t="s">
        <v>13936</v>
      </c>
      <c r="E16483">
        <v>-5979.53</v>
      </c>
      <c r="F16483">
        <v>-2.06</v>
      </c>
      <c r="G16483" t="s">
        <v>12</v>
      </c>
      <c r="I16483" t="s">
        <v>1428</v>
      </c>
    </row>
    <row r="16484" spans="1:9" hidden="1" x14ac:dyDescent="0.25">
      <c r="A16484" t="s">
        <v>13872</v>
      </c>
      <c r="B16484" t="s">
        <v>157</v>
      </c>
      <c r="C16484" s="2">
        <f>HYPERLINK("https://cao.dolgi.msk.ru/account/1080255138/", 1080255138)</f>
        <v>1080255138</v>
      </c>
      <c r="D16484" t="s">
        <v>13937</v>
      </c>
      <c r="E16484">
        <v>-3391.29</v>
      </c>
      <c r="F16484">
        <v>-1.1399999999999999</v>
      </c>
      <c r="G16484" t="s">
        <v>12</v>
      </c>
      <c r="I16484" t="s">
        <v>1428</v>
      </c>
    </row>
    <row r="16485" spans="1:9" hidden="1" x14ac:dyDescent="0.25">
      <c r="A16485" t="s">
        <v>13872</v>
      </c>
      <c r="B16485" t="s">
        <v>159</v>
      </c>
      <c r="C16485" s="2">
        <f>HYPERLINK("https://cao.dolgi.msk.ru/account/1080255146/", 1080255146)</f>
        <v>1080255146</v>
      </c>
      <c r="D16485" t="s">
        <v>13938</v>
      </c>
      <c r="E16485">
        <v>-6543.83</v>
      </c>
      <c r="F16485">
        <v>-1.05</v>
      </c>
      <c r="G16485" t="s">
        <v>12</v>
      </c>
      <c r="I16485" t="s">
        <v>1428</v>
      </c>
    </row>
    <row r="16486" spans="1:9" hidden="1" x14ac:dyDescent="0.25">
      <c r="A16486" t="s">
        <v>13872</v>
      </c>
      <c r="B16486" t="s">
        <v>161</v>
      </c>
      <c r="C16486" s="2">
        <f>HYPERLINK("https://cao.dolgi.msk.ru/account/1080255154/", 1080255154)</f>
        <v>1080255154</v>
      </c>
      <c r="D16486" t="s">
        <v>13939</v>
      </c>
      <c r="E16486">
        <v>-240.5</v>
      </c>
      <c r="F16486">
        <v>-0.06</v>
      </c>
      <c r="G16486" t="s">
        <v>12</v>
      </c>
      <c r="I16486" t="s">
        <v>1428</v>
      </c>
    </row>
    <row r="16487" spans="1:9" hidden="1" x14ac:dyDescent="0.25">
      <c r="A16487" t="s">
        <v>13872</v>
      </c>
      <c r="B16487" t="s">
        <v>163</v>
      </c>
      <c r="C16487" s="2">
        <f>HYPERLINK("https://cao.dolgi.msk.ru/account/1080255162/", 1080255162)</f>
        <v>1080255162</v>
      </c>
      <c r="D16487" t="s">
        <v>13940</v>
      </c>
      <c r="E16487">
        <v>-10132.98</v>
      </c>
      <c r="F16487">
        <v>-1.44</v>
      </c>
      <c r="G16487" t="s">
        <v>12</v>
      </c>
      <c r="I16487" t="s">
        <v>1428</v>
      </c>
    </row>
    <row r="16488" spans="1:9" hidden="1" x14ac:dyDescent="0.25">
      <c r="A16488" t="s">
        <v>13872</v>
      </c>
      <c r="B16488" t="s">
        <v>571</v>
      </c>
      <c r="C16488" s="2">
        <f>HYPERLINK("https://cao.dolgi.msk.ru/account/1080255189/", 1080255189)</f>
        <v>1080255189</v>
      </c>
      <c r="D16488" t="s">
        <v>13941</v>
      </c>
      <c r="E16488">
        <v>-5937.42</v>
      </c>
      <c r="F16488">
        <v>-1.44</v>
      </c>
      <c r="G16488" t="s">
        <v>12</v>
      </c>
      <c r="I16488" t="s">
        <v>1428</v>
      </c>
    </row>
    <row r="16489" spans="1:9" hidden="1" x14ac:dyDescent="0.25">
      <c r="A16489" t="s">
        <v>13872</v>
      </c>
      <c r="B16489" t="s">
        <v>682</v>
      </c>
      <c r="C16489" s="2">
        <f>HYPERLINK("https://cao.dolgi.msk.ru/account/1080255197/", 1080255197)</f>
        <v>1080255197</v>
      </c>
      <c r="D16489" t="s">
        <v>13942</v>
      </c>
      <c r="E16489">
        <v>-2151.87</v>
      </c>
      <c r="F16489">
        <v>-1.08</v>
      </c>
      <c r="G16489" t="s">
        <v>12</v>
      </c>
      <c r="I16489" t="s">
        <v>1428</v>
      </c>
    </row>
    <row r="16490" spans="1:9" hidden="1" x14ac:dyDescent="0.25">
      <c r="A16490" t="s">
        <v>13943</v>
      </c>
      <c r="B16490" t="s">
        <v>10</v>
      </c>
      <c r="C16490" s="2">
        <f>HYPERLINK("https://cao.dolgi.msk.ru/account/1080250484/", 1080250484)</f>
        <v>1080250484</v>
      </c>
      <c r="D16490" t="s">
        <v>13944</v>
      </c>
      <c r="E16490">
        <v>-2675.39</v>
      </c>
      <c r="F16490">
        <v>-1.1499999999999999</v>
      </c>
      <c r="G16490" t="s">
        <v>12</v>
      </c>
      <c r="I16490" t="s">
        <v>1428</v>
      </c>
    </row>
    <row r="16491" spans="1:9" hidden="1" x14ac:dyDescent="0.25">
      <c r="A16491" t="s">
        <v>13943</v>
      </c>
      <c r="B16491" t="s">
        <v>10</v>
      </c>
      <c r="C16491" s="2">
        <f>HYPERLINK("https://cao.dolgi.msk.ru/account/1083273403/", 1083273403)</f>
        <v>1083273403</v>
      </c>
      <c r="D16491" t="s">
        <v>13944</v>
      </c>
      <c r="E16491">
        <v>-169.26</v>
      </c>
      <c r="F16491">
        <v>-0.06</v>
      </c>
      <c r="G16491" t="s">
        <v>12</v>
      </c>
      <c r="I16491" t="s">
        <v>1428</v>
      </c>
    </row>
    <row r="16492" spans="1:9" hidden="1" x14ac:dyDescent="0.25">
      <c r="A16492" t="s">
        <v>13943</v>
      </c>
      <c r="B16492" t="s">
        <v>10</v>
      </c>
      <c r="C16492" s="2">
        <f>HYPERLINK("https://cao.dolgi.msk.ru/account/1089133401/", 1089133401)</f>
        <v>1089133401</v>
      </c>
      <c r="D16492" t="s">
        <v>13944</v>
      </c>
      <c r="E16492">
        <v>-310.98</v>
      </c>
      <c r="G16492" t="s">
        <v>14</v>
      </c>
      <c r="I16492" t="s">
        <v>1428</v>
      </c>
    </row>
    <row r="16493" spans="1:9" hidden="1" x14ac:dyDescent="0.25">
      <c r="A16493" t="s">
        <v>13943</v>
      </c>
      <c r="B16493" t="s">
        <v>16</v>
      </c>
      <c r="C16493" s="2">
        <f>HYPERLINK("https://cao.dolgi.msk.ru/account/1080250492/", 1080250492)</f>
        <v>1080250492</v>
      </c>
      <c r="D16493" t="s">
        <v>13945</v>
      </c>
      <c r="E16493">
        <v>-4937.21</v>
      </c>
      <c r="F16493">
        <v>-1.1299999999999999</v>
      </c>
      <c r="G16493" t="s">
        <v>12</v>
      </c>
      <c r="I16493" t="s">
        <v>1428</v>
      </c>
    </row>
    <row r="16494" spans="1:9" hidden="1" x14ac:dyDescent="0.25">
      <c r="A16494" t="s">
        <v>13943</v>
      </c>
      <c r="B16494" t="s">
        <v>18</v>
      </c>
      <c r="C16494" s="2">
        <f>HYPERLINK("https://cao.dolgi.msk.ru/account/1080250505/", 1080250505)</f>
        <v>1080250505</v>
      </c>
      <c r="D16494" t="s">
        <v>13946</v>
      </c>
      <c r="E16494">
        <v>4087.72</v>
      </c>
      <c r="F16494">
        <v>0.78</v>
      </c>
      <c r="G16494" t="s">
        <v>12</v>
      </c>
      <c r="I16494" t="s">
        <v>1428</v>
      </c>
    </row>
    <row r="16495" spans="1:9" hidden="1" x14ac:dyDescent="0.25">
      <c r="A16495" t="s">
        <v>13943</v>
      </c>
      <c r="B16495" t="s">
        <v>20</v>
      </c>
      <c r="C16495" s="2">
        <f>HYPERLINK("https://cao.dolgi.msk.ru/account/1080250513/", 1080250513)</f>
        <v>1080250513</v>
      </c>
      <c r="D16495" t="s">
        <v>13862</v>
      </c>
      <c r="E16495">
        <v>-6216.5</v>
      </c>
      <c r="F16495">
        <v>-1.5</v>
      </c>
      <c r="G16495" t="s">
        <v>12</v>
      </c>
      <c r="H16495" t="s">
        <v>7</v>
      </c>
      <c r="I16495" t="s">
        <v>1428</v>
      </c>
    </row>
    <row r="16496" spans="1:9" hidden="1" x14ac:dyDescent="0.25">
      <c r="A16496" t="s">
        <v>13943</v>
      </c>
      <c r="B16496" t="s">
        <v>20</v>
      </c>
      <c r="C16496" s="2">
        <f>HYPERLINK("https://cao.dolgi.msk.ru/account/1080250521/", 1080250521)</f>
        <v>1080250521</v>
      </c>
      <c r="D16496" t="s">
        <v>13947</v>
      </c>
      <c r="E16496">
        <v>-2774.14</v>
      </c>
      <c r="F16496">
        <v>-1.36</v>
      </c>
      <c r="G16496" t="s">
        <v>12</v>
      </c>
      <c r="H16496" t="s">
        <v>7</v>
      </c>
      <c r="I16496" t="s">
        <v>1428</v>
      </c>
    </row>
    <row r="16497" spans="1:9" hidden="1" x14ac:dyDescent="0.25">
      <c r="A16497" t="s">
        <v>13943</v>
      </c>
      <c r="B16497" t="s">
        <v>20</v>
      </c>
      <c r="C16497" s="2">
        <f>HYPERLINK("https://cao.dolgi.msk.ru/account/1083269092/", 1083269092)</f>
        <v>1083269092</v>
      </c>
      <c r="D16497" t="s">
        <v>13862</v>
      </c>
      <c r="E16497">
        <v>-2926.5</v>
      </c>
      <c r="F16497">
        <v>-1.34</v>
      </c>
      <c r="G16497" t="s">
        <v>12</v>
      </c>
      <c r="H16497" t="s">
        <v>7</v>
      </c>
      <c r="I16497" t="s">
        <v>1428</v>
      </c>
    </row>
    <row r="16498" spans="1:9" hidden="1" x14ac:dyDescent="0.25">
      <c r="A16498" t="s">
        <v>13943</v>
      </c>
      <c r="B16498" t="s">
        <v>21</v>
      </c>
      <c r="C16498" s="2">
        <f>HYPERLINK("https://cao.dolgi.msk.ru/account/1080250548/", 1080250548)</f>
        <v>1080250548</v>
      </c>
      <c r="D16498" t="s">
        <v>13948</v>
      </c>
      <c r="E16498">
        <v>-16151.81</v>
      </c>
      <c r="F16498">
        <v>-3.2</v>
      </c>
      <c r="G16498" t="s">
        <v>12</v>
      </c>
      <c r="I16498" t="s">
        <v>1428</v>
      </c>
    </row>
    <row r="16499" spans="1:9" x14ac:dyDescent="0.25">
      <c r="A16499" t="s">
        <v>13943</v>
      </c>
      <c r="B16499" t="s">
        <v>22</v>
      </c>
      <c r="C16499" s="2">
        <f>HYPERLINK("https://cao.dolgi.msk.ru/account/1080250556/", 1080250556)</f>
        <v>1080250556</v>
      </c>
      <c r="D16499" t="s">
        <v>13949</v>
      </c>
      <c r="E16499">
        <v>17320.189999999999</v>
      </c>
      <c r="F16499">
        <v>2.31</v>
      </c>
      <c r="G16499" t="s">
        <v>12</v>
      </c>
      <c r="I16499" t="s">
        <v>1428</v>
      </c>
    </row>
    <row r="16500" spans="1:9" x14ac:dyDescent="0.25">
      <c r="A16500" t="s">
        <v>13943</v>
      </c>
      <c r="B16500" t="s">
        <v>23</v>
      </c>
      <c r="C16500" s="2">
        <f>HYPERLINK("https://cao.dolgi.msk.ru/account/1080250564/", 1080250564)</f>
        <v>1080250564</v>
      </c>
      <c r="D16500" t="s">
        <v>13950</v>
      </c>
      <c r="E16500">
        <v>7808.07</v>
      </c>
      <c r="F16500">
        <v>1.01</v>
      </c>
      <c r="G16500" t="s">
        <v>12</v>
      </c>
      <c r="I16500" t="s">
        <v>1428</v>
      </c>
    </row>
    <row r="16501" spans="1:9" hidden="1" x14ac:dyDescent="0.25">
      <c r="A16501" t="s">
        <v>13943</v>
      </c>
      <c r="B16501" t="s">
        <v>24</v>
      </c>
      <c r="C16501" s="2">
        <f>HYPERLINK("https://cao.dolgi.msk.ru/account/1080250572/", 1080250572)</f>
        <v>1080250572</v>
      </c>
      <c r="D16501" t="s">
        <v>13951</v>
      </c>
      <c r="E16501">
        <v>-8616.66</v>
      </c>
      <c r="F16501">
        <v>-1.1599999999999999</v>
      </c>
      <c r="G16501" t="s">
        <v>12</v>
      </c>
      <c r="I16501" t="s">
        <v>1428</v>
      </c>
    </row>
    <row r="16502" spans="1:9" hidden="1" x14ac:dyDescent="0.25">
      <c r="A16502" t="s">
        <v>13943</v>
      </c>
      <c r="B16502" t="s">
        <v>27</v>
      </c>
      <c r="C16502" s="2">
        <f>HYPERLINK("https://cao.dolgi.msk.ru/account/1080250599/", 1080250599)</f>
        <v>1080250599</v>
      </c>
      <c r="D16502" t="s">
        <v>13952</v>
      </c>
      <c r="E16502">
        <v>-5055.18</v>
      </c>
      <c r="F16502">
        <v>-1.1200000000000001</v>
      </c>
      <c r="G16502" t="s">
        <v>12</v>
      </c>
      <c r="I16502" t="s">
        <v>1428</v>
      </c>
    </row>
    <row r="16503" spans="1:9" hidden="1" x14ac:dyDescent="0.25">
      <c r="A16503" t="s">
        <v>13943</v>
      </c>
      <c r="B16503" t="s">
        <v>29</v>
      </c>
      <c r="C16503" s="2">
        <f>HYPERLINK("https://cao.dolgi.msk.ru/account/1080250601/", 1080250601)</f>
        <v>1080250601</v>
      </c>
      <c r="D16503" t="s">
        <v>13953</v>
      </c>
      <c r="E16503">
        <v>0</v>
      </c>
      <c r="F16503">
        <v>0</v>
      </c>
      <c r="G16503" t="s">
        <v>12</v>
      </c>
      <c r="I16503" t="s">
        <v>1428</v>
      </c>
    </row>
    <row r="16504" spans="1:9" hidden="1" x14ac:dyDescent="0.25">
      <c r="A16504" t="s">
        <v>13943</v>
      </c>
      <c r="B16504" t="s">
        <v>31</v>
      </c>
      <c r="C16504" s="2">
        <f>HYPERLINK("https://cao.dolgi.msk.ru/account/1080250628/", 1080250628)</f>
        <v>1080250628</v>
      </c>
      <c r="D16504" t="s">
        <v>13954</v>
      </c>
      <c r="E16504">
        <v>-8807.9599999999991</v>
      </c>
      <c r="F16504">
        <v>-1.26</v>
      </c>
      <c r="G16504" t="s">
        <v>12</v>
      </c>
      <c r="I16504" t="s">
        <v>1428</v>
      </c>
    </row>
    <row r="16505" spans="1:9" hidden="1" x14ac:dyDescent="0.25">
      <c r="A16505" t="s">
        <v>13943</v>
      </c>
      <c r="B16505" t="s">
        <v>33</v>
      </c>
      <c r="C16505" s="2">
        <f>HYPERLINK("https://cao.dolgi.msk.ru/account/1080250636/", 1080250636)</f>
        <v>1080250636</v>
      </c>
      <c r="D16505" t="s">
        <v>13955</v>
      </c>
      <c r="E16505">
        <v>-4384.66</v>
      </c>
      <c r="F16505">
        <v>-0.63</v>
      </c>
      <c r="G16505" t="s">
        <v>12</v>
      </c>
      <c r="I16505" t="s">
        <v>1428</v>
      </c>
    </row>
    <row r="16506" spans="1:9" hidden="1" x14ac:dyDescent="0.25">
      <c r="A16506" t="s">
        <v>13943</v>
      </c>
      <c r="B16506" t="s">
        <v>34</v>
      </c>
      <c r="C16506" s="2">
        <f>HYPERLINK("https://cao.dolgi.msk.ru/account/1080250644/", 1080250644)</f>
        <v>1080250644</v>
      </c>
      <c r="D16506" t="s">
        <v>13956</v>
      </c>
      <c r="E16506">
        <v>-4843.3900000000003</v>
      </c>
      <c r="F16506">
        <v>-1.1000000000000001</v>
      </c>
      <c r="G16506" t="s">
        <v>12</v>
      </c>
      <c r="I16506" t="s">
        <v>1428</v>
      </c>
    </row>
    <row r="16507" spans="1:9" hidden="1" x14ac:dyDescent="0.25">
      <c r="A16507" t="s">
        <v>13943</v>
      </c>
      <c r="B16507" t="s">
        <v>36</v>
      </c>
      <c r="C16507" s="2">
        <f>HYPERLINK("https://cao.dolgi.msk.ru/account/1080250652/", 1080250652)</f>
        <v>1080250652</v>
      </c>
      <c r="D16507" t="s">
        <v>13957</v>
      </c>
      <c r="E16507">
        <v>-4183.07</v>
      </c>
      <c r="F16507">
        <v>-1.81</v>
      </c>
      <c r="G16507" t="s">
        <v>12</v>
      </c>
      <c r="H16507" t="s">
        <v>7</v>
      </c>
      <c r="I16507" t="s">
        <v>1428</v>
      </c>
    </row>
    <row r="16508" spans="1:9" hidden="1" x14ac:dyDescent="0.25">
      <c r="A16508" t="s">
        <v>13943</v>
      </c>
      <c r="B16508" t="s">
        <v>36</v>
      </c>
      <c r="C16508" s="2">
        <f>HYPERLINK("https://cao.dolgi.msk.ru/account/1080250679/", 1080250679)</f>
        <v>1080250679</v>
      </c>
      <c r="D16508" t="s">
        <v>13957</v>
      </c>
      <c r="E16508">
        <v>-1864.8</v>
      </c>
      <c r="F16508">
        <v>-1.1200000000000001</v>
      </c>
      <c r="G16508" t="s">
        <v>12</v>
      </c>
      <c r="H16508" t="s">
        <v>7</v>
      </c>
      <c r="I16508" t="s">
        <v>1428</v>
      </c>
    </row>
    <row r="16509" spans="1:9" hidden="1" x14ac:dyDescent="0.25">
      <c r="A16509" t="s">
        <v>13943</v>
      </c>
      <c r="B16509" t="s">
        <v>38</v>
      </c>
      <c r="C16509" s="2">
        <f>HYPERLINK("https://cao.dolgi.msk.ru/account/1080250687/", 1080250687)</f>
        <v>1080250687</v>
      </c>
      <c r="D16509" t="s">
        <v>13958</v>
      </c>
      <c r="E16509">
        <v>-5921.69</v>
      </c>
      <c r="F16509">
        <v>-1.3</v>
      </c>
      <c r="G16509" t="s">
        <v>12</v>
      </c>
      <c r="I16509" t="s">
        <v>1428</v>
      </c>
    </row>
    <row r="16510" spans="1:9" hidden="1" x14ac:dyDescent="0.25">
      <c r="A16510" t="s">
        <v>13943</v>
      </c>
      <c r="B16510" t="s">
        <v>39</v>
      </c>
      <c r="C16510" s="2">
        <f>HYPERLINK("https://cao.dolgi.msk.ru/account/1080250695/", 1080250695)</f>
        <v>1080250695</v>
      </c>
      <c r="D16510" t="s">
        <v>13959</v>
      </c>
      <c r="E16510">
        <v>0</v>
      </c>
      <c r="F16510">
        <v>0</v>
      </c>
      <c r="G16510" t="s">
        <v>12</v>
      </c>
      <c r="I16510" t="s">
        <v>1428</v>
      </c>
    </row>
    <row r="16511" spans="1:9" hidden="1" x14ac:dyDescent="0.25">
      <c r="A16511" t="s">
        <v>13943</v>
      </c>
      <c r="B16511" t="s">
        <v>40</v>
      </c>
      <c r="C16511" s="2">
        <f>HYPERLINK("https://cao.dolgi.msk.ru/account/1080250708/", 1080250708)</f>
        <v>1080250708</v>
      </c>
      <c r="D16511" t="s">
        <v>13960</v>
      </c>
      <c r="E16511">
        <v>72.819999999999993</v>
      </c>
      <c r="F16511">
        <v>0.01</v>
      </c>
      <c r="G16511" t="s">
        <v>12</v>
      </c>
      <c r="I16511" t="s">
        <v>1428</v>
      </c>
    </row>
    <row r="16512" spans="1:9" hidden="1" x14ac:dyDescent="0.25">
      <c r="A16512" t="s">
        <v>13943</v>
      </c>
      <c r="B16512" t="s">
        <v>41</v>
      </c>
      <c r="C16512" s="2">
        <f>HYPERLINK("https://cao.dolgi.msk.ru/account/1080250716/", 1080250716)</f>
        <v>1080250716</v>
      </c>
      <c r="D16512" t="s">
        <v>13961</v>
      </c>
      <c r="E16512">
        <v>729.71</v>
      </c>
      <c r="F16512">
        <v>0.23</v>
      </c>
      <c r="G16512" t="s">
        <v>12</v>
      </c>
      <c r="I16512" t="s">
        <v>1428</v>
      </c>
    </row>
    <row r="16513" spans="1:9" hidden="1" x14ac:dyDescent="0.25">
      <c r="A16513" t="s">
        <v>13943</v>
      </c>
      <c r="B16513" t="s">
        <v>41</v>
      </c>
      <c r="C16513" s="2">
        <f>HYPERLINK("https://cao.dolgi.msk.ru/account/1089123609/", 1089123609)</f>
        <v>1089123609</v>
      </c>
      <c r="D16513" t="s">
        <v>13962</v>
      </c>
      <c r="E16513">
        <v>-691.59</v>
      </c>
      <c r="F16513">
        <v>-1.22</v>
      </c>
      <c r="G16513" t="s">
        <v>12</v>
      </c>
      <c r="I16513" t="s">
        <v>1428</v>
      </c>
    </row>
    <row r="16514" spans="1:9" hidden="1" x14ac:dyDescent="0.25">
      <c r="A16514" t="s">
        <v>13943</v>
      </c>
      <c r="B16514" t="s">
        <v>42</v>
      </c>
      <c r="C16514" s="2">
        <f>HYPERLINK("https://cao.dolgi.msk.ru/account/1080250732/", 1080250732)</f>
        <v>1080250732</v>
      </c>
      <c r="D16514" t="s">
        <v>13963</v>
      </c>
      <c r="E16514">
        <v>-4624.43</v>
      </c>
      <c r="F16514">
        <v>-1.08</v>
      </c>
      <c r="G16514" t="s">
        <v>12</v>
      </c>
      <c r="I16514" t="s">
        <v>1428</v>
      </c>
    </row>
    <row r="16515" spans="1:9" hidden="1" x14ac:dyDescent="0.25">
      <c r="A16515" t="s">
        <v>13943</v>
      </c>
      <c r="B16515" t="s">
        <v>44</v>
      </c>
      <c r="C16515" s="2">
        <f>HYPERLINK("https://cao.dolgi.msk.ru/account/1080250759/", 1080250759)</f>
        <v>1080250759</v>
      </c>
      <c r="D16515" t="s">
        <v>13964</v>
      </c>
      <c r="E16515">
        <v>-7514.5</v>
      </c>
      <c r="F16515">
        <v>-1.1200000000000001</v>
      </c>
      <c r="G16515" t="s">
        <v>12</v>
      </c>
      <c r="I16515" t="s">
        <v>1428</v>
      </c>
    </row>
    <row r="16516" spans="1:9" hidden="1" x14ac:dyDescent="0.25">
      <c r="A16516" t="s">
        <v>13943</v>
      </c>
      <c r="B16516" t="s">
        <v>66</v>
      </c>
      <c r="C16516" s="2">
        <f>HYPERLINK("https://cao.dolgi.msk.ru/account/1080250767/", 1080250767)</f>
        <v>1080250767</v>
      </c>
      <c r="D16516" t="s">
        <v>13965</v>
      </c>
      <c r="E16516">
        <v>-127.15</v>
      </c>
      <c r="F16516">
        <v>-0.02</v>
      </c>
      <c r="G16516" t="s">
        <v>12</v>
      </c>
      <c r="I16516" t="s">
        <v>1428</v>
      </c>
    </row>
    <row r="16517" spans="1:9" hidden="1" x14ac:dyDescent="0.25">
      <c r="A16517" t="s">
        <v>13943</v>
      </c>
      <c r="B16517" t="s">
        <v>68</v>
      </c>
      <c r="C16517" s="2">
        <f>HYPERLINK("https://cao.dolgi.msk.ru/account/1080250775/", 1080250775)</f>
        <v>1080250775</v>
      </c>
      <c r="D16517" t="s">
        <v>13966</v>
      </c>
      <c r="E16517">
        <v>-8848.34</v>
      </c>
      <c r="F16517">
        <v>-1.1100000000000001</v>
      </c>
      <c r="G16517" t="s">
        <v>12</v>
      </c>
      <c r="I16517" t="s">
        <v>1428</v>
      </c>
    </row>
    <row r="16518" spans="1:9" hidden="1" x14ac:dyDescent="0.25">
      <c r="A16518" t="s">
        <v>13943</v>
      </c>
      <c r="B16518" t="s">
        <v>70</v>
      </c>
      <c r="C16518" s="2">
        <f>HYPERLINK("https://cao.dolgi.msk.ru/account/1080250783/", 1080250783)</f>
        <v>1080250783</v>
      </c>
      <c r="D16518" t="s">
        <v>13967</v>
      </c>
      <c r="E16518">
        <v>-10742.11</v>
      </c>
      <c r="F16518">
        <v>-1.06</v>
      </c>
      <c r="G16518" t="s">
        <v>12</v>
      </c>
      <c r="I16518" t="s">
        <v>1428</v>
      </c>
    </row>
    <row r="16519" spans="1:9" hidden="1" x14ac:dyDescent="0.25">
      <c r="A16519" t="s">
        <v>13943</v>
      </c>
      <c r="B16519" t="s">
        <v>72</v>
      </c>
      <c r="C16519" s="2">
        <f>HYPERLINK("https://cao.dolgi.msk.ru/account/1080250791/", 1080250791)</f>
        <v>1080250791</v>
      </c>
      <c r="D16519" t="s">
        <v>13968</v>
      </c>
      <c r="E16519">
        <v>-10085.299999999999</v>
      </c>
      <c r="F16519">
        <v>-1.29</v>
      </c>
      <c r="G16519" t="s">
        <v>12</v>
      </c>
      <c r="I16519" t="s">
        <v>1428</v>
      </c>
    </row>
    <row r="16520" spans="1:9" hidden="1" x14ac:dyDescent="0.25">
      <c r="A16520" t="s">
        <v>13943</v>
      </c>
      <c r="B16520" t="s">
        <v>74</v>
      </c>
      <c r="C16520" s="2">
        <f>HYPERLINK("https://cao.dolgi.msk.ru/account/1080250804/", 1080250804)</f>
        <v>1080250804</v>
      </c>
      <c r="D16520" t="s">
        <v>13969</v>
      </c>
      <c r="E16520">
        <v>-4108.6400000000003</v>
      </c>
      <c r="F16520">
        <v>-1.47</v>
      </c>
      <c r="G16520" t="s">
        <v>12</v>
      </c>
      <c r="I16520" t="s">
        <v>1428</v>
      </c>
    </row>
    <row r="16521" spans="1:9" hidden="1" x14ac:dyDescent="0.25">
      <c r="A16521" t="s">
        <v>13943</v>
      </c>
      <c r="B16521" t="s">
        <v>74</v>
      </c>
      <c r="C16521" s="2">
        <f>HYPERLINK("https://cao.dolgi.msk.ru/account/1083273921/", 1083273921)</f>
        <v>1083273921</v>
      </c>
      <c r="D16521" t="s">
        <v>15</v>
      </c>
      <c r="E16521">
        <v>-3225.01</v>
      </c>
      <c r="F16521">
        <v>-1.06</v>
      </c>
      <c r="G16521" t="s">
        <v>12</v>
      </c>
      <c r="I16521" t="s">
        <v>1428</v>
      </c>
    </row>
    <row r="16522" spans="1:9" hidden="1" x14ac:dyDescent="0.25">
      <c r="A16522" t="s">
        <v>13943</v>
      </c>
      <c r="B16522" t="s">
        <v>76</v>
      </c>
      <c r="C16522" s="2">
        <f>HYPERLINK("https://cao.dolgi.msk.ru/account/1080250812/", 1080250812)</f>
        <v>1080250812</v>
      </c>
      <c r="D16522" t="s">
        <v>13970</v>
      </c>
      <c r="E16522">
        <v>-10415.280000000001</v>
      </c>
      <c r="F16522">
        <v>-1.21</v>
      </c>
      <c r="G16522" t="s">
        <v>12</v>
      </c>
      <c r="I16522" t="s">
        <v>1428</v>
      </c>
    </row>
    <row r="16523" spans="1:9" hidden="1" x14ac:dyDescent="0.25">
      <c r="A16523" t="s">
        <v>13943</v>
      </c>
      <c r="B16523" t="s">
        <v>78</v>
      </c>
      <c r="C16523" s="2">
        <f>HYPERLINK("https://cao.dolgi.msk.ru/account/1080250839/", 1080250839)</f>
        <v>1080250839</v>
      </c>
      <c r="D16523" t="s">
        <v>13971</v>
      </c>
      <c r="E16523">
        <v>-7994.26</v>
      </c>
      <c r="F16523">
        <v>-0.89</v>
      </c>
      <c r="G16523" t="s">
        <v>12</v>
      </c>
      <c r="I16523" t="s">
        <v>1428</v>
      </c>
    </row>
    <row r="16524" spans="1:9" hidden="1" x14ac:dyDescent="0.25">
      <c r="A16524" t="s">
        <v>13943</v>
      </c>
      <c r="B16524" t="s">
        <v>80</v>
      </c>
      <c r="C16524" s="2">
        <f>HYPERLINK("https://cao.dolgi.msk.ru/account/1080250847/", 1080250847)</f>
        <v>1080250847</v>
      </c>
      <c r="D16524" t="s">
        <v>13972</v>
      </c>
      <c r="E16524">
        <v>-77539.070000000007</v>
      </c>
      <c r="F16524">
        <v>-9.56</v>
      </c>
      <c r="G16524" t="s">
        <v>12</v>
      </c>
      <c r="I16524" t="s">
        <v>1428</v>
      </c>
    </row>
    <row r="16525" spans="1:9" hidden="1" x14ac:dyDescent="0.25">
      <c r="A16525" t="s">
        <v>13943</v>
      </c>
      <c r="B16525" t="s">
        <v>82</v>
      </c>
      <c r="C16525" s="2">
        <f>HYPERLINK("https://cao.dolgi.msk.ru/account/1080250855/", 1080250855)</f>
        <v>1080250855</v>
      </c>
      <c r="D16525" t="s">
        <v>13973</v>
      </c>
      <c r="E16525">
        <v>-8408.93</v>
      </c>
      <c r="F16525">
        <v>-1.1100000000000001</v>
      </c>
      <c r="G16525" t="s">
        <v>12</v>
      </c>
      <c r="I16525" t="s">
        <v>1428</v>
      </c>
    </row>
    <row r="16526" spans="1:9" hidden="1" x14ac:dyDescent="0.25">
      <c r="A16526" t="s">
        <v>13943</v>
      </c>
      <c r="B16526" t="s">
        <v>84</v>
      </c>
      <c r="C16526" s="2">
        <f>HYPERLINK("https://cao.dolgi.msk.ru/account/1080250863/", 1080250863)</f>
        <v>1080250863</v>
      </c>
      <c r="D16526" t="s">
        <v>13974</v>
      </c>
      <c r="E16526">
        <v>-7132.02</v>
      </c>
      <c r="F16526">
        <v>-1.1000000000000001</v>
      </c>
      <c r="G16526" t="s">
        <v>12</v>
      </c>
      <c r="I16526" t="s">
        <v>1428</v>
      </c>
    </row>
    <row r="16527" spans="1:9" hidden="1" x14ac:dyDescent="0.25">
      <c r="A16527" t="s">
        <v>13943</v>
      </c>
      <c r="B16527" t="s">
        <v>86</v>
      </c>
      <c r="C16527" s="2">
        <f>HYPERLINK("https://cao.dolgi.msk.ru/account/1080250871/", 1080250871)</f>
        <v>1080250871</v>
      </c>
      <c r="D16527" t="s">
        <v>13975</v>
      </c>
      <c r="E16527">
        <v>-7791.56</v>
      </c>
      <c r="F16527">
        <v>-1.22</v>
      </c>
      <c r="G16527" t="s">
        <v>12</v>
      </c>
      <c r="I16527" t="s">
        <v>1428</v>
      </c>
    </row>
    <row r="16528" spans="1:9" hidden="1" x14ac:dyDescent="0.25">
      <c r="A16528" t="s">
        <v>13943</v>
      </c>
      <c r="B16528" t="s">
        <v>86</v>
      </c>
      <c r="C16528" s="2">
        <f>HYPERLINK("https://cao.dolgi.msk.ru/account/1080250898/", 1080250898)</f>
        <v>1080250898</v>
      </c>
      <c r="D16528" t="s">
        <v>13976</v>
      </c>
      <c r="E16528">
        <v>-2894.5</v>
      </c>
      <c r="G16528" t="s">
        <v>12</v>
      </c>
      <c r="I16528" t="s">
        <v>1428</v>
      </c>
    </row>
    <row r="16529" spans="1:9" hidden="1" x14ac:dyDescent="0.25">
      <c r="A16529" t="s">
        <v>13943</v>
      </c>
      <c r="B16529" t="s">
        <v>86</v>
      </c>
      <c r="C16529" s="2">
        <f>HYPERLINK("https://cao.dolgi.msk.ru/account/1080250919/", 1080250919)</f>
        <v>1080250919</v>
      </c>
      <c r="D16529" t="s">
        <v>15</v>
      </c>
      <c r="E16529">
        <v>-3512.05</v>
      </c>
      <c r="G16529" t="s">
        <v>12</v>
      </c>
      <c r="I16529" t="s">
        <v>1428</v>
      </c>
    </row>
    <row r="16530" spans="1:9" hidden="1" x14ac:dyDescent="0.25">
      <c r="A16530" t="s">
        <v>13943</v>
      </c>
      <c r="B16530" t="s">
        <v>88</v>
      </c>
      <c r="C16530" s="2">
        <f>HYPERLINK("https://cao.dolgi.msk.ru/account/1080250927/", 1080250927)</f>
        <v>1080250927</v>
      </c>
      <c r="D16530" t="s">
        <v>13977</v>
      </c>
      <c r="E16530">
        <v>-5494.9</v>
      </c>
      <c r="F16530">
        <v>-1.1599999999999999</v>
      </c>
      <c r="G16530" t="s">
        <v>12</v>
      </c>
      <c r="I16530" t="s">
        <v>1428</v>
      </c>
    </row>
    <row r="16531" spans="1:9" hidden="1" x14ac:dyDescent="0.25">
      <c r="A16531" t="s">
        <v>13943</v>
      </c>
      <c r="B16531" t="s">
        <v>90</v>
      </c>
      <c r="C16531" s="2">
        <f>HYPERLINK("https://cao.dolgi.msk.ru/account/1080250935/", 1080250935)</f>
        <v>1080250935</v>
      </c>
      <c r="D16531" t="s">
        <v>13978</v>
      </c>
      <c r="E16531">
        <v>2586.09</v>
      </c>
      <c r="F16531">
        <v>0.44</v>
      </c>
      <c r="G16531" t="s">
        <v>12</v>
      </c>
      <c r="I16531" t="s">
        <v>1428</v>
      </c>
    </row>
    <row r="16532" spans="1:9" hidden="1" x14ac:dyDescent="0.25">
      <c r="A16532" t="s">
        <v>13943</v>
      </c>
      <c r="B16532" t="s">
        <v>92</v>
      </c>
      <c r="C16532" s="2">
        <f>HYPERLINK("https://cao.dolgi.msk.ru/account/1080250943/", 1080250943)</f>
        <v>1080250943</v>
      </c>
      <c r="D16532" t="s">
        <v>13979</v>
      </c>
      <c r="E16532">
        <v>-425.28</v>
      </c>
      <c r="F16532">
        <v>-0.09</v>
      </c>
      <c r="G16532" t="s">
        <v>12</v>
      </c>
      <c r="I16532" t="s">
        <v>1428</v>
      </c>
    </row>
    <row r="16533" spans="1:9" hidden="1" x14ac:dyDescent="0.25">
      <c r="A16533" t="s">
        <v>13943</v>
      </c>
      <c r="B16533" t="s">
        <v>94</v>
      </c>
      <c r="C16533" s="2">
        <f>HYPERLINK("https://cao.dolgi.msk.ru/account/1080250951/", 1080250951)</f>
        <v>1080250951</v>
      </c>
      <c r="D16533" t="s">
        <v>13980</v>
      </c>
      <c r="E16533">
        <v>-10251.26</v>
      </c>
      <c r="F16533">
        <v>-0.87</v>
      </c>
      <c r="G16533" t="s">
        <v>12</v>
      </c>
      <c r="I16533" t="s">
        <v>1428</v>
      </c>
    </row>
    <row r="16534" spans="1:9" hidden="1" x14ac:dyDescent="0.25">
      <c r="A16534" t="s">
        <v>13943</v>
      </c>
      <c r="B16534" t="s">
        <v>96</v>
      </c>
      <c r="C16534" s="2">
        <f>HYPERLINK("https://cao.dolgi.msk.ru/account/1080250978/", 1080250978)</f>
        <v>1080250978</v>
      </c>
      <c r="D16534" t="s">
        <v>13981</v>
      </c>
      <c r="E16534">
        <v>-6158.52</v>
      </c>
      <c r="F16534">
        <v>-1.1399999999999999</v>
      </c>
      <c r="G16534" t="s">
        <v>12</v>
      </c>
      <c r="I16534" t="s">
        <v>1428</v>
      </c>
    </row>
    <row r="16535" spans="1:9" hidden="1" x14ac:dyDescent="0.25">
      <c r="A16535" t="s">
        <v>13943</v>
      </c>
      <c r="B16535" t="s">
        <v>98</v>
      </c>
      <c r="C16535" s="2">
        <f>HYPERLINK("https://cao.dolgi.msk.ru/account/1080250986/", 1080250986)</f>
        <v>1080250986</v>
      </c>
      <c r="D16535" t="s">
        <v>13982</v>
      </c>
      <c r="E16535">
        <v>0</v>
      </c>
      <c r="F16535">
        <v>0</v>
      </c>
      <c r="G16535" t="s">
        <v>12</v>
      </c>
      <c r="I16535" t="s">
        <v>1428</v>
      </c>
    </row>
    <row r="16536" spans="1:9" hidden="1" x14ac:dyDescent="0.25">
      <c r="A16536" t="s">
        <v>13943</v>
      </c>
      <c r="B16536" t="s">
        <v>100</v>
      </c>
      <c r="C16536" s="2">
        <f>HYPERLINK("https://cao.dolgi.msk.ru/account/1080250994/", 1080250994)</f>
        <v>1080250994</v>
      </c>
      <c r="D16536" t="s">
        <v>15</v>
      </c>
      <c r="E16536">
        <v>2143.2399999999998</v>
      </c>
      <c r="F16536">
        <v>0.26</v>
      </c>
      <c r="G16536" t="s">
        <v>12</v>
      </c>
      <c r="I16536" t="s">
        <v>1428</v>
      </c>
    </row>
    <row r="16537" spans="1:9" hidden="1" x14ac:dyDescent="0.25">
      <c r="A16537" t="s">
        <v>13943</v>
      </c>
      <c r="B16537" t="s">
        <v>102</v>
      </c>
      <c r="C16537" s="2">
        <f>HYPERLINK("https://cao.dolgi.msk.ru/account/1080251006/", 1080251006)</f>
        <v>1080251006</v>
      </c>
      <c r="D16537" t="s">
        <v>15</v>
      </c>
      <c r="E16537">
        <v>-7651.44</v>
      </c>
      <c r="F16537">
        <v>-1.22</v>
      </c>
      <c r="G16537" t="s">
        <v>12</v>
      </c>
      <c r="I16537" t="s">
        <v>1428</v>
      </c>
    </row>
    <row r="16538" spans="1:9" hidden="1" x14ac:dyDescent="0.25">
      <c r="A16538" t="s">
        <v>13943</v>
      </c>
      <c r="B16538" t="s">
        <v>104</v>
      </c>
      <c r="C16538" s="2">
        <f>HYPERLINK("https://cao.dolgi.msk.ru/account/1080251014/", 1080251014)</f>
        <v>1080251014</v>
      </c>
      <c r="D16538" t="s">
        <v>13983</v>
      </c>
      <c r="E16538">
        <v>-3546.95</v>
      </c>
      <c r="F16538">
        <v>-1.1299999999999999</v>
      </c>
      <c r="G16538" t="s">
        <v>12</v>
      </c>
      <c r="I16538" t="s">
        <v>1428</v>
      </c>
    </row>
    <row r="16539" spans="1:9" hidden="1" x14ac:dyDescent="0.25">
      <c r="A16539" t="s">
        <v>13943</v>
      </c>
      <c r="B16539" t="s">
        <v>106</v>
      </c>
      <c r="C16539" s="2">
        <f>HYPERLINK("https://cao.dolgi.msk.ru/account/1080251022/", 1080251022)</f>
        <v>1080251022</v>
      </c>
      <c r="D16539" t="s">
        <v>1778</v>
      </c>
      <c r="E16539">
        <v>-6351.8</v>
      </c>
      <c r="F16539">
        <v>-1.17</v>
      </c>
      <c r="G16539" t="s">
        <v>12</v>
      </c>
      <c r="I16539" t="s">
        <v>1428</v>
      </c>
    </row>
    <row r="16540" spans="1:9" hidden="1" x14ac:dyDescent="0.25">
      <c r="A16540" t="s">
        <v>13943</v>
      </c>
      <c r="B16540" t="s">
        <v>108</v>
      </c>
      <c r="C16540" s="2">
        <f>HYPERLINK("https://cao.dolgi.msk.ru/account/1080251049/", 1080251049)</f>
        <v>1080251049</v>
      </c>
      <c r="D16540" t="s">
        <v>13984</v>
      </c>
      <c r="E16540">
        <v>-7226.21</v>
      </c>
      <c r="F16540">
        <v>-0.89</v>
      </c>
      <c r="G16540" t="s">
        <v>12</v>
      </c>
      <c r="I16540" t="s">
        <v>1428</v>
      </c>
    </row>
    <row r="16541" spans="1:9" hidden="1" x14ac:dyDescent="0.25">
      <c r="A16541" t="s">
        <v>13943</v>
      </c>
      <c r="B16541" t="s">
        <v>110</v>
      </c>
      <c r="C16541" s="2">
        <f>HYPERLINK("https://cao.dolgi.msk.ru/account/1080251057/", 1080251057)</f>
        <v>1080251057</v>
      </c>
      <c r="D16541" t="s">
        <v>13985</v>
      </c>
      <c r="E16541">
        <v>-9928.31</v>
      </c>
      <c r="F16541">
        <v>-1.21</v>
      </c>
      <c r="G16541" t="s">
        <v>12</v>
      </c>
      <c r="I16541" t="s">
        <v>1428</v>
      </c>
    </row>
    <row r="16542" spans="1:9" x14ac:dyDescent="0.25">
      <c r="A16542" t="s">
        <v>13943</v>
      </c>
      <c r="B16542" t="s">
        <v>112</v>
      </c>
      <c r="C16542" s="2">
        <f>HYPERLINK("https://cao.dolgi.msk.ru/account/1080251065/", 1080251065)</f>
        <v>1080251065</v>
      </c>
      <c r="D16542" t="s">
        <v>13986</v>
      </c>
      <c r="E16542">
        <v>11152.7</v>
      </c>
      <c r="F16542">
        <v>1.87</v>
      </c>
      <c r="G16542" t="s">
        <v>12</v>
      </c>
      <c r="I16542" t="s">
        <v>1428</v>
      </c>
    </row>
    <row r="16543" spans="1:9" hidden="1" x14ac:dyDescent="0.25">
      <c r="A16543" t="s">
        <v>13943</v>
      </c>
      <c r="B16543" t="s">
        <v>114</v>
      </c>
      <c r="C16543" s="2">
        <f>HYPERLINK("https://cao.dolgi.msk.ru/account/1080251073/", 1080251073)</f>
        <v>1080251073</v>
      </c>
      <c r="D16543" t="s">
        <v>13987</v>
      </c>
      <c r="E16543">
        <v>-4900.22</v>
      </c>
      <c r="F16543">
        <v>-1.17</v>
      </c>
      <c r="G16543" t="s">
        <v>12</v>
      </c>
      <c r="I16543" t="s">
        <v>1428</v>
      </c>
    </row>
    <row r="16544" spans="1:9" hidden="1" x14ac:dyDescent="0.25">
      <c r="A16544" t="s">
        <v>13943</v>
      </c>
      <c r="B16544" t="s">
        <v>116</v>
      </c>
      <c r="C16544" s="2">
        <f>HYPERLINK("https://cao.dolgi.msk.ru/account/1080251081/", 1080251081)</f>
        <v>1080251081</v>
      </c>
      <c r="D16544" t="s">
        <v>13988</v>
      </c>
      <c r="E16544">
        <v>0</v>
      </c>
      <c r="F16544">
        <v>0</v>
      </c>
      <c r="G16544" t="s">
        <v>12</v>
      </c>
      <c r="I16544" t="s">
        <v>1428</v>
      </c>
    </row>
    <row r="16545" spans="1:9" hidden="1" x14ac:dyDescent="0.25">
      <c r="A16545" t="s">
        <v>13943</v>
      </c>
      <c r="B16545" t="s">
        <v>118</v>
      </c>
      <c r="C16545" s="2">
        <f>HYPERLINK("https://cao.dolgi.msk.ru/account/1080251102/", 1080251102)</f>
        <v>1080251102</v>
      </c>
      <c r="D16545" t="s">
        <v>13989</v>
      </c>
      <c r="E16545">
        <v>-215.59</v>
      </c>
      <c r="F16545">
        <v>-0.03</v>
      </c>
      <c r="G16545" t="s">
        <v>12</v>
      </c>
      <c r="I16545" t="s">
        <v>1428</v>
      </c>
    </row>
    <row r="16546" spans="1:9" hidden="1" x14ac:dyDescent="0.25">
      <c r="A16546" t="s">
        <v>13943</v>
      </c>
      <c r="B16546" t="s">
        <v>120</v>
      </c>
      <c r="C16546" s="2">
        <f>HYPERLINK("https://cao.dolgi.msk.ru/account/1080251129/", 1080251129)</f>
        <v>1080251129</v>
      </c>
      <c r="D16546" t="s">
        <v>13990</v>
      </c>
      <c r="E16546">
        <v>-6157.25</v>
      </c>
      <c r="F16546">
        <v>-0.82</v>
      </c>
      <c r="G16546" t="s">
        <v>12</v>
      </c>
      <c r="I16546" t="s">
        <v>1428</v>
      </c>
    </row>
    <row r="16547" spans="1:9" hidden="1" x14ac:dyDescent="0.25">
      <c r="A16547" t="s">
        <v>13943</v>
      </c>
      <c r="B16547" t="s">
        <v>122</v>
      </c>
      <c r="C16547" s="2">
        <f>HYPERLINK("https://cao.dolgi.msk.ru/account/1080251137/", 1080251137)</f>
        <v>1080251137</v>
      </c>
      <c r="D16547" t="s">
        <v>13991</v>
      </c>
      <c r="E16547">
        <v>3.46</v>
      </c>
      <c r="F16547">
        <v>0</v>
      </c>
      <c r="G16547" t="s">
        <v>12</v>
      </c>
      <c r="I16547" t="s">
        <v>1428</v>
      </c>
    </row>
    <row r="16548" spans="1:9" x14ac:dyDescent="0.25">
      <c r="A16548" t="s">
        <v>13943</v>
      </c>
      <c r="B16548" t="s">
        <v>124</v>
      </c>
      <c r="C16548" s="2">
        <f>HYPERLINK("https://cao.dolgi.msk.ru/account/1080251145/", 1080251145)</f>
        <v>1080251145</v>
      </c>
      <c r="D16548" t="s">
        <v>13992</v>
      </c>
      <c r="E16548">
        <v>6561.92</v>
      </c>
      <c r="F16548">
        <v>1.56</v>
      </c>
      <c r="G16548" t="s">
        <v>12</v>
      </c>
      <c r="I16548" t="s">
        <v>1428</v>
      </c>
    </row>
    <row r="16549" spans="1:9" hidden="1" x14ac:dyDescent="0.25">
      <c r="A16549" t="s">
        <v>13993</v>
      </c>
      <c r="B16549" t="s">
        <v>10</v>
      </c>
      <c r="C16549" s="2">
        <f>HYPERLINK("https://cao.dolgi.msk.ru/account/1080249766/", 1080249766)</f>
        <v>1080249766</v>
      </c>
      <c r="D16549" t="s">
        <v>13994</v>
      </c>
      <c r="E16549">
        <v>-7911.18</v>
      </c>
      <c r="F16549">
        <v>-1.19</v>
      </c>
      <c r="G16549" t="s">
        <v>12</v>
      </c>
      <c r="I16549" t="s">
        <v>1428</v>
      </c>
    </row>
    <row r="16550" spans="1:9" hidden="1" x14ac:dyDescent="0.25">
      <c r="A16550" t="s">
        <v>13993</v>
      </c>
      <c r="B16550" t="s">
        <v>16</v>
      </c>
      <c r="C16550" s="2">
        <f>HYPERLINK("https://cao.dolgi.msk.ru/account/1080249774/", 1080249774)</f>
        <v>1080249774</v>
      </c>
      <c r="D16550" t="s">
        <v>13995</v>
      </c>
      <c r="E16550">
        <v>-4995.42</v>
      </c>
      <c r="F16550">
        <v>-1.1399999999999999</v>
      </c>
      <c r="G16550" t="s">
        <v>12</v>
      </c>
      <c r="I16550" t="s">
        <v>1428</v>
      </c>
    </row>
    <row r="16551" spans="1:9" hidden="1" x14ac:dyDescent="0.25">
      <c r="A16551" t="s">
        <v>13993</v>
      </c>
      <c r="B16551" t="s">
        <v>18</v>
      </c>
      <c r="C16551" s="2">
        <f>HYPERLINK("https://cao.dolgi.msk.ru/account/1080249782/", 1080249782)</f>
        <v>1080249782</v>
      </c>
      <c r="D16551" t="s">
        <v>13996</v>
      </c>
      <c r="E16551">
        <v>-3318.5</v>
      </c>
      <c r="F16551">
        <v>-1.31</v>
      </c>
      <c r="G16551" t="s">
        <v>12</v>
      </c>
      <c r="I16551" t="s">
        <v>1428</v>
      </c>
    </row>
    <row r="16552" spans="1:9" hidden="1" x14ac:dyDescent="0.25">
      <c r="A16552" t="s">
        <v>13993</v>
      </c>
      <c r="B16552" t="s">
        <v>20</v>
      </c>
      <c r="C16552" s="2">
        <f>HYPERLINK("https://cao.dolgi.msk.ru/account/1080249803/", 1080249803)</f>
        <v>1080249803</v>
      </c>
      <c r="D16552" t="s">
        <v>13997</v>
      </c>
      <c r="E16552">
        <v>-5355.8</v>
      </c>
      <c r="F16552">
        <v>-1.06</v>
      </c>
      <c r="G16552" t="s">
        <v>12</v>
      </c>
      <c r="I16552" t="s">
        <v>1428</v>
      </c>
    </row>
    <row r="16553" spans="1:9" hidden="1" x14ac:dyDescent="0.25">
      <c r="A16553" t="s">
        <v>13993</v>
      </c>
      <c r="B16553" t="s">
        <v>21</v>
      </c>
      <c r="C16553" s="2">
        <f>HYPERLINK("https://cao.dolgi.msk.ru/account/1080249811/", 1080249811)</f>
        <v>1080249811</v>
      </c>
      <c r="D16553" t="s">
        <v>13998</v>
      </c>
      <c r="E16553">
        <v>-8755.9599999999991</v>
      </c>
      <c r="F16553">
        <v>-1.34</v>
      </c>
      <c r="G16553" t="s">
        <v>12</v>
      </c>
      <c r="I16553" t="s">
        <v>1428</v>
      </c>
    </row>
    <row r="16554" spans="1:9" hidden="1" x14ac:dyDescent="0.25">
      <c r="A16554" t="s">
        <v>13993</v>
      </c>
      <c r="B16554" t="s">
        <v>22</v>
      </c>
      <c r="C16554" s="2">
        <f>HYPERLINK("https://cao.dolgi.msk.ru/account/1080249838/", 1080249838)</f>
        <v>1080249838</v>
      </c>
      <c r="D16554" t="s">
        <v>15</v>
      </c>
      <c r="E16554">
        <v>-1230.07</v>
      </c>
      <c r="F16554">
        <v>-0.21</v>
      </c>
      <c r="G16554" t="s">
        <v>12</v>
      </c>
      <c r="I16554" t="s">
        <v>1428</v>
      </c>
    </row>
    <row r="16555" spans="1:9" hidden="1" x14ac:dyDescent="0.25">
      <c r="A16555" t="s">
        <v>13993</v>
      </c>
      <c r="B16555" t="s">
        <v>23</v>
      </c>
      <c r="C16555" s="2">
        <f>HYPERLINK("https://cao.dolgi.msk.ru/account/1080249846/", 1080249846)</f>
        <v>1080249846</v>
      </c>
      <c r="D16555" t="s">
        <v>13999</v>
      </c>
      <c r="E16555">
        <v>-6526.24</v>
      </c>
      <c r="F16555">
        <v>-1.0900000000000001</v>
      </c>
      <c r="G16555" t="s">
        <v>12</v>
      </c>
      <c r="I16555" t="s">
        <v>1428</v>
      </c>
    </row>
    <row r="16556" spans="1:9" hidden="1" x14ac:dyDescent="0.25">
      <c r="A16556" t="s">
        <v>13993</v>
      </c>
      <c r="B16556" t="s">
        <v>24</v>
      </c>
      <c r="C16556" s="2">
        <f>HYPERLINK("https://cao.dolgi.msk.ru/account/1080249854/", 1080249854)</f>
        <v>1080249854</v>
      </c>
      <c r="D16556" t="s">
        <v>14000</v>
      </c>
      <c r="E16556">
        <v>7659.9</v>
      </c>
      <c r="F16556">
        <v>1</v>
      </c>
      <c r="G16556" t="s">
        <v>12</v>
      </c>
      <c r="I16556" t="s">
        <v>1428</v>
      </c>
    </row>
    <row r="16557" spans="1:9" hidden="1" x14ac:dyDescent="0.25">
      <c r="A16557" t="s">
        <v>13993</v>
      </c>
      <c r="B16557" t="s">
        <v>27</v>
      </c>
      <c r="C16557" s="2">
        <f>HYPERLINK("https://cao.dolgi.msk.ru/account/1080249862/", 1080249862)</f>
        <v>1080249862</v>
      </c>
      <c r="D16557" t="s">
        <v>14001</v>
      </c>
      <c r="E16557">
        <v>-12994.86</v>
      </c>
      <c r="F16557">
        <v>-1.83</v>
      </c>
      <c r="G16557" t="s">
        <v>12</v>
      </c>
      <c r="I16557" t="s">
        <v>1428</v>
      </c>
    </row>
    <row r="16558" spans="1:9" hidden="1" x14ac:dyDescent="0.25">
      <c r="A16558" t="s">
        <v>13993</v>
      </c>
      <c r="B16558" t="s">
        <v>29</v>
      </c>
      <c r="C16558" s="2">
        <f>HYPERLINK("https://cao.dolgi.msk.ru/account/1080249889/", 1080249889)</f>
        <v>1080249889</v>
      </c>
      <c r="D16558" t="s">
        <v>14002</v>
      </c>
      <c r="E16558">
        <v>-6164.07</v>
      </c>
      <c r="F16558">
        <v>-1.1499999999999999</v>
      </c>
      <c r="G16558" t="s">
        <v>12</v>
      </c>
      <c r="I16558" t="s">
        <v>1428</v>
      </c>
    </row>
    <row r="16559" spans="1:9" hidden="1" x14ac:dyDescent="0.25">
      <c r="A16559" t="s">
        <v>13993</v>
      </c>
      <c r="B16559" t="s">
        <v>31</v>
      </c>
      <c r="C16559" s="2">
        <f>HYPERLINK("https://cao.dolgi.msk.ru/account/1080249897/", 1080249897)</f>
        <v>1080249897</v>
      </c>
      <c r="D16559" t="s">
        <v>14003</v>
      </c>
      <c r="E16559">
        <v>28.87</v>
      </c>
      <c r="F16559">
        <v>0.01</v>
      </c>
      <c r="G16559" t="s">
        <v>12</v>
      </c>
      <c r="I16559" t="s">
        <v>1428</v>
      </c>
    </row>
    <row r="16560" spans="1:9" hidden="1" x14ac:dyDescent="0.25">
      <c r="A16560" t="s">
        <v>13993</v>
      </c>
      <c r="B16560" t="s">
        <v>33</v>
      </c>
      <c r="C16560" s="2">
        <f>HYPERLINK("https://cao.dolgi.msk.ru/account/1080249918/", 1080249918)</f>
        <v>1080249918</v>
      </c>
      <c r="D16560" t="s">
        <v>14004</v>
      </c>
      <c r="E16560">
        <v>12020.15</v>
      </c>
      <c r="F16560">
        <v>0.85</v>
      </c>
      <c r="G16560" t="s">
        <v>12</v>
      </c>
      <c r="I16560" t="s">
        <v>1428</v>
      </c>
    </row>
    <row r="16561" spans="1:9" hidden="1" x14ac:dyDescent="0.25">
      <c r="A16561" t="s">
        <v>13993</v>
      </c>
      <c r="B16561" t="s">
        <v>34</v>
      </c>
      <c r="C16561" s="2">
        <f>HYPERLINK("https://cao.dolgi.msk.ru/account/1080249926/", 1080249926)</f>
        <v>1080249926</v>
      </c>
      <c r="D16561" t="s">
        <v>14005</v>
      </c>
      <c r="E16561">
        <v>-7788.75</v>
      </c>
      <c r="F16561">
        <v>-1.1599999999999999</v>
      </c>
      <c r="G16561" t="s">
        <v>12</v>
      </c>
      <c r="I16561" t="s">
        <v>1428</v>
      </c>
    </row>
    <row r="16562" spans="1:9" hidden="1" x14ac:dyDescent="0.25">
      <c r="A16562" t="s">
        <v>13993</v>
      </c>
      <c r="B16562" t="s">
        <v>36</v>
      </c>
      <c r="C16562" s="2">
        <f>HYPERLINK("https://cao.dolgi.msk.ru/account/1080249934/", 1080249934)</f>
        <v>1080249934</v>
      </c>
      <c r="D16562" t="s">
        <v>14006</v>
      </c>
      <c r="E16562">
        <v>-2751.78</v>
      </c>
      <c r="F16562">
        <v>-1.0900000000000001</v>
      </c>
      <c r="G16562" t="s">
        <v>12</v>
      </c>
      <c r="I16562" t="s">
        <v>1428</v>
      </c>
    </row>
    <row r="16563" spans="1:9" hidden="1" x14ac:dyDescent="0.25">
      <c r="A16563" t="s">
        <v>13993</v>
      </c>
      <c r="B16563" t="s">
        <v>38</v>
      </c>
      <c r="C16563" s="2">
        <f>HYPERLINK("https://cao.dolgi.msk.ru/account/1080249942/", 1080249942)</f>
        <v>1080249942</v>
      </c>
      <c r="D16563" t="s">
        <v>14007</v>
      </c>
      <c r="E16563">
        <v>-4910.07</v>
      </c>
      <c r="F16563">
        <v>-1.1499999999999999</v>
      </c>
      <c r="G16563" t="s">
        <v>12</v>
      </c>
      <c r="I16563" t="s">
        <v>1428</v>
      </c>
    </row>
    <row r="16564" spans="1:9" hidden="1" x14ac:dyDescent="0.25">
      <c r="A16564" t="s">
        <v>13993</v>
      </c>
      <c r="B16564" t="s">
        <v>39</v>
      </c>
      <c r="C16564" s="2">
        <f>HYPERLINK("https://cao.dolgi.msk.ru/account/1080249969/", 1080249969)</f>
        <v>1080249969</v>
      </c>
      <c r="D16564" t="s">
        <v>14008</v>
      </c>
      <c r="E16564">
        <v>0</v>
      </c>
      <c r="F16564">
        <v>0</v>
      </c>
      <c r="G16564" t="s">
        <v>12</v>
      </c>
      <c r="I16564" t="s">
        <v>1428</v>
      </c>
    </row>
    <row r="16565" spans="1:9" hidden="1" x14ac:dyDescent="0.25">
      <c r="A16565" t="s">
        <v>13993</v>
      </c>
      <c r="B16565" t="s">
        <v>40</v>
      </c>
      <c r="C16565" s="2">
        <f>HYPERLINK("https://cao.dolgi.msk.ru/account/1080249977/", 1080249977)</f>
        <v>1080249977</v>
      </c>
      <c r="D16565" t="s">
        <v>14009</v>
      </c>
      <c r="E16565">
        <v>-0.7</v>
      </c>
      <c r="F16565">
        <v>0</v>
      </c>
      <c r="G16565" t="s">
        <v>12</v>
      </c>
      <c r="H16565" t="s">
        <v>7</v>
      </c>
      <c r="I16565" t="s">
        <v>1428</v>
      </c>
    </row>
    <row r="16566" spans="1:9" x14ac:dyDescent="0.25">
      <c r="A16566" t="s">
        <v>13993</v>
      </c>
      <c r="B16566" t="s">
        <v>40</v>
      </c>
      <c r="C16566" s="2">
        <f>HYPERLINK("https://cao.dolgi.msk.ru/account/1080249985/", 1080249985)</f>
        <v>1080249985</v>
      </c>
      <c r="D16566" t="s">
        <v>14009</v>
      </c>
      <c r="E16566">
        <v>27740.31</v>
      </c>
      <c r="F16566">
        <v>8.41</v>
      </c>
      <c r="G16566" t="s">
        <v>12</v>
      </c>
      <c r="H16566" t="s">
        <v>7</v>
      </c>
      <c r="I16566" t="s">
        <v>1428</v>
      </c>
    </row>
    <row r="16567" spans="1:9" hidden="1" x14ac:dyDescent="0.25">
      <c r="A16567" t="s">
        <v>13993</v>
      </c>
      <c r="B16567" t="s">
        <v>41</v>
      </c>
      <c r="C16567" s="2">
        <f>HYPERLINK("https://cao.dolgi.msk.ru/account/1080249993/", 1080249993)</f>
        <v>1080249993</v>
      </c>
      <c r="D16567" t="s">
        <v>14010</v>
      </c>
      <c r="E16567">
        <v>0</v>
      </c>
      <c r="F16567">
        <v>0</v>
      </c>
      <c r="G16567" t="s">
        <v>12</v>
      </c>
      <c r="I16567" t="s">
        <v>1428</v>
      </c>
    </row>
    <row r="16568" spans="1:9" hidden="1" x14ac:dyDescent="0.25">
      <c r="A16568" t="s">
        <v>13993</v>
      </c>
      <c r="B16568" t="s">
        <v>42</v>
      </c>
      <c r="C16568" s="2">
        <f>HYPERLINK("https://cao.dolgi.msk.ru/account/1080250003/", 1080250003)</f>
        <v>1080250003</v>
      </c>
      <c r="D16568" t="s">
        <v>14011</v>
      </c>
      <c r="E16568">
        <v>-673.12</v>
      </c>
      <c r="F16568">
        <v>-0.13</v>
      </c>
      <c r="G16568" t="s">
        <v>12</v>
      </c>
      <c r="I16568" t="s">
        <v>1428</v>
      </c>
    </row>
    <row r="16569" spans="1:9" hidden="1" x14ac:dyDescent="0.25">
      <c r="A16569" t="s">
        <v>13993</v>
      </c>
      <c r="B16569" t="s">
        <v>44</v>
      </c>
      <c r="C16569" s="2">
        <f>HYPERLINK("https://cao.dolgi.msk.ru/account/1080250038/", 1080250038)</f>
        <v>1080250038</v>
      </c>
      <c r="D16569" t="s">
        <v>14012</v>
      </c>
      <c r="E16569">
        <v>-73.73</v>
      </c>
      <c r="F16569">
        <v>-0.01</v>
      </c>
      <c r="G16569" t="s">
        <v>12</v>
      </c>
      <c r="I16569" t="s">
        <v>1428</v>
      </c>
    </row>
    <row r="16570" spans="1:9" hidden="1" x14ac:dyDescent="0.25">
      <c r="A16570" t="s">
        <v>13993</v>
      </c>
      <c r="B16570" t="s">
        <v>66</v>
      </c>
      <c r="C16570" s="2">
        <f>HYPERLINK("https://cao.dolgi.msk.ru/account/1080250054/", 1080250054)</f>
        <v>1080250054</v>
      </c>
      <c r="D16570" t="s">
        <v>14013</v>
      </c>
      <c r="E16570">
        <v>-7215.52</v>
      </c>
      <c r="F16570">
        <v>-1.02</v>
      </c>
      <c r="G16570" t="s">
        <v>12</v>
      </c>
      <c r="I16570" t="s">
        <v>1428</v>
      </c>
    </row>
    <row r="16571" spans="1:9" hidden="1" x14ac:dyDescent="0.25">
      <c r="A16571" t="s">
        <v>13993</v>
      </c>
      <c r="B16571" t="s">
        <v>68</v>
      </c>
      <c r="C16571" s="2">
        <f>HYPERLINK("https://cao.dolgi.msk.ru/account/1080250062/", 1080250062)</f>
        <v>1080250062</v>
      </c>
      <c r="D16571" t="s">
        <v>14014</v>
      </c>
      <c r="E16571">
        <v>22.9</v>
      </c>
      <c r="F16571">
        <v>0</v>
      </c>
      <c r="G16571" t="s">
        <v>12</v>
      </c>
      <c r="I16571" t="s">
        <v>1428</v>
      </c>
    </row>
    <row r="16572" spans="1:9" hidden="1" x14ac:dyDescent="0.25">
      <c r="A16572" t="s">
        <v>13993</v>
      </c>
      <c r="B16572" t="s">
        <v>70</v>
      </c>
      <c r="C16572" s="2">
        <f>HYPERLINK("https://cao.dolgi.msk.ru/account/1080250089/", 1080250089)</f>
        <v>1080250089</v>
      </c>
      <c r="D16572" t="s">
        <v>14015</v>
      </c>
      <c r="E16572">
        <v>-19039.849999999999</v>
      </c>
      <c r="F16572">
        <v>-1.75</v>
      </c>
      <c r="G16572" t="s">
        <v>12</v>
      </c>
      <c r="I16572" t="s">
        <v>1428</v>
      </c>
    </row>
    <row r="16573" spans="1:9" hidden="1" x14ac:dyDescent="0.25">
      <c r="A16573" t="s">
        <v>13993</v>
      </c>
      <c r="B16573" t="s">
        <v>72</v>
      </c>
      <c r="C16573" s="2">
        <f>HYPERLINK("https://cao.dolgi.msk.ru/account/1080250097/", 1080250097)</f>
        <v>1080250097</v>
      </c>
      <c r="D16573" t="s">
        <v>14016</v>
      </c>
      <c r="E16573">
        <v>-8595.25</v>
      </c>
      <c r="F16573">
        <v>-1.1499999999999999</v>
      </c>
      <c r="G16573" t="s">
        <v>12</v>
      </c>
      <c r="I16573" t="s">
        <v>1428</v>
      </c>
    </row>
    <row r="16574" spans="1:9" hidden="1" x14ac:dyDescent="0.25">
      <c r="A16574" t="s">
        <v>13993</v>
      </c>
      <c r="B16574" t="s">
        <v>74</v>
      </c>
      <c r="C16574" s="2">
        <f>HYPERLINK("https://cao.dolgi.msk.ru/account/1080250118/", 1080250118)</f>
        <v>1080250118</v>
      </c>
      <c r="D16574" t="s">
        <v>14017</v>
      </c>
      <c r="E16574">
        <v>0</v>
      </c>
      <c r="F16574">
        <v>0</v>
      </c>
      <c r="G16574" t="s">
        <v>12</v>
      </c>
      <c r="I16574" t="s">
        <v>1428</v>
      </c>
    </row>
    <row r="16575" spans="1:9" hidden="1" x14ac:dyDescent="0.25">
      <c r="A16575" t="s">
        <v>13993</v>
      </c>
      <c r="B16575" t="s">
        <v>76</v>
      </c>
      <c r="C16575" s="2">
        <f>HYPERLINK("https://cao.dolgi.msk.ru/account/1080250126/", 1080250126)</f>
        <v>1080250126</v>
      </c>
      <c r="D16575" t="s">
        <v>14018</v>
      </c>
      <c r="E16575">
        <v>-8592.43</v>
      </c>
      <c r="F16575">
        <v>-0.62</v>
      </c>
      <c r="G16575" t="s">
        <v>12</v>
      </c>
      <c r="I16575" t="s">
        <v>1428</v>
      </c>
    </row>
    <row r="16576" spans="1:9" hidden="1" x14ac:dyDescent="0.25">
      <c r="A16576" t="s">
        <v>13993</v>
      </c>
      <c r="B16576" t="s">
        <v>78</v>
      </c>
      <c r="C16576" s="2">
        <f>HYPERLINK("https://cao.dolgi.msk.ru/account/1080250134/", 1080250134)</f>
        <v>1080250134</v>
      </c>
      <c r="D16576" t="s">
        <v>14019</v>
      </c>
      <c r="E16576">
        <v>-6692.92</v>
      </c>
      <c r="F16576">
        <v>-1.1100000000000001</v>
      </c>
      <c r="G16576" t="s">
        <v>12</v>
      </c>
      <c r="I16576" t="s">
        <v>1428</v>
      </c>
    </row>
    <row r="16577" spans="1:9" hidden="1" x14ac:dyDescent="0.25">
      <c r="A16577" t="s">
        <v>13993</v>
      </c>
      <c r="B16577" t="s">
        <v>80</v>
      </c>
      <c r="C16577" s="2">
        <f>HYPERLINK("https://cao.dolgi.msk.ru/account/1080250142/", 1080250142)</f>
        <v>1080250142</v>
      </c>
      <c r="D16577" t="s">
        <v>14020</v>
      </c>
      <c r="E16577">
        <v>-3278.93</v>
      </c>
      <c r="F16577">
        <v>-0.53</v>
      </c>
      <c r="G16577" t="s">
        <v>12</v>
      </c>
      <c r="I16577" t="s">
        <v>1428</v>
      </c>
    </row>
    <row r="16578" spans="1:9" hidden="1" x14ac:dyDescent="0.25">
      <c r="A16578" t="s">
        <v>13993</v>
      </c>
      <c r="B16578" t="s">
        <v>82</v>
      </c>
      <c r="C16578" s="2">
        <f>HYPERLINK("https://cao.dolgi.msk.ru/account/1080250169/", 1080250169)</f>
        <v>1080250169</v>
      </c>
      <c r="D16578" t="s">
        <v>14021</v>
      </c>
      <c r="E16578">
        <v>-301.68</v>
      </c>
      <c r="F16578">
        <v>-0.04</v>
      </c>
      <c r="G16578" t="s">
        <v>12</v>
      </c>
      <c r="I16578" t="s">
        <v>1428</v>
      </c>
    </row>
    <row r="16579" spans="1:9" hidden="1" x14ac:dyDescent="0.25">
      <c r="A16579" t="s">
        <v>13993</v>
      </c>
      <c r="B16579" t="s">
        <v>84</v>
      </c>
      <c r="C16579" s="2">
        <f>HYPERLINK("https://cao.dolgi.msk.ru/account/1080250177/", 1080250177)</f>
        <v>1080250177</v>
      </c>
      <c r="D16579" t="s">
        <v>14022</v>
      </c>
      <c r="E16579">
        <v>-11530.27</v>
      </c>
      <c r="F16579">
        <v>-1.02</v>
      </c>
      <c r="G16579" t="s">
        <v>12</v>
      </c>
      <c r="I16579" t="s">
        <v>1428</v>
      </c>
    </row>
    <row r="16580" spans="1:9" hidden="1" x14ac:dyDescent="0.25">
      <c r="A16580" t="s">
        <v>13993</v>
      </c>
      <c r="B16580" t="s">
        <v>86</v>
      </c>
      <c r="C16580" s="2">
        <f>HYPERLINK("https://cao.dolgi.msk.ru/account/1080250193/", 1080250193)</f>
        <v>1080250193</v>
      </c>
      <c r="D16580" t="s">
        <v>14023</v>
      </c>
      <c r="E16580">
        <v>-8152.27</v>
      </c>
      <c r="F16580">
        <v>-1.41</v>
      </c>
      <c r="G16580" t="s">
        <v>12</v>
      </c>
      <c r="I16580" t="s">
        <v>1428</v>
      </c>
    </row>
    <row r="16581" spans="1:9" hidden="1" x14ac:dyDescent="0.25">
      <c r="A16581" t="s">
        <v>13993</v>
      </c>
      <c r="B16581" t="s">
        <v>88</v>
      </c>
      <c r="C16581" s="2">
        <f>HYPERLINK("https://cao.dolgi.msk.ru/account/1080250185/", 1080250185)</f>
        <v>1080250185</v>
      </c>
      <c r="D16581" t="s">
        <v>14024</v>
      </c>
      <c r="E16581">
        <v>-5712.38</v>
      </c>
      <c r="F16581">
        <v>-1.34</v>
      </c>
      <c r="G16581" t="s">
        <v>12</v>
      </c>
      <c r="I16581" t="s">
        <v>1428</v>
      </c>
    </row>
    <row r="16582" spans="1:9" hidden="1" x14ac:dyDescent="0.25">
      <c r="A16582" t="s">
        <v>13993</v>
      </c>
      <c r="B16582" t="s">
        <v>90</v>
      </c>
      <c r="C16582" s="2">
        <f>HYPERLINK("https://cao.dolgi.msk.ru/account/1080250206/", 1080250206)</f>
        <v>1080250206</v>
      </c>
      <c r="D16582" t="s">
        <v>14025</v>
      </c>
      <c r="E16582">
        <v>-6235.71</v>
      </c>
      <c r="F16582">
        <v>-1.35</v>
      </c>
      <c r="G16582" t="s">
        <v>12</v>
      </c>
      <c r="I16582" t="s">
        <v>1428</v>
      </c>
    </row>
    <row r="16583" spans="1:9" hidden="1" x14ac:dyDescent="0.25">
      <c r="A16583" t="s">
        <v>13993</v>
      </c>
      <c r="B16583" t="s">
        <v>92</v>
      </c>
      <c r="C16583" s="2">
        <f>HYPERLINK("https://cao.dolgi.msk.ru/account/1080250214/", 1080250214)</f>
        <v>1080250214</v>
      </c>
      <c r="D16583" t="s">
        <v>14026</v>
      </c>
      <c r="E16583">
        <v>-7746.68</v>
      </c>
      <c r="F16583">
        <v>-1.42</v>
      </c>
      <c r="G16583" t="s">
        <v>12</v>
      </c>
      <c r="I16583" t="s">
        <v>1428</v>
      </c>
    </row>
    <row r="16584" spans="1:9" hidden="1" x14ac:dyDescent="0.25">
      <c r="A16584" t="s">
        <v>13993</v>
      </c>
      <c r="B16584" t="s">
        <v>94</v>
      </c>
      <c r="C16584" s="2">
        <f>HYPERLINK("https://cao.dolgi.msk.ru/account/1080250222/", 1080250222)</f>
        <v>1080250222</v>
      </c>
      <c r="D16584" t="s">
        <v>14027</v>
      </c>
      <c r="E16584">
        <v>-8960.9</v>
      </c>
      <c r="F16584">
        <v>-1.41</v>
      </c>
      <c r="G16584" t="s">
        <v>12</v>
      </c>
      <c r="I16584" t="s">
        <v>1428</v>
      </c>
    </row>
    <row r="16585" spans="1:9" hidden="1" x14ac:dyDescent="0.25">
      <c r="A16585" t="s">
        <v>13993</v>
      </c>
      <c r="B16585" t="s">
        <v>96</v>
      </c>
      <c r="C16585" s="2">
        <f>HYPERLINK("https://cao.dolgi.msk.ru/account/1080250249/", 1080250249)</f>
        <v>1080250249</v>
      </c>
      <c r="D16585" t="s">
        <v>14028</v>
      </c>
      <c r="E16585">
        <v>5567.68</v>
      </c>
      <c r="F16585">
        <v>0.74</v>
      </c>
      <c r="G16585" t="s">
        <v>12</v>
      </c>
      <c r="I16585" t="s">
        <v>1428</v>
      </c>
    </row>
    <row r="16586" spans="1:9" hidden="1" x14ac:dyDescent="0.25">
      <c r="A16586" t="s">
        <v>13993</v>
      </c>
      <c r="B16586" t="s">
        <v>98</v>
      </c>
      <c r="C16586" s="2">
        <f>HYPERLINK("https://cao.dolgi.msk.ru/account/1080250257/", 1080250257)</f>
        <v>1080250257</v>
      </c>
      <c r="D16586" t="s">
        <v>14029</v>
      </c>
      <c r="E16586">
        <v>-5837.81</v>
      </c>
      <c r="F16586">
        <v>-1.1200000000000001</v>
      </c>
      <c r="G16586" t="s">
        <v>12</v>
      </c>
      <c r="I16586" t="s">
        <v>1428</v>
      </c>
    </row>
    <row r="16587" spans="1:9" hidden="1" x14ac:dyDescent="0.25">
      <c r="A16587" t="s">
        <v>13993</v>
      </c>
      <c r="B16587" t="s">
        <v>100</v>
      </c>
      <c r="C16587" s="2">
        <f>HYPERLINK("https://cao.dolgi.msk.ru/account/1080250265/", 1080250265)</f>
        <v>1080250265</v>
      </c>
      <c r="D16587" t="s">
        <v>14030</v>
      </c>
      <c r="E16587">
        <v>-6408.12</v>
      </c>
      <c r="F16587">
        <v>-1.19</v>
      </c>
      <c r="G16587" t="s">
        <v>12</v>
      </c>
      <c r="I16587" t="s">
        <v>1428</v>
      </c>
    </row>
    <row r="16588" spans="1:9" hidden="1" x14ac:dyDescent="0.25">
      <c r="A16588" t="s">
        <v>13993</v>
      </c>
      <c r="B16588" t="s">
        <v>100</v>
      </c>
      <c r="C16588" s="2">
        <f>HYPERLINK("https://cao.dolgi.msk.ru/account/1080250273/", 1080250273)</f>
        <v>1080250273</v>
      </c>
      <c r="D16588" t="s">
        <v>15</v>
      </c>
      <c r="G16588" t="s">
        <v>14</v>
      </c>
      <c r="I16588" t="s">
        <v>1428</v>
      </c>
    </row>
    <row r="16589" spans="1:9" hidden="1" x14ac:dyDescent="0.25">
      <c r="A16589" t="s">
        <v>13993</v>
      </c>
      <c r="B16589" t="s">
        <v>102</v>
      </c>
      <c r="C16589" s="2">
        <f>HYPERLINK("https://cao.dolgi.msk.ru/account/1080250281/", 1080250281)</f>
        <v>1080250281</v>
      </c>
      <c r="D16589" t="s">
        <v>14031</v>
      </c>
      <c r="E16589">
        <v>-1423.79</v>
      </c>
      <c r="F16589">
        <v>-0.24</v>
      </c>
      <c r="G16589" t="s">
        <v>12</v>
      </c>
      <c r="I16589" t="s">
        <v>1428</v>
      </c>
    </row>
    <row r="16590" spans="1:9" hidden="1" x14ac:dyDescent="0.25">
      <c r="A16590" t="s">
        <v>13993</v>
      </c>
      <c r="B16590" t="s">
        <v>104</v>
      </c>
      <c r="C16590" s="2">
        <f>HYPERLINK("https://cao.dolgi.msk.ru/account/1080250329/", 1080250329)</f>
        <v>1080250329</v>
      </c>
      <c r="D16590" t="s">
        <v>14032</v>
      </c>
      <c r="E16590">
        <v>5447.11</v>
      </c>
      <c r="F16590">
        <v>0.88</v>
      </c>
      <c r="G16590" t="s">
        <v>12</v>
      </c>
      <c r="I16590" t="s">
        <v>1428</v>
      </c>
    </row>
    <row r="16591" spans="1:9" hidden="1" x14ac:dyDescent="0.25">
      <c r="A16591" t="s">
        <v>13993</v>
      </c>
      <c r="B16591" t="s">
        <v>106</v>
      </c>
      <c r="C16591" s="2">
        <f>HYPERLINK("https://cao.dolgi.msk.ru/account/1080250337/", 1080250337)</f>
        <v>1080250337</v>
      </c>
      <c r="D16591" t="s">
        <v>14033</v>
      </c>
      <c r="E16591">
        <v>-5506.93</v>
      </c>
      <c r="F16591">
        <v>-1.1299999999999999</v>
      </c>
      <c r="G16591" t="s">
        <v>12</v>
      </c>
      <c r="I16591" t="s">
        <v>1428</v>
      </c>
    </row>
    <row r="16592" spans="1:9" hidden="1" x14ac:dyDescent="0.25">
      <c r="A16592" t="s">
        <v>13993</v>
      </c>
      <c r="B16592" t="s">
        <v>108</v>
      </c>
      <c r="C16592" s="2">
        <f>HYPERLINK("https://cao.dolgi.msk.ru/account/1080250345/", 1080250345)</f>
        <v>1080250345</v>
      </c>
      <c r="D16592" t="s">
        <v>14034</v>
      </c>
      <c r="E16592">
        <v>-7406.98</v>
      </c>
      <c r="F16592">
        <v>-1.1399999999999999</v>
      </c>
      <c r="G16592" t="s">
        <v>12</v>
      </c>
      <c r="I16592" t="s">
        <v>1428</v>
      </c>
    </row>
    <row r="16593" spans="1:9" hidden="1" x14ac:dyDescent="0.25">
      <c r="A16593" t="s">
        <v>13993</v>
      </c>
      <c r="B16593" t="s">
        <v>110</v>
      </c>
      <c r="C16593" s="2">
        <f>HYPERLINK("https://cao.dolgi.msk.ru/account/1080250353/", 1080250353)</f>
        <v>1080250353</v>
      </c>
      <c r="D16593" t="s">
        <v>14035</v>
      </c>
      <c r="E16593">
        <v>-5032.67</v>
      </c>
      <c r="F16593">
        <v>-1.24</v>
      </c>
      <c r="G16593" t="s">
        <v>12</v>
      </c>
      <c r="H16593" t="s">
        <v>7</v>
      </c>
      <c r="I16593" t="s">
        <v>1428</v>
      </c>
    </row>
    <row r="16594" spans="1:9" hidden="1" x14ac:dyDescent="0.25">
      <c r="A16594" t="s">
        <v>13993</v>
      </c>
      <c r="B16594" t="s">
        <v>110</v>
      </c>
      <c r="C16594" s="2">
        <f>HYPERLINK("https://cao.dolgi.msk.ru/account/1080250361/", 1080250361)</f>
        <v>1080250361</v>
      </c>
      <c r="D16594" t="s">
        <v>14035</v>
      </c>
      <c r="E16594">
        <v>-8872.84</v>
      </c>
      <c r="F16594">
        <v>-3.48</v>
      </c>
      <c r="G16594" t="s">
        <v>12</v>
      </c>
      <c r="H16594" t="s">
        <v>7</v>
      </c>
      <c r="I16594" t="s">
        <v>1428</v>
      </c>
    </row>
    <row r="16595" spans="1:9" hidden="1" x14ac:dyDescent="0.25">
      <c r="A16595" t="s">
        <v>13993</v>
      </c>
      <c r="B16595" t="s">
        <v>112</v>
      </c>
      <c r="C16595" s="2">
        <f>HYPERLINK("https://cao.dolgi.msk.ru/account/1080250388/", 1080250388)</f>
        <v>1080250388</v>
      </c>
      <c r="D16595" t="s">
        <v>14036</v>
      </c>
      <c r="E16595">
        <v>-2368.87</v>
      </c>
      <c r="F16595">
        <v>-2.19</v>
      </c>
      <c r="G16595" t="s">
        <v>12</v>
      </c>
      <c r="I16595" t="s">
        <v>1428</v>
      </c>
    </row>
    <row r="16596" spans="1:9" hidden="1" x14ac:dyDescent="0.25">
      <c r="A16596" t="s">
        <v>13993</v>
      </c>
      <c r="B16596" t="s">
        <v>114</v>
      </c>
      <c r="C16596" s="2">
        <f>HYPERLINK("https://cao.dolgi.msk.ru/account/1080250396/", 1080250396)</f>
        <v>1080250396</v>
      </c>
      <c r="D16596" t="s">
        <v>14037</v>
      </c>
      <c r="E16596">
        <v>-4121.8900000000003</v>
      </c>
      <c r="F16596">
        <v>-1.1399999999999999</v>
      </c>
      <c r="G16596" t="s">
        <v>12</v>
      </c>
      <c r="I16596" t="s">
        <v>1428</v>
      </c>
    </row>
    <row r="16597" spans="1:9" hidden="1" x14ac:dyDescent="0.25">
      <c r="A16597" t="s">
        <v>13993</v>
      </c>
      <c r="B16597" t="s">
        <v>116</v>
      </c>
      <c r="C16597" s="2">
        <f>HYPERLINK("https://cao.dolgi.msk.ru/account/1080250409/", 1080250409)</f>
        <v>1080250409</v>
      </c>
      <c r="D16597" t="s">
        <v>14038</v>
      </c>
      <c r="E16597">
        <v>-11130.12</v>
      </c>
      <c r="F16597">
        <v>-1.28</v>
      </c>
      <c r="G16597" t="s">
        <v>12</v>
      </c>
      <c r="I16597" t="s">
        <v>1428</v>
      </c>
    </row>
    <row r="16598" spans="1:9" hidden="1" x14ac:dyDescent="0.25">
      <c r="A16598" t="s">
        <v>13993</v>
      </c>
      <c r="B16598" t="s">
        <v>118</v>
      </c>
      <c r="C16598" s="2">
        <f>HYPERLINK("https://cao.dolgi.msk.ru/account/1080250417/", 1080250417)</f>
        <v>1080250417</v>
      </c>
      <c r="D16598" t="s">
        <v>14039</v>
      </c>
      <c r="E16598">
        <v>-9385.16</v>
      </c>
      <c r="F16598">
        <v>-1.1499999999999999</v>
      </c>
      <c r="G16598" t="s">
        <v>12</v>
      </c>
      <c r="I16598" t="s">
        <v>1428</v>
      </c>
    </row>
    <row r="16599" spans="1:9" hidden="1" x14ac:dyDescent="0.25">
      <c r="A16599" t="s">
        <v>13993</v>
      </c>
      <c r="B16599" t="s">
        <v>120</v>
      </c>
      <c r="C16599" s="2">
        <f>HYPERLINK("https://cao.dolgi.msk.ru/account/1080250441/", 1080250441)</f>
        <v>1080250441</v>
      </c>
      <c r="D16599" t="s">
        <v>14040</v>
      </c>
      <c r="E16599">
        <v>-7287.31</v>
      </c>
      <c r="F16599">
        <v>-0.89</v>
      </c>
      <c r="G16599" t="s">
        <v>12</v>
      </c>
      <c r="I16599" t="s">
        <v>1428</v>
      </c>
    </row>
    <row r="16600" spans="1:9" hidden="1" x14ac:dyDescent="0.25">
      <c r="A16600" t="s">
        <v>13993</v>
      </c>
      <c r="B16600" t="s">
        <v>122</v>
      </c>
      <c r="C16600" s="2">
        <f>HYPERLINK("https://cao.dolgi.msk.ru/account/1080250468/", 1080250468)</f>
        <v>1080250468</v>
      </c>
      <c r="D16600" t="s">
        <v>14041</v>
      </c>
      <c r="E16600">
        <v>0</v>
      </c>
      <c r="F16600">
        <v>0</v>
      </c>
      <c r="G16600" t="s">
        <v>12</v>
      </c>
      <c r="I16600" t="s">
        <v>1428</v>
      </c>
    </row>
    <row r="16601" spans="1:9" hidden="1" x14ac:dyDescent="0.25">
      <c r="A16601" t="s">
        <v>13993</v>
      </c>
      <c r="B16601" t="s">
        <v>124</v>
      </c>
      <c r="C16601" s="2">
        <f>HYPERLINK("https://cao.dolgi.msk.ru/account/1080250476/", 1080250476)</f>
        <v>1080250476</v>
      </c>
      <c r="D16601" t="s">
        <v>14042</v>
      </c>
      <c r="E16601">
        <v>0</v>
      </c>
      <c r="F16601">
        <v>0</v>
      </c>
      <c r="G16601" t="s">
        <v>12</v>
      </c>
      <c r="I16601" t="s">
        <v>1428</v>
      </c>
    </row>
    <row r="16602" spans="1:9" hidden="1" x14ac:dyDescent="0.25">
      <c r="A16602" t="s">
        <v>14043</v>
      </c>
      <c r="B16602" t="s">
        <v>10</v>
      </c>
      <c r="C16602" s="2">
        <f>HYPERLINK("https://cao.dolgi.msk.ru/account/1080251153/", 1080251153)</f>
        <v>1080251153</v>
      </c>
      <c r="D16602" t="s">
        <v>15</v>
      </c>
      <c r="E16602">
        <v>-7412.73</v>
      </c>
      <c r="F16602">
        <v>-1.49</v>
      </c>
      <c r="G16602" t="s">
        <v>12</v>
      </c>
      <c r="I16602" t="s">
        <v>1428</v>
      </c>
    </row>
    <row r="16603" spans="1:9" hidden="1" x14ac:dyDescent="0.25">
      <c r="A16603" t="s">
        <v>14043</v>
      </c>
      <c r="B16603" t="s">
        <v>16</v>
      </c>
      <c r="C16603" s="2">
        <f>HYPERLINK("https://cao.dolgi.msk.ru/account/1080251161/", 1080251161)</f>
        <v>1080251161</v>
      </c>
      <c r="D16603" t="s">
        <v>14044</v>
      </c>
      <c r="E16603">
        <v>-6914.19</v>
      </c>
      <c r="F16603">
        <v>-1.03</v>
      </c>
      <c r="G16603" t="s">
        <v>12</v>
      </c>
      <c r="I16603" t="s">
        <v>1428</v>
      </c>
    </row>
    <row r="16604" spans="1:9" hidden="1" x14ac:dyDescent="0.25">
      <c r="A16604" t="s">
        <v>14043</v>
      </c>
      <c r="B16604" t="s">
        <v>18</v>
      </c>
      <c r="C16604" s="2">
        <f>HYPERLINK("https://cao.dolgi.msk.ru/account/1080251188/", 1080251188)</f>
        <v>1080251188</v>
      </c>
      <c r="D16604" t="s">
        <v>14045</v>
      </c>
      <c r="E16604">
        <v>-5454.52</v>
      </c>
      <c r="F16604">
        <v>-0.87</v>
      </c>
      <c r="G16604" t="s">
        <v>12</v>
      </c>
      <c r="I16604" t="s">
        <v>1428</v>
      </c>
    </row>
    <row r="16605" spans="1:9" hidden="1" x14ac:dyDescent="0.25">
      <c r="A16605" t="s">
        <v>14043</v>
      </c>
      <c r="B16605" t="s">
        <v>20</v>
      </c>
      <c r="C16605" s="2">
        <f>HYPERLINK("https://cao.dolgi.msk.ru/account/1080251196/", 1080251196)</f>
        <v>1080251196</v>
      </c>
      <c r="D16605" t="s">
        <v>14046</v>
      </c>
      <c r="E16605">
        <v>-4841.8100000000004</v>
      </c>
      <c r="F16605">
        <v>-1.28</v>
      </c>
      <c r="G16605" t="s">
        <v>12</v>
      </c>
      <c r="I16605" t="s">
        <v>1428</v>
      </c>
    </row>
    <row r="16606" spans="1:9" hidden="1" x14ac:dyDescent="0.25">
      <c r="A16606" t="s">
        <v>14043</v>
      </c>
      <c r="B16606" t="s">
        <v>21</v>
      </c>
      <c r="C16606" s="2">
        <f>HYPERLINK("https://cao.dolgi.msk.ru/account/1080251209/", 1080251209)</f>
        <v>1080251209</v>
      </c>
      <c r="D16606" t="s">
        <v>14047</v>
      </c>
      <c r="E16606">
        <v>-2586.46</v>
      </c>
      <c r="F16606">
        <v>-1.07</v>
      </c>
      <c r="G16606" t="s">
        <v>12</v>
      </c>
      <c r="I16606" t="s">
        <v>1428</v>
      </c>
    </row>
    <row r="16607" spans="1:9" hidden="1" x14ac:dyDescent="0.25">
      <c r="A16607" t="s">
        <v>14043</v>
      </c>
      <c r="B16607" t="s">
        <v>22</v>
      </c>
      <c r="C16607" s="2">
        <f>HYPERLINK("https://cao.dolgi.msk.ru/account/1080251217/", 1080251217)</f>
        <v>1080251217</v>
      </c>
      <c r="D16607" t="s">
        <v>14048</v>
      </c>
      <c r="E16607">
        <v>-2229.19</v>
      </c>
      <c r="F16607">
        <v>-1.0900000000000001</v>
      </c>
      <c r="G16607" t="s">
        <v>12</v>
      </c>
      <c r="I16607" t="s">
        <v>1428</v>
      </c>
    </row>
    <row r="16608" spans="1:9" hidden="1" x14ac:dyDescent="0.25">
      <c r="A16608" t="s">
        <v>14043</v>
      </c>
      <c r="B16608" t="s">
        <v>23</v>
      </c>
      <c r="C16608" s="2">
        <f>HYPERLINK("https://cao.dolgi.msk.ru/account/1080251225/", 1080251225)</f>
        <v>1080251225</v>
      </c>
      <c r="D16608" t="s">
        <v>14049</v>
      </c>
      <c r="E16608">
        <v>-3424.29</v>
      </c>
      <c r="F16608">
        <v>-1.26</v>
      </c>
      <c r="G16608" t="s">
        <v>12</v>
      </c>
      <c r="I16608" t="s">
        <v>1428</v>
      </c>
    </row>
    <row r="16609" spans="1:9" hidden="1" x14ac:dyDescent="0.25">
      <c r="A16609" t="s">
        <v>14043</v>
      </c>
      <c r="B16609" t="s">
        <v>24</v>
      </c>
      <c r="C16609" s="2">
        <f>HYPERLINK("https://cao.dolgi.msk.ru/account/1080251233/", 1080251233)</f>
        <v>1080251233</v>
      </c>
      <c r="D16609" t="s">
        <v>14050</v>
      </c>
      <c r="E16609">
        <v>-4606.12</v>
      </c>
      <c r="F16609">
        <v>-1.03</v>
      </c>
      <c r="G16609" t="s">
        <v>12</v>
      </c>
      <c r="I16609" t="s">
        <v>1428</v>
      </c>
    </row>
    <row r="16610" spans="1:9" hidden="1" x14ac:dyDescent="0.25">
      <c r="A16610" t="s">
        <v>14043</v>
      </c>
      <c r="B16610" t="s">
        <v>27</v>
      </c>
      <c r="C16610" s="2">
        <f>HYPERLINK("https://cao.dolgi.msk.ru/account/1080251241/", 1080251241)</f>
        <v>1080251241</v>
      </c>
      <c r="D16610" t="s">
        <v>14051</v>
      </c>
      <c r="E16610">
        <v>-4890.6099999999997</v>
      </c>
      <c r="F16610">
        <v>-1.42</v>
      </c>
      <c r="G16610" t="s">
        <v>12</v>
      </c>
      <c r="I16610" t="s">
        <v>1428</v>
      </c>
    </row>
    <row r="16611" spans="1:9" hidden="1" x14ac:dyDescent="0.25">
      <c r="A16611" t="s">
        <v>14043</v>
      </c>
      <c r="B16611" t="s">
        <v>29</v>
      </c>
      <c r="C16611" s="2">
        <f>HYPERLINK("https://cao.dolgi.msk.ru/account/1080251268/", 1080251268)</f>
        <v>1080251268</v>
      </c>
      <c r="D16611" t="s">
        <v>14052</v>
      </c>
      <c r="E16611">
        <v>-4205.5</v>
      </c>
      <c r="F16611">
        <v>-1.18</v>
      </c>
      <c r="G16611" t="s">
        <v>12</v>
      </c>
      <c r="I16611" t="s">
        <v>1428</v>
      </c>
    </row>
    <row r="16612" spans="1:9" x14ac:dyDescent="0.25">
      <c r="A16612" t="s">
        <v>14043</v>
      </c>
      <c r="B16612" t="s">
        <v>31</v>
      </c>
      <c r="C16612" s="2">
        <f>HYPERLINK("https://cao.dolgi.msk.ru/account/1080251276/", 1080251276)</f>
        <v>1080251276</v>
      </c>
      <c r="D16612" t="s">
        <v>14053</v>
      </c>
      <c r="E16612">
        <v>9562</v>
      </c>
      <c r="F16612">
        <v>2</v>
      </c>
      <c r="G16612" t="s">
        <v>12</v>
      </c>
      <c r="I16612" t="s">
        <v>1428</v>
      </c>
    </row>
    <row r="16613" spans="1:9" hidden="1" x14ac:dyDescent="0.25">
      <c r="A16613" t="s">
        <v>14043</v>
      </c>
      <c r="B16613" t="s">
        <v>33</v>
      </c>
      <c r="C16613" s="2">
        <f>HYPERLINK("https://cao.dolgi.msk.ru/account/1080251284/", 1080251284)</f>
        <v>1080251284</v>
      </c>
      <c r="D16613" t="s">
        <v>14054</v>
      </c>
      <c r="E16613">
        <v>-2367.8200000000002</v>
      </c>
      <c r="F16613">
        <v>-0.72</v>
      </c>
      <c r="G16613" t="s">
        <v>12</v>
      </c>
      <c r="I16613" t="s">
        <v>1428</v>
      </c>
    </row>
    <row r="16614" spans="1:9" hidden="1" x14ac:dyDescent="0.25">
      <c r="A16614" t="s">
        <v>14043</v>
      </c>
      <c r="B16614" t="s">
        <v>34</v>
      </c>
      <c r="C16614" s="2">
        <f>HYPERLINK("https://cao.dolgi.msk.ru/account/1080251292/", 1080251292)</f>
        <v>1080251292</v>
      </c>
      <c r="D16614" t="s">
        <v>14055</v>
      </c>
      <c r="E16614">
        <v>-3465.65</v>
      </c>
      <c r="F16614">
        <v>-1.2</v>
      </c>
      <c r="G16614" t="s">
        <v>12</v>
      </c>
      <c r="I16614" t="s">
        <v>1428</v>
      </c>
    </row>
    <row r="16615" spans="1:9" hidden="1" x14ac:dyDescent="0.25">
      <c r="A16615" t="s">
        <v>14043</v>
      </c>
      <c r="B16615" t="s">
        <v>36</v>
      </c>
      <c r="C16615" s="2">
        <f>HYPERLINK("https://cao.dolgi.msk.ru/account/1080251305/", 1080251305)</f>
        <v>1080251305</v>
      </c>
      <c r="D16615" t="s">
        <v>14056</v>
      </c>
      <c r="E16615">
        <v>-3075.32</v>
      </c>
      <c r="F16615">
        <v>-0.93</v>
      </c>
      <c r="G16615" t="s">
        <v>12</v>
      </c>
      <c r="I16615" t="s">
        <v>1428</v>
      </c>
    </row>
    <row r="16616" spans="1:9" hidden="1" x14ac:dyDescent="0.25">
      <c r="A16616" t="s">
        <v>14043</v>
      </c>
      <c r="B16616" t="s">
        <v>38</v>
      </c>
      <c r="C16616" s="2">
        <f>HYPERLINK("https://cao.dolgi.msk.ru/account/1080251313/", 1080251313)</f>
        <v>1080251313</v>
      </c>
      <c r="D16616" t="s">
        <v>14057</v>
      </c>
      <c r="E16616">
        <v>-5039.37</v>
      </c>
      <c r="F16616">
        <v>-1.08</v>
      </c>
      <c r="G16616" t="s">
        <v>12</v>
      </c>
      <c r="I16616" t="s">
        <v>1428</v>
      </c>
    </row>
    <row r="16617" spans="1:9" hidden="1" x14ac:dyDescent="0.25">
      <c r="A16617" t="s">
        <v>14043</v>
      </c>
      <c r="B16617" t="s">
        <v>39</v>
      </c>
      <c r="C16617" s="2">
        <f>HYPERLINK("https://cao.dolgi.msk.ru/account/1080251321/", 1080251321)</f>
        <v>1080251321</v>
      </c>
      <c r="D16617" t="s">
        <v>14058</v>
      </c>
      <c r="E16617">
        <v>-3378.07</v>
      </c>
      <c r="F16617">
        <v>-1.23</v>
      </c>
      <c r="G16617" t="s">
        <v>12</v>
      </c>
      <c r="I16617" t="s">
        <v>1428</v>
      </c>
    </row>
    <row r="16618" spans="1:9" hidden="1" x14ac:dyDescent="0.25">
      <c r="A16618" t="s">
        <v>14043</v>
      </c>
      <c r="B16618" t="s">
        <v>40</v>
      </c>
      <c r="C16618" s="2">
        <f>HYPERLINK("https://cao.dolgi.msk.ru/account/1080251348/", 1080251348)</f>
        <v>1080251348</v>
      </c>
      <c r="D16618" t="s">
        <v>14059</v>
      </c>
      <c r="E16618">
        <v>-4355.8999999999996</v>
      </c>
      <c r="F16618">
        <v>-1.45</v>
      </c>
      <c r="G16618" t="s">
        <v>12</v>
      </c>
      <c r="I16618" t="s">
        <v>1428</v>
      </c>
    </row>
    <row r="16619" spans="1:9" hidden="1" x14ac:dyDescent="0.25">
      <c r="A16619" t="s">
        <v>14043</v>
      </c>
      <c r="B16619" t="s">
        <v>41</v>
      </c>
      <c r="C16619" s="2">
        <f>HYPERLINK("https://cao.dolgi.msk.ru/account/1080251356/", 1080251356)</f>
        <v>1080251356</v>
      </c>
      <c r="D16619" t="s">
        <v>14060</v>
      </c>
      <c r="E16619">
        <v>-1032.81</v>
      </c>
      <c r="F16619">
        <v>-0.2</v>
      </c>
      <c r="G16619" t="s">
        <v>12</v>
      </c>
      <c r="I16619" t="s">
        <v>1428</v>
      </c>
    </row>
    <row r="16620" spans="1:9" hidden="1" x14ac:dyDescent="0.25">
      <c r="A16620" t="s">
        <v>14043</v>
      </c>
      <c r="B16620" t="s">
        <v>42</v>
      </c>
      <c r="C16620" s="2">
        <f>HYPERLINK("https://cao.dolgi.msk.ru/account/1080251364/", 1080251364)</f>
        <v>1080251364</v>
      </c>
      <c r="D16620" t="s">
        <v>15</v>
      </c>
      <c r="E16620">
        <v>-4733.62</v>
      </c>
      <c r="F16620">
        <v>-1.1100000000000001</v>
      </c>
      <c r="G16620" t="s">
        <v>12</v>
      </c>
      <c r="I16620" t="s">
        <v>1428</v>
      </c>
    </row>
    <row r="16621" spans="1:9" hidden="1" x14ac:dyDescent="0.25">
      <c r="A16621" t="s">
        <v>14043</v>
      </c>
      <c r="B16621" t="s">
        <v>44</v>
      </c>
      <c r="C16621" s="2">
        <f>HYPERLINK("https://cao.dolgi.msk.ru/account/1080251372/", 1080251372)</f>
        <v>1080251372</v>
      </c>
      <c r="D16621" t="s">
        <v>14061</v>
      </c>
      <c r="E16621">
        <v>-5408.78</v>
      </c>
      <c r="F16621">
        <v>-1.22</v>
      </c>
      <c r="G16621" t="s">
        <v>12</v>
      </c>
      <c r="I16621" t="s">
        <v>1428</v>
      </c>
    </row>
    <row r="16622" spans="1:9" hidden="1" x14ac:dyDescent="0.25">
      <c r="A16622" t="s">
        <v>14043</v>
      </c>
      <c r="B16622" t="s">
        <v>66</v>
      </c>
      <c r="C16622" s="2">
        <f>HYPERLINK("https://cao.dolgi.msk.ru/account/1080251399/", 1080251399)</f>
        <v>1080251399</v>
      </c>
      <c r="D16622" t="s">
        <v>14062</v>
      </c>
      <c r="E16622">
        <v>-1923.72</v>
      </c>
      <c r="F16622">
        <v>-0.41</v>
      </c>
      <c r="G16622" t="s">
        <v>12</v>
      </c>
      <c r="I16622" t="s">
        <v>1428</v>
      </c>
    </row>
    <row r="16623" spans="1:9" hidden="1" x14ac:dyDescent="0.25">
      <c r="A16623" t="s">
        <v>14043</v>
      </c>
      <c r="B16623" t="s">
        <v>68</v>
      </c>
      <c r="C16623" s="2">
        <f>HYPERLINK("https://cao.dolgi.msk.ru/account/1080251401/", 1080251401)</f>
        <v>1080251401</v>
      </c>
      <c r="D16623" t="s">
        <v>14063</v>
      </c>
      <c r="E16623">
        <v>-3961.41</v>
      </c>
      <c r="F16623">
        <v>-0.57999999999999996</v>
      </c>
      <c r="G16623" t="s">
        <v>12</v>
      </c>
      <c r="I16623" t="s">
        <v>1428</v>
      </c>
    </row>
    <row r="16624" spans="1:9" hidden="1" x14ac:dyDescent="0.25">
      <c r="A16624" t="s">
        <v>14043</v>
      </c>
      <c r="B16624" t="s">
        <v>70</v>
      </c>
      <c r="C16624" s="2">
        <f>HYPERLINK("https://cao.dolgi.msk.ru/account/1080251428/", 1080251428)</f>
        <v>1080251428</v>
      </c>
      <c r="D16624" t="s">
        <v>14064</v>
      </c>
      <c r="E16624">
        <v>-4291.8</v>
      </c>
      <c r="F16624">
        <v>-1.1599999999999999</v>
      </c>
      <c r="G16624" t="s">
        <v>12</v>
      </c>
      <c r="I16624" t="s">
        <v>1428</v>
      </c>
    </row>
    <row r="16625" spans="1:9" hidden="1" x14ac:dyDescent="0.25">
      <c r="A16625" t="s">
        <v>14043</v>
      </c>
      <c r="B16625" t="s">
        <v>72</v>
      </c>
      <c r="C16625" s="2">
        <f>HYPERLINK("https://cao.dolgi.msk.ru/account/1080251436/", 1080251436)</f>
        <v>1080251436</v>
      </c>
      <c r="D16625" t="s">
        <v>14065</v>
      </c>
      <c r="E16625">
        <v>-5469.42</v>
      </c>
      <c r="F16625">
        <v>-0.97</v>
      </c>
      <c r="G16625" t="s">
        <v>12</v>
      </c>
      <c r="I16625" t="s">
        <v>1428</v>
      </c>
    </row>
    <row r="16626" spans="1:9" hidden="1" x14ac:dyDescent="0.25">
      <c r="A16626" t="s">
        <v>14043</v>
      </c>
      <c r="B16626" t="s">
        <v>74</v>
      </c>
      <c r="C16626" s="2">
        <f>HYPERLINK("https://cao.dolgi.msk.ru/account/1080251444/", 1080251444)</f>
        <v>1080251444</v>
      </c>
      <c r="D16626" t="s">
        <v>14066</v>
      </c>
      <c r="E16626">
        <v>-4148.84</v>
      </c>
      <c r="F16626">
        <v>-1.02</v>
      </c>
      <c r="G16626" t="s">
        <v>12</v>
      </c>
      <c r="I16626" t="s">
        <v>1428</v>
      </c>
    </row>
    <row r="16627" spans="1:9" hidden="1" x14ac:dyDescent="0.25">
      <c r="A16627" t="s">
        <v>14043</v>
      </c>
      <c r="B16627" t="s">
        <v>76</v>
      </c>
      <c r="C16627" s="2">
        <f>HYPERLINK("https://cao.dolgi.msk.ru/account/1080251452/", 1080251452)</f>
        <v>1080251452</v>
      </c>
      <c r="D16627" t="s">
        <v>14067</v>
      </c>
      <c r="E16627">
        <v>-5567.46</v>
      </c>
      <c r="F16627">
        <v>-1.08</v>
      </c>
      <c r="G16627" t="s">
        <v>12</v>
      </c>
      <c r="I16627" t="s">
        <v>1428</v>
      </c>
    </row>
    <row r="16628" spans="1:9" x14ac:dyDescent="0.25">
      <c r="A16628" t="s">
        <v>14043</v>
      </c>
      <c r="B16628" t="s">
        <v>78</v>
      </c>
      <c r="C16628" s="2">
        <f>HYPERLINK("https://cao.dolgi.msk.ru/account/1080251479/", 1080251479)</f>
        <v>1080251479</v>
      </c>
      <c r="D16628" t="s">
        <v>14068</v>
      </c>
      <c r="E16628">
        <v>6606.28</v>
      </c>
      <c r="F16628">
        <v>1.6</v>
      </c>
      <c r="G16628" t="s">
        <v>12</v>
      </c>
      <c r="I16628" t="s">
        <v>1428</v>
      </c>
    </row>
    <row r="16629" spans="1:9" hidden="1" x14ac:dyDescent="0.25">
      <c r="A16629" t="s">
        <v>14043</v>
      </c>
      <c r="B16629" t="s">
        <v>80</v>
      </c>
      <c r="C16629" s="2">
        <f>HYPERLINK("https://cao.dolgi.msk.ru/account/1080251487/", 1080251487)</f>
        <v>1080251487</v>
      </c>
      <c r="D16629" t="s">
        <v>14069</v>
      </c>
      <c r="E16629">
        <v>-2829.83</v>
      </c>
      <c r="F16629">
        <v>-0.56999999999999995</v>
      </c>
      <c r="G16629" t="s">
        <v>12</v>
      </c>
      <c r="I16629" t="s">
        <v>1428</v>
      </c>
    </row>
    <row r="16630" spans="1:9" x14ac:dyDescent="0.25">
      <c r="A16630" t="s">
        <v>14043</v>
      </c>
      <c r="B16630" t="s">
        <v>82</v>
      </c>
      <c r="C16630" s="2">
        <f>HYPERLINK("https://cao.dolgi.msk.ru/account/1080251495/", 1080251495)</f>
        <v>1080251495</v>
      </c>
      <c r="D16630" t="s">
        <v>14070</v>
      </c>
      <c r="E16630">
        <v>7966.71</v>
      </c>
      <c r="F16630">
        <v>1.86</v>
      </c>
      <c r="G16630" t="s">
        <v>12</v>
      </c>
      <c r="I16630" t="s">
        <v>1428</v>
      </c>
    </row>
    <row r="16631" spans="1:9" hidden="1" x14ac:dyDescent="0.25">
      <c r="A16631" t="s">
        <v>14043</v>
      </c>
      <c r="B16631" t="s">
        <v>84</v>
      </c>
      <c r="C16631" s="2">
        <f>HYPERLINK("https://cao.dolgi.msk.ru/account/1080251508/", 1080251508)</f>
        <v>1080251508</v>
      </c>
      <c r="D16631" t="s">
        <v>14071</v>
      </c>
      <c r="E16631">
        <v>19.399999999999999</v>
      </c>
      <c r="F16631">
        <v>0</v>
      </c>
      <c r="G16631" t="s">
        <v>12</v>
      </c>
      <c r="I16631" t="s">
        <v>1428</v>
      </c>
    </row>
    <row r="16632" spans="1:9" hidden="1" x14ac:dyDescent="0.25">
      <c r="A16632" t="s">
        <v>14043</v>
      </c>
      <c r="B16632" t="s">
        <v>86</v>
      </c>
      <c r="C16632" s="2">
        <f>HYPERLINK("https://cao.dolgi.msk.ru/account/1080251516/", 1080251516)</f>
        <v>1080251516</v>
      </c>
      <c r="D16632" t="s">
        <v>14072</v>
      </c>
      <c r="E16632">
        <v>-4214.57</v>
      </c>
      <c r="F16632">
        <v>-1.1200000000000001</v>
      </c>
      <c r="G16632" t="s">
        <v>12</v>
      </c>
      <c r="I16632" t="s">
        <v>1428</v>
      </c>
    </row>
    <row r="16633" spans="1:9" hidden="1" x14ac:dyDescent="0.25">
      <c r="A16633" t="s">
        <v>14043</v>
      </c>
      <c r="B16633" t="s">
        <v>88</v>
      </c>
      <c r="C16633" s="2">
        <f>HYPERLINK("https://cao.dolgi.msk.ru/account/1080251524/", 1080251524)</f>
        <v>1080251524</v>
      </c>
      <c r="D16633" t="s">
        <v>14073</v>
      </c>
      <c r="E16633">
        <v>-21379.599999999999</v>
      </c>
      <c r="F16633">
        <v>-4.8099999999999996</v>
      </c>
      <c r="G16633" t="s">
        <v>12</v>
      </c>
      <c r="I16633" t="s">
        <v>1428</v>
      </c>
    </row>
    <row r="16634" spans="1:9" hidden="1" x14ac:dyDescent="0.25">
      <c r="A16634" t="s">
        <v>14043</v>
      </c>
      <c r="B16634" t="s">
        <v>90</v>
      </c>
      <c r="C16634" s="2">
        <f>HYPERLINK("https://cao.dolgi.msk.ru/account/1080251532/", 1080251532)</f>
        <v>1080251532</v>
      </c>
      <c r="D16634" t="s">
        <v>14074</v>
      </c>
      <c r="E16634">
        <v>-5000.43</v>
      </c>
      <c r="F16634">
        <v>-1.21</v>
      </c>
      <c r="G16634" t="s">
        <v>12</v>
      </c>
      <c r="I16634" t="s">
        <v>1428</v>
      </c>
    </row>
    <row r="16635" spans="1:9" hidden="1" x14ac:dyDescent="0.25">
      <c r="A16635" t="s">
        <v>14043</v>
      </c>
      <c r="B16635" t="s">
        <v>92</v>
      </c>
      <c r="C16635" s="2">
        <f>HYPERLINK("https://cao.dolgi.msk.ru/account/1080251559/", 1080251559)</f>
        <v>1080251559</v>
      </c>
      <c r="D16635" t="s">
        <v>14075</v>
      </c>
      <c r="E16635">
        <v>0</v>
      </c>
      <c r="G16635" t="s">
        <v>12</v>
      </c>
      <c r="I16635" t="s">
        <v>1428</v>
      </c>
    </row>
    <row r="16636" spans="1:9" hidden="1" x14ac:dyDescent="0.25">
      <c r="A16636" t="s">
        <v>14043</v>
      </c>
      <c r="B16636" t="s">
        <v>94</v>
      </c>
      <c r="C16636" s="2">
        <f>HYPERLINK("https://cao.dolgi.msk.ru/account/1080251567/", 1080251567)</f>
        <v>1080251567</v>
      </c>
      <c r="D16636" t="s">
        <v>14076</v>
      </c>
      <c r="E16636">
        <v>-4556.97</v>
      </c>
      <c r="F16636">
        <v>-1.0900000000000001</v>
      </c>
      <c r="G16636" t="s">
        <v>12</v>
      </c>
      <c r="I16636" t="s">
        <v>1428</v>
      </c>
    </row>
    <row r="16637" spans="1:9" hidden="1" x14ac:dyDescent="0.25">
      <c r="A16637" t="s">
        <v>14043</v>
      </c>
      <c r="B16637" t="s">
        <v>96</v>
      </c>
      <c r="C16637" s="2">
        <f>HYPERLINK("https://cao.dolgi.msk.ru/account/1080251575/", 1080251575)</f>
        <v>1080251575</v>
      </c>
      <c r="D16637" t="s">
        <v>14077</v>
      </c>
      <c r="E16637">
        <v>-5295.92</v>
      </c>
      <c r="F16637">
        <v>-1.27</v>
      </c>
      <c r="G16637" t="s">
        <v>12</v>
      </c>
      <c r="I16637" t="s">
        <v>1428</v>
      </c>
    </row>
    <row r="16638" spans="1:9" hidden="1" x14ac:dyDescent="0.25">
      <c r="A16638" t="s">
        <v>14043</v>
      </c>
      <c r="B16638" t="s">
        <v>98</v>
      </c>
      <c r="C16638" s="2">
        <f>HYPERLINK("https://cao.dolgi.msk.ru/account/1080251583/", 1080251583)</f>
        <v>1080251583</v>
      </c>
      <c r="D16638" t="s">
        <v>14078</v>
      </c>
      <c r="E16638">
        <v>-4795.9799999999996</v>
      </c>
      <c r="F16638">
        <v>-1.1499999999999999</v>
      </c>
      <c r="G16638" t="s">
        <v>12</v>
      </c>
      <c r="I16638" t="s">
        <v>1428</v>
      </c>
    </row>
    <row r="16639" spans="1:9" hidden="1" x14ac:dyDescent="0.25">
      <c r="A16639" t="s">
        <v>14043</v>
      </c>
      <c r="B16639" t="s">
        <v>100</v>
      </c>
      <c r="C16639" s="2">
        <f>HYPERLINK("https://cao.dolgi.msk.ru/account/1080251591/", 1080251591)</f>
        <v>1080251591</v>
      </c>
      <c r="D16639" t="s">
        <v>14079</v>
      </c>
      <c r="E16639">
        <v>-2521.4499999999998</v>
      </c>
      <c r="F16639">
        <v>-1.02</v>
      </c>
      <c r="G16639" t="s">
        <v>12</v>
      </c>
      <c r="I16639" t="s">
        <v>1428</v>
      </c>
    </row>
    <row r="16640" spans="1:9" hidden="1" x14ac:dyDescent="0.25">
      <c r="A16640" t="s">
        <v>14043</v>
      </c>
      <c r="B16640" t="s">
        <v>100</v>
      </c>
      <c r="C16640" s="2">
        <f>HYPERLINK("https://cao.dolgi.msk.ru/account/1080320972/", 1080320972)</f>
        <v>1080320972</v>
      </c>
      <c r="D16640" t="s">
        <v>14080</v>
      </c>
      <c r="G16640" t="s">
        <v>14</v>
      </c>
      <c r="I16640" t="s">
        <v>1428</v>
      </c>
    </row>
    <row r="16641" spans="1:9" hidden="1" x14ac:dyDescent="0.25">
      <c r="A16641" t="s">
        <v>14043</v>
      </c>
      <c r="B16641" t="s">
        <v>100</v>
      </c>
      <c r="C16641" s="2">
        <f>HYPERLINK("https://cao.dolgi.msk.ru/account/1080320999/", 1080320999)</f>
        <v>1080320999</v>
      </c>
      <c r="D16641" t="s">
        <v>14081</v>
      </c>
      <c r="E16641">
        <v>1434.23</v>
      </c>
      <c r="F16641">
        <v>0.36</v>
      </c>
      <c r="G16641" t="s">
        <v>12</v>
      </c>
      <c r="I16641" t="s">
        <v>1428</v>
      </c>
    </row>
    <row r="16642" spans="1:9" hidden="1" x14ac:dyDescent="0.25">
      <c r="A16642" t="s">
        <v>14043</v>
      </c>
      <c r="B16642" t="s">
        <v>102</v>
      </c>
      <c r="C16642" s="2">
        <f>HYPERLINK("https://cao.dolgi.msk.ru/account/1080251604/", 1080251604)</f>
        <v>1080251604</v>
      </c>
      <c r="D16642" t="s">
        <v>14082</v>
      </c>
      <c r="E16642">
        <v>-5926.01</v>
      </c>
      <c r="F16642">
        <v>-1.4</v>
      </c>
      <c r="G16642" t="s">
        <v>12</v>
      </c>
      <c r="I16642" t="s">
        <v>1428</v>
      </c>
    </row>
    <row r="16643" spans="1:9" hidden="1" x14ac:dyDescent="0.25">
      <c r="A16643" t="s">
        <v>14043</v>
      </c>
      <c r="B16643" t="s">
        <v>104</v>
      </c>
      <c r="C16643" s="2">
        <f>HYPERLINK("https://cao.dolgi.msk.ru/account/1080251612/", 1080251612)</f>
        <v>1080251612</v>
      </c>
      <c r="D16643" t="s">
        <v>14083</v>
      </c>
      <c r="E16643">
        <v>-6860.98</v>
      </c>
      <c r="F16643">
        <v>-1.33</v>
      </c>
      <c r="G16643" t="s">
        <v>12</v>
      </c>
      <c r="I16643" t="s">
        <v>1428</v>
      </c>
    </row>
    <row r="16644" spans="1:9" hidden="1" x14ac:dyDescent="0.25">
      <c r="A16644" t="s">
        <v>14043</v>
      </c>
      <c r="B16644" t="s">
        <v>106</v>
      </c>
      <c r="C16644" s="2">
        <f>HYPERLINK("https://cao.dolgi.msk.ru/account/1080251639/", 1080251639)</f>
        <v>1080251639</v>
      </c>
      <c r="D16644" t="s">
        <v>14084</v>
      </c>
      <c r="E16644">
        <v>-469.53</v>
      </c>
      <c r="F16644">
        <v>-0.13</v>
      </c>
      <c r="G16644" t="s">
        <v>12</v>
      </c>
      <c r="I16644" t="s">
        <v>1428</v>
      </c>
    </row>
    <row r="16645" spans="1:9" hidden="1" x14ac:dyDescent="0.25">
      <c r="A16645" t="s">
        <v>14043</v>
      </c>
      <c r="B16645" t="s">
        <v>106</v>
      </c>
      <c r="C16645" s="2">
        <f>HYPERLINK("https://cao.dolgi.msk.ru/account/1089124062/", 1089124062)</f>
        <v>1089124062</v>
      </c>
      <c r="D16645" t="s">
        <v>14084</v>
      </c>
      <c r="E16645">
        <v>0</v>
      </c>
      <c r="G16645" t="s">
        <v>14</v>
      </c>
      <c r="I16645" t="s">
        <v>1428</v>
      </c>
    </row>
    <row r="16646" spans="1:9" hidden="1" x14ac:dyDescent="0.25">
      <c r="A16646" t="s">
        <v>14043</v>
      </c>
      <c r="B16646" t="s">
        <v>108</v>
      </c>
      <c r="C16646" s="2">
        <f>HYPERLINK("https://cao.dolgi.msk.ru/account/1080251647/", 1080251647)</f>
        <v>1080251647</v>
      </c>
      <c r="D16646" t="s">
        <v>14085</v>
      </c>
      <c r="E16646">
        <v>-1102.77</v>
      </c>
      <c r="F16646">
        <v>-0.12</v>
      </c>
      <c r="G16646" t="s">
        <v>12</v>
      </c>
      <c r="I16646" t="s">
        <v>1428</v>
      </c>
    </row>
    <row r="16647" spans="1:9" hidden="1" x14ac:dyDescent="0.25">
      <c r="A16647" t="s">
        <v>14043</v>
      </c>
      <c r="B16647" t="s">
        <v>110</v>
      </c>
      <c r="C16647" s="2">
        <f>HYPERLINK("https://cao.dolgi.msk.ru/account/1080251655/", 1080251655)</f>
        <v>1080251655</v>
      </c>
      <c r="D16647" t="s">
        <v>14086</v>
      </c>
      <c r="E16647">
        <v>-4734.43</v>
      </c>
      <c r="F16647">
        <v>-1.1000000000000001</v>
      </c>
      <c r="G16647" t="s">
        <v>12</v>
      </c>
      <c r="I16647" t="s">
        <v>1428</v>
      </c>
    </row>
    <row r="16648" spans="1:9" hidden="1" x14ac:dyDescent="0.25">
      <c r="A16648" t="s">
        <v>14043</v>
      </c>
      <c r="B16648" t="s">
        <v>112</v>
      </c>
      <c r="C16648" s="2">
        <f>HYPERLINK("https://cao.dolgi.msk.ru/account/1080251663/", 1080251663)</f>
        <v>1080251663</v>
      </c>
      <c r="D16648" t="s">
        <v>14087</v>
      </c>
      <c r="E16648">
        <v>-5046.51</v>
      </c>
      <c r="F16648">
        <v>-1.21</v>
      </c>
      <c r="G16648" t="s">
        <v>12</v>
      </c>
      <c r="I16648" t="s">
        <v>1428</v>
      </c>
    </row>
    <row r="16649" spans="1:9" x14ac:dyDescent="0.25">
      <c r="A16649" t="s">
        <v>14043</v>
      </c>
      <c r="B16649" t="s">
        <v>114</v>
      </c>
      <c r="C16649" s="2">
        <f>HYPERLINK("https://cao.dolgi.msk.ru/account/1080251671/", 1080251671)</f>
        <v>1080251671</v>
      </c>
      <c r="D16649" t="s">
        <v>14088</v>
      </c>
      <c r="E16649">
        <v>26047.53</v>
      </c>
      <c r="F16649">
        <v>6.53</v>
      </c>
      <c r="G16649" t="s">
        <v>12</v>
      </c>
      <c r="I16649" t="s">
        <v>1428</v>
      </c>
    </row>
    <row r="16650" spans="1:9" hidden="1" x14ac:dyDescent="0.25">
      <c r="A16650" t="s">
        <v>14043</v>
      </c>
      <c r="B16650" t="s">
        <v>116</v>
      </c>
      <c r="C16650" s="2">
        <f>HYPERLINK("https://cao.dolgi.msk.ru/account/1080251698/", 1080251698)</f>
        <v>1080251698</v>
      </c>
      <c r="D16650" t="s">
        <v>14089</v>
      </c>
      <c r="E16650">
        <v>-3882.16</v>
      </c>
      <c r="F16650">
        <v>-1.1399999999999999</v>
      </c>
      <c r="G16650" t="s">
        <v>12</v>
      </c>
      <c r="I16650" t="s">
        <v>1428</v>
      </c>
    </row>
    <row r="16651" spans="1:9" hidden="1" x14ac:dyDescent="0.25">
      <c r="A16651" t="s">
        <v>14043</v>
      </c>
      <c r="B16651" t="s">
        <v>118</v>
      </c>
      <c r="C16651" s="2">
        <f>HYPERLINK("https://cao.dolgi.msk.ru/account/1080251719/", 1080251719)</f>
        <v>1080251719</v>
      </c>
      <c r="D16651" t="s">
        <v>14090</v>
      </c>
      <c r="E16651">
        <v>-3626.12</v>
      </c>
      <c r="F16651">
        <v>-0.99</v>
      </c>
      <c r="G16651" t="s">
        <v>12</v>
      </c>
      <c r="I16651" t="s">
        <v>1428</v>
      </c>
    </row>
    <row r="16652" spans="1:9" hidden="1" x14ac:dyDescent="0.25">
      <c r="A16652" t="s">
        <v>14043</v>
      </c>
      <c r="B16652" t="s">
        <v>118</v>
      </c>
      <c r="C16652" s="2">
        <f>HYPERLINK("https://cao.dolgi.msk.ru/account/1080325781/", 1080325781)</f>
        <v>1080325781</v>
      </c>
      <c r="D16652" t="s">
        <v>14090</v>
      </c>
      <c r="E16652">
        <v>-3028.86</v>
      </c>
      <c r="F16652">
        <v>-1.65</v>
      </c>
      <c r="G16652" t="s">
        <v>12</v>
      </c>
      <c r="I16652" t="s">
        <v>1428</v>
      </c>
    </row>
    <row r="16653" spans="1:9" hidden="1" x14ac:dyDescent="0.25">
      <c r="A16653" t="s">
        <v>14043</v>
      </c>
      <c r="B16653" t="s">
        <v>120</v>
      </c>
      <c r="C16653" s="2">
        <f>HYPERLINK("https://cao.dolgi.msk.ru/account/1080251727/", 1080251727)</f>
        <v>1080251727</v>
      </c>
      <c r="D16653" t="s">
        <v>14091</v>
      </c>
      <c r="E16653">
        <v>-3243.34</v>
      </c>
      <c r="F16653">
        <v>-1.0900000000000001</v>
      </c>
      <c r="G16653" t="s">
        <v>12</v>
      </c>
      <c r="I16653" t="s">
        <v>1428</v>
      </c>
    </row>
    <row r="16654" spans="1:9" hidden="1" x14ac:dyDescent="0.25">
      <c r="A16654" t="s">
        <v>14043</v>
      </c>
      <c r="B16654" t="s">
        <v>122</v>
      </c>
      <c r="C16654" s="2">
        <f>HYPERLINK("https://cao.dolgi.msk.ru/account/1080251735/", 1080251735)</f>
        <v>1080251735</v>
      </c>
      <c r="D16654" t="s">
        <v>14092</v>
      </c>
      <c r="E16654">
        <v>-879.54</v>
      </c>
      <c r="F16654">
        <v>-0.3</v>
      </c>
      <c r="G16654" t="s">
        <v>12</v>
      </c>
      <c r="I16654" t="s">
        <v>1428</v>
      </c>
    </row>
    <row r="16655" spans="1:9" hidden="1" x14ac:dyDescent="0.25">
      <c r="A16655" t="s">
        <v>14043</v>
      </c>
      <c r="B16655" t="s">
        <v>124</v>
      </c>
      <c r="C16655" s="2">
        <f>HYPERLINK("https://cao.dolgi.msk.ru/account/1080251743/", 1080251743)</f>
        <v>1080251743</v>
      </c>
      <c r="D16655" t="s">
        <v>14093</v>
      </c>
      <c r="E16655">
        <v>-19.399999999999999</v>
      </c>
      <c r="F16655">
        <v>0</v>
      </c>
      <c r="G16655" t="s">
        <v>12</v>
      </c>
      <c r="I16655" t="s">
        <v>1428</v>
      </c>
    </row>
    <row r="16656" spans="1:9" hidden="1" x14ac:dyDescent="0.25">
      <c r="A16656" t="s">
        <v>14043</v>
      </c>
      <c r="B16656" t="s">
        <v>126</v>
      </c>
      <c r="C16656" s="2">
        <f>HYPERLINK("https://cao.dolgi.msk.ru/account/1080251751/", 1080251751)</f>
        <v>1080251751</v>
      </c>
      <c r="D16656" t="s">
        <v>14094</v>
      </c>
      <c r="E16656">
        <v>1.43</v>
      </c>
      <c r="F16656">
        <v>0</v>
      </c>
      <c r="G16656" t="s">
        <v>12</v>
      </c>
      <c r="I16656" t="s">
        <v>1428</v>
      </c>
    </row>
    <row r="16657" spans="1:9" hidden="1" x14ac:dyDescent="0.25">
      <c r="A16657" t="s">
        <v>14043</v>
      </c>
      <c r="B16657" t="s">
        <v>128</v>
      </c>
      <c r="C16657" s="2">
        <f>HYPERLINK("https://cao.dolgi.msk.ru/account/1080251778/", 1080251778)</f>
        <v>1080251778</v>
      </c>
      <c r="D16657" t="s">
        <v>14095</v>
      </c>
      <c r="E16657">
        <v>-7119.6</v>
      </c>
      <c r="F16657">
        <v>-1.27</v>
      </c>
      <c r="G16657" t="s">
        <v>12</v>
      </c>
      <c r="I16657" t="s">
        <v>1428</v>
      </c>
    </row>
    <row r="16658" spans="1:9" hidden="1" x14ac:dyDescent="0.25">
      <c r="A16658" t="s">
        <v>14043</v>
      </c>
      <c r="B16658" t="s">
        <v>130</v>
      </c>
      <c r="C16658" s="2">
        <f>HYPERLINK("https://cao.dolgi.msk.ru/account/1080251786/", 1080251786)</f>
        <v>1080251786</v>
      </c>
      <c r="D16658" t="s">
        <v>14096</v>
      </c>
      <c r="E16658">
        <v>-5004.8900000000003</v>
      </c>
      <c r="F16658">
        <v>-1.1100000000000001</v>
      </c>
      <c r="G16658" t="s">
        <v>12</v>
      </c>
      <c r="I16658" t="s">
        <v>1428</v>
      </c>
    </row>
    <row r="16659" spans="1:9" hidden="1" x14ac:dyDescent="0.25">
      <c r="A16659" t="s">
        <v>14043</v>
      </c>
      <c r="B16659" t="s">
        <v>132</v>
      </c>
      <c r="C16659" s="2">
        <f>HYPERLINK("https://cao.dolgi.msk.ru/account/1080251794/", 1080251794)</f>
        <v>1080251794</v>
      </c>
      <c r="D16659" t="s">
        <v>14097</v>
      </c>
      <c r="E16659">
        <v>-6157.77</v>
      </c>
      <c r="F16659">
        <v>-1</v>
      </c>
      <c r="G16659" t="s">
        <v>12</v>
      </c>
      <c r="I16659" t="s">
        <v>1428</v>
      </c>
    </row>
    <row r="16660" spans="1:9" hidden="1" x14ac:dyDescent="0.25">
      <c r="A16660" t="s">
        <v>14043</v>
      </c>
      <c r="B16660" t="s">
        <v>133</v>
      </c>
      <c r="C16660" s="2">
        <f>HYPERLINK("https://cao.dolgi.msk.ru/account/1080251807/", 1080251807)</f>
        <v>1080251807</v>
      </c>
      <c r="D16660" t="s">
        <v>14098</v>
      </c>
      <c r="E16660">
        <v>-7986.14</v>
      </c>
      <c r="F16660">
        <v>-1.34</v>
      </c>
      <c r="G16660" t="s">
        <v>12</v>
      </c>
      <c r="I16660" t="s">
        <v>1428</v>
      </c>
    </row>
    <row r="16661" spans="1:9" hidden="1" x14ac:dyDescent="0.25">
      <c r="A16661" t="s">
        <v>14043</v>
      </c>
      <c r="B16661" t="s">
        <v>135</v>
      </c>
      <c r="C16661" s="2">
        <f>HYPERLINK("https://cao.dolgi.msk.ru/account/1080251815/", 1080251815)</f>
        <v>1080251815</v>
      </c>
      <c r="D16661" t="s">
        <v>14099</v>
      </c>
      <c r="E16661">
        <v>5035.55</v>
      </c>
      <c r="F16661">
        <v>1</v>
      </c>
      <c r="G16661" t="s">
        <v>12</v>
      </c>
      <c r="I16661" t="s">
        <v>1428</v>
      </c>
    </row>
    <row r="16662" spans="1:9" hidden="1" x14ac:dyDescent="0.25">
      <c r="A16662" t="s">
        <v>14043</v>
      </c>
      <c r="B16662" t="s">
        <v>137</v>
      </c>
      <c r="C16662" s="2">
        <f>HYPERLINK("https://cao.dolgi.msk.ru/account/1080251823/", 1080251823)</f>
        <v>1080251823</v>
      </c>
      <c r="D16662" t="s">
        <v>14100</v>
      </c>
      <c r="E16662">
        <v>0</v>
      </c>
      <c r="G16662" t="s">
        <v>12</v>
      </c>
      <c r="I16662" t="s">
        <v>1428</v>
      </c>
    </row>
    <row r="16663" spans="1:9" hidden="1" x14ac:dyDescent="0.25">
      <c r="A16663" t="s">
        <v>14043</v>
      </c>
      <c r="B16663" t="s">
        <v>137</v>
      </c>
      <c r="C16663" s="2">
        <f>HYPERLINK("https://cao.dolgi.msk.ru/account/1089127335/", 1089127335)</f>
        <v>1089127335</v>
      </c>
      <c r="D16663" t="s">
        <v>15</v>
      </c>
      <c r="E16663">
        <v>0</v>
      </c>
      <c r="G16663" t="s">
        <v>14</v>
      </c>
      <c r="I16663" t="s">
        <v>1428</v>
      </c>
    </row>
    <row r="16664" spans="1:9" hidden="1" x14ac:dyDescent="0.25">
      <c r="A16664" t="s">
        <v>14043</v>
      </c>
      <c r="B16664" t="s">
        <v>139</v>
      </c>
      <c r="C16664" s="2">
        <f>HYPERLINK("https://cao.dolgi.msk.ru/account/1080251831/", 1080251831)</f>
        <v>1080251831</v>
      </c>
      <c r="D16664" t="s">
        <v>14101</v>
      </c>
      <c r="E16664">
        <v>-3926.38</v>
      </c>
      <c r="F16664">
        <v>-1.07</v>
      </c>
      <c r="G16664" t="s">
        <v>12</v>
      </c>
      <c r="I16664" t="s">
        <v>1428</v>
      </c>
    </row>
    <row r="16665" spans="1:9" hidden="1" x14ac:dyDescent="0.25">
      <c r="A16665" t="s">
        <v>14043</v>
      </c>
      <c r="B16665" t="s">
        <v>141</v>
      </c>
      <c r="C16665" s="2">
        <f>HYPERLINK("https://cao.dolgi.msk.ru/account/1080251858/", 1080251858)</f>
        <v>1080251858</v>
      </c>
      <c r="D16665" t="s">
        <v>14102</v>
      </c>
      <c r="E16665">
        <v>27.48</v>
      </c>
      <c r="F16665">
        <v>0</v>
      </c>
      <c r="G16665" t="s">
        <v>12</v>
      </c>
      <c r="I16665" t="s">
        <v>1428</v>
      </c>
    </row>
    <row r="16666" spans="1:9" hidden="1" x14ac:dyDescent="0.25">
      <c r="A16666" t="s">
        <v>14043</v>
      </c>
      <c r="B16666" t="s">
        <v>143</v>
      </c>
      <c r="C16666" s="2">
        <f>HYPERLINK("https://cao.dolgi.msk.ru/account/1080251866/", 1080251866)</f>
        <v>1080251866</v>
      </c>
      <c r="D16666" t="s">
        <v>14103</v>
      </c>
      <c r="E16666">
        <v>-310.94</v>
      </c>
      <c r="F16666">
        <v>-0.06</v>
      </c>
      <c r="G16666" t="s">
        <v>12</v>
      </c>
      <c r="I16666" t="s">
        <v>1428</v>
      </c>
    </row>
    <row r="16667" spans="1:9" hidden="1" x14ac:dyDescent="0.25">
      <c r="A16667" t="s">
        <v>14043</v>
      </c>
      <c r="B16667" t="s">
        <v>145</v>
      </c>
      <c r="C16667" s="2">
        <f>HYPERLINK("https://cao.dolgi.msk.ru/account/1080251874/", 1080251874)</f>
        <v>1080251874</v>
      </c>
      <c r="D16667" t="s">
        <v>14104</v>
      </c>
      <c r="E16667">
        <v>0</v>
      </c>
      <c r="G16667" t="s">
        <v>14</v>
      </c>
      <c r="I16667" t="s">
        <v>1428</v>
      </c>
    </row>
    <row r="16668" spans="1:9" hidden="1" x14ac:dyDescent="0.25">
      <c r="A16668" t="s">
        <v>14043</v>
      </c>
      <c r="B16668" t="s">
        <v>145</v>
      </c>
      <c r="C16668" s="2">
        <f>HYPERLINK("https://cao.dolgi.msk.ru/account/1080324105/", 1080324105)</f>
        <v>1080324105</v>
      </c>
      <c r="D16668" t="s">
        <v>14104</v>
      </c>
      <c r="E16668">
        <v>-1389.75</v>
      </c>
      <c r="F16668">
        <v>-0.25</v>
      </c>
      <c r="G16668" t="s">
        <v>12</v>
      </c>
      <c r="I16668" t="s">
        <v>1428</v>
      </c>
    </row>
    <row r="16669" spans="1:9" hidden="1" x14ac:dyDescent="0.25">
      <c r="A16669" t="s">
        <v>14043</v>
      </c>
      <c r="B16669" t="s">
        <v>147</v>
      </c>
      <c r="C16669" s="2">
        <f>HYPERLINK("https://cao.dolgi.msk.ru/account/1080251882/", 1080251882)</f>
        <v>1080251882</v>
      </c>
      <c r="D16669" t="s">
        <v>14105</v>
      </c>
      <c r="E16669">
        <v>-71.98</v>
      </c>
      <c r="F16669">
        <v>-0.02</v>
      </c>
      <c r="G16669" t="s">
        <v>12</v>
      </c>
      <c r="I16669" t="s">
        <v>1428</v>
      </c>
    </row>
    <row r="16670" spans="1:9" hidden="1" x14ac:dyDescent="0.25">
      <c r="A16670" t="s">
        <v>14043</v>
      </c>
      <c r="B16670" t="s">
        <v>149</v>
      </c>
      <c r="C16670" s="2">
        <f>HYPERLINK("https://cao.dolgi.msk.ru/account/1080251903/", 1080251903)</f>
        <v>1080251903</v>
      </c>
      <c r="D16670" t="s">
        <v>14106</v>
      </c>
      <c r="E16670">
        <v>-3799.93</v>
      </c>
      <c r="F16670">
        <v>-0.88</v>
      </c>
      <c r="G16670" t="s">
        <v>12</v>
      </c>
      <c r="I16670" t="s">
        <v>1428</v>
      </c>
    </row>
    <row r="16671" spans="1:9" hidden="1" x14ac:dyDescent="0.25">
      <c r="A16671" t="s">
        <v>14043</v>
      </c>
      <c r="B16671" t="s">
        <v>151</v>
      </c>
      <c r="C16671" s="2">
        <f>HYPERLINK("https://cao.dolgi.msk.ru/account/1080251911/", 1080251911)</f>
        <v>1080251911</v>
      </c>
      <c r="D16671" t="s">
        <v>14107</v>
      </c>
      <c r="E16671">
        <v>-259.92</v>
      </c>
      <c r="F16671">
        <v>-0.06</v>
      </c>
      <c r="G16671" t="s">
        <v>12</v>
      </c>
      <c r="I16671" t="s">
        <v>1428</v>
      </c>
    </row>
    <row r="16672" spans="1:9" hidden="1" x14ac:dyDescent="0.25">
      <c r="A16672" t="s">
        <v>14043</v>
      </c>
      <c r="B16672" t="s">
        <v>153</v>
      </c>
      <c r="C16672" s="2">
        <f>HYPERLINK("https://cao.dolgi.msk.ru/account/1080251946/", 1080251946)</f>
        <v>1080251946</v>
      </c>
      <c r="D16672" t="s">
        <v>14108</v>
      </c>
      <c r="E16672">
        <v>-2500.9499999999998</v>
      </c>
      <c r="F16672">
        <v>-1.07</v>
      </c>
      <c r="G16672" t="s">
        <v>12</v>
      </c>
      <c r="I16672" t="s">
        <v>1428</v>
      </c>
    </row>
    <row r="16673" spans="1:9" hidden="1" x14ac:dyDescent="0.25">
      <c r="A16673" t="s">
        <v>14043</v>
      </c>
      <c r="B16673" t="s">
        <v>155</v>
      </c>
      <c r="C16673" s="2">
        <f>HYPERLINK("https://cao.dolgi.msk.ru/account/1080251954/", 1080251954)</f>
        <v>1080251954</v>
      </c>
      <c r="D16673" t="s">
        <v>14109</v>
      </c>
      <c r="E16673">
        <v>-6879.86</v>
      </c>
      <c r="F16673">
        <v>-1.24</v>
      </c>
      <c r="G16673" t="s">
        <v>12</v>
      </c>
      <c r="I16673" t="s">
        <v>1428</v>
      </c>
    </row>
    <row r="16674" spans="1:9" hidden="1" x14ac:dyDescent="0.25">
      <c r="A16674" t="s">
        <v>14043</v>
      </c>
      <c r="B16674" t="s">
        <v>157</v>
      </c>
      <c r="C16674" s="2">
        <f>HYPERLINK("https://cao.dolgi.msk.ru/account/1080251938/", 1080251938)</f>
        <v>1080251938</v>
      </c>
      <c r="D16674" t="s">
        <v>14110</v>
      </c>
      <c r="E16674">
        <v>-106.8</v>
      </c>
      <c r="F16674">
        <v>-0.02</v>
      </c>
      <c r="G16674" t="s">
        <v>12</v>
      </c>
      <c r="I16674" t="s">
        <v>1428</v>
      </c>
    </row>
    <row r="16675" spans="1:9" hidden="1" x14ac:dyDescent="0.25">
      <c r="A16675" t="s">
        <v>14043</v>
      </c>
      <c r="B16675" t="s">
        <v>159</v>
      </c>
      <c r="C16675" s="2">
        <f>HYPERLINK("https://cao.dolgi.msk.ru/account/1080251962/", 1080251962)</f>
        <v>1080251962</v>
      </c>
      <c r="D16675" t="s">
        <v>14111</v>
      </c>
      <c r="E16675">
        <v>-3505.88</v>
      </c>
      <c r="F16675">
        <v>-1.22</v>
      </c>
      <c r="G16675" t="s">
        <v>12</v>
      </c>
      <c r="I16675" t="s">
        <v>1428</v>
      </c>
    </row>
    <row r="16676" spans="1:9" hidden="1" x14ac:dyDescent="0.25">
      <c r="A16676" t="s">
        <v>14043</v>
      </c>
      <c r="B16676" t="s">
        <v>159</v>
      </c>
      <c r="C16676" s="2">
        <f>HYPERLINK("https://cao.dolgi.msk.ru/account/1089126279/", 1089126279)</f>
        <v>1089126279</v>
      </c>
      <c r="D16676" t="s">
        <v>15</v>
      </c>
      <c r="E16676">
        <v>-3.39</v>
      </c>
      <c r="G16676" t="s">
        <v>14</v>
      </c>
      <c r="I16676" t="s">
        <v>1428</v>
      </c>
    </row>
    <row r="16677" spans="1:9" hidden="1" x14ac:dyDescent="0.25">
      <c r="A16677" t="s">
        <v>14043</v>
      </c>
      <c r="B16677" t="s">
        <v>161</v>
      </c>
      <c r="C16677" s="2">
        <f>HYPERLINK("https://cao.dolgi.msk.ru/account/1080251989/", 1080251989)</f>
        <v>1080251989</v>
      </c>
      <c r="D16677" t="s">
        <v>14112</v>
      </c>
      <c r="E16677">
        <v>-6053.64</v>
      </c>
      <c r="F16677">
        <v>-1.24</v>
      </c>
      <c r="G16677" t="s">
        <v>12</v>
      </c>
      <c r="I16677" t="s">
        <v>1428</v>
      </c>
    </row>
    <row r="16678" spans="1:9" hidden="1" x14ac:dyDescent="0.25">
      <c r="A16678" t="s">
        <v>14043</v>
      </c>
      <c r="B16678" t="s">
        <v>161</v>
      </c>
      <c r="C16678" s="2">
        <f>HYPERLINK("https://cao.dolgi.msk.ru/account/1089123879/", 1089123879)</f>
        <v>1089123879</v>
      </c>
      <c r="D16678" t="s">
        <v>14112</v>
      </c>
      <c r="E16678">
        <v>-3017.34</v>
      </c>
      <c r="G16678" t="s">
        <v>14</v>
      </c>
      <c r="I16678" t="s">
        <v>1428</v>
      </c>
    </row>
    <row r="16679" spans="1:9" hidden="1" x14ac:dyDescent="0.25">
      <c r="A16679" t="s">
        <v>14043</v>
      </c>
      <c r="B16679" t="s">
        <v>163</v>
      </c>
      <c r="C16679" s="2">
        <f>HYPERLINK("https://cao.dolgi.msk.ru/account/1080251997/", 1080251997)</f>
        <v>1080251997</v>
      </c>
      <c r="D16679" t="s">
        <v>14113</v>
      </c>
      <c r="E16679">
        <v>6367.47</v>
      </c>
      <c r="F16679">
        <v>0.98</v>
      </c>
      <c r="G16679" t="s">
        <v>12</v>
      </c>
      <c r="I16679" t="s">
        <v>1428</v>
      </c>
    </row>
    <row r="16680" spans="1:9" hidden="1" x14ac:dyDescent="0.25">
      <c r="A16680" t="s">
        <v>14043</v>
      </c>
      <c r="B16680" t="s">
        <v>571</v>
      </c>
      <c r="C16680" s="2">
        <f>HYPERLINK("https://cao.dolgi.msk.ru/account/1080252009/", 1080252009)</f>
        <v>1080252009</v>
      </c>
      <c r="D16680" t="s">
        <v>14114</v>
      </c>
      <c r="E16680">
        <v>-5503.62</v>
      </c>
      <c r="F16680">
        <v>-1.2</v>
      </c>
      <c r="G16680" t="s">
        <v>12</v>
      </c>
      <c r="I16680" t="s">
        <v>1428</v>
      </c>
    </row>
    <row r="16681" spans="1:9" hidden="1" x14ac:dyDescent="0.25">
      <c r="A16681" t="s">
        <v>14043</v>
      </c>
      <c r="B16681" t="s">
        <v>682</v>
      </c>
      <c r="C16681" s="2">
        <f>HYPERLINK("https://cao.dolgi.msk.ru/account/1080252017/", 1080252017)</f>
        <v>1080252017</v>
      </c>
      <c r="D16681" t="s">
        <v>14115</v>
      </c>
      <c r="E16681">
        <v>-2335.71</v>
      </c>
      <c r="F16681">
        <v>-1.3</v>
      </c>
      <c r="G16681" t="s">
        <v>12</v>
      </c>
      <c r="I16681" t="s">
        <v>1428</v>
      </c>
    </row>
    <row r="16682" spans="1:9" hidden="1" x14ac:dyDescent="0.25">
      <c r="A16682" t="s">
        <v>14043</v>
      </c>
      <c r="B16682" t="s">
        <v>682</v>
      </c>
      <c r="C16682" s="2">
        <f>HYPERLINK("https://cao.dolgi.msk.ru/account/1083271344/", 1083271344)</f>
        <v>1083271344</v>
      </c>
      <c r="D16682" t="s">
        <v>14116</v>
      </c>
      <c r="E16682">
        <v>-2162.6</v>
      </c>
      <c r="F16682">
        <v>-1.2</v>
      </c>
      <c r="G16682" t="s">
        <v>12</v>
      </c>
      <c r="I16682" t="s">
        <v>1428</v>
      </c>
    </row>
    <row r="16683" spans="1:9" hidden="1" x14ac:dyDescent="0.25">
      <c r="A16683" t="s">
        <v>14043</v>
      </c>
      <c r="B16683" t="s">
        <v>578</v>
      </c>
      <c r="C16683" s="2">
        <f>HYPERLINK("https://cao.dolgi.msk.ru/account/1080252025/", 1080252025)</f>
        <v>1080252025</v>
      </c>
      <c r="D16683" t="s">
        <v>14117</v>
      </c>
      <c r="E16683">
        <v>-6507.24</v>
      </c>
      <c r="F16683">
        <v>-1.29</v>
      </c>
      <c r="G16683" t="s">
        <v>12</v>
      </c>
      <c r="I16683" t="s">
        <v>1428</v>
      </c>
    </row>
    <row r="16684" spans="1:9" hidden="1" x14ac:dyDescent="0.25">
      <c r="A16684" t="s">
        <v>14043</v>
      </c>
      <c r="B16684" t="s">
        <v>580</v>
      </c>
      <c r="C16684" s="2">
        <f>HYPERLINK("https://cao.dolgi.msk.ru/account/1080252033/", 1080252033)</f>
        <v>1080252033</v>
      </c>
      <c r="D16684" t="s">
        <v>14118</v>
      </c>
      <c r="E16684">
        <v>-2303.41</v>
      </c>
      <c r="F16684">
        <v>-1.04</v>
      </c>
      <c r="G16684" t="s">
        <v>12</v>
      </c>
      <c r="I16684" t="s">
        <v>1428</v>
      </c>
    </row>
    <row r="16685" spans="1:9" hidden="1" x14ac:dyDescent="0.25">
      <c r="A16685" t="s">
        <v>14043</v>
      </c>
      <c r="B16685" t="s">
        <v>686</v>
      </c>
      <c r="C16685" s="2">
        <f>HYPERLINK("https://cao.dolgi.msk.ru/account/1080252041/", 1080252041)</f>
        <v>1080252041</v>
      </c>
      <c r="D16685" t="s">
        <v>14119</v>
      </c>
      <c r="E16685">
        <v>-5.94</v>
      </c>
      <c r="F16685">
        <v>0</v>
      </c>
      <c r="G16685" t="s">
        <v>12</v>
      </c>
      <c r="I16685" t="s">
        <v>1428</v>
      </c>
    </row>
    <row r="16686" spans="1:9" hidden="1" x14ac:dyDescent="0.25">
      <c r="A16686" t="s">
        <v>14043</v>
      </c>
      <c r="B16686" t="s">
        <v>582</v>
      </c>
      <c r="C16686" s="2">
        <f>HYPERLINK("https://cao.dolgi.msk.ru/account/1080252068/", 1080252068)</f>
        <v>1080252068</v>
      </c>
      <c r="D16686" t="s">
        <v>14120</v>
      </c>
      <c r="E16686">
        <v>-16742.849999999999</v>
      </c>
      <c r="F16686">
        <v>-3.32</v>
      </c>
      <c r="G16686" t="s">
        <v>12</v>
      </c>
      <c r="I16686" t="s">
        <v>1428</v>
      </c>
    </row>
    <row r="16687" spans="1:9" hidden="1" x14ac:dyDescent="0.25">
      <c r="A16687" t="s">
        <v>14043</v>
      </c>
      <c r="B16687" t="s">
        <v>584</v>
      </c>
      <c r="C16687" s="2">
        <f>HYPERLINK("https://cao.dolgi.msk.ru/account/1080252076/", 1080252076)</f>
        <v>1080252076</v>
      </c>
      <c r="D16687" t="s">
        <v>14121</v>
      </c>
      <c r="E16687">
        <v>-4677.22</v>
      </c>
      <c r="F16687">
        <v>-1.1100000000000001</v>
      </c>
      <c r="G16687" t="s">
        <v>12</v>
      </c>
      <c r="I16687" t="s">
        <v>1428</v>
      </c>
    </row>
    <row r="16688" spans="1:9" hidden="1" x14ac:dyDescent="0.25">
      <c r="A16688" t="s">
        <v>14043</v>
      </c>
      <c r="B16688" t="s">
        <v>586</v>
      </c>
      <c r="C16688" s="2">
        <f>HYPERLINK("https://cao.dolgi.msk.ru/account/1080252084/", 1080252084)</f>
        <v>1080252084</v>
      </c>
      <c r="D16688" t="s">
        <v>14122</v>
      </c>
      <c r="E16688">
        <v>-2299.65</v>
      </c>
      <c r="F16688">
        <v>-1.1100000000000001</v>
      </c>
      <c r="G16688" t="s">
        <v>12</v>
      </c>
      <c r="I16688" t="s">
        <v>1428</v>
      </c>
    </row>
    <row r="16689" spans="1:9" hidden="1" x14ac:dyDescent="0.25">
      <c r="A16689" t="s">
        <v>14043</v>
      </c>
      <c r="B16689" t="s">
        <v>588</v>
      </c>
      <c r="C16689" s="2">
        <f>HYPERLINK("https://cao.dolgi.msk.ru/account/1080252092/", 1080252092)</f>
        <v>1080252092</v>
      </c>
      <c r="D16689" t="s">
        <v>14123</v>
      </c>
      <c r="E16689">
        <v>-103.89</v>
      </c>
      <c r="F16689">
        <v>-0.02</v>
      </c>
      <c r="G16689" t="s">
        <v>12</v>
      </c>
      <c r="I16689" t="s">
        <v>1428</v>
      </c>
    </row>
    <row r="16690" spans="1:9" hidden="1" x14ac:dyDescent="0.25">
      <c r="A16690" t="s">
        <v>14043</v>
      </c>
      <c r="B16690" t="s">
        <v>590</v>
      </c>
      <c r="C16690" s="2">
        <f>HYPERLINK("https://cao.dolgi.msk.ru/account/1080252105/", 1080252105)</f>
        <v>1080252105</v>
      </c>
      <c r="D16690" t="s">
        <v>14124</v>
      </c>
      <c r="E16690">
        <v>1.2</v>
      </c>
      <c r="F16690">
        <v>0</v>
      </c>
      <c r="G16690" t="s">
        <v>12</v>
      </c>
      <c r="I16690" t="s">
        <v>1428</v>
      </c>
    </row>
    <row r="16691" spans="1:9" hidden="1" x14ac:dyDescent="0.25">
      <c r="A16691" t="s">
        <v>14043</v>
      </c>
      <c r="B16691" t="s">
        <v>693</v>
      </c>
      <c r="C16691" s="2">
        <f>HYPERLINK("https://cao.dolgi.msk.ru/account/1080252113/", 1080252113)</f>
        <v>1080252113</v>
      </c>
      <c r="D16691" t="s">
        <v>14125</v>
      </c>
      <c r="E16691">
        <v>-7064.56</v>
      </c>
      <c r="F16691">
        <v>-1.26</v>
      </c>
      <c r="G16691" t="s">
        <v>12</v>
      </c>
      <c r="I16691" t="s">
        <v>1428</v>
      </c>
    </row>
    <row r="16692" spans="1:9" hidden="1" x14ac:dyDescent="0.25">
      <c r="A16692" t="s">
        <v>14043</v>
      </c>
      <c r="B16692" t="s">
        <v>694</v>
      </c>
      <c r="C16692" s="2">
        <f>HYPERLINK("https://cao.dolgi.msk.ru/account/1080252121/", 1080252121)</f>
        <v>1080252121</v>
      </c>
      <c r="D16692" t="s">
        <v>14126</v>
      </c>
      <c r="E16692">
        <v>-169.2</v>
      </c>
      <c r="F16692">
        <v>-0.05</v>
      </c>
      <c r="G16692" t="s">
        <v>12</v>
      </c>
      <c r="I16692" t="s">
        <v>1428</v>
      </c>
    </row>
    <row r="16693" spans="1:9" hidden="1" x14ac:dyDescent="0.25">
      <c r="A16693" t="s">
        <v>14043</v>
      </c>
      <c r="B16693" t="s">
        <v>696</v>
      </c>
      <c r="C16693" s="2">
        <f>HYPERLINK("https://cao.dolgi.msk.ru/account/1080252148/", 1080252148)</f>
        <v>1080252148</v>
      </c>
      <c r="D16693" t="s">
        <v>14127</v>
      </c>
      <c r="E16693">
        <v>-3642.06</v>
      </c>
      <c r="F16693">
        <v>-1.1399999999999999</v>
      </c>
      <c r="G16693" t="s">
        <v>12</v>
      </c>
      <c r="I16693" t="s">
        <v>1428</v>
      </c>
    </row>
    <row r="16694" spans="1:9" hidden="1" x14ac:dyDescent="0.25">
      <c r="A16694" t="s">
        <v>14043</v>
      </c>
      <c r="B16694" t="s">
        <v>698</v>
      </c>
      <c r="C16694" s="2">
        <f>HYPERLINK("https://cao.dolgi.msk.ru/account/1080252156/", 1080252156)</f>
        <v>1080252156</v>
      </c>
      <c r="D16694" t="s">
        <v>14128</v>
      </c>
      <c r="E16694">
        <v>-5948.18</v>
      </c>
      <c r="F16694">
        <v>-1.08</v>
      </c>
      <c r="G16694" t="s">
        <v>12</v>
      </c>
      <c r="I16694" t="s">
        <v>1428</v>
      </c>
    </row>
    <row r="16695" spans="1:9" hidden="1" x14ac:dyDescent="0.25">
      <c r="A16695" t="s">
        <v>14043</v>
      </c>
      <c r="B16695" t="s">
        <v>700</v>
      </c>
      <c r="C16695" s="2">
        <f>HYPERLINK("https://cao.dolgi.msk.ru/account/1080252164/", 1080252164)</f>
        <v>1080252164</v>
      </c>
      <c r="D16695" t="s">
        <v>14129</v>
      </c>
      <c r="E16695">
        <v>-3151.86</v>
      </c>
      <c r="F16695">
        <v>-1.2</v>
      </c>
      <c r="G16695" t="s">
        <v>12</v>
      </c>
      <c r="I16695" t="s">
        <v>1428</v>
      </c>
    </row>
    <row r="16696" spans="1:9" hidden="1" x14ac:dyDescent="0.25">
      <c r="A16696" t="s">
        <v>14043</v>
      </c>
      <c r="B16696" t="s">
        <v>700</v>
      </c>
      <c r="C16696" s="2">
        <f>HYPERLINK("https://cao.dolgi.msk.ru/account/1089127079/", 1089127079)</f>
        <v>1089127079</v>
      </c>
      <c r="D16696" t="s">
        <v>14129</v>
      </c>
      <c r="E16696">
        <v>-2468.62</v>
      </c>
      <c r="F16696">
        <v>-1.0900000000000001</v>
      </c>
      <c r="G16696" t="s">
        <v>12</v>
      </c>
      <c r="I16696" t="s">
        <v>1428</v>
      </c>
    </row>
    <row r="16697" spans="1:9" hidden="1" x14ac:dyDescent="0.25">
      <c r="A16697" t="s">
        <v>14043</v>
      </c>
      <c r="B16697" t="s">
        <v>702</v>
      </c>
      <c r="C16697" s="2">
        <f>HYPERLINK("https://cao.dolgi.msk.ru/account/1080252172/", 1080252172)</f>
        <v>1080252172</v>
      </c>
      <c r="D16697" t="s">
        <v>14130</v>
      </c>
      <c r="E16697">
        <v>-2956.35</v>
      </c>
      <c r="F16697">
        <v>-1.31</v>
      </c>
      <c r="G16697" t="s">
        <v>12</v>
      </c>
      <c r="I16697" t="s">
        <v>1428</v>
      </c>
    </row>
    <row r="16698" spans="1:9" hidden="1" x14ac:dyDescent="0.25">
      <c r="A16698" t="s">
        <v>14043</v>
      </c>
      <c r="B16698" t="s">
        <v>703</v>
      </c>
      <c r="C16698" s="2">
        <f>HYPERLINK("https://cao.dolgi.msk.ru/account/1080252199/", 1080252199)</f>
        <v>1080252199</v>
      </c>
      <c r="D16698" t="s">
        <v>14131</v>
      </c>
      <c r="E16698">
        <v>-4430.99</v>
      </c>
      <c r="F16698">
        <v>-1.43</v>
      </c>
      <c r="G16698" t="s">
        <v>12</v>
      </c>
      <c r="I16698" t="s">
        <v>1428</v>
      </c>
    </row>
    <row r="16699" spans="1:9" hidden="1" x14ac:dyDescent="0.25">
      <c r="A16699" t="s">
        <v>14043</v>
      </c>
      <c r="B16699" t="s">
        <v>705</v>
      </c>
      <c r="C16699" s="2">
        <f>HYPERLINK("https://cao.dolgi.msk.ru/account/1080252201/", 1080252201)</f>
        <v>1080252201</v>
      </c>
      <c r="D16699" t="s">
        <v>14132</v>
      </c>
      <c r="E16699">
        <v>-5158.59</v>
      </c>
      <c r="F16699">
        <v>-1.1299999999999999</v>
      </c>
      <c r="G16699" t="s">
        <v>12</v>
      </c>
      <c r="I16699" t="s">
        <v>1428</v>
      </c>
    </row>
    <row r="16700" spans="1:9" hidden="1" x14ac:dyDescent="0.25">
      <c r="A16700" t="s">
        <v>14043</v>
      </c>
      <c r="B16700" t="s">
        <v>707</v>
      </c>
      <c r="C16700" s="2">
        <f>HYPERLINK("https://cao.dolgi.msk.ru/account/1080252228/", 1080252228)</f>
        <v>1080252228</v>
      </c>
      <c r="D16700" t="s">
        <v>14133</v>
      </c>
      <c r="E16700">
        <v>-3166.16</v>
      </c>
      <c r="F16700">
        <v>-1.07</v>
      </c>
      <c r="G16700" t="s">
        <v>12</v>
      </c>
      <c r="I16700" t="s">
        <v>1428</v>
      </c>
    </row>
    <row r="16701" spans="1:9" hidden="1" x14ac:dyDescent="0.25">
      <c r="A16701" t="s">
        <v>14043</v>
      </c>
      <c r="B16701" t="s">
        <v>709</v>
      </c>
      <c r="C16701" s="2">
        <f>HYPERLINK("https://cao.dolgi.msk.ru/account/1080252236/", 1080252236)</f>
        <v>1080252236</v>
      </c>
      <c r="D16701" t="s">
        <v>14134</v>
      </c>
      <c r="E16701">
        <v>-6472.53</v>
      </c>
      <c r="F16701">
        <v>-1.07</v>
      </c>
      <c r="G16701" t="s">
        <v>12</v>
      </c>
      <c r="I16701" t="s">
        <v>1428</v>
      </c>
    </row>
    <row r="16702" spans="1:9" hidden="1" x14ac:dyDescent="0.25">
      <c r="A16702" t="s">
        <v>14043</v>
      </c>
      <c r="B16702" t="s">
        <v>711</v>
      </c>
      <c r="C16702" s="2">
        <f>HYPERLINK("https://cao.dolgi.msk.ru/account/1080252244/", 1080252244)</f>
        <v>1080252244</v>
      </c>
      <c r="D16702" t="s">
        <v>14135</v>
      </c>
      <c r="E16702">
        <v>-3481.95</v>
      </c>
      <c r="F16702">
        <v>-1.1299999999999999</v>
      </c>
      <c r="G16702" t="s">
        <v>12</v>
      </c>
      <c r="I16702" t="s">
        <v>1428</v>
      </c>
    </row>
    <row r="16703" spans="1:9" hidden="1" x14ac:dyDescent="0.25">
      <c r="A16703" t="s">
        <v>14043</v>
      </c>
      <c r="B16703" t="s">
        <v>713</v>
      </c>
      <c r="C16703" s="2">
        <f>HYPERLINK("https://cao.dolgi.msk.ru/account/1080252252/", 1080252252)</f>
        <v>1080252252</v>
      </c>
      <c r="D16703" t="s">
        <v>14136</v>
      </c>
      <c r="E16703">
        <v>-3895.82</v>
      </c>
      <c r="F16703">
        <v>-1.1100000000000001</v>
      </c>
      <c r="G16703" t="s">
        <v>12</v>
      </c>
      <c r="I16703" t="s">
        <v>1428</v>
      </c>
    </row>
    <row r="16704" spans="1:9" hidden="1" x14ac:dyDescent="0.25">
      <c r="A16704" t="s">
        <v>14043</v>
      </c>
      <c r="B16704" t="s">
        <v>528</v>
      </c>
      <c r="C16704" s="2">
        <f>HYPERLINK("https://cao.dolgi.msk.ru/account/1080252279/", 1080252279)</f>
        <v>1080252279</v>
      </c>
      <c r="D16704" t="s">
        <v>14137</v>
      </c>
      <c r="E16704">
        <v>-2614.34</v>
      </c>
      <c r="F16704">
        <v>-0.98</v>
      </c>
      <c r="G16704" t="s">
        <v>12</v>
      </c>
      <c r="I16704" t="s">
        <v>1428</v>
      </c>
    </row>
    <row r="16705" spans="1:9" hidden="1" x14ac:dyDescent="0.25">
      <c r="A16705" t="s">
        <v>14043</v>
      </c>
      <c r="B16705" t="s">
        <v>530</v>
      </c>
      <c r="C16705" s="2">
        <f>HYPERLINK("https://cao.dolgi.msk.ru/account/1080252287/", 1080252287)</f>
        <v>1080252287</v>
      </c>
      <c r="D16705" t="s">
        <v>14138</v>
      </c>
      <c r="E16705">
        <v>-648.20000000000005</v>
      </c>
      <c r="F16705">
        <v>-0.13</v>
      </c>
      <c r="G16705" t="s">
        <v>12</v>
      </c>
      <c r="I16705" t="s">
        <v>1428</v>
      </c>
    </row>
    <row r="16706" spans="1:9" hidden="1" x14ac:dyDescent="0.25">
      <c r="A16706" t="s">
        <v>14043</v>
      </c>
      <c r="B16706" t="s">
        <v>532</v>
      </c>
      <c r="C16706" s="2">
        <f>HYPERLINK("https://cao.dolgi.msk.ru/account/1080252295/", 1080252295)</f>
        <v>1080252295</v>
      </c>
      <c r="D16706" t="s">
        <v>14139</v>
      </c>
      <c r="E16706">
        <v>-7657.47</v>
      </c>
      <c r="F16706">
        <v>-1.0900000000000001</v>
      </c>
      <c r="G16706" t="s">
        <v>12</v>
      </c>
      <c r="I16706" t="s">
        <v>1428</v>
      </c>
    </row>
    <row r="16707" spans="1:9" hidden="1" x14ac:dyDescent="0.25">
      <c r="A16707" t="s">
        <v>14043</v>
      </c>
      <c r="B16707" t="s">
        <v>534</v>
      </c>
      <c r="C16707" s="2">
        <f>HYPERLINK("https://cao.dolgi.msk.ru/account/1080252308/", 1080252308)</f>
        <v>1080252308</v>
      </c>
      <c r="D16707" t="s">
        <v>14140</v>
      </c>
      <c r="E16707">
        <v>-7151.86</v>
      </c>
      <c r="F16707">
        <v>-1.71</v>
      </c>
      <c r="G16707" t="s">
        <v>12</v>
      </c>
      <c r="I16707" t="s">
        <v>1428</v>
      </c>
    </row>
    <row r="16708" spans="1:9" hidden="1" x14ac:dyDescent="0.25">
      <c r="A16708" t="s">
        <v>14043</v>
      </c>
      <c r="B16708" t="s">
        <v>536</v>
      </c>
      <c r="C16708" s="2">
        <f>HYPERLINK("https://cao.dolgi.msk.ru/account/1080252316/", 1080252316)</f>
        <v>1080252316</v>
      </c>
      <c r="D16708" t="s">
        <v>14141</v>
      </c>
      <c r="E16708">
        <v>-6007.46</v>
      </c>
      <c r="F16708">
        <v>-1.1100000000000001</v>
      </c>
      <c r="G16708" t="s">
        <v>12</v>
      </c>
      <c r="I16708" t="s">
        <v>1428</v>
      </c>
    </row>
    <row r="16709" spans="1:9" hidden="1" x14ac:dyDescent="0.25">
      <c r="A16709" t="s">
        <v>14043</v>
      </c>
      <c r="B16709" t="s">
        <v>538</v>
      </c>
      <c r="C16709" s="2">
        <f>HYPERLINK("https://cao.dolgi.msk.ru/account/1080252324/", 1080252324)</f>
        <v>1080252324</v>
      </c>
      <c r="D16709" t="s">
        <v>14142</v>
      </c>
      <c r="E16709">
        <v>-3944.96</v>
      </c>
      <c r="F16709">
        <v>-1.05</v>
      </c>
      <c r="G16709" t="s">
        <v>12</v>
      </c>
      <c r="I16709" t="s">
        <v>1428</v>
      </c>
    </row>
    <row r="16710" spans="1:9" hidden="1" x14ac:dyDescent="0.25">
      <c r="A16710" t="s">
        <v>14043</v>
      </c>
      <c r="B16710" t="s">
        <v>539</v>
      </c>
      <c r="C16710" s="2">
        <f>HYPERLINK("https://cao.dolgi.msk.ru/account/1080252332/", 1080252332)</f>
        <v>1080252332</v>
      </c>
      <c r="D16710" t="s">
        <v>14143</v>
      </c>
      <c r="E16710">
        <v>270</v>
      </c>
      <c r="F16710">
        <v>0.04</v>
      </c>
      <c r="G16710" t="s">
        <v>12</v>
      </c>
      <c r="I16710" t="s">
        <v>1428</v>
      </c>
    </row>
    <row r="16711" spans="1:9" hidden="1" x14ac:dyDescent="0.25">
      <c r="A16711" t="s">
        <v>14043</v>
      </c>
      <c r="B16711" t="s">
        <v>541</v>
      </c>
      <c r="C16711" s="2">
        <f>HYPERLINK("https://cao.dolgi.msk.ru/account/1080252359/", 1080252359)</f>
        <v>1080252359</v>
      </c>
      <c r="D16711" t="s">
        <v>14144</v>
      </c>
      <c r="E16711">
        <v>-2213.44</v>
      </c>
      <c r="F16711">
        <v>-1.1200000000000001</v>
      </c>
      <c r="G16711" t="s">
        <v>12</v>
      </c>
      <c r="I16711" t="s">
        <v>1428</v>
      </c>
    </row>
    <row r="16712" spans="1:9" hidden="1" x14ac:dyDescent="0.25">
      <c r="A16712" t="s">
        <v>14043</v>
      </c>
      <c r="B16712" t="s">
        <v>543</v>
      </c>
      <c r="C16712" s="2">
        <f>HYPERLINK("https://cao.dolgi.msk.ru/account/1080252367/", 1080252367)</f>
        <v>1080252367</v>
      </c>
      <c r="D16712" t="s">
        <v>14145</v>
      </c>
      <c r="E16712">
        <v>-6510.23</v>
      </c>
      <c r="F16712">
        <v>-1.1000000000000001</v>
      </c>
      <c r="G16712" t="s">
        <v>12</v>
      </c>
      <c r="I16712" t="s">
        <v>1428</v>
      </c>
    </row>
    <row r="16713" spans="1:9" hidden="1" x14ac:dyDescent="0.25">
      <c r="A16713" t="s">
        <v>14043</v>
      </c>
      <c r="B16713" t="s">
        <v>545</v>
      </c>
      <c r="C16713" s="2">
        <f>HYPERLINK("https://cao.dolgi.msk.ru/account/1080252375/", 1080252375)</f>
        <v>1080252375</v>
      </c>
      <c r="D16713" t="s">
        <v>14146</v>
      </c>
      <c r="E16713">
        <v>-3670.66</v>
      </c>
      <c r="F16713">
        <v>-1.0900000000000001</v>
      </c>
      <c r="G16713" t="s">
        <v>12</v>
      </c>
      <c r="I16713" t="s">
        <v>1428</v>
      </c>
    </row>
    <row r="16714" spans="1:9" hidden="1" x14ac:dyDescent="0.25">
      <c r="A16714" t="s">
        <v>14043</v>
      </c>
      <c r="B16714" t="s">
        <v>546</v>
      </c>
      <c r="C16714" s="2">
        <f>HYPERLINK("https://cao.dolgi.msk.ru/account/1080252383/", 1080252383)</f>
        <v>1080252383</v>
      </c>
      <c r="D16714" t="s">
        <v>14147</v>
      </c>
      <c r="E16714">
        <v>-11243.32</v>
      </c>
      <c r="F16714">
        <v>-1.17</v>
      </c>
      <c r="G16714" t="s">
        <v>12</v>
      </c>
      <c r="I16714" t="s">
        <v>1428</v>
      </c>
    </row>
    <row r="16715" spans="1:9" hidden="1" x14ac:dyDescent="0.25">
      <c r="A16715" t="s">
        <v>14043</v>
      </c>
      <c r="B16715" t="s">
        <v>548</v>
      </c>
      <c r="C16715" s="2">
        <f>HYPERLINK("https://cao.dolgi.msk.ru/account/1080252391/", 1080252391)</f>
        <v>1080252391</v>
      </c>
      <c r="D16715" t="s">
        <v>14148</v>
      </c>
      <c r="E16715">
        <v>-2262.58</v>
      </c>
      <c r="F16715">
        <v>-1.1100000000000001</v>
      </c>
      <c r="G16715" t="s">
        <v>12</v>
      </c>
      <c r="I16715" t="s">
        <v>1428</v>
      </c>
    </row>
    <row r="16716" spans="1:9" hidden="1" x14ac:dyDescent="0.25">
      <c r="A16716" t="s">
        <v>14043</v>
      </c>
      <c r="B16716" t="s">
        <v>727</v>
      </c>
      <c r="C16716" s="2">
        <f>HYPERLINK("https://cao.dolgi.msk.ru/account/1080252404/", 1080252404)</f>
        <v>1080252404</v>
      </c>
      <c r="D16716" t="s">
        <v>14149</v>
      </c>
      <c r="E16716">
        <v>-4654.9399999999996</v>
      </c>
      <c r="F16716">
        <v>-1.1399999999999999</v>
      </c>
      <c r="G16716" t="s">
        <v>12</v>
      </c>
      <c r="I16716" t="s">
        <v>1428</v>
      </c>
    </row>
    <row r="16717" spans="1:9" hidden="1" x14ac:dyDescent="0.25">
      <c r="A16717" t="s">
        <v>14043</v>
      </c>
      <c r="B16717" t="s">
        <v>551</v>
      </c>
      <c r="C16717" s="2">
        <f>HYPERLINK("https://cao.dolgi.msk.ru/account/1080252412/", 1080252412)</f>
        <v>1080252412</v>
      </c>
      <c r="D16717" t="s">
        <v>14150</v>
      </c>
      <c r="E16717">
        <v>5711.03</v>
      </c>
      <c r="F16717">
        <v>1</v>
      </c>
      <c r="G16717" t="s">
        <v>12</v>
      </c>
      <c r="I16717" t="s">
        <v>1428</v>
      </c>
    </row>
    <row r="16718" spans="1:9" hidden="1" x14ac:dyDescent="0.25">
      <c r="A16718" t="s">
        <v>14043</v>
      </c>
      <c r="B16718" t="s">
        <v>730</v>
      </c>
      <c r="C16718" s="2">
        <f>HYPERLINK("https://cao.dolgi.msk.ru/account/1080252439/", 1080252439)</f>
        <v>1080252439</v>
      </c>
      <c r="D16718" t="s">
        <v>14151</v>
      </c>
      <c r="E16718">
        <v>-6462.13</v>
      </c>
      <c r="F16718">
        <v>-1.01</v>
      </c>
      <c r="G16718" t="s">
        <v>12</v>
      </c>
      <c r="I16718" t="s">
        <v>1428</v>
      </c>
    </row>
    <row r="16719" spans="1:9" hidden="1" x14ac:dyDescent="0.25">
      <c r="A16719" t="s">
        <v>14043</v>
      </c>
      <c r="B16719" t="s">
        <v>732</v>
      </c>
      <c r="C16719" s="2">
        <f>HYPERLINK("https://cao.dolgi.msk.ru/account/1080252447/", 1080252447)</f>
        <v>1080252447</v>
      </c>
      <c r="D16719" t="s">
        <v>14152</v>
      </c>
      <c r="E16719">
        <v>314.89999999999998</v>
      </c>
      <c r="F16719">
        <v>0.05</v>
      </c>
      <c r="G16719" t="s">
        <v>12</v>
      </c>
      <c r="I16719" t="s">
        <v>1428</v>
      </c>
    </row>
    <row r="16720" spans="1:9" hidden="1" x14ac:dyDescent="0.25">
      <c r="A16720" t="s">
        <v>14043</v>
      </c>
      <c r="B16720" t="s">
        <v>553</v>
      </c>
      <c r="C16720" s="2">
        <f>HYPERLINK("https://cao.dolgi.msk.ru/account/1080252455/", 1080252455)</f>
        <v>1080252455</v>
      </c>
      <c r="D16720" t="s">
        <v>14153</v>
      </c>
      <c r="E16720">
        <v>-4891.7299999999996</v>
      </c>
      <c r="F16720">
        <v>-1.1000000000000001</v>
      </c>
      <c r="G16720" t="s">
        <v>12</v>
      </c>
      <c r="I16720" t="s">
        <v>1428</v>
      </c>
    </row>
    <row r="16721" spans="1:9" x14ac:dyDescent="0.25">
      <c r="A16721" t="s">
        <v>14043</v>
      </c>
      <c r="B16721" t="s">
        <v>555</v>
      </c>
      <c r="C16721" s="2">
        <f>HYPERLINK("https://cao.dolgi.msk.ru/account/1080252463/", 1080252463)</f>
        <v>1080252463</v>
      </c>
      <c r="D16721" t="s">
        <v>14154</v>
      </c>
      <c r="E16721">
        <v>14571.18</v>
      </c>
      <c r="F16721">
        <v>3.9</v>
      </c>
      <c r="G16721" t="s">
        <v>12</v>
      </c>
      <c r="I16721" t="s">
        <v>1428</v>
      </c>
    </row>
    <row r="16722" spans="1:9" hidden="1" x14ac:dyDescent="0.25">
      <c r="A16722" t="s">
        <v>14043</v>
      </c>
      <c r="B16722" t="s">
        <v>736</v>
      </c>
      <c r="C16722" s="2">
        <f>HYPERLINK("https://cao.dolgi.msk.ru/account/1080252471/", 1080252471)</f>
        <v>1080252471</v>
      </c>
      <c r="D16722" t="s">
        <v>14155</v>
      </c>
      <c r="E16722">
        <v>-5359.08</v>
      </c>
      <c r="F16722">
        <v>-1.03</v>
      </c>
      <c r="G16722" t="s">
        <v>12</v>
      </c>
      <c r="I16722" t="s">
        <v>1428</v>
      </c>
    </row>
    <row r="16723" spans="1:9" hidden="1" x14ac:dyDescent="0.25">
      <c r="A16723" t="s">
        <v>14043</v>
      </c>
      <c r="B16723" t="s">
        <v>738</v>
      </c>
      <c r="C16723" s="2">
        <f>HYPERLINK("https://cao.dolgi.msk.ru/account/1080252498/", 1080252498)</f>
        <v>1080252498</v>
      </c>
      <c r="D16723" t="s">
        <v>14156</v>
      </c>
      <c r="E16723">
        <v>-2187.4299999999998</v>
      </c>
      <c r="F16723">
        <v>-1.0900000000000001</v>
      </c>
      <c r="G16723" t="s">
        <v>12</v>
      </c>
      <c r="I16723" t="s">
        <v>1428</v>
      </c>
    </row>
    <row r="16724" spans="1:9" hidden="1" x14ac:dyDescent="0.25">
      <c r="A16724" t="s">
        <v>14043</v>
      </c>
      <c r="B16724" t="s">
        <v>740</v>
      </c>
      <c r="C16724" s="2">
        <f>HYPERLINK("https://cao.dolgi.msk.ru/account/1080252519/", 1080252519)</f>
        <v>1080252519</v>
      </c>
      <c r="D16724" t="s">
        <v>14157</v>
      </c>
      <c r="E16724">
        <v>-4928</v>
      </c>
      <c r="F16724">
        <v>-1.21</v>
      </c>
      <c r="G16724" t="s">
        <v>12</v>
      </c>
      <c r="I16724" t="s">
        <v>1428</v>
      </c>
    </row>
    <row r="16725" spans="1:9" hidden="1" x14ac:dyDescent="0.25">
      <c r="A16725" t="s">
        <v>14043</v>
      </c>
      <c r="B16725" t="s">
        <v>742</v>
      </c>
      <c r="C16725" s="2">
        <f>HYPERLINK("https://cao.dolgi.msk.ru/account/1080252527/", 1080252527)</f>
        <v>1080252527</v>
      </c>
      <c r="D16725" t="s">
        <v>14158</v>
      </c>
      <c r="E16725">
        <v>0</v>
      </c>
      <c r="F16725">
        <v>0</v>
      </c>
      <c r="G16725" t="s">
        <v>12</v>
      </c>
      <c r="I16725" t="s">
        <v>1428</v>
      </c>
    </row>
    <row r="16726" spans="1:9" hidden="1" x14ac:dyDescent="0.25">
      <c r="A16726" t="s">
        <v>14043</v>
      </c>
      <c r="B16726" t="s">
        <v>557</v>
      </c>
      <c r="C16726" s="2">
        <f>HYPERLINK("https://cao.dolgi.msk.ru/account/1080252535/", 1080252535)</f>
        <v>1080252535</v>
      </c>
      <c r="D16726" t="s">
        <v>14159</v>
      </c>
      <c r="E16726">
        <v>-6857.9</v>
      </c>
      <c r="F16726">
        <v>-1.1200000000000001</v>
      </c>
      <c r="G16726" t="s">
        <v>12</v>
      </c>
      <c r="I16726" t="s">
        <v>1428</v>
      </c>
    </row>
    <row r="16727" spans="1:9" hidden="1" x14ac:dyDescent="0.25">
      <c r="A16727" t="s">
        <v>14043</v>
      </c>
      <c r="B16727" t="s">
        <v>558</v>
      </c>
      <c r="C16727" s="2">
        <f>HYPERLINK("https://cao.dolgi.msk.ru/account/1080252543/", 1080252543)</f>
        <v>1080252543</v>
      </c>
      <c r="D16727" t="s">
        <v>14160</v>
      </c>
      <c r="E16727">
        <v>-3305.97</v>
      </c>
      <c r="F16727">
        <v>-1.1200000000000001</v>
      </c>
      <c r="G16727" t="s">
        <v>12</v>
      </c>
      <c r="I16727" t="s">
        <v>1428</v>
      </c>
    </row>
    <row r="16728" spans="1:9" hidden="1" x14ac:dyDescent="0.25">
      <c r="A16728" t="s">
        <v>14043</v>
      </c>
      <c r="B16728" t="s">
        <v>746</v>
      </c>
      <c r="C16728" s="2">
        <f>HYPERLINK("https://cao.dolgi.msk.ru/account/1080252551/", 1080252551)</f>
        <v>1080252551</v>
      </c>
      <c r="D16728" t="s">
        <v>14161</v>
      </c>
      <c r="E16728">
        <v>-5686.75</v>
      </c>
      <c r="F16728">
        <v>-1.1200000000000001</v>
      </c>
      <c r="G16728" t="s">
        <v>12</v>
      </c>
      <c r="I16728" t="s">
        <v>1428</v>
      </c>
    </row>
    <row r="16729" spans="1:9" x14ac:dyDescent="0.25">
      <c r="A16729" t="s">
        <v>14043</v>
      </c>
      <c r="B16729" t="s">
        <v>748</v>
      </c>
      <c r="C16729" s="2">
        <f>HYPERLINK("https://cao.dolgi.msk.ru/account/1080252578/", 1080252578)</f>
        <v>1080252578</v>
      </c>
      <c r="D16729" t="s">
        <v>14162</v>
      </c>
      <c r="E16729">
        <v>11045.66</v>
      </c>
      <c r="F16729">
        <v>2</v>
      </c>
      <c r="G16729" t="s">
        <v>12</v>
      </c>
      <c r="I16729" t="s">
        <v>1428</v>
      </c>
    </row>
    <row r="16730" spans="1:9" hidden="1" x14ac:dyDescent="0.25">
      <c r="A16730" t="s">
        <v>14043</v>
      </c>
      <c r="B16730" t="s">
        <v>750</v>
      </c>
      <c r="C16730" s="2">
        <f>HYPERLINK("https://cao.dolgi.msk.ru/account/1080252586/", 1080252586)</f>
        <v>1080252586</v>
      </c>
      <c r="D16730" t="s">
        <v>14163</v>
      </c>
      <c r="E16730">
        <v>-615.74</v>
      </c>
      <c r="F16730">
        <v>-0.17</v>
      </c>
      <c r="G16730" t="s">
        <v>12</v>
      </c>
      <c r="I16730" t="s">
        <v>1428</v>
      </c>
    </row>
    <row r="16731" spans="1:9" hidden="1" x14ac:dyDescent="0.25">
      <c r="A16731" t="s">
        <v>14043</v>
      </c>
      <c r="B16731" t="s">
        <v>752</v>
      </c>
      <c r="C16731" s="2">
        <f>HYPERLINK("https://cao.dolgi.msk.ru/account/1080252594/", 1080252594)</f>
        <v>1080252594</v>
      </c>
      <c r="D16731" t="s">
        <v>14164</v>
      </c>
      <c r="E16731">
        <v>-4298.7299999999996</v>
      </c>
      <c r="F16731">
        <v>-1.1399999999999999</v>
      </c>
      <c r="G16731" t="s">
        <v>12</v>
      </c>
      <c r="I16731" t="s">
        <v>1428</v>
      </c>
    </row>
    <row r="16732" spans="1:9" x14ac:dyDescent="0.25">
      <c r="A16732" t="s">
        <v>14043</v>
      </c>
      <c r="B16732" t="s">
        <v>754</v>
      </c>
      <c r="C16732" s="2">
        <f>HYPERLINK("https://cao.dolgi.msk.ru/account/1080252607/", 1080252607)</f>
        <v>1080252607</v>
      </c>
      <c r="D16732" t="s">
        <v>14165</v>
      </c>
      <c r="E16732">
        <v>9030.8700000000008</v>
      </c>
      <c r="F16732">
        <v>1.02</v>
      </c>
      <c r="G16732" t="s">
        <v>12</v>
      </c>
      <c r="I16732" t="s">
        <v>1428</v>
      </c>
    </row>
    <row r="16733" spans="1:9" hidden="1" x14ac:dyDescent="0.25">
      <c r="A16733" t="s">
        <v>14043</v>
      </c>
      <c r="B16733" t="s">
        <v>756</v>
      </c>
      <c r="C16733" s="2">
        <f>HYPERLINK("https://cao.dolgi.msk.ru/account/1080252615/", 1080252615)</f>
        <v>1080252615</v>
      </c>
      <c r="D16733" t="s">
        <v>14166</v>
      </c>
      <c r="E16733">
        <v>-5775.15</v>
      </c>
      <c r="F16733">
        <v>-1.0900000000000001</v>
      </c>
      <c r="G16733" t="s">
        <v>12</v>
      </c>
      <c r="I16733" t="s">
        <v>1428</v>
      </c>
    </row>
    <row r="16734" spans="1:9" hidden="1" x14ac:dyDescent="0.25">
      <c r="A16734" t="s">
        <v>14043</v>
      </c>
      <c r="B16734" t="s">
        <v>758</v>
      </c>
      <c r="C16734" s="2">
        <f>HYPERLINK("https://cao.dolgi.msk.ru/account/1080252623/", 1080252623)</f>
        <v>1080252623</v>
      </c>
      <c r="D16734" t="s">
        <v>14167</v>
      </c>
      <c r="E16734">
        <v>183.02</v>
      </c>
      <c r="F16734">
        <v>0.02</v>
      </c>
      <c r="G16734" t="s">
        <v>12</v>
      </c>
      <c r="I16734" t="s">
        <v>1428</v>
      </c>
    </row>
    <row r="16735" spans="1:9" hidden="1" x14ac:dyDescent="0.25">
      <c r="A16735" t="s">
        <v>14043</v>
      </c>
      <c r="B16735" t="s">
        <v>760</v>
      </c>
      <c r="C16735" s="2">
        <f>HYPERLINK("https://cao.dolgi.msk.ru/account/1080252631/", 1080252631)</f>
        <v>1080252631</v>
      </c>
      <c r="D16735" t="s">
        <v>14168</v>
      </c>
      <c r="E16735">
        <v>0</v>
      </c>
      <c r="F16735">
        <v>0</v>
      </c>
      <c r="G16735" t="s">
        <v>12</v>
      </c>
      <c r="I16735" t="s">
        <v>1428</v>
      </c>
    </row>
    <row r="16736" spans="1:9" hidden="1" x14ac:dyDescent="0.25">
      <c r="A16736" t="s">
        <v>14043</v>
      </c>
      <c r="B16736" t="s">
        <v>762</v>
      </c>
      <c r="C16736" s="2">
        <f>HYPERLINK("https://cao.dolgi.msk.ru/account/1080252658/", 1080252658)</f>
        <v>1080252658</v>
      </c>
      <c r="D16736" t="s">
        <v>14169</v>
      </c>
      <c r="E16736">
        <v>-8257.5</v>
      </c>
      <c r="F16736">
        <v>-1.2</v>
      </c>
      <c r="G16736" t="s">
        <v>12</v>
      </c>
      <c r="I16736" t="s">
        <v>1428</v>
      </c>
    </row>
    <row r="16737" spans="1:9" hidden="1" x14ac:dyDescent="0.25">
      <c r="A16737" t="s">
        <v>14043</v>
      </c>
      <c r="B16737" t="s">
        <v>764</v>
      </c>
      <c r="C16737" s="2">
        <f>HYPERLINK("https://cao.dolgi.msk.ru/account/1080252666/", 1080252666)</f>
        <v>1080252666</v>
      </c>
      <c r="D16737" t="s">
        <v>14170</v>
      </c>
      <c r="E16737">
        <v>-6462.08</v>
      </c>
      <c r="F16737">
        <v>-1.01</v>
      </c>
      <c r="G16737" t="s">
        <v>12</v>
      </c>
      <c r="I16737" t="s">
        <v>1428</v>
      </c>
    </row>
    <row r="16738" spans="1:9" hidden="1" x14ac:dyDescent="0.25">
      <c r="A16738" t="s">
        <v>14043</v>
      </c>
      <c r="B16738" t="s">
        <v>766</v>
      </c>
      <c r="C16738" s="2">
        <f>HYPERLINK("https://cao.dolgi.msk.ru/account/1080252674/", 1080252674)</f>
        <v>1080252674</v>
      </c>
      <c r="D16738" t="s">
        <v>14171</v>
      </c>
      <c r="E16738">
        <v>-9058.2199999999993</v>
      </c>
      <c r="F16738">
        <v>-1.1299999999999999</v>
      </c>
      <c r="G16738" t="s">
        <v>12</v>
      </c>
      <c r="I16738" t="s">
        <v>1428</v>
      </c>
    </row>
    <row r="16739" spans="1:9" hidden="1" x14ac:dyDescent="0.25">
      <c r="A16739" t="s">
        <v>14043</v>
      </c>
      <c r="B16739" t="s">
        <v>768</v>
      </c>
      <c r="C16739" s="2">
        <f>HYPERLINK("https://cao.dolgi.msk.ru/account/1080252682/", 1080252682)</f>
        <v>1080252682</v>
      </c>
      <c r="D16739" t="s">
        <v>14172</v>
      </c>
      <c r="E16739">
        <v>-463.62</v>
      </c>
      <c r="F16739">
        <v>-0.13</v>
      </c>
      <c r="G16739" t="s">
        <v>12</v>
      </c>
      <c r="I16739" t="s">
        <v>1428</v>
      </c>
    </row>
    <row r="16740" spans="1:9" hidden="1" x14ac:dyDescent="0.25">
      <c r="A16740" t="s">
        <v>14043</v>
      </c>
      <c r="B16740" t="s">
        <v>770</v>
      </c>
      <c r="C16740" s="2">
        <f>HYPERLINK("https://cao.dolgi.msk.ru/account/1080252703/", 1080252703)</f>
        <v>1080252703</v>
      </c>
      <c r="D16740" t="s">
        <v>14173</v>
      </c>
      <c r="E16740">
        <v>-5774.26</v>
      </c>
      <c r="F16740">
        <v>-1.01</v>
      </c>
      <c r="G16740" t="s">
        <v>12</v>
      </c>
      <c r="I16740" t="s">
        <v>1428</v>
      </c>
    </row>
    <row r="16741" spans="1:9" hidden="1" x14ac:dyDescent="0.25">
      <c r="A16741" t="s">
        <v>14043</v>
      </c>
      <c r="B16741" t="s">
        <v>772</v>
      </c>
      <c r="C16741" s="2">
        <f>HYPERLINK("https://cao.dolgi.msk.ru/account/1080252711/", 1080252711)</f>
        <v>1080252711</v>
      </c>
      <c r="D16741" t="s">
        <v>14174</v>
      </c>
      <c r="E16741">
        <v>-1808.81</v>
      </c>
      <c r="F16741">
        <v>-1.01</v>
      </c>
      <c r="G16741" t="s">
        <v>12</v>
      </c>
      <c r="I16741" t="s">
        <v>1428</v>
      </c>
    </row>
    <row r="16742" spans="1:9" hidden="1" x14ac:dyDescent="0.25">
      <c r="A16742" t="s">
        <v>14043</v>
      </c>
      <c r="B16742" t="s">
        <v>774</v>
      </c>
      <c r="C16742" s="2">
        <f>HYPERLINK("https://cao.dolgi.msk.ru/account/1080252738/", 1080252738)</f>
        <v>1080252738</v>
      </c>
      <c r="D16742" t="s">
        <v>14175</v>
      </c>
      <c r="E16742">
        <v>-6829.98</v>
      </c>
      <c r="F16742">
        <v>-0.99</v>
      </c>
      <c r="G16742" t="s">
        <v>12</v>
      </c>
      <c r="I16742" t="s">
        <v>1428</v>
      </c>
    </row>
    <row r="16743" spans="1:9" hidden="1" x14ac:dyDescent="0.25">
      <c r="A16743" t="s">
        <v>14043</v>
      </c>
      <c r="B16743" t="s">
        <v>776</v>
      </c>
      <c r="C16743" s="2">
        <f>HYPERLINK("https://cao.dolgi.msk.ru/account/1080252746/", 1080252746)</f>
        <v>1080252746</v>
      </c>
      <c r="D16743" t="s">
        <v>14176</v>
      </c>
      <c r="E16743">
        <v>-4289.33</v>
      </c>
      <c r="F16743">
        <v>-1.1100000000000001</v>
      </c>
      <c r="G16743" t="s">
        <v>12</v>
      </c>
      <c r="I16743" t="s">
        <v>1428</v>
      </c>
    </row>
    <row r="16744" spans="1:9" hidden="1" x14ac:dyDescent="0.25">
      <c r="A16744" t="s">
        <v>14043</v>
      </c>
      <c r="B16744" t="s">
        <v>778</v>
      </c>
      <c r="C16744" s="2">
        <f>HYPERLINK("https://cao.dolgi.msk.ru/account/1080252754/", 1080252754)</f>
        <v>1080252754</v>
      </c>
      <c r="D16744" t="s">
        <v>14177</v>
      </c>
      <c r="E16744">
        <v>-103.89</v>
      </c>
      <c r="F16744">
        <v>-0.02</v>
      </c>
      <c r="G16744" t="s">
        <v>12</v>
      </c>
      <c r="I16744" t="s">
        <v>1428</v>
      </c>
    </row>
    <row r="16745" spans="1:9" x14ac:dyDescent="0.25">
      <c r="A16745" t="s">
        <v>14043</v>
      </c>
      <c r="B16745" t="s">
        <v>778</v>
      </c>
      <c r="C16745" s="2">
        <f>HYPERLINK("https://cao.dolgi.msk.ru/account/1089122673/", 1089122673)</f>
        <v>1089122673</v>
      </c>
      <c r="D16745" t="s">
        <v>14178</v>
      </c>
      <c r="E16745">
        <v>74485.97</v>
      </c>
      <c r="F16745">
        <v>24.25</v>
      </c>
      <c r="G16745" t="s">
        <v>12</v>
      </c>
      <c r="I16745" t="s">
        <v>1428</v>
      </c>
    </row>
    <row r="16746" spans="1:9" hidden="1" x14ac:dyDescent="0.25">
      <c r="A16746" t="s">
        <v>14043</v>
      </c>
      <c r="B16746" t="s">
        <v>780</v>
      </c>
      <c r="C16746" s="2">
        <f>HYPERLINK("https://cao.dolgi.msk.ru/account/1080252762/", 1080252762)</f>
        <v>1080252762</v>
      </c>
      <c r="D16746" t="s">
        <v>14179</v>
      </c>
      <c r="E16746">
        <v>-5768.75</v>
      </c>
      <c r="F16746">
        <v>-1.07</v>
      </c>
      <c r="G16746" t="s">
        <v>12</v>
      </c>
      <c r="I16746" t="s">
        <v>1428</v>
      </c>
    </row>
    <row r="16747" spans="1:9" hidden="1" x14ac:dyDescent="0.25">
      <c r="A16747" t="s">
        <v>14043</v>
      </c>
      <c r="B16747" t="s">
        <v>781</v>
      </c>
      <c r="C16747" s="2">
        <f>HYPERLINK("https://cao.dolgi.msk.ru/account/1080252789/", 1080252789)</f>
        <v>1080252789</v>
      </c>
      <c r="D16747" t="s">
        <v>14180</v>
      </c>
      <c r="E16747">
        <v>-3923.44</v>
      </c>
      <c r="F16747">
        <v>-1.1000000000000001</v>
      </c>
      <c r="G16747" t="s">
        <v>12</v>
      </c>
      <c r="I16747" t="s">
        <v>1428</v>
      </c>
    </row>
    <row r="16748" spans="1:9" hidden="1" x14ac:dyDescent="0.25">
      <c r="A16748" t="s">
        <v>14043</v>
      </c>
      <c r="B16748" t="s">
        <v>782</v>
      </c>
      <c r="C16748" s="2">
        <f>HYPERLINK("https://cao.dolgi.msk.ru/account/1080252797/", 1080252797)</f>
        <v>1080252797</v>
      </c>
      <c r="D16748" t="s">
        <v>14181</v>
      </c>
      <c r="E16748">
        <v>-3372.63</v>
      </c>
      <c r="F16748">
        <v>-1.08</v>
      </c>
      <c r="G16748" t="s">
        <v>12</v>
      </c>
      <c r="I16748" t="s">
        <v>1428</v>
      </c>
    </row>
    <row r="16749" spans="1:9" hidden="1" x14ac:dyDescent="0.25">
      <c r="A16749" t="s">
        <v>14043</v>
      </c>
      <c r="B16749" t="s">
        <v>784</v>
      </c>
      <c r="C16749" s="2">
        <f>HYPERLINK("https://cao.dolgi.msk.ru/account/1080252818/", 1080252818)</f>
        <v>1080252818</v>
      </c>
      <c r="D16749" t="s">
        <v>14182</v>
      </c>
      <c r="E16749">
        <v>-6874.95</v>
      </c>
      <c r="F16749">
        <v>-1.01</v>
      </c>
      <c r="G16749" t="s">
        <v>12</v>
      </c>
      <c r="I16749" t="s">
        <v>1428</v>
      </c>
    </row>
    <row r="16750" spans="1:9" hidden="1" x14ac:dyDescent="0.25">
      <c r="A16750" t="s">
        <v>14043</v>
      </c>
      <c r="B16750" t="s">
        <v>786</v>
      </c>
      <c r="C16750" s="2">
        <f>HYPERLINK("https://cao.dolgi.msk.ru/account/1080252826/", 1080252826)</f>
        <v>1080252826</v>
      </c>
      <c r="D16750" t="s">
        <v>14183</v>
      </c>
      <c r="E16750">
        <v>-4868.6400000000003</v>
      </c>
      <c r="F16750">
        <v>-0.99</v>
      </c>
      <c r="G16750" t="s">
        <v>12</v>
      </c>
      <c r="I16750" t="s">
        <v>1428</v>
      </c>
    </row>
    <row r="16751" spans="1:9" hidden="1" x14ac:dyDescent="0.25">
      <c r="A16751" t="s">
        <v>14043</v>
      </c>
      <c r="B16751" t="s">
        <v>788</v>
      </c>
      <c r="C16751" s="2">
        <f>HYPERLINK("https://cao.dolgi.msk.ru/account/1080252834/", 1080252834)</f>
        <v>1080252834</v>
      </c>
      <c r="D16751" t="s">
        <v>14184</v>
      </c>
      <c r="E16751">
        <v>-5141.3999999999996</v>
      </c>
      <c r="F16751">
        <v>-1.06</v>
      </c>
      <c r="G16751" t="s">
        <v>12</v>
      </c>
      <c r="I16751" t="s">
        <v>1428</v>
      </c>
    </row>
    <row r="16752" spans="1:9" hidden="1" x14ac:dyDescent="0.25">
      <c r="A16752" t="s">
        <v>14043</v>
      </c>
      <c r="B16752" t="s">
        <v>789</v>
      </c>
      <c r="C16752" s="2">
        <f>HYPERLINK("https://cao.dolgi.msk.ru/account/1080252842/", 1080252842)</f>
        <v>1080252842</v>
      </c>
      <c r="D16752" t="s">
        <v>14185</v>
      </c>
      <c r="E16752">
        <v>-5487.42</v>
      </c>
      <c r="F16752">
        <v>-1.53</v>
      </c>
      <c r="G16752" t="s">
        <v>12</v>
      </c>
      <c r="I16752" t="s">
        <v>1428</v>
      </c>
    </row>
    <row r="16753" spans="1:9" hidden="1" x14ac:dyDescent="0.25">
      <c r="A16753" t="s">
        <v>14043</v>
      </c>
      <c r="B16753" t="s">
        <v>790</v>
      </c>
      <c r="C16753" s="2">
        <f>HYPERLINK("https://cao.dolgi.msk.ru/account/1080252869/", 1080252869)</f>
        <v>1080252869</v>
      </c>
      <c r="D16753" t="s">
        <v>14186</v>
      </c>
      <c r="E16753">
        <v>1634.63</v>
      </c>
      <c r="F16753">
        <v>0.52</v>
      </c>
      <c r="G16753" t="s">
        <v>12</v>
      </c>
      <c r="I16753" t="s">
        <v>1428</v>
      </c>
    </row>
    <row r="16754" spans="1:9" hidden="1" x14ac:dyDescent="0.25">
      <c r="A16754" t="s">
        <v>14043</v>
      </c>
      <c r="B16754" t="s">
        <v>792</v>
      </c>
      <c r="C16754" s="2">
        <f>HYPERLINK("https://cao.dolgi.msk.ru/account/1080252877/", 1080252877)</f>
        <v>1080252877</v>
      </c>
      <c r="D16754" t="s">
        <v>14187</v>
      </c>
      <c r="E16754">
        <v>-7146.33</v>
      </c>
      <c r="F16754">
        <v>-1.26</v>
      </c>
      <c r="G16754" t="s">
        <v>12</v>
      </c>
      <c r="I16754" t="s">
        <v>1428</v>
      </c>
    </row>
    <row r="16755" spans="1:9" hidden="1" x14ac:dyDescent="0.25">
      <c r="A16755" t="s">
        <v>14043</v>
      </c>
      <c r="B16755" t="s">
        <v>794</v>
      </c>
      <c r="C16755" s="2">
        <f>HYPERLINK("https://cao.dolgi.msk.ru/account/1080252885/", 1080252885)</f>
        <v>1080252885</v>
      </c>
      <c r="D16755" t="s">
        <v>14188</v>
      </c>
      <c r="E16755">
        <v>-26586.19</v>
      </c>
      <c r="F16755">
        <v>-7.5</v>
      </c>
      <c r="G16755" t="s">
        <v>12</v>
      </c>
      <c r="I16755" t="s">
        <v>1428</v>
      </c>
    </row>
    <row r="16756" spans="1:9" hidden="1" x14ac:dyDescent="0.25">
      <c r="A16756" t="s">
        <v>14043</v>
      </c>
      <c r="B16756" t="s">
        <v>794</v>
      </c>
      <c r="C16756" s="2">
        <f>HYPERLINK("https://cao.dolgi.msk.ru/account/1083277965/", 1083277965)</f>
        <v>1083277965</v>
      </c>
      <c r="D16756" t="s">
        <v>15</v>
      </c>
      <c r="E16756">
        <v>-8862.02</v>
      </c>
      <c r="F16756">
        <v>-1.88</v>
      </c>
      <c r="G16756" t="s">
        <v>12</v>
      </c>
      <c r="I16756" t="s">
        <v>1428</v>
      </c>
    </row>
    <row r="16757" spans="1:9" hidden="1" x14ac:dyDescent="0.25">
      <c r="A16757" t="s">
        <v>14043</v>
      </c>
      <c r="B16757" t="s">
        <v>796</v>
      </c>
      <c r="C16757" s="2">
        <f>HYPERLINK("https://cao.dolgi.msk.ru/account/1080252893/", 1080252893)</f>
        <v>1080252893</v>
      </c>
      <c r="D16757" t="s">
        <v>14189</v>
      </c>
      <c r="E16757">
        <v>-6082.62</v>
      </c>
      <c r="F16757">
        <v>-1.1000000000000001</v>
      </c>
      <c r="G16757" t="s">
        <v>12</v>
      </c>
      <c r="I16757" t="s">
        <v>1428</v>
      </c>
    </row>
    <row r="16758" spans="1:9" hidden="1" x14ac:dyDescent="0.25">
      <c r="A16758" t="s">
        <v>14043</v>
      </c>
      <c r="B16758" t="s">
        <v>798</v>
      </c>
      <c r="C16758" s="2">
        <f>HYPERLINK("https://cao.dolgi.msk.ru/account/1080252906/", 1080252906)</f>
        <v>1080252906</v>
      </c>
      <c r="D16758" t="s">
        <v>14190</v>
      </c>
      <c r="E16758">
        <v>-855.46</v>
      </c>
      <c r="F16758">
        <v>-0.21</v>
      </c>
      <c r="G16758" t="s">
        <v>12</v>
      </c>
      <c r="I16758" t="s">
        <v>1428</v>
      </c>
    </row>
    <row r="16759" spans="1:9" hidden="1" x14ac:dyDescent="0.25">
      <c r="A16759" t="s">
        <v>14043</v>
      </c>
      <c r="B16759" t="s">
        <v>800</v>
      </c>
      <c r="C16759" s="2">
        <f>HYPERLINK("https://cao.dolgi.msk.ru/account/1080252914/", 1080252914)</f>
        <v>1080252914</v>
      </c>
      <c r="D16759" t="s">
        <v>14191</v>
      </c>
      <c r="E16759">
        <v>-5072.95</v>
      </c>
      <c r="F16759">
        <v>-1.47</v>
      </c>
      <c r="G16759" t="s">
        <v>12</v>
      </c>
      <c r="I16759" t="s">
        <v>1428</v>
      </c>
    </row>
    <row r="16760" spans="1:9" hidden="1" x14ac:dyDescent="0.25">
      <c r="A16760" t="s">
        <v>14043</v>
      </c>
      <c r="B16760" t="s">
        <v>802</v>
      </c>
      <c r="C16760" s="2">
        <f>HYPERLINK("https://cao.dolgi.msk.ru/account/1080252922/", 1080252922)</f>
        <v>1080252922</v>
      </c>
      <c r="D16760" t="s">
        <v>14192</v>
      </c>
      <c r="E16760">
        <v>-4071.28</v>
      </c>
      <c r="F16760">
        <v>-1.1000000000000001</v>
      </c>
      <c r="G16760" t="s">
        <v>12</v>
      </c>
      <c r="I16760" t="s">
        <v>1428</v>
      </c>
    </row>
    <row r="16761" spans="1:9" hidden="1" x14ac:dyDescent="0.25">
      <c r="A16761" t="s">
        <v>14043</v>
      </c>
      <c r="B16761" t="s">
        <v>804</v>
      </c>
      <c r="C16761" s="2">
        <f>HYPERLINK("https://cao.dolgi.msk.ru/account/1080321756/", 1080321756)</f>
        <v>1080321756</v>
      </c>
      <c r="D16761" t="s">
        <v>14193</v>
      </c>
      <c r="E16761">
        <v>-1107.1400000000001</v>
      </c>
      <c r="F16761">
        <v>-0.34</v>
      </c>
      <c r="G16761" t="s">
        <v>12</v>
      </c>
      <c r="I16761" t="s">
        <v>1428</v>
      </c>
    </row>
    <row r="16762" spans="1:9" hidden="1" x14ac:dyDescent="0.25">
      <c r="A16762" t="s">
        <v>14043</v>
      </c>
      <c r="B16762" t="s">
        <v>806</v>
      </c>
      <c r="C16762" s="2">
        <f>HYPERLINK("https://cao.dolgi.msk.ru/account/1080252957/", 1080252957)</f>
        <v>1080252957</v>
      </c>
      <c r="D16762" t="s">
        <v>14194</v>
      </c>
      <c r="E16762">
        <v>-3622.11</v>
      </c>
      <c r="F16762">
        <v>-1.1200000000000001</v>
      </c>
      <c r="G16762" t="s">
        <v>12</v>
      </c>
      <c r="I16762" t="s">
        <v>1428</v>
      </c>
    </row>
    <row r="16763" spans="1:9" hidden="1" x14ac:dyDescent="0.25">
      <c r="A16763" t="s">
        <v>14043</v>
      </c>
      <c r="B16763" t="s">
        <v>808</v>
      </c>
      <c r="C16763" s="2">
        <f>HYPERLINK("https://cao.dolgi.msk.ru/account/1080252965/", 1080252965)</f>
        <v>1080252965</v>
      </c>
      <c r="D16763" t="s">
        <v>14195</v>
      </c>
      <c r="E16763">
        <v>-3277.5</v>
      </c>
      <c r="F16763">
        <v>-1.23</v>
      </c>
      <c r="G16763" t="s">
        <v>12</v>
      </c>
      <c r="I16763" t="s">
        <v>1428</v>
      </c>
    </row>
    <row r="16764" spans="1:9" hidden="1" x14ac:dyDescent="0.25">
      <c r="A16764" t="s">
        <v>14043</v>
      </c>
      <c r="B16764" t="s">
        <v>810</v>
      </c>
      <c r="C16764" s="2">
        <f>HYPERLINK("https://cao.dolgi.msk.ru/account/1080252973/", 1080252973)</f>
        <v>1080252973</v>
      </c>
      <c r="D16764" t="s">
        <v>14196</v>
      </c>
      <c r="E16764">
        <v>-2896.54</v>
      </c>
      <c r="F16764">
        <v>-1.01</v>
      </c>
      <c r="G16764" t="s">
        <v>12</v>
      </c>
      <c r="I16764" t="s">
        <v>1428</v>
      </c>
    </row>
    <row r="16765" spans="1:9" hidden="1" x14ac:dyDescent="0.25">
      <c r="A16765" t="s">
        <v>14043</v>
      </c>
      <c r="B16765" t="s">
        <v>812</v>
      </c>
      <c r="C16765" s="2">
        <f>HYPERLINK("https://cao.dolgi.msk.ru/account/1080252981/", 1080252981)</f>
        <v>1080252981</v>
      </c>
      <c r="D16765" t="s">
        <v>14197</v>
      </c>
      <c r="E16765">
        <v>-1947.34</v>
      </c>
      <c r="F16765">
        <v>-0.98</v>
      </c>
      <c r="G16765" t="s">
        <v>12</v>
      </c>
      <c r="I16765" t="s">
        <v>1428</v>
      </c>
    </row>
    <row r="16766" spans="1:9" hidden="1" x14ac:dyDescent="0.25">
      <c r="A16766" t="s">
        <v>14043</v>
      </c>
      <c r="B16766" t="s">
        <v>814</v>
      </c>
      <c r="C16766" s="2">
        <f>HYPERLINK("https://cao.dolgi.msk.ru/account/1080253001/", 1080253001)</f>
        <v>1080253001</v>
      </c>
      <c r="D16766" t="s">
        <v>14198</v>
      </c>
      <c r="E16766">
        <v>-4782.79</v>
      </c>
      <c r="F16766">
        <v>-1.1000000000000001</v>
      </c>
      <c r="G16766" t="s">
        <v>12</v>
      </c>
      <c r="I16766" t="s">
        <v>1428</v>
      </c>
    </row>
    <row r="16767" spans="1:9" hidden="1" x14ac:dyDescent="0.25">
      <c r="A16767" t="s">
        <v>14043</v>
      </c>
      <c r="B16767" t="s">
        <v>816</v>
      </c>
      <c r="C16767" s="2">
        <f>HYPERLINK("https://cao.dolgi.msk.ru/account/1080253028/", 1080253028)</f>
        <v>1080253028</v>
      </c>
      <c r="D16767" t="s">
        <v>14199</v>
      </c>
      <c r="E16767">
        <v>-2837.88</v>
      </c>
      <c r="F16767">
        <v>-0.78</v>
      </c>
      <c r="G16767" t="s">
        <v>12</v>
      </c>
      <c r="I16767" t="s">
        <v>1428</v>
      </c>
    </row>
    <row r="16768" spans="1:9" hidden="1" x14ac:dyDescent="0.25">
      <c r="A16768" t="s">
        <v>14043</v>
      </c>
      <c r="B16768" t="s">
        <v>818</v>
      </c>
      <c r="C16768" s="2">
        <f>HYPERLINK("https://cao.dolgi.msk.ru/account/1080253036/", 1080253036)</f>
        <v>1080253036</v>
      </c>
      <c r="D16768" t="s">
        <v>14200</v>
      </c>
      <c r="E16768">
        <v>-3005.1</v>
      </c>
      <c r="F16768">
        <v>-1.08</v>
      </c>
      <c r="G16768" t="s">
        <v>12</v>
      </c>
      <c r="I16768" t="s">
        <v>1428</v>
      </c>
    </row>
    <row r="16769" spans="1:9" hidden="1" x14ac:dyDescent="0.25">
      <c r="A16769" t="s">
        <v>14043</v>
      </c>
      <c r="B16769" t="s">
        <v>820</v>
      </c>
      <c r="C16769" s="2">
        <f>HYPERLINK("https://cao.dolgi.msk.ru/account/1080253044/", 1080253044)</f>
        <v>1080253044</v>
      </c>
      <c r="D16769" t="s">
        <v>14201</v>
      </c>
      <c r="E16769">
        <v>-2574.9299999999998</v>
      </c>
      <c r="F16769">
        <v>-1.1100000000000001</v>
      </c>
      <c r="G16769" t="s">
        <v>12</v>
      </c>
      <c r="I16769" t="s">
        <v>1428</v>
      </c>
    </row>
    <row r="16770" spans="1:9" hidden="1" x14ac:dyDescent="0.25">
      <c r="A16770" t="s">
        <v>14043</v>
      </c>
      <c r="B16770" t="s">
        <v>822</v>
      </c>
      <c r="C16770" s="2">
        <f>HYPERLINK("https://cao.dolgi.msk.ru/account/1080253052/", 1080253052)</f>
        <v>1080253052</v>
      </c>
      <c r="D16770" t="s">
        <v>14202</v>
      </c>
      <c r="E16770">
        <v>-4583.6400000000003</v>
      </c>
      <c r="F16770">
        <v>-1.05</v>
      </c>
      <c r="G16770" t="s">
        <v>12</v>
      </c>
      <c r="I16770" t="s">
        <v>1428</v>
      </c>
    </row>
    <row r="16771" spans="1:9" hidden="1" x14ac:dyDescent="0.25">
      <c r="A16771" t="s">
        <v>14043</v>
      </c>
      <c r="B16771" t="s">
        <v>824</v>
      </c>
      <c r="C16771" s="2">
        <f>HYPERLINK("https://cao.dolgi.msk.ru/account/1080253079/", 1080253079)</f>
        <v>1080253079</v>
      </c>
      <c r="D16771" t="s">
        <v>14203</v>
      </c>
      <c r="E16771">
        <v>-4663.75</v>
      </c>
      <c r="F16771">
        <v>-1.18</v>
      </c>
      <c r="G16771" t="s">
        <v>12</v>
      </c>
      <c r="I16771" t="s">
        <v>1428</v>
      </c>
    </row>
    <row r="16772" spans="1:9" hidden="1" x14ac:dyDescent="0.25">
      <c r="A16772" t="s">
        <v>14043</v>
      </c>
      <c r="B16772" t="s">
        <v>826</v>
      </c>
      <c r="C16772" s="2">
        <f>HYPERLINK("https://cao.dolgi.msk.ru/account/1080253087/", 1080253087)</f>
        <v>1080253087</v>
      </c>
      <c r="D16772" t="s">
        <v>14204</v>
      </c>
      <c r="E16772">
        <v>-4222.59</v>
      </c>
      <c r="F16772">
        <v>-1.06</v>
      </c>
      <c r="G16772" t="s">
        <v>12</v>
      </c>
      <c r="I16772" t="s">
        <v>1428</v>
      </c>
    </row>
    <row r="16773" spans="1:9" hidden="1" x14ac:dyDescent="0.25">
      <c r="A16773" t="s">
        <v>14043</v>
      </c>
      <c r="B16773" t="s">
        <v>828</v>
      </c>
      <c r="C16773" s="2">
        <f>HYPERLINK("https://cao.dolgi.msk.ru/account/1080253095/", 1080253095)</f>
        <v>1080253095</v>
      </c>
      <c r="D16773" t="s">
        <v>14205</v>
      </c>
      <c r="E16773">
        <v>-3839.82</v>
      </c>
      <c r="F16773">
        <v>-1.0900000000000001</v>
      </c>
      <c r="G16773" t="s">
        <v>12</v>
      </c>
      <c r="I16773" t="s">
        <v>1428</v>
      </c>
    </row>
    <row r="16774" spans="1:9" hidden="1" x14ac:dyDescent="0.25">
      <c r="A16774" t="s">
        <v>14043</v>
      </c>
      <c r="B16774" t="s">
        <v>830</v>
      </c>
      <c r="C16774" s="2">
        <f>HYPERLINK("https://cao.dolgi.msk.ru/account/1080253108/", 1080253108)</f>
        <v>1080253108</v>
      </c>
      <c r="D16774" t="s">
        <v>14206</v>
      </c>
      <c r="E16774">
        <v>-8631.25</v>
      </c>
      <c r="F16774">
        <v>-1.24</v>
      </c>
      <c r="G16774" t="s">
        <v>12</v>
      </c>
      <c r="I16774" t="s">
        <v>1428</v>
      </c>
    </row>
    <row r="16775" spans="1:9" hidden="1" x14ac:dyDescent="0.25">
      <c r="A16775" t="s">
        <v>14043</v>
      </c>
      <c r="B16775" t="s">
        <v>831</v>
      </c>
      <c r="C16775" s="2">
        <f>HYPERLINK("https://cao.dolgi.msk.ru/account/1080253116/", 1080253116)</f>
        <v>1080253116</v>
      </c>
      <c r="D16775" t="s">
        <v>14207</v>
      </c>
      <c r="E16775">
        <v>-8222.35</v>
      </c>
      <c r="F16775">
        <v>-1.1100000000000001</v>
      </c>
      <c r="G16775" t="s">
        <v>12</v>
      </c>
      <c r="I16775" t="s">
        <v>1428</v>
      </c>
    </row>
    <row r="16776" spans="1:9" hidden="1" x14ac:dyDescent="0.25">
      <c r="A16776" t="s">
        <v>14043</v>
      </c>
      <c r="B16776" t="s">
        <v>833</v>
      </c>
      <c r="C16776" s="2">
        <f>HYPERLINK("https://cao.dolgi.msk.ru/account/1080253124/", 1080253124)</f>
        <v>1080253124</v>
      </c>
      <c r="D16776" t="s">
        <v>14208</v>
      </c>
      <c r="E16776">
        <v>4276.8500000000004</v>
      </c>
      <c r="F16776">
        <v>1</v>
      </c>
      <c r="G16776" t="s">
        <v>12</v>
      </c>
      <c r="I16776" t="s">
        <v>1428</v>
      </c>
    </row>
    <row r="16777" spans="1:9" hidden="1" x14ac:dyDescent="0.25">
      <c r="A16777" t="s">
        <v>14043</v>
      </c>
      <c r="B16777" t="s">
        <v>835</v>
      </c>
      <c r="C16777" s="2">
        <f>HYPERLINK("https://cao.dolgi.msk.ru/account/1080253132/", 1080253132)</f>
        <v>1080253132</v>
      </c>
      <c r="D16777" t="s">
        <v>14209</v>
      </c>
      <c r="E16777">
        <v>-327.91</v>
      </c>
      <c r="F16777">
        <v>-0.08</v>
      </c>
      <c r="G16777" t="s">
        <v>12</v>
      </c>
      <c r="I16777" t="s">
        <v>1428</v>
      </c>
    </row>
    <row r="16778" spans="1:9" hidden="1" x14ac:dyDescent="0.25">
      <c r="A16778" t="s">
        <v>14043</v>
      </c>
      <c r="B16778" t="s">
        <v>837</v>
      </c>
      <c r="C16778" s="2">
        <f>HYPERLINK("https://cao.dolgi.msk.ru/account/1080253159/", 1080253159)</f>
        <v>1080253159</v>
      </c>
      <c r="D16778" t="s">
        <v>14210</v>
      </c>
      <c r="E16778">
        <v>-1072</v>
      </c>
      <c r="F16778">
        <v>-1.02</v>
      </c>
      <c r="G16778" t="s">
        <v>12</v>
      </c>
      <c r="I16778" t="s">
        <v>1428</v>
      </c>
    </row>
    <row r="16779" spans="1:9" hidden="1" x14ac:dyDescent="0.25">
      <c r="A16779" t="s">
        <v>14043</v>
      </c>
      <c r="B16779" t="s">
        <v>837</v>
      </c>
      <c r="C16779" s="2">
        <f>HYPERLINK("https://cao.dolgi.msk.ru/account/1089133276/", 1089133276)</f>
        <v>1089133276</v>
      </c>
      <c r="D16779" t="s">
        <v>15</v>
      </c>
      <c r="E16779">
        <v>-3450.87</v>
      </c>
      <c r="F16779">
        <v>-1.07</v>
      </c>
      <c r="G16779" t="s">
        <v>12</v>
      </c>
      <c r="I16779" t="s">
        <v>1428</v>
      </c>
    </row>
    <row r="16780" spans="1:9" hidden="1" x14ac:dyDescent="0.25">
      <c r="A16780" t="s">
        <v>14043</v>
      </c>
      <c r="B16780" t="s">
        <v>838</v>
      </c>
      <c r="C16780" s="2">
        <f>HYPERLINK("https://cao.dolgi.msk.ru/account/1080253167/", 1080253167)</f>
        <v>1080253167</v>
      </c>
      <c r="D16780" t="s">
        <v>14211</v>
      </c>
      <c r="E16780">
        <v>-4472.45</v>
      </c>
      <c r="F16780">
        <v>-0.99</v>
      </c>
      <c r="G16780" t="s">
        <v>12</v>
      </c>
      <c r="I16780" t="s">
        <v>1428</v>
      </c>
    </row>
    <row r="16781" spans="1:9" hidden="1" x14ac:dyDescent="0.25">
      <c r="A16781" t="s">
        <v>14043</v>
      </c>
      <c r="B16781" t="s">
        <v>840</v>
      </c>
      <c r="C16781" s="2">
        <f>HYPERLINK("https://cao.dolgi.msk.ru/account/1080253175/", 1080253175)</f>
        <v>1080253175</v>
      </c>
      <c r="D16781" t="s">
        <v>14212</v>
      </c>
      <c r="E16781">
        <v>-105.06</v>
      </c>
      <c r="F16781">
        <v>-0.03</v>
      </c>
      <c r="G16781" t="s">
        <v>12</v>
      </c>
      <c r="I16781" t="s">
        <v>1428</v>
      </c>
    </row>
    <row r="16782" spans="1:9" hidden="1" x14ac:dyDescent="0.25">
      <c r="A16782" t="s">
        <v>14043</v>
      </c>
      <c r="B16782" t="s">
        <v>842</v>
      </c>
      <c r="C16782" s="2">
        <f>HYPERLINK("https://cao.dolgi.msk.ru/account/1080253183/", 1080253183)</f>
        <v>1080253183</v>
      </c>
      <c r="D16782" t="s">
        <v>14213</v>
      </c>
      <c r="E16782">
        <v>-3702.87</v>
      </c>
      <c r="F16782">
        <v>-0.97</v>
      </c>
      <c r="G16782" t="s">
        <v>12</v>
      </c>
      <c r="I16782" t="s">
        <v>1428</v>
      </c>
    </row>
    <row r="16783" spans="1:9" hidden="1" x14ac:dyDescent="0.25">
      <c r="A16783" t="s">
        <v>14043</v>
      </c>
      <c r="B16783" t="s">
        <v>844</v>
      </c>
      <c r="C16783" s="2">
        <f>HYPERLINK("https://cao.dolgi.msk.ru/account/1080253191/", 1080253191)</f>
        <v>1080253191</v>
      </c>
      <c r="D16783" t="s">
        <v>14214</v>
      </c>
      <c r="E16783">
        <v>-2871.47</v>
      </c>
      <c r="F16783">
        <v>-0.99</v>
      </c>
      <c r="G16783" t="s">
        <v>12</v>
      </c>
      <c r="I16783" t="s">
        <v>1428</v>
      </c>
    </row>
    <row r="16784" spans="1:9" hidden="1" x14ac:dyDescent="0.25">
      <c r="A16784" t="s">
        <v>14043</v>
      </c>
      <c r="B16784" t="s">
        <v>846</v>
      </c>
      <c r="C16784" s="2">
        <f>HYPERLINK("https://cao.dolgi.msk.ru/account/1080253204/", 1080253204)</f>
        <v>1080253204</v>
      </c>
      <c r="D16784" t="s">
        <v>14215</v>
      </c>
      <c r="E16784">
        <v>-5835.14</v>
      </c>
      <c r="F16784">
        <v>-1.03</v>
      </c>
      <c r="G16784" t="s">
        <v>12</v>
      </c>
      <c r="I16784" t="s">
        <v>1428</v>
      </c>
    </row>
    <row r="16785" spans="1:9" hidden="1" x14ac:dyDescent="0.25">
      <c r="A16785" t="s">
        <v>14043</v>
      </c>
      <c r="B16785" t="s">
        <v>848</v>
      </c>
      <c r="C16785" s="2">
        <f>HYPERLINK("https://cao.dolgi.msk.ru/account/1080253212/", 1080253212)</f>
        <v>1080253212</v>
      </c>
      <c r="D16785" t="s">
        <v>14216</v>
      </c>
      <c r="E16785">
        <v>-3042.76</v>
      </c>
      <c r="F16785">
        <v>-1.27</v>
      </c>
      <c r="G16785" t="s">
        <v>12</v>
      </c>
      <c r="I16785" t="s">
        <v>1428</v>
      </c>
    </row>
    <row r="16786" spans="1:9" hidden="1" x14ac:dyDescent="0.25">
      <c r="A16786" t="s">
        <v>14043</v>
      </c>
      <c r="B16786" t="s">
        <v>850</v>
      </c>
      <c r="C16786" s="2">
        <f>HYPERLINK("https://cao.dolgi.msk.ru/account/1080253239/", 1080253239)</f>
        <v>1080253239</v>
      </c>
      <c r="D16786" t="s">
        <v>14217</v>
      </c>
      <c r="E16786">
        <v>0</v>
      </c>
      <c r="F16786">
        <v>0</v>
      </c>
      <c r="G16786" t="s">
        <v>12</v>
      </c>
      <c r="I16786" t="s">
        <v>1428</v>
      </c>
    </row>
    <row r="16787" spans="1:9" x14ac:dyDescent="0.25">
      <c r="A16787" t="s">
        <v>14043</v>
      </c>
      <c r="B16787" t="s">
        <v>852</v>
      </c>
      <c r="C16787" s="2">
        <f>HYPERLINK("https://cao.dolgi.msk.ru/account/1080253247/", 1080253247)</f>
        <v>1080253247</v>
      </c>
      <c r="D16787" t="s">
        <v>14218</v>
      </c>
      <c r="E16787">
        <v>7766.71</v>
      </c>
      <c r="F16787">
        <v>1.98</v>
      </c>
      <c r="G16787" t="s">
        <v>12</v>
      </c>
      <c r="I16787" t="s">
        <v>1428</v>
      </c>
    </row>
    <row r="16788" spans="1:9" hidden="1" x14ac:dyDescent="0.25">
      <c r="A16788" t="s">
        <v>14043</v>
      </c>
      <c r="B16788" t="s">
        <v>854</v>
      </c>
      <c r="C16788" s="2">
        <f>HYPERLINK("https://cao.dolgi.msk.ru/account/1080253255/", 1080253255)</f>
        <v>1080253255</v>
      </c>
      <c r="D16788" t="s">
        <v>14219</v>
      </c>
      <c r="E16788">
        <v>-2890.44</v>
      </c>
      <c r="F16788">
        <v>-1.08</v>
      </c>
      <c r="G16788" t="s">
        <v>12</v>
      </c>
      <c r="I16788" t="s">
        <v>1428</v>
      </c>
    </row>
    <row r="16789" spans="1:9" hidden="1" x14ac:dyDescent="0.25">
      <c r="A16789" t="s">
        <v>14043</v>
      </c>
      <c r="B16789" t="s">
        <v>856</v>
      </c>
      <c r="C16789" s="2">
        <f>HYPERLINK("https://cao.dolgi.msk.ru/account/1080253263/", 1080253263)</f>
        <v>1080253263</v>
      </c>
      <c r="D16789" t="s">
        <v>14220</v>
      </c>
      <c r="E16789">
        <v>-4458.66</v>
      </c>
      <c r="F16789">
        <v>-1.07</v>
      </c>
      <c r="G16789" t="s">
        <v>12</v>
      </c>
      <c r="I16789" t="s">
        <v>1428</v>
      </c>
    </row>
    <row r="16790" spans="1:9" hidden="1" x14ac:dyDescent="0.25">
      <c r="A16790" t="s">
        <v>14043</v>
      </c>
      <c r="B16790" t="s">
        <v>858</v>
      </c>
      <c r="C16790" s="2">
        <f>HYPERLINK("https://cao.dolgi.msk.ru/account/1080253271/", 1080253271)</f>
        <v>1080253271</v>
      </c>
      <c r="D16790" t="s">
        <v>14221</v>
      </c>
      <c r="E16790">
        <v>-6023.86</v>
      </c>
      <c r="F16790">
        <v>-1.6</v>
      </c>
      <c r="G16790" t="s">
        <v>12</v>
      </c>
      <c r="I16790" t="s">
        <v>1428</v>
      </c>
    </row>
    <row r="16791" spans="1:9" hidden="1" x14ac:dyDescent="0.25">
      <c r="A16791" t="s">
        <v>14043</v>
      </c>
      <c r="B16791" t="s">
        <v>860</v>
      </c>
      <c r="C16791" s="2">
        <f>HYPERLINK("https://cao.dolgi.msk.ru/account/1080253298/", 1080253298)</f>
        <v>1080253298</v>
      </c>
      <c r="D16791" t="s">
        <v>14222</v>
      </c>
      <c r="E16791">
        <v>-7756.83</v>
      </c>
      <c r="F16791">
        <v>-1.39</v>
      </c>
      <c r="G16791" t="s">
        <v>12</v>
      </c>
      <c r="I16791" t="s">
        <v>1428</v>
      </c>
    </row>
    <row r="16792" spans="1:9" hidden="1" x14ac:dyDescent="0.25">
      <c r="A16792" t="s">
        <v>14043</v>
      </c>
      <c r="B16792" t="s">
        <v>862</v>
      </c>
      <c r="C16792" s="2">
        <f>HYPERLINK("https://cao.dolgi.msk.ru/account/1080253319/", 1080253319)</f>
        <v>1080253319</v>
      </c>
      <c r="D16792" t="s">
        <v>14223</v>
      </c>
      <c r="E16792">
        <v>-4948.49</v>
      </c>
      <c r="F16792">
        <v>-1.04</v>
      </c>
      <c r="G16792" t="s">
        <v>12</v>
      </c>
      <c r="I16792" t="s">
        <v>1428</v>
      </c>
    </row>
    <row r="16793" spans="1:9" hidden="1" x14ac:dyDescent="0.25">
      <c r="A16793" t="s">
        <v>14043</v>
      </c>
      <c r="B16793" t="s">
        <v>864</v>
      </c>
      <c r="C16793" s="2">
        <f>HYPERLINK("https://cao.dolgi.msk.ru/account/1080253327/", 1080253327)</f>
        <v>1080253327</v>
      </c>
      <c r="D16793" t="s">
        <v>14224</v>
      </c>
      <c r="E16793">
        <v>247.27</v>
      </c>
      <c r="F16793">
        <v>1.44</v>
      </c>
      <c r="G16793" t="s">
        <v>14</v>
      </c>
      <c r="I16793" t="s">
        <v>1428</v>
      </c>
    </row>
    <row r="16794" spans="1:9" hidden="1" x14ac:dyDescent="0.25">
      <c r="A16794" t="s">
        <v>14043</v>
      </c>
      <c r="B16794" t="s">
        <v>864</v>
      </c>
      <c r="C16794" s="2">
        <f>HYPERLINK("https://cao.dolgi.msk.ru/account/1089133305/", 1089133305)</f>
        <v>1089133305</v>
      </c>
      <c r="D16794" t="s">
        <v>15</v>
      </c>
      <c r="E16794">
        <v>-4696.4799999999996</v>
      </c>
      <c r="F16794">
        <v>-1.23</v>
      </c>
      <c r="G16794" t="s">
        <v>12</v>
      </c>
      <c r="I16794" t="s">
        <v>1428</v>
      </c>
    </row>
    <row r="16795" spans="1:9" hidden="1" x14ac:dyDescent="0.25">
      <c r="A16795" t="s">
        <v>14043</v>
      </c>
      <c r="B16795" t="s">
        <v>866</v>
      </c>
      <c r="C16795" s="2">
        <f>HYPERLINK("https://cao.dolgi.msk.ru/account/1080253335/", 1080253335)</f>
        <v>1080253335</v>
      </c>
      <c r="D16795" t="s">
        <v>14225</v>
      </c>
      <c r="E16795">
        <v>0</v>
      </c>
      <c r="F16795">
        <v>0</v>
      </c>
      <c r="G16795" t="s">
        <v>12</v>
      </c>
      <c r="I16795" t="s">
        <v>1428</v>
      </c>
    </row>
    <row r="16796" spans="1:9" hidden="1" x14ac:dyDescent="0.25">
      <c r="A16796" t="s">
        <v>14226</v>
      </c>
      <c r="B16796" t="s">
        <v>10</v>
      </c>
      <c r="C16796" s="2">
        <f>HYPERLINK("https://cao.dolgi.msk.ru/account/1080139452/", 1080139452)</f>
        <v>1080139452</v>
      </c>
      <c r="D16796" t="s">
        <v>14227</v>
      </c>
      <c r="E16796">
        <v>-7231.94</v>
      </c>
      <c r="F16796">
        <v>-1.1200000000000001</v>
      </c>
      <c r="G16796" t="s">
        <v>12</v>
      </c>
      <c r="I16796" t="s">
        <v>2409</v>
      </c>
    </row>
    <row r="16797" spans="1:9" hidden="1" x14ac:dyDescent="0.25">
      <c r="A16797" t="s">
        <v>14226</v>
      </c>
      <c r="B16797" t="s">
        <v>231</v>
      </c>
      <c r="C16797" s="2">
        <f>HYPERLINK("https://cao.dolgi.msk.ru/account/1080139479/", 1080139479)</f>
        <v>1080139479</v>
      </c>
      <c r="D16797" t="s">
        <v>15</v>
      </c>
      <c r="G16797" t="s">
        <v>14</v>
      </c>
      <c r="H16797" t="s">
        <v>7</v>
      </c>
      <c r="I16797" t="s">
        <v>2409</v>
      </c>
    </row>
    <row r="16798" spans="1:9" hidden="1" x14ac:dyDescent="0.25">
      <c r="A16798" t="s">
        <v>14226</v>
      </c>
      <c r="B16798" t="s">
        <v>231</v>
      </c>
      <c r="C16798" s="2">
        <f>HYPERLINK("https://cao.dolgi.msk.ru/account/1080139487/", 1080139487)</f>
        <v>1080139487</v>
      </c>
      <c r="D16798" t="s">
        <v>15</v>
      </c>
      <c r="G16798" t="s">
        <v>14</v>
      </c>
      <c r="H16798" t="s">
        <v>7</v>
      </c>
      <c r="I16798" t="s">
        <v>2409</v>
      </c>
    </row>
    <row r="16799" spans="1:9" hidden="1" x14ac:dyDescent="0.25">
      <c r="A16799" t="s">
        <v>14226</v>
      </c>
      <c r="B16799" t="s">
        <v>231</v>
      </c>
      <c r="C16799" s="2">
        <f>HYPERLINK("https://cao.dolgi.msk.ru/account/1080139495/", 1080139495)</f>
        <v>1080139495</v>
      </c>
      <c r="D16799" t="s">
        <v>15</v>
      </c>
      <c r="G16799" t="s">
        <v>14</v>
      </c>
      <c r="H16799" t="s">
        <v>7</v>
      </c>
      <c r="I16799" t="s">
        <v>2409</v>
      </c>
    </row>
    <row r="16800" spans="1:9" hidden="1" x14ac:dyDescent="0.25">
      <c r="A16800" t="s">
        <v>14226</v>
      </c>
      <c r="B16800" t="s">
        <v>231</v>
      </c>
      <c r="C16800" s="2">
        <f>HYPERLINK("https://cao.dolgi.msk.ru/account/1080139508/", 1080139508)</f>
        <v>1080139508</v>
      </c>
      <c r="D16800" t="s">
        <v>15</v>
      </c>
      <c r="G16800" t="s">
        <v>14</v>
      </c>
      <c r="H16800" t="s">
        <v>7</v>
      </c>
      <c r="I16800" t="s">
        <v>2409</v>
      </c>
    </row>
    <row r="16801" spans="1:9" hidden="1" x14ac:dyDescent="0.25">
      <c r="A16801" t="s">
        <v>14226</v>
      </c>
      <c r="B16801" t="s">
        <v>231</v>
      </c>
      <c r="C16801" s="2">
        <f>HYPERLINK("https://cao.dolgi.msk.ru/account/1080146855/", 1080146855)</f>
        <v>1080146855</v>
      </c>
      <c r="D16801" t="s">
        <v>15</v>
      </c>
      <c r="G16801" t="s">
        <v>14</v>
      </c>
      <c r="H16801" t="s">
        <v>7</v>
      </c>
      <c r="I16801" t="s">
        <v>2409</v>
      </c>
    </row>
    <row r="16802" spans="1:9" hidden="1" x14ac:dyDescent="0.25">
      <c r="A16802" t="s">
        <v>14226</v>
      </c>
      <c r="B16802" t="s">
        <v>16</v>
      </c>
      <c r="C16802" s="2">
        <f>HYPERLINK("https://cao.dolgi.msk.ru/account/1080139516/", 1080139516)</f>
        <v>1080139516</v>
      </c>
      <c r="D16802" t="s">
        <v>14228</v>
      </c>
      <c r="E16802">
        <v>-2152.62</v>
      </c>
      <c r="F16802">
        <v>-1.1599999999999999</v>
      </c>
      <c r="G16802" t="s">
        <v>12</v>
      </c>
      <c r="H16802" t="s">
        <v>7</v>
      </c>
      <c r="I16802" t="s">
        <v>2409</v>
      </c>
    </row>
    <row r="16803" spans="1:9" hidden="1" x14ac:dyDescent="0.25">
      <c r="A16803" t="s">
        <v>14226</v>
      </c>
      <c r="B16803" t="s">
        <v>16</v>
      </c>
      <c r="C16803" s="2">
        <f>HYPERLINK("https://cao.dolgi.msk.ru/account/1080139524/", 1080139524)</f>
        <v>1080139524</v>
      </c>
      <c r="D16803" t="s">
        <v>14229</v>
      </c>
      <c r="E16803">
        <v>-1385.07</v>
      </c>
      <c r="F16803">
        <v>-1.1299999999999999</v>
      </c>
      <c r="G16803" t="s">
        <v>12</v>
      </c>
      <c r="H16803" t="s">
        <v>7</v>
      </c>
      <c r="I16803" t="s">
        <v>2409</v>
      </c>
    </row>
    <row r="16804" spans="1:9" hidden="1" x14ac:dyDescent="0.25">
      <c r="A16804" t="s">
        <v>14226</v>
      </c>
      <c r="B16804" t="s">
        <v>18</v>
      </c>
      <c r="C16804" s="2">
        <f>HYPERLINK("https://cao.dolgi.msk.ru/account/1080139532/", 1080139532)</f>
        <v>1080139532</v>
      </c>
      <c r="D16804" t="s">
        <v>14230</v>
      </c>
      <c r="E16804">
        <v>-6483.28</v>
      </c>
      <c r="F16804">
        <v>-1.1000000000000001</v>
      </c>
      <c r="G16804" t="s">
        <v>12</v>
      </c>
      <c r="I16804" t="s">
        <v>2409</v>
      </c>
    </row>
    <row r="16805" spans="1:9" hidden="1" x14ac:dyDescent="0.25">
      <c r="A16805" t="s">
        <v>14226</v>
      </c>
      <c r="B16805" t="s">
        <v>20</v>
      </c>
      <c r="C16805" s="2">
        <f>HYPERLINK("https://cao.dolgi.msk.ru/account/1080139559/", 1080139559)</f>
        <v>1080139559</v>
      </c>
      <c r="D16805" t="s">
        <v>14231</v>
      </c>
      <c r="E16805">
        <v>-8254.42</v>
      </c>
      <c r="F16805">
        <v>-1.21</v>
      </c>
      <c r="G16805" t="s">
        <v>12</v>
      </c>
      <c r="I16805" t="s">
        <v>2409</v>
      </c>
    </row>
    <row r="16806" spans="1:9" hidden="1" x14ac:dyDescent="0.25">
      <c r="A16806" t="s">
        <v>14226</v>
      </c>
      <c r="B16806" t="s">
        <v>21</v>
      </c>
      <c r="C16806" s="2">
        <f>HYPERLINK("https://cao.dolgi.msk.ru/account/1080139567/", 1080139567)</f>
        <v>1080139567</v>
      </c>
      <c r="D16806" t="s">
        <v>14232</v>
      </c>
      <c r="E16806">
        <v>-7336.73</v>
      </c>
      <c r="F16806">
        <v>-1.1399999999999999</v>
      </c>
      <c r="G16806" t="s">
        <v>12</v>
      </c>
      <c r="I16806" t="s">
        <v>2409</v>
      </c>
    </row>
    <row r="16807" spans="1:9" hidden="1" x14ac:dyDescent="0.25">
      <c r="A16807" t="s">
        <v>14226</v>
      </c>
      <c r="B16807" t="s">
        <v>22</v>
      </c>
      <c r="C16807" s="2">
        <f>HYPERLINK("https://cao.dolgi.msk.ru/account/1080139575/", 1080139575)</f>
        <v>1080139575</v>
      </c>
      <c r="D16807" t="s">
        <v>14233</v>
      </c>
      <c r="E16807">
        <v>-4840.6899999999996</v>
      </c>
      <c r="F16807">
        <v>-0.95</v>
      </c>
      <c r="G16807" t="s">
        <v>12</v>
      </c>
      <c r="I16807" t="s">
        <v>2409</v>
      </c>
    </row>
    <row r="16808" spans="1:9" hidden="1" x14ac:dyDescent="0.25">
      <c r="A16808" t="s">
        <v>14226</v>
      </c>
      <c r="B16808" t="s">
        <v>23</v>
      </c>
      <c r="C16808" s="2">
        <f>HYPERLINK("https://cao.dolgi.msk.ru/account/1080139583/", 1080139583)</f>
        <v>1080139583</v>
      </c>
      <c r="D16808" t="s">
        <v>14234</v>
      </c>
      <c r="E16808">
        <v>-10461.35</v>
      </c>
      <c r="F16808">
        <v>-1.1200000000000001</v>
      </c>
      <c r="G16808" t="s">
        <v>12</v>
      </c>
      <c r="I16808" t="s">
        <v>2409</v>
      </c>
    </row>
    <row r="16809" spans="1:9" hidden="1" x14ac:dyDescent="0.25">
      <c r="A16809" t="s">
        <v>14226</v>
      </c>
      <c r="B16809" t="s">
        <v>24</v>
      </c>
      <c r="C16809" s="2">
        <f>HYPERLINK("https://cao.dolgi.msk.ru/account/1080139591/", 1080139591)</f>
        <v>1080139591</v>
      </c>
      <c r="D16809" t="s">
        <v>14235</v>
      </c>
      <c r="E16809">
        <v>666.67</v>
      </c>
      <c r="F16809">
        <v>0.15</v>
      </c>
      <c r="G16809" t="s">
        <v>12</v>
      </c>
      <c r="I16809" t="s">
        <v>2409</v>
      </c>
    </row>
    <row r="16810" spans="1:9" hidden="1" x14ac:dyDescent="0.25">
      <c r="A16810" t="s">
        <v>14226</v>
      </c>
      <c r="B16810" t="s">
        <v>14236</v>
      </c>
      <c r="C16810" s="2">
        <f>HYPERLINK("https://cao.dolgi.msk.ru/account/1080139604/", 1080139604)</f>
        <v>1080139604</v>
      </c>
      <c r="D16810" t="s">
        <v>14237</v>
      </c>
      <c r="E16810">
        <v>-27.33</v>
      </c>
      <c r="F16810">
        <v>0</v>
      </c>
      <c r="G16810" t="s">
        <v>12</v>
      </c>
      <c r="I16810" t="s">
        <v>2409</v>
      </c>
    </row>
    <row r="16811" spans="1:9" hidden="1" x14ac:dyDescent="0.25">
      <c r="A16811" t="s">
        <v>14226</v>
      </c>
      <c r="B16811" t="s">
        <v>31</v>
      </c>
      <c r="C16811" s="2">
        <f>HYPERLINK("https://cao.dolgi.msk.ru/account/1080139639/", 1080139639)</f>
        <v>1080139639</v>
      </c>
      <c r="D16811" t="s">
        <v>14238</v>
      </c>
      <c r="E16811">
        <v>-569.12</v>
      </c>
      <c r="F16811">
        <v>-0.11</v>
      </c>
      <c r="G16811" t="s">
        <v>12</v>
      </c>
      <c r="I16811" t="s">
        <v>2409</v>
      </c>
    </row>
    <row r="16812" spans="1:9" hidden="1" x14ac:dyDescent="0.25">
      <c r="A16812" t="s">
        <v>14226</v>
      </c>
      <c r="B16812" t="s">
        <v>33</v>
      </c>
      <c r="C16812" s="2">
        <f>HYPERLINK("https://cao.dolgi.msk.ru/account/1080139647/", 1080139647)</f>
        <v>1080139647</v>
      </c>
      <c r="D16812" t="s">
        <v>14239</v>
      </c>
      <c r="E16812">
        <v>-2223.9899999999998</v>
      </c>
      <c r="F16812">
        <v>-0.71</v>
      </c>
      <c r="G16812" t="s">
        <v>12</v>
      </c>
      <c r="I16812" t="s">
        <v>2409</v>
      </c>
    </row>
    <row r="16813" spans="1:9" hidden="1" x14ac:dyDescent="0.25">
      <c r="A16813" t="s">
        <v>14226</v>
      </c>
      <c r="B16813" t="s">
        <v>34</v>
      </c>
      <c r="C16813" s="2">
        <f>HYPERLINK("https://cao.dolgi.msk.ru/account/1080139655/", 1080139655)</f>
        <v>1080139655</v>
      </c>
      <c r="D16813" t="s">
        <v>14240</v>
      </c>
      <c r="E16813">
        <v>-9848.2999999999993</v>
      </c>
      <c r="F16813">
        <v>-1.08</v>
      </c>
      <c r="G16813" t="s">
        <v>12</v>
      </c>
      <c r="I16813" t="s">
        <v>2409</v>
      </c>
    </row>
    <row r="16814" spans="1:9" hidden="1" x14ac:dyDescent="0.25">
      <c r="A16814" t="s">
        <v>14226</v>
      </c>
      <c r="B16814" t="s">
        <v>36</v>
      </c>
      <c r="C16814" s="2">
        <f>HYPERLINK("https://cao.dolgi.msk.ru/account/1080139663/", 1080139663)</f>
        <v>1080139663</v>
      </c>
      <c r="D16814" t="s">
        <v>14241</v>
      </c>
      <c r="E16814">
        <v>-3621.83</v>
      </c>
      <c r="F16814">
        <v>-1.1299999999999999</v>
      </c>
      <c r="G16814" t="s">
        <v>12</v>
      </c>
      <c r="I16814" t="s">
        <v>2409</v>
      </c>
    </row>
    <row r="16815" spans="1:9" hidden="1" x14ac:dyDescent="0.25">
      <c r="A16815" t="s">
        <v>14226</v>
      </c>
      <c r="B16815" t="s">
        <v>38</v>
      </c>
      <c r="C16815" s="2">
        <f>HYPERLINK("https://cao.dolgi.msk.ru/account/1080139671/", 1080139671)</f>
        <v>1080139671</v>
      </c>
      <c r="D16815" t="s">
        <v>14242</v>
      </c>
      <c r="E16815">
        <v>-6202.54</v>
      </c>
      <c r="F16815">
        <v>-1.1000000000000001</v>
      </c>
      <c r="G16815" t="s">
        <v>12</v>
      </c>
      <c r="I16815" t="s">
        <v>2409</v>
      </c>
    </row>
    <row r="16816" spans="1:9" hidden="1" x14ac:dyDescent="0.25">
      <c r="A16816" t="s">
        <v>14226</v>
      </c>
      <c r="B16816" t="s">
        <v>39</v>
      </c>
      <c r="C16816" s="2">
        <f>HYPERLINK("https://cao.dolgi.msk.ru/account/1080139698/", 1080139698)</f>
        <v>1080139698</v>
      </c>
      <c r="D16816" t="s">
        <v>14243</v>
      </c>
      <c r="E16816">
        <v>-9471.56</v>
      </c>
      <c r="F16816">
        <v>-1.22</v>
      </c>
      <c r="G16816" t="s">
        <v>12</v>
      </c>
      <c r="I16816" t="s">
        <v>2409</v>
      </c>
    </row>
    <row r="16817" spans="1:9" x14ac:dyDescent="0.25">
      <c r="A16817" t="s">
        <v>14226</v>
      </c>
      <c r="B16817" t="s">
        <v>40</v>
      </c>
      <c r="C16817" s="2">
        <f>HYPERLINK("https://cao.dolgi.msk.ru/account/1080139719/", 1080139719)</f>
        <v>1080139719</v>
      </c>
      <c r="D16817" t="s">
        <v>14244</v>
      </c>
      <c r="E16817">
        <v>12342.06</v>
      </c>
      <c r="F16817">
        <v>1.46</v>
      </c>
      <c r="G16817" t="s">
        <v>12</v>
      </c>
      <c r="I16817" t="s">
        <v>2409</v>
      </c>
    </row>
    <row r="16818" spans="1:9" hidden="1" x14ac:dyDescent="0.25">
      <c r="A16818" t="s">
        <v>14226</v>
      </c>
      <c r="B16818" t="s">
        <v>41</v>
      </c>
      <c r="C16818" s="2">
        <f>HYPERLINK("https://cao.dolgi.msk.ru/account/1080139727/", 1080139727)</f>
        <v>1080139727</v>
      </c>
      <c r="D16818" t="s">
        <v>14245</v>
      </c>
      <c r="E16818">
        <v>-300.92</v>
      </c>
      <c r="F16818">
        <v>-0.05</v>
      </c>
      <c r="G16818" t="s">
        <v>12</v>
      </c>
      <c r="I16818" t="s">
        <v>2409</v>
      </c>
    </row>
    <row r="16819" spans="1:9" hidden="1" x14ac:dyDescent="0.25">
      <c r="A16819" t="s">
        <v>14226</v>
      </c>
      <c r="B16819" t="s">
        <v>42</v>
      </c>
      <c r="C16819" s="2">
        <f>HYPERLINK("https://cao.dolgi.msk.ru/account/1080139735/", 1080139735)</f>
        <v>1080139735</v>
      </c>
      <c r="D16819" t="s">
        <v>14246</v>
      </c>
      <c r="E16819">
        <v>-10573.31</v>
      </c>
      <c r="F16819">
        <v>-1.1100000000000001</v>
      </c>
      <c r="G16819" t="s">
        <v>12</v>
      </c>
      <c r="I16819" t="s">
        <v>2409</v>
      </c>
    </row>
    <row r="16820" spans="1:9" x14ac:dyDescent="0.25">
      <c r="A16820" t="s">
        <v>14226</v>
      </c>
      <c r="B16820" t="s">
        <v>44</v>
      </c>
      <c r="C16820" s="2">
        <f>HYPERLINK("https://cao.dolgi.msk.ru/account/1080139743/", 1080139743)</f>
        <v>1080139743</v>
      </c>
      <c r="D16820" t="s">
        <v>14247</v>
      </c>
      <c r="E16820">
        <v>5611.4</v>
      </c>
      <c r="F16820">
        <v>1.18</v>
      </c>
      <c r="G16820" t="s">
        <v>12</v>
      </c>
      <c r="I16820" t="s">
        <v>2409</v>
      </c>
    </row>
    <row r="16821" spans="1:9" hidden="1" x14ac:dyDescent="0.25">
      <c r="A16821" t="s">
        <v>14226</v>
      </c>
      <c r="B16821" t="s">
        <v>66</v>
      </c>
      <c r="C16821" s="2">
        <f>HYPERLINK("https://cao.dolgi.msk.ru/account/1080139751/", 1080139751)</f>
        <v>1080139751</v>
      </c>
      <c r="D16821" t="s">
        <v>14248</v>
      </c>
      <c r="E16821">
        <v>-3687.24</v>
      </c>
      <c r="F16821">
        <v>-1.1299999999999999</v>
      </c>
      <c r="G16821" t="s">
        <v>12</v>
      </c>
      <c r="I16821" t="s">
        <v>2409</v>
      </c>
    </row>
    <row r="16822" spans="1:9" hidden="1" x14ac:dyDescent="0.25">
      <c r="A16822" t="s">
        <v>14226</v>
      </c>
      <c r="B16822" t="s">
        <v>68</v>
      </c>
      <c r="C16822" s="2">
        <f>HYPERLINK("https://cao.dolgi.msk.ru/account/1080139778/", 1080139778)</f>
        <v>1080139778</v>
      </c>
      <c r="D16822" t="s">
        <v>14249</v>
      </c>
      <c r="E16822">
        <v>-7591.59</v>
      </c>
      <c r="F16822">
        <v>-1.1499999999999999</v>
      </c>
      <c r="G16822" t="s">
        <v>12</v>
      </c>
      <c r="I16822" t="s">
        <v>2409</v>
      </c>
    </row>
    <row r="16823" spans="1:9" hidden="1" x14ac:dyDescent="0.25">
      <c r="A16823" t="s">
        <v>14226</v>
      </c>
      <c r="B16823" t="s">
        <v>70</v>
      </c>
      <c r="C16823" s="2">
        <f>HYPERLINK("https://cao.dolgi.msk.ru/account/1080139786/", 1080139786)</f>
        <v>1080139786</v>
      </c>
      <c r="D16823" t="s">
        <v>14250</v>
      </c>
      <c r="E16823">
        <v>-74.62</v>
      </c>
      <c r="F16823">
        <v>-0.01</v>
      </c>
      <c r="G16823" t="s">
        <v>12</v>
      </c>
      <c r="I16823" t="s">
        <v>2409</v>
      </c>
    </row>
    <row r="16824" spans="1:9" hidden="1" x14ac:dyDescent="0.25">
      <c r="A16824" t="s">
        <v>14226</v>
      </c>
      <c r="B16824" t="s">
        <v>72</v>
      </c>
      <c r="C16824" s="2">
        <f>HYPERLINK("https://cao.dolgi.msk.ru/account/1080139794/", 1080139794)</f>
        <v>1080139794</v>
      </c>
      <c r="D16824" t="s">
        <v>14251</v>
      </c>
      <c r="E16824">
        <v>-6705.9</v>
      </c>
      <c r="F16824">
        <v>-1.25</v>
      </c>
      <c r="G16824" t="s">
        <v>12</v>
      </c>
      <c r="I16824" t="s">
        <v>2409</v>
      </c>
    </row>
    <row r="16825" spans="1:9" hidden="1" x14ac:dyDescent="0.25">
      <c r="A16825" t="s">
        <v>14226</v>
      </c>
      <c r="B16825" t="s">
        <v>74</v>
      </c>
      <c r="C16825" s="2">
        <f>HYPERLINK("https://cao.dolgi.msk.ru/account/1080139807/", 1080139807)</f>
        <v>1080139807</v>
      </c>
      <c r="D16825" t="s">
        <v>14252</v>
      </c>
      <c r="E16825">
        <v>-8880.26</v>
      </c>
      <c r="F16825">
        <v>-1.1100000000000001</v>
      </c>
      <c r="G16825" t="s">
        <v>12</v>
      </c>
      <c r="I16825" t="s">
        <v>2409</v>
      </c>
    </row>
    <row r="16826" spans="1:9" hidden="1" x14ac:dyDescent="0.25">
      <c r="A16826" t="s">
        <v>14226</v>
      </c>
      <c r="B16826" t="s">
        <v>76</v>
      </c>
      <c r="C16826" s="2">
        <f>HYPERLINK("https://cao.dolgi.msk.ru/account/1080139815/", 1080139815)</f>
        <v>1080139815</v>
      </c>
      <c r="D16826" t="s">
        <v>14253</v>
      </c>
      <c r="E16826">
        <v>0.28999999999999998</v>
      </c>
      <c r="F16826">
        <v>0</v>
      </c>
      <c r="G16826" t="s">
        <v>12</v>
      </c>
      <c r="I16826" t="s">
        <v>2409</v>
      </c>
    </row>
    <row r="16827" spans="1:9" hidden="1" x14ac:dyDescent="0.25">
      <c r="A16827" t="s">
        <v>14226</v>
      </c>
      <c r="B16827" t="s">
        <v>78</v>
      </c>
      <c r="C16827" s="2">
        <f>HYPERLINK("https://cao.dolgi.msk.ru/account/1080139823/", 1080139823)</f>
        <v>1080139823</v>
      </c>
      <c r="D16827" t="s">
        <v>14254</v>
      </c>
      <c r="E16827">
        <v>-921.72</v>
      </c>
      <c r="F16827">
        <v>-0.31</v>
      </c>
      <c r="G16827" t="s">
        <v>12</v>
      </c>
      <c r="I16827" t="s">
        <v>2409</v>
      </c>
    </row>
    <row r="16828" spans="1:9" hidden="1" x14ac:dyDescent="0.25">
      <c r="A16828" t="s">
        <v>14226</v>
      </c>
      <c r="B16828" t="s">
        <v>80</v>
      </c>
      <c r="C16828" s="2">
        <f>HYPERLINK("https://cao.dolgi.msk.ru/account/1080164893/", 1080164893)</f>
        <v>1080164893</v>
      </c>
      <c r="D16828" t="s">
        <v>14255</v>
      </c>
      <c r="E16828">
        <v>-8795.1200000000008</v>
      </c>
      <c r="F16828">
        <v>-1.18</v>
      </c>
      <c r="G16828" t="s">
        <v>12</v>
      </c>
      <c r="I16828" t="s">
        <v>2409</v>
      </c>
    </row>
    <row r="16829" spans="1:9" hidden="1" x14ac:dyDescent="0.25">
      <c r="A16829" t="s">
        <v>14226</v>
      </c>
      <c r="B16829" t="s">
        <v>82</v>
      </c>
      <c r="C16829" s="2">
        <f>HYPERLINK("https://cao.dolgi.msk.ru/account/1080139831/", 1080139831)</f>
        <v>1080139831</v>
      </c>
      <c r="D16829" t="s">
        <v>14256</v>
      </c>
      <c r="E16829">
        <v>-8587.93</v>
      </c>
      <c r="F16829">
        <v>-1.64</v>
      </c>
      <c r="G16829" t="s">
        <v>12</v>
      </c>
      <c r="I16829" t="s">
        <v>2409</v>
      </c>
    </row>
    <row r="16830" spans="1:9" hidden="1" x14ac:dyDescent="0.25">
      <c r="A16830" t="s">
        <v>14226</v>
      </c>
      <c r="B16830" t="s">
        <v>84</v>
      </c>
      <c r="C16830" s="2">
        <f>HYPERLINK("https://cao.dolgi.msk.ru/account/1080139858/", 1080139858)</f>
        <v>1080139858</v>
      </c>
      <c r="D16830" t="s">
        <v>14257</v>
      </c>
      <c r="E16830">
        <v>-6948.23</v>
      </c>
      <c r="F16830">
        <v>-1.1299999999999999</v>
      </c>
      <c r="G16830" t="s">
        <v>12</v>
      </c>
      <c r="I16830" t="s">
        <v>2409</v>
      </c>
    </row>
    <row r="16831" spans="1:9" hidden="1" x14ac:dyDescent="0.25">
      <c r="A16831" t="s">
        <v>14226</v>
      </c>
      <c r="B16831" t="s">
        <v>86</v>
      </c>
      <c r="C16831" s="2">
        <f>HYPERLINK("https://cao.dolgi.msk.ru/account/1080139866/", 1080139866)</f>
        <v>1080139866</v>
      </c>
      <c r="D16831" t="s">
        <v>14258</v>
      </c>
      <c r="E16831">
        <v>-414.07</v>
      </c>
      <c r="F16831">
        <v>-0.04</v>
      </c>
      <c r="G16831" t="s">
        <v>12</v>
      </c>
      <c r="I16831" t="s">
        <v>2409</v>
      </c>
    </row>
    <row r="16832" spans="1:9" hidden="1" x14ac:dyDescent="0.25">
      <c r="A16832" t="s">
        <v>14226</v>
      </c>
      <c r="B16832" t="s">
        <v>88</v>
      </c>
      <c r="C16832" s="2">
        <f>HYPERLINK("https://cao.dolgi.msk.ru/account/1080139874/", 1080139874)</f>
        <v>1080139874</v>
      </c>
      <c r="D16832" t="s">
        <v>14259</v>
      </c>
      <c r="E16832">
        <v>-8299.77</v>
      </c>
      <c r="F16832">
        <v>-1.42</v>
      </c>
      <c r="G16832" t="s">
        <v>12</v>
      </c>
      <c r="I16832" t="s">
        <v>2409</v>
      </c>
    </row>
    <row r="16833" spans="1:9" hidden="1" x14ac:dyDescent="0.25">
      <c r="A16833" t="s">
        <v>14226</v>
      </c>
      <c r="B16833" t="s">
        <v>90</v>
      </c>
      <c r="C16833" s="2">
        <f>HYPERLINK("https://cao.dolgi.msk.ru/account/1080139882/", 1080139882)</f>
        <v>1080139882</v>
      </c>
      <c r="D16833" t="s">
        <v>14260</v>
      </c>
      <c r="E16833">
        <v>-5788.89</v>
      </c>
      <c r="F16833">
        <v>-1.29</v>
      </c>
      <c r="G16833" t="s">
        <v>12</v>
      </c>
      <c r="I16833" t="s">
        <v>2409</v>
      </c>
    </row>
    <row r="16834" spans="1:9" hidden="1" x14ac:dyDescent="0.25">
      <c r="A16834" t="s">
        <v>14226</v>
      </c>
      <c r="B16834" t="s">
        <v>92</v>
      </c>
      <c r="C16834" s="2">
        <f>HYPERLINK("https://cao.dolgi.msk.ru/account/1080139903/", 1080139903)</f>
        <v>1080139903</v>
      </c>
      <c r="D16834" t="s">
        <v>14261</v>
      </c>
      <c r="E16834">
        <v>-7224.94</v>
      </c>
      <c r="F16834">
        <v>-1.1399999999999999</v>
      </c>
      <c r="G16834" t="s">
        <v>12</v>
      </c>
      <c r="I16834" t="s">
        <v>2409</v>
      </c>
    </row>
    <row r="16835" spans="1:9" hidden="1" x14ac:dyDescent="0.25">
      <c r="A16835" t="s">
        <v>14226</v>
      </c>
      <c r="B16835" t="s">
        <v>94</v>
      </c>
      <c r="C16835" s="2">
        <f>HYPERLINK("https://cao.dolgi.msk.ru/account/1080139911/", 1080139911)</f>
        <v>1080139911</v>
      </c>
      <c r="D16835" t="s">
        <v>14262</v>
      </c>
      <c r="E16835">
        <v>-4105.45</v>
      </c>
      <c r="F16835">
        <v>-1.2</v>
      </c>
      <c r="G16835" t="s">
        <v>12</v>
      </c>
      <c r="I16835" t="s">
        <v>2409</v>
      </c>
    </row>
    <row r="16836" spans="1:9" hidden="1" x14ac:dyDescent="0.25">
      <c r="A16836" t="s">
        <v>14226</v>
      </c>
      <c r="B16836" t="s">
        <v>96</v>
      </c>
      <c r="C16836" s="2">
        <f>HYPERLINK("https://cao.dolgi.msk.ru/account/1080139938/", 1080139938)</f>
        <v>1080139938</v>
      </c>
      <c r="D16836" t="s">
        <v>14263</v>
      </c>
      <c r="E16836">
        <v>-4158.21</v>
      </c>
      <c r="F16836">
        <v>-1.17</v>
      </c>
      <c r="G16836" t="s">
        <v>12</v>
      </c>
      <c r="I16836" t="s">
        <v>2409</v>
      </c>
    </row>
    <row r="16837" spans="1:9" hidden="1" x14ac:dyDescent="0.25">
      <c r="A16837" t="s">
        <v>14226</v>
      </c>
      <c r="B16837" t="s">
        <v>98</v>
      </c>
      <c r="C16837" s="2">
        <f>HYPERLINK("https://cao.dolgi.msk.ru/account/1080139946/", 1080139946)</f>
        <v>1080139946</v>
      </c>
      <c r="D16837" t="s">
        <v>14264</v>
      </c>
      <c r="E16837">
        <v>-11078.01</v>
      </c>
      <c r="F16837">
        <v>-1.1299999999999999</v>
      </c>
      <c r="G16837" t="s">
        <v>12</v>
      </c>
      <c r="I16837" t="s">
        <v>2409</v>
      </c>
    </row>
    <row r="16838" spans="1:9" hidden="1" x14ac:dyDescent="0.25">
      <c r="A16838" t="s">
        <v>14226</v>
      </c>
      <c r="B16838" t="s">
        <v>100</v>
      </c>
      <c r="C16838" s="2">
        <f>HYPERLINK("https://cao.dolgi.msk.ru/account/1080139954/", 1080139954)</f>
        <v>1080139954</v>
      </c>
      <c r="D16838" t="s">
        <v>14265</v>
      </c>
      <c r="E16838">
        <v>-3965.1</v>
      </c>
      <c r="F16838">
        <v>-1.0900000000000001</v>
      </c>
      <c r="G16838" t="s">
        <v>12</v>
      </c>
      <c r="I16838" t="s">
        <v>2409</v>
      </c>
    </row>
    <row r="16839" spans="1:9" hidden="1" x14ac:dyDescent="0.25">
      <c r="A16839" t="s">
        <v>14226</v>
      </c>
      <c r="B16839" t="s">
        <v>102</v>
      </c>
      <c r="C16839" s="2">
        <f>HYPERLINK("https://cao.dolgi.msk.ru/account/1080139962/", 1080139962)</f>
        <v>1080139962</v>
      </c>
      <c r="D16839" t="s">
        <v>14266</v>
      </c>
      <c r="E16839">
        <v>-6330.99</v>
      </c>
      <c r="F16839">
        <v>-1.1399999999999999</v>
      </c>
      <c r="G16839" t="s">
        <v>12</v>
      </c>
      <c r="I16839" t="s">
        <v>2409</v>
      </c>
    </row>
    <row r="16840" spans="1:9" hidden="1" x14ac:dyDescent="0.25">
      <c r="A16840" t="s">
        <v>14226</v>
      </c>
      <c r="B16840" t="s">
        <v>104</v>
      </c>
      <c r="C16840" s="2">
        <f>HYPERLINK("https://cao.dolgi.msk.ru/account/1080139989/", 1080139989)</f>
        <v>1080139989</v>
      </c>
      <c r="D16840" t="s">
        <v>14267</v>
      </c>
      <c r="E16840">
        <v>0</v>
      </c>
      <c r="F16840">
        <v>0</v>
      </c>
      <c r="G16840" t="s">
        <v>12</v>
      </c>
      <c r="I16840" t="s">
        <v>2409</v>
      </c>
    </row>
    <row r="16841" spans="1:9" hidden="1" x14ac:dyDescent="0.25">
      <c r="A16841" t="s">
        <v>14226</v>
      </c>
      <c r="B16841" t="s">
        <v>106</v>
      </c>
      <c r="C16841" s="2">
        <f>HYPERLINK("https://cao.dolgi.msk.ru/account/1080139997/", 1080139997)</f>
        <v>1080139997</v>
      </c>
      <c r="D16841" t="s">
        <v>14268</v>
      </c>
      <c r="E16841">
        <v>-5809.02</v>
      </c>
      <c r="F16841">
        <v>-1.1399999999999999</v>
      </c>
      <c r="G16841" t="s">
        <v>12</v>
      </c>
      <c r="I16841" t="s">
        <v>2409</v>
      </c>
    </row>
    <row r="16842" spans="1:9" hidden="1" x14ac:dyDescent="0.25">
      <c r="A16842" t="s">
        <v>14226</v>
      </c>
      <c r="B16842" t="s">
        <v>108</v>
      </c>
      <c r="C16842" s="2">
        <f>HYPERLINK("https://cao.dolgi.msk.ru/account/1080140007/", 1080140007)</f>
        <v>1080140007</v>
      </c>
      <c r="D16842" t="s">
        <v>14269</v>
      </c>
      <c r="E16842">
        <v>-5317.91</v>
      </c>
      <c r="F16842">
        <v>-1.0900000000000001</v>
      </c>
      <c r="G16842" t="s">
        <v>12</v>
      </c>
      <c r="I16842" t="s">
        <v>2409</v>
      </c>
    </row>
    <row r="16843" spans="1:9" hidden="1" x14ac:dyDescent="0.25">
      <c r="A16843" t="s">
        <v>14226</v>
      </c>
      <c r="B16843" t="s">
        <v>110</v>
      </c>
      <c r="C16843" s="2">
        <f>HYPERLINK("https://cao.dolgi.msk.ru/account/1080164914/", 1080164914)</f>
        <v>1080164914</v>
      </c>
      <c r="D16843" t="s">
        <v>14270</v>
      </c>
      <c r="E16843">
        <v>-5796.29</v>
      </c>
      <c r="F16843">
        <v>-0.74</v>
      </c>
      <c r="G16843" t="s">
        <v>12</v>
      </c>
      <c r="I16843" t="s">
        <v>2409</v>
      </c>
    </row>
    <row r="16844" spans="1:9" hidden="1" x14ac:dyDescent="0.25">
      <c r="A16844" t="s">
        <v>14226</v>
      </c>
      <c r="B16844" t="s">
        <v>112</v>
      </c>
      <c r="C16844" s="2">
        <f>HYPERLINK("https://cao.dolgi.msk.ru/account/1080140015/", 1080140015)</f>
        <v>1080140015</v>
      </c>
      <c r="D16844" t="s">
        <v>14271</v>
      </c>
      <c r="E16844">
        <v>-6556.51</v>
      </c>
      <c r="F16844">
        <v>-1.1000000000000001</v>
      </c>
      <c r="G16844" t="s">
        <v>12</v>
      </c>
      <c r="I16844" t="s">
        <v>2409</v>
      </c>
    </row>
    <row r="16845" spans="1:9" hidden="1" x14ac:dyDescent="0.25">
      <c r="A16845" t="s">
        <v>14226</v>
      </c>
      <c r="B16845" t="s">
        <v>114</v>
      </c>
      <c r="C16845" s="2">
        <f>HYPERLINK("https://cao.dolgi.msk.ru/account/1080140023/", 1080140023)</f>
        <v>1080140023</v>
      </c>
      <c r="D16845" t="s">
        <v>14272</v>
      </c>
      <c r="E16845">
        <v>-31112.080000000002</v>
      </c>
      <c r="F16845">
        <v>-4.21</v>
      </c>
      <c r="G16845" t="s">
        <v>12</v>
      </c>
      <c r="I16845" t="s">
        <v>2409</v>
      </c>
    </row>
    <row r="16846" spans="1:9" hidden="1" x14ac:dyDescent="0.25">
      <c r="A16846" t="s">
        <v>14226</v>
      </c>
      <c r="B16846" t="s">
        <v>118</v>
      </c>
      <c r="C16846" s="2">
        <f>HYPERLINK("https://cao.dolgi.msk.ru/account/1080140031/", 1080140031)</f>
        <v>1080140031</v>
      </c>
      <c r="D16846" t="s">
        <v>14273</v>
      </c>
      <c r="E16846">
        <v>-8130.12</v>
      </c>
      <c r="F16846">
        <v>-1.08</v>
      </c>
      <c r="G16846" t="s">
        <v>12</v>
      </c>
      <c r="I16846" t="s">
        <v>2409</v>
      </c>
    </row>
    <row r="16847" spans="1:9" hidden="1" x14ac:dyDescent="0.25">
      <c r="A16847" t="s">
        <v>14226</v>
      </c>
      <c r="B16847" t="s">
        <v>120</v>
      </c>
      <c r="C16847" s="2">
        <f>HYPERLINK("https://cao.dolgi.msk.ru/account/1080140058/", 1080140058)</f>
        <v>1080140058</v>
      </c>
      <c r="D16847" t="s">
        <v>14274</v>
      </c>
      <c r="E16847">
        <v>-8955.4</v>
      </c>
      <c r="F16847">
        <v>-1.07</v>
      </c>
      <c r="G16847" t="s">
        <v>12</v>
      </c>
      <c r="I16847" t="s">
        <v>2409</v>
      </c>
    </row>
    <row r="16848" spans="1:9" hidden="1" x14ac:dyDescent="0.25">
      <c r="A16848" t="s">
        <v>14226</v>
      </c>
      <c r="B16848" t="s">
        <v>122</v>
      </c>
      <c r="C16848" s="2">
        <f>HYPERLINK("https://cao.dolgi.msk.ru/account/1080140066/", 1080140066)</f>
        <v>1080140066</v>
      </c>
      <c r="D16848" t="s">
        <v>14275</v>
      </c>
      <c r="E16848">
        <v>-10842.68</v>
      </c>
      <c r="F16848">
        <v>-1.05</v>
      </c>
      <c r="G16848" t="s">
        <v>12</v>
      </c>
      <c r="I16848" t="s">
        <v>2409</v>
      </c>
    </row>
    <row r="16849" spans="1:9" hidden="1" x14ac:dyDescent="0.25">
      <c r="A16849" t="s">
        <v>14226</v>
      </c>
      <c r="B16849" t="s">
        <v>124</v>
      </c>
      <c r="C16849" s="2">
        <f>HYPERLINK("https://cao.dolgi.msk.ru/account/1080140074/", 1080140074)</f>
        <v>1080140074</v>
      </c>
      <c r="D16849" t="s">
        <v>14276</v>
      </c>
      <c r="E16849">
        <v>6463.48</v>
      </c>
      <c r="F16849">
        <v>0.99</v>
      </c>
      <c r="G16849" t="s">
        <v>12</v>
      </c>
      <c r="I16849" t="s">
        <v>2409</v>
      </c>
    </row>
    <row r="16850" spans="1:9" hidden="1" x14ac:dyDescent="0.25">
      <c r="A16850" t="s">
        <v>14226</v>
      </c>
      <c r="B16850" t="s">
        <v>126</v>
      </c>
      <c r="C16850" s="2">
        <f>HYPERLINK("https://cao.dolgi.msk.ru/account/1080140082/", 1080140082)</f>
        <v>1080140082</v>
      </c>
      <c r="D16850" t="s">
        <v>14277</v>
      </c>
      <c r="E16850">
        <v>5039.5200000000004</v>
      </c>
      <c r="F16850">
        <v>0.99</v>
      </c>
      <c r="G16850" t="s">
        <v>12</v>
      </c>
      <c r="I16850" t="s">
        <v>2409</v>
      </c>
    </row>
    <row r="16851" spans="1:9" hidden="1" x14ac:dyDescent="0.25">
      <c r="A16851" t="s">
        <v>14226</v>
      </c>
      <c r="B16851" t="s">
        <v>128</v>
      </c>
      <c r="C16851" s="2">
        <f>HYPERLINK("https://cao.dolgi.msk.ru/account/1080140103/", 1080140103)</f>
        <v>1080140103</v>
      </c>
      <c r="D16851" t="s">
        <v>14278</v>
      </c>
      <c r="E16851">
        <v>-5460.33</v>
      </c>
      <c r="F16851">
        <v>-1.05</v>
      </c>
      <c r="G16851" t="s">
        <v>12</v>
      </c>
      <c r="I16851" t="s">
        <v>2409</v>
      </c>
    </row>
    <row r="16852" spans="1:9" hidden="1" x14ac:dyDescent="0.25">
      <c r="A16852" t="s">
        <v>14226</v>
      </c>
      <c r="B16852" t="s">
        <v>130</v>
      </c>
      <c r="C16852" s="2">
        <f>HYPERLINK("https://cao.dolgi.msk.ru/account/1080140111/", 1080140111)</f>
        <v>1080140111</v>
      </c>
      <c r="D16852" t="s">
        <v>14279</v>
      </c>
      <c r="E16852">
        <v>-622.30999999999995</v>
      </c>
      <c r="G16852" t="s">
        <v>14</v>
      </c>
      <c r="I16852" t="s">
        <v>2409</v>
      </c>
    </row>
    <row r="16853" spans="1:9" hidden="1" x14ac:dyDescent="0.25">
      <c r="A16853" t="s">
        <v>14226</v>
      </c>
      <c r="B16853" t="s">
        <v>130</v>
      </c>
      <c r="C16853" s="2">
        <f>HYPERLINK("https://cao.dolgi.msk.ru/account/1083387574/", 1083387574)</f>
        <v>1083387574</v>
      </c>
      <c r="D16853" t="s">
        <v>15</v>
      </c>
      <c r="E16853">
        <v>-5915.56</v>
      </c>
      <c r="F16853">
        <v>-0.91</v>
      </c>
      <c r="G16853" t="s">
        <v>12</v>
      </c>
      <c r="I16853" t="s">
        <v>2409</v>
      </c>
    </row>
    <row r="16854" spans="1:9" hidden="1" x14ac:dyDescent="0.25">
      <c r="A16854" t="s">
        <v>14226</v>
      </c>
      <c r="B16854" t="s">
        <v>132</v>
      </c>
      <c r="C16854" s="2">
        <f>HYPERLINK("https://cao.dolgi.msk.ru/account/1080140138/", 1080140138)</f>
        <v>1080140138</v>
      </c>
      <c r="D16854" t="s">
        <v>14280</v>
      </c>
      <c r="E16854">
        <v>0.03</v>
      </c>
      <c r="F16854">
        <v>0</v>
      </c>
      <c r="G16854" t="s">
        <v>12</v>
      </c>
      <c r="I16854" t="s">
        <v>2409</v>
      </c>
    </row>
    <row r="16855" spans="1:9" hidden="1" x14ac:dyDescent="0.25">
      <c r="A16855" t="s">
        <v>14226</v>
      </c>
      <c r="B16855" t="s">
        <v>133</v>
      </c>
      <c r="C16855" s="2">
        <f>HYPERLINK("https://cao.dolgi.msk.ru/account/1080140146/", 1080140146)</f>
        <v>1080140146</v>
      </c>
      <c r="D16855" t="s">
        <v>14281</v>
      </c>
      <c r="E16855">
        <v>-5709.67</v>
      </c>
      <c r="F16855">
        <v>-1.07</v>
      </c>
      <c r="G16855" t="s">
        <v>12</v>
      </c>
      <c r="I16855" t="s">
        <v>2409</v>
      </c>
    </row>
    <row r="16856" spans="1:9" hidden="1" x14ac:dyDescent="0.25">
      <c r="A16856" t="s">
        <v>14226</v>
      </c>
      <c r="B16856" t="s">
        <v>135</v>
      </c>
      <c r="C16856" s="2">
        <f>HYPERLINK("https://cao.dolgi.msk.ru/account/1080140154/", 1080140154)</f>
        <v>1080140154</v>
      </c>
      <c r="D16856" t="s">
        <v>14282</v>
      </c>
      <c r="E16856">
        <v>307.70999999999998</v>
      </c>
      <c r="F16856">
        <v>0.05</v>
      </c>
      <c r="G16856" t="s">
        <v>12</v>
      </c>
      <c r="I16856" t="s">
        <v>2409</v>
      </c>
    </row>
    <row r="16857" spans="1:9" hidden="1" x14ac:dyDescent="0.25">
      <c r="A16857" t="s">
        <v>14226</v>
      </c>
      <c r="B16857" t="s">
        <v>137</v>
      </c>
      <c r="C16857" s="2">
        <f>HYPERLINK("https://cao.dolgi.msk.ru/account/1080140162/", 1080140162)</f>
        <v>1080140162</v>
      </c>
      <c r="D16857" t="s">
        <v>14283</v>
      </c>
      <c r="E16857">
        <v>3250.88</v>
      </c>
      <c r="F16857">
        <v>1</v>
      </c>
      <c r="G16857" t="s">
        <v>14</v>
      </c>
      <c r="I16857" t="s">
        <v>2409</v>
      </c>
    </row>
    <row r="16858" spans="1:9" hidden="1" x14ac:dyDescent="0.25">
      <c r="A16858" t="s">
        <v>14226</v>
      </c>
      <c r="B16858" t="s">
        <v>137</v>
      </c>
      <c r="C16858" s="2">
        <f>HYPERLINK("https://cao.dolgi.msk.ru/account/1089131406/", 1089131406)</f>
        <v>1089131406</v>
      </c>
      <c r="D16858" t="s">
        <v>15</v>
      </c>
      <c r="E16858">
        <v>0</v>
      </c>
      <c r="F16858">
        <v>0</v>
      </c>
      <c r="G16858" t="s">
        <v>12</v>
      </c>
      <c r="I16858" t="s">
        <v>2409</v>
      </c>
    </row>
    <row r="16859" spans="1:9" hidden="1" x14ac:dyDescent="0.25">
      <c r="A16859" t="s">
        <v>14226</v>
      </c>
      <c r="B16859" t="s">
        <v>139</v>
      </c>
      <c r="C16859" s="2">
        <f>HYPERLINK("https://cao.dolgi.msk.ru/account/1080140189/", 1080140189)</f>
        <v>1080140189</v>
      </c>
      <c r="D16859" t="s">
        <v>14284</v>
      </c>
      <c r="E16859">
        <v>-3268.23</v>
      </c>
      <c r="F16859">
        <v>-1.1000000000000001</v>
      </c>
      <c r="G16859" t="s">
        <v>12</v>
      </c>
      <c r="I16859" t="s">
        <v>2409</v>
      </c>
    </row>
    <row r="16860" spans="1:9" hidden="1" x14ac:dyDescent="0.25">
      <c r="A16860" t="s">
        <v>14226</v>
      </c>
      <c r="B16860" t="s">
        <v>141</v>
      </c>
      <c r="C16860" s="2">
        <f>HYPERLINK("https://cao.dolgi.msk.ru/account/1080140197/", 1080140197)</f>
        <v>1080140197</v>
      </c>
      <c r="D16860" t="s">
        <v>14285</v>
      </c>
      <c r="E16860">
        <v>-6820.37</v>
      </c>
      <c r="F16860">
        <v>-1.1299999999999999</v>
      </c>
      <c r="G16860" t="s">
        <v>12</v>
      </c>
      <c r="I16860" t="s">
        <v>2409</v>
      </c>
    </row>
    <row r="16861" spans="1:9" hidden="1" x14ac:dyDescent="0.25">
      <c r="A16861" t="s">
        <v>14226</v>
      </c>
      <c r="B16861" t="s">
        <v>143</v>
      </c>
      <c r="C16861" s="2">
        <f>HYPERLINK("https://cao.dolgi.msk.ru/account/1080140218/", 1080140218)</f>
        <v>1080140218</v>
      </c>
      <c r="D16861" t="s">
        <v>14286</v>
      </c>
      <c r="E16861">
        <v>-8254.06</v>
      </c>
      <c r="F16861">
        <v>-1.1100000000000001</v>
      </c>
      <c r="G16861" t="s">
        <v>12</v>
      </c>
      <c r="I16861" t="s">
        <v>2409</v>
      </c>
    </row>
    <row r="16862" spans="1:9" hidden="1" x14ac:dyDescent="0.25">
      <c r="A16862" t="s">
        <v>14226</v>
      </c>
      <c r="B16862" t="s">
        <v>145</v>
      </c>
      <c r="C16862" s="2">
        <f>HYPERLINK("https://cao.dolgi.msk.ru/account/1080140226/", 1080140226)</f>
        <v>1080140226</v>
      </c>
      <c r="D16862" t="s">
        <v>14287</v>
      </c>
      <c r="E16862">
        <v>3258.7</v>
      </c>
      <c r="F16862">
        <v>0.64</v>
      </c>
      <c r="G16862" t="s">
        <v>12</v>
      </c>
      <c r="I16862" t="s">
        <v>2409</v>
      </c>
    </row>
    <row r="16863" spans="1:9" hidden="1" x14ac:dyDescent="0.25">
      <c r="A16863" t="s">
        <v>14226</v>
      </c>
      <c r="B16863" t="s">
        <v>147</v>
      </c>
      <c r="C16863" s="2">
        <f>HYPERLINK("https://cao.dolgi.msk.ru/account/1080140234/", 1080140234)</f>
        <v>1080140234</v>
      </c>
      <c r="D16863" t="s">
        <v>14288</v>
      </c>
      <c r="E16863">
        <v>-6287.59</v>
      </c>
      <c r="F16863">
        <v>-1.03</v>
      </c>
      <c r="G16863" t="s">
        <v>12</v>
      </c>
      <c r="I16863" t="s">
        <v>2409</v>
      </c>
    </row>
    <row r="16864" spans="1:9" hidden="1" x14ac:dyDescent="0.25">
      <c r="A16864" t="s">
        <v>14226</v>
      </c>
      <c r="B16864" t="s">
        <v>149</v>
      </c>
      <c r="C16864" s="2">
        <f>HYPERLINK("https://cao.dolgi.msk.ru/account/1080140242/", 1080140242)</f>
        <v>1080140242</v>
      </c>
      <c r="D16864" t="s">
        <v>14289</v>
      </c>
      <c r="E16864">
        <v>-4668.99</v>
      </c>
      <c r="F16864">
        <v>-1.06</v>
      </c>
      <c r="G16864" t="s">
        <v>12</v>
      </c>
      <c r="I16864" t="s">
        <v>2409</v>
      </c>
    </row>
    <row r="16865" spans="1:9" hidden="1" x14ac:dyDescent="0.25">
      <c r="A16865" t="s">
        <v>14226</v>
      </c>
      <c r="B16865" t="s">
        <v>151</v>
      </c>
      <c r="C16865" s="2">
        <f>HYPERLINK("https://cao.dolgi.msk.ru/account/1080140269/", 1080140269)</f>
        <v>1080140269</v>
      </c>
      <c r="D16865" t="s">
        <v>14290</v>
      </c>
      <c r="E16865">
        <v>4830.7700000000004</v>
      </c>
      <c r="F16865">
        <v>1</v>
      </c>
      <c r="G16865" t="s">
        <v>12</v>
      </c>
      <c r="I16865" t="s">
        <v>2409</v>
      </c>
    </row>
    <row r="16866" spans="1:9" hidden="1" x14ac:dyDescent="0.25">
      <c r="A16866" t="s">
        <v>14226</v>
      </c>
      <c r="B16866" t="s">
        <v>153</v>
      </c>
      <c r="C16866" s="2">
        <f>HYPERLINK("https://cao.dolgi.msk.ru/account/1080140277/", 1080140277)</f>
        <v>1080140277</v>
      </c>
      <c r="D16866" t="s">
        <v>14291</v>
      </c>
      <c r="E16866">
        <v>-5611.81</v>
      </c>
      <c r="F16866">
        <v>-0.97</v>
      </c>
      <c r="G16866" t="s">
        <v>12</v>
      </c>
      <c r="I16866" t="s">
        <v>2409</v>
      </c>
    </row>
    <row r="16867" spans="1:9" hidden="1" x14ac:dyDescent="0.25">
      <c r="A16867" t="s">
        <v>14226</v>
      </c>
      <c r="B16867" t="s">
        <v>155</v>
      </c>
      <c r="C16867" s="2">
        <f>HYPERLINK("https://cao.dolgi.msk.ru/account/1080140285/", 1080140285)</f>
        <v>1080140285</v>
      </c>
      <c r="D16867" t="s">
        <v>14292</v>
      </c>
      <c r="E16867">
        <v>-9155.11</v>
      </c>
      <c r="F16867">
        <v>-1.19</v>
      </c>
      <c r="G16867" t="s">
        <v>12</v>
      </c>
      <c r="I16867" t="s">
        <v>2409</v>
      </c>
    </row>
    <row r="16868" spans="1:9" hidden="1" x14ac:dyDescent="0.25">
      <c r="A16868" t="s">
        <v>14226</v>
      </c>
      <c r="B16868" t="s">
        <v>157</v>
      </c>
      <c r="C16868" s="2">
        <f>HYPERLINK("https://cao.dolgi.msk.ru/account/1080140293/", 1080140293)</f>
        <v>1080140293</v>
      </c>
      <c r="D16868" t="s">
        <v>14293</v>
      </c>
      <c r="E16868">
        <v>-2570.02</v>
      </c>
      <c r="F16868">
        <v>-0.46</v>
      </c>
      <c r="G16868" t="s">
        <v>12</v>
      </c>
      <c r="I16868" t="s">
        <v>2409</v>
      </c>
    </row>
    <row r="16869" spans="1:9" hidden="1" x14ac:dyDescent="0.25">
      <c r="A16869" t="s">
        <v>14226</v>
      </c>
      <c r="B16869" t="s">
        <v>159</v>
      </c>
      <c r="C16869" s="2">
        <f>HYPERLINK("https://cao.dolgi.msk.ru/account/1080140306/", 1080140306)</f>
        <v>1080140306</v>
      </c>
      <c r="D16869" t="s">
        <v>14294</v>
      </c>
      <c r="E16869">
        <v>-7099.31</v>
      </c>
      <c r="F16869">
        <v>-1.21</v>
      </c>
      <c r="G16869" t="s">
        <v>12</v>
      </c>
      <c r="I16869" t="s">
        <v>2409</v>
      </c>
    </row>
    <row r="16870" spans="1:9" hidden="1" x14ac:dyDescent="0.25">
      <c r="A16870" t="s">
        <v>14226</v>
      </c>
      <c r="B16870" t="s">
        <v>161</v>
      </c>
      <c r="C16870" s="2">
        <f>HYPERLINK("https://cao.dolgi.msk.ru/account/1080140314/", 1080140314)</f>
        <v>1080140314</v>
      </c>
      <c r="D16870" t="s">
        <v>14295</v>
      </c>
      <c r="E16870">
        <v>-7960.4</v>
      </c>
      <c r="F16870">
        <v>-1.18</v>
      </c>
      <c r="G16870" t="s">
        <v>12</v>
      </c>
      <c r="I16870" t="s">
        <v>2409</v>
      </c>
    </row>
    <row r="16871" spans="1:9" hidden="1" x14ac:dyDescent="0.25">
      <c r="A16871" t="s">
        <v>14226</v>
      </c>
      <c r="B16871" t="s">
        <v>163</v>
      </c>
      <c r="C16871" s="2">
        <f>HYPERLINK("https://cao.dolgi.msk.ru/account/1080140322/", 1080140322)</f>
        <v>1080140322</v>
      </c>
      <c r="D16871" t="s">
        <v>14296</v>
      </c>
      <c r="E16871">
        <v>-6638.83</v>
      </c>
      <c r="F16871">
        <v>-1.17</v>
      </c>
      <c r="G16871" t="s">
        <v>12</v>
      </c>
      <c r="I16871" t="s">
        <v>2409</v>
      </c>
    </row>
    <row r="16872" spans="1:9" hidden="1" x14ac:dyDescent="0.25">
      <c r="A16872" t="s">
        <v>14226</v>
      </c>
      <c r="B16872" t="s">
        <v>571</v>
      </c>
      <c r="C16872" s="2">
        <f>HYPERLINK("https://cao.dolgi.msk.ru/account/1080140349/", 1080140349)</f>
        <v>1080140349</v>
      </c>
      <c r="D16872" t="s">
        <v>14297</v>
      </c>
      <c r="E16872">
        <v>-6004.83</v>
      </c>
      <c r="F16872">
        <v>-1.1200000000000001</v>
      </c>
      <c r="G16872" t="s">
        <v>12</v>
      </c>
      <c r="I16872" t="s">
        <v>2409</v>
      </c>
    </row>
    <row r="16873" spans="1:9" hidden="1" x14ac:dyDescent="0.25">
      <c r="A16873" t="s">
        <v>14226</v>
      </c>
      <c r="B16873" t="s">
        <v>682</v>
      </c>
      <c r="C16873" s="2">
        <f>HYPERLINK("https://cao.dolgi.msk.ru/account/1080140357/", 1080140357)</f>
        <v>1080140357</v>
      </c>
      <c r="D16873" t="s">
        <v>14298</v>
      </c>
      <c r="E16873">
        <v>-15664.37</v>
      </c>
      <c r="F16873">
        <v>-1.08</v>
      </c>
      <c r="G16873" t="s">
        <v>12</v>
      </c>
      <c r="I16873" t="s">
        <v>2409</v>
      </c>
    </row>
    <row r="16874" spans="1:9" hidden="1" x14ac:dyDescent="0.25">
      <c r="A16874" t="s">
        <v>14226</v>
      </c>
      <c r="B16874" t="s">
        <v>578</v>
      </c>
      <c r="C16874" s="2">
        <f>HYPERLINK("https://cao.dolgi.msk.ru/account/1080142053/", 1080142053)</f>
        <v>1080142053</v>
      </c>
      <c r="D16874" t="s">
        <v>14299</v>
      </c>
      <c r="E16874">
        <v>-8631.7800000000007</v>
      </c>
      <c r="F16874">
        <v>-1.08</v>
      </c>
      <c r="G16874" t="s">
        <v>12</v>
      </c>
      <c r="I16874" t="s">
        <v>2409</v>
      </c>
    </row>
    <row r="16875" spans="1:9" hidden="1" x14ac:dyDescent="0.25">
      <c r="A16875" t="s">
        <v>14226</v>
      </c>
      <c r="B16875" t="s">
        <v>580</v>
      </c>
      <c r="C16875" s="2">
        <f>HYPERLINK("https://cao.dolgi.msk.ru/account/1080142061/", 1080142061)</f>
        <v>1080142061</v>
      </c>
      <c r="D16875" t="s">
        <v>14300</v>
      </c>
      <c r="E16875">
        <v>-3958.77</v>
      </c>
      <c r="F16875">
        <v>-1.21</v>
      </c>
      <c r="G16875" t="s">
        <v>12</v>
      </c>
      <c r="I16875" t="s">
        <v>2409</v>
      </c>
    </row>
    <row r="16876" spans="1:9" hidden="1" x14ac:dyDescent="0.25">
      <c r="A16876" t="s">
        <v>14226</v>
      </c>
      <c r="B16876" t="s">
        <v>686</v>
      </c>
      <c r="C16876" s="2">
        <f>HYPERLINK("https://cao.dolgi.msk.ru/account/1080142088/", 1080142088)</f>
        <v>1080142088</v>
      </c>
      <c r="D16876" t="s">
        <v>14301</v>
      </c>
      <c r="E16876">
        <v>-6847.88</v>
      </c>
      <c r="F16876">
        <v>-1.0900000000000001</v>
      </c>
      <c r="G16876" t="s">
        <v>12</v>
      </c>
      <c r="I16876" t="s">
        <v>2409</v>
      </c>
    </row>
    <row r="16877" spans="1:9" hidden="1" x14ac:dyDescent="0.25">
      <c r="A16877" t="s">
        <v>14226</v>
      </c>
      <c r="B16877" t="s">
        <v>582</v>
      </c>
      <c r="C16877" s="2">
        <f>HYPERLINK("https://cao.dolgi.msk.ru/account/1080142096/", 1080142096)</f>
        <v>1080142096</v>
      </c>
      <c r="D16877" t="s">
        <v>14302</v>
      </c>
      <c r="E16877">
        <v>-3870.29</v>
      </c>
      <c r="F16877">
        <v>-1.1000000000000001</v>
      </c>
      <c r="G16877" t="s">
        <v>12</v>
      </c>
      <c r="I16877" t="s">
        <v>2409</v>
      </c>
    </row>
    <row r="16878" spans="1:9" hidden="1" x14ac:dyDescent="0.25">
      <c r="A16878" t="s">
        <v>14226</v>
      </c>
      <c r="B16878" t="s">
        <v>584</v>
      </c>
      <c r="C16878" s="2">
        <f>HYPERLINK("https://cao.dolgi.msk.ru/account/1080142109/", 1080142109)</f>
        <v>1080142109</v>
      </c>
      <c r="D16878" t="s">
        <v>14303</v>
      </c>
      <c r="E16878">
        <v>-10.62</v>
      </c>
      <c r="F16878">
        <v>0</v>
      </c>
      <c r="G16878" t="s">
        <v>12</v>
      </c>
      <c r="I16878" t="s">
        <v>2409</v>
      </c>
    </row>
    <row r="16879" spans="1:9" hidden="1" x14ac:dyDescent="0.25">
      <c r="A16879" t="s">
        <v>14226</v>
      </c>
      <c r="B16879" t="s">
        <v>586</v>
      </c>
      <c r="C16879" s="2">
        <f>HYPERLINK("https://cao.dolgi.msk.ru/account/1080142117/", 1080142117)</f>
        <v>1080142117</v>
      </c>
      <c r="D16879" t="s">
        <v>14304</v>
      </c>
      <c r="E16879">
        <v>-12117.8</v>
      </c>
      <c r="F16879">
        <v>-1.1100000000000001</v>
      </c>
      <c r="G16879" t="s">
        <v>12</v>
      </c>
      <c r="I16879" t="s">
        <v>2409</v>
      </c>
    </row>
    <row r="16880" spans="1:9" hidden="1" x14ac:dyDescent="0.25">
      <c r="A16880" t="s">
        <v>14226</v>
      </c>
      <c r="B16880" t="s">
        <v>588</v>
      </c>
      <c r="C16880" s="2">
        <f>HYPERLINK("https://cao.dolgi.msk.ru/account/1080142125/", 1080142125)</f>
        <v>1080142125</v>
      </c>
      <c r="D16880" t="s">
        <v>14305</v>
      </c>
      <c r="E16880">
        <v>-6185.18</v>
      </c>
      <c r="F16880">
        <v>-1.17</v>
      </c>
      <c r="G16880" t="s">
        <v>12</v>
      </c>
      <c r="I16880" t="s">
        <v>2409</v>
      </c>
    </row>
    <row r="16881" spans="1:9" hidden="1" x14ac:dyDescent="0.25">
      <c r="A16881" t="s">
        <v>14226</v>
      </c>
      <c r="B16881" t="s">
        <v>590</v>
      </c>
      <c r="C16881" s="2">
        <f>HYPERLINK("https://cao.dolgi.msk.ru/account/1080142133/", 1080142133)</f>
        <v>1080142133</v>
      </c>
      <c r="D16881" t="s">
        <v>14306</v>
      </c>
      <c r="E16881">
        <v>-7278.78</v>
      </c>
      <c r="F16881">
        <v>-1.31</v>
      </c>
      <c r="G16881" t="s">
        <v>12</v>
      </c>
      <c r="I16881" t="s">
        <v>2409</v>
      </c>
    </row>
    <row r="16882" spans="1:9" hidden="1" x14ac:dyDescent="0.25">
      <c r="A16882" t="s">
        <v>14226</v>
      </c>
      <c r="B16882" t="s">
        <v>693</v>
      </c>
      <c r="C16882" s="2">
        <f>HYPERLINK("https://cao.dolgi.msk.ru/account/1080142141/", 1080142141)</f>
        <v>1080142141</v>
      </c>
      <c r="D16882" t="s">
        <v>14307</v>
      </c>
      <c r="E16882">
        <v>-3830.76</v>
      </c>
      <c r="F16882">
        <v>-1.02</v>
      </c>
      <c r="G16882" t="s">
        <v>12</v>
      </c>
      <c r="I16882" t="s">
        <v>2409</v>
      </c>
    </row>
    <row r="16883" spans="1:9" hidden="1" x14ac:dyDescent="0.25">
      <c r="A16883" t="s">
        <v>14226</v>
      </c>
      <c r="B16883" t="s">
        <v>694</v>
      </c>
      <c r="C16883" s="2">
        <f>HYPERLINK("https://cao.dolgi.msk.ru/account/1080142168/", 1080142168)</f>
        <v>1080142168</v>
      </c>
      <c r="D16883" t="s">
        <v>14308</v>
      </c>
      <c r="E16883">
        <v>-5423.66</v>
      </c>
      <c r="F16883">
        <v>-1.22</v>
      </c>
      <c r="G16883" t="s">
        <v>12</v>
      </c>
      <c r="I16883" t="s">
        <v>2409</v>
      </c>
    </row>
    <row r="16884" spans="1:9" hidden="1" x14ac:dyDescent="0.25">
      <c r="A16884" t="s">
        <v>14226</v>
      </c>
      <c r="B16884" t="s">
        <v>696</v>
      </c>
      <c r="C16884" s="2">
        <f>HYPERLINK("https://cao.dolgi.msk.ru/account/1080142176/", 1080142176)</f>
        <v>1080142176</v>
      </c>
      <c r="D16884" t="s">
        <v>14309</v>
      </c>
      <c r="E16884">
        <v>-216.21</v>
      </c>
      <c r="F16884">
        <v>-0.08</v>
      </c>
      <c r="G16884" t="s">
        <v>12</v>
      </c>
      <c r="I16884" t="s">
        <v>2409</v>
      </c>
    </row>
    <row r="16885" spans="1:9" hidden="1" x14ac:dyDescent="0.25">
      <c r="A16885" t="s">
        <v>14226</v>
      </c>
      <c r="B16885" t="s">
        <v>698</v>
      </c>
      <c r="C16885" s="2">
        <f>HYPERLINK("https://cao.dolgi.msk.ru/account/1080142184/", 1080142184)</f>
        <v>1080142184</v>
      </c>
      <c r="D16885" t="s">
        <v>14310</v>
      </c>
      <c r="E16885">
        <v>-9409.75</v>
      </c>
      <c r="F16885">
        <v>-0.92</v>
      </c>
      <c r="G16885" t="s">
        <v>12</v>
      </c>
      <c r="I16885" t="s">
        <v>2409</v>
      </c>
    </row>
    <row r="16886" spans="1:9" hidden="1" x14ac:dyDescent="0.25">
      <c r="A16886" t="s">
        <v>14226</v>
      </c>
      <c r="B16886" t="s">
        <v>700</v>
      </c>
      <c r="C16886" s="2">
        <f>HYPERLINK("https://cao.dolgi.msk.ru/account/1080142192/", 1080142192)</f>
        <v>1080142192</v>
      </c>
      <c r="D16886" t="s">
        <v>14311</v>
      </c>
      <c r="E16886">
        <v>-1</v>
      </c>
      <c r="F16886">
        <v>0</v>
      </c>
      <c r="G16886" t="s">
        <v>12</v>
      </c>
      <c r="I16886" t="s">
        <v>2409</v>
      </c>
    </row>
    <row r="16887" spans="1:9" hidden="1" x14ac:dyDescent="0.25">
      <c r="A16887" t="s">
        <v>14226</v>
      </c>
      <c r="B16887" t="s">
        <v>702</v>
      </c>
      <c r="C16887" s="2">
        <f>HYPERLINK("https://cao.dolgi.msk.ru/account/1080142205/", 1080142205)</f>
        <v>1080142205</v>
      </c>
      <c r="D16887" t="s">
        <v>14312</v>
      </c>
      <c r="E16887">
        <v>-2802.97</v>
      </c>
      <c r="F16887">
        <v>-0.6</v>
      </c>
      <c r="G16887" t="s">
        <v>12</v>
      </c>
      <c r="I16887" t="s">
        <v>2409</v>
      </c>
    </row>
    <row r="16888" spans="1:9" hidden="1" x14ac:dyDescent="0.25">
      <c r="A16888" t="s">
        <v>14226</v>
      </c>
      <c r="B16888" t="s">
        <v>703</v>
      </c>
      <c r="C16888" s="2">
        <f>HYPERLINK("https://cao.dolgi.msk.ru/account/1080142213/", 1080142213)</f>
        <v>1080142213</v>
      </c>
      <c r="D16888" t="s">
        <v>14313</v>
      </c>
      <c r="E16888">
        <v>-3782.52</v>
      </c>
      <c r="F16888">
        <v>-1.1299999999999999</v>
      </c>
      <c r="G16888" t="s">
        <v>12</v>
      </c>
      <c r="I16888" t="s">
        <v>2409</v>
      </c>
    </row>
    <row r="16889" spans="1:9" hidden="1" x14ac:dyDescent="0.25">
      <c r="A16889" t="s">
        <v>14226</v>
      </c>
      <c r="B16889" t="s">
        <v>705</v>
      </c>
      <c r="C16889" s="2">
        <f>HYPERLINK("https://cao.dolgi.msk.ru/account/1080142221/", 1080142221)</f>
        <v>1080142221</v>
      </c>
      <c r="D16889" t="s">
        <v>14314</v>
      </c>
      <c r="E16889">
        <v>-10949.23</v>
      </c>
      <c r="F16889">
        <v>-1.04</v>
      </c>
      <c r="G16889" t="s">
        <v>12</v>
      </c>
      <c r="I16889" t="s">
        <v>2409</v>
      </c>
    </row>
    <row r="16890" spans="1:9" hidden="1" x14ac:dyDescent="0.25">
      <c r="A16890" t="s">
        <v>14315</v>
      </c>
      <c r="B16890" t="s">
        <v>10</v>
      </c>
      <c r="C16890" s="2">
        <f>HYPERLINK("https://cao.dolgi.msk.ru/account/1080155065/", 1080155065)</f>
        <v>1080155065</v>
      </c>
      <c r="D16890" t="s">
        <v>14316</v>
      </c>
      <c r="E16890">
        <v>-10201.24</v>
      </c>
      <c r="F16890">
        <v>-1.03</v>
      </c>
      <c r="G16890" t="s">
        <v>12</v>
      </c>
      <c r="I16890" t="s">
        <v>2409</v>
      </c>
    </row>
    <row r="16891" spans="1:9" x14ac:dyDescent="0.25">
      <c r="A16891" t="s">
        <v>14315</v>
      </c>
      <c r="B16891" t="s">
        <v>16</v>
      </c>
      <c r="C16891" s="2">
        <f>HYPERLINK("https://cao.dolgi.msk.ru/account/1080155073/", 1080155073)</f>
        <v>1080155073</v>
      </c>
      <c r="D16891" t="s">
        <v>14317</v>
      </c>
      <c r="E16891">
        <v>11005.65</v>
      </c>
      <c r="F16891">
        <v>1.05</v>
      </c>
      <c r="G16891" t="s">
        <v>12</v>
      </c>
      <c r="I16891" t="s">
        <v>2409</v>
      </c>
    </row>
    <row r="16892" spans="1:9" hidden="1" x14ac:dyDescent="0.25">
      <c r="A16892" t="s">
        <v>14315</v>
      </c>
      <c r="B16892" t="s">
        <v>18</v>
      </c>
      <c r="C16892" s="2">
        <f>HYPERLINK("https://cao.dolgi.msk.ru/account/1080155081/", 1080155081)</f>
        <v>1080155081</v>
      </c>
      <c r="D16892" t="s">
        <v>14318</v>
      </c>
      <c r="E16892">
        <v>-1384.16</v>
      </c>
      <c r="F16892">
        <v>-0.15</v>
      </c>
      <c r="G16892" t="s">
        <v>12</v>
      </c>
      <c r="I16892" t="s">
        <v>2409</v>
      </c>
    </row>
    <row r="16893" spans="1:9" hidden="1" x14ac:dyDescent="0.25">
      <c r="A16893" t="s">
        <v>14315</v>
      </c>
      <c r="B16893" t="s">
        <v>20</v>
      </c>
      <c r="C16893" s="2">
        <f>HYPERLINK("https://cao.dolgi.msk.ru/account/1080155102/", 1080155102)</f>
        <v>1080155102</v>
      </c>
      <c r="D16893" t="s">
        <v>14319</v>
      </c>
      <c r="E16893">
        <v>-197.89</v>
      </c>
      <c r="F16893">
        <v>-0.02</v>
      </c>
      <c r="G16893" t="s">
        <v>12</v>
      </c>
      <c r="I16893" t="s">
        <v>2409</v>
      </c>
    </row>
    <row r="16894" spans="1:9" hidden="1" x14ac:dyDescent="0.25">
      <c r="A16894" t="s">
        <v>14315</v>
      </c>
      <c r="B16894" t="s">
        <v>21</v>
      </c>
      <c r="C16894" s="2">
        <f>HYPERLINK("https://cao.dolgi.msk.ru/account/1080155129/", 1080155129)</f>
        <v>1080155129</v>
      </c>
      <c r="D16894" t="s">
        <v>14320</v>
      </c>
      <c r="E16894">
        <v>-10456.82</v>
      </c>
      <c r="F16894">
        <v>-1.19</v>
      </c>
      <c r="G16894" t="s">
        <v>12</v>
      </c>
      <c r="I16894" t="s">
        <v>2409</v>
      </c>
    </row>
    <row r="16895" spans="1:9" hidden="1" x14ac:dyDescent="0.25">
      <c r="A16895" t="s">
        <v>14315</v>
      </c>
      <c r="B16895" t="s">
        <v>22</v>
      </c>
      <c r="C16895" s="2">
        <f>HYPERLINK("https://cao.dolgi.msk.ru/account/1080155137/", 1080155137)</f>
        <v>1080155137</v>
      </c>
      <c r="D16895" t="s">
        <v>14321</v>
      </c>
      <c r="E16895">
        <v>72.239999999999995</v>
      </c>
      <c r="F16895">
        <v>0.01</v>
      </c>
      <c r="G16895" t="s">
        <v>12</v>
      </c>
      <c r="I16895" t="s">
        <v>2409</v>
      </c>
    </row>
    <row r="16896" spans="1:9" hidden="1" x14ac:dyDescent="0.25">
      <c r="A16896" t="s">
        <v>14315</v>
      </c>
      <c r="B16896" t="s">
        <v>23</v>
      </c>
      <c r="C16896" s="2">
        <f>HYPERLINK("https://cao.dolgi.msk.ru/account/1080167875/", 1080167875)</f>
        <v>1080167875</v>
      </c>
      <c r="D16896" t="s">
        <v>14322</v>
      </c>
      <c r="E16896">
        <v>-8502.25</v>
      </c>
      <c r="F16896">
        <v>-1.1599999999999999</v>
      </c>
      <c r="G16896" t="s">
        <v>12</v>
      </c>
      <c r="I16896" t="s">
        <v>2409</v>
      </c>
    </row>
    <row r="16897" spans="1:9" hidden="1" x14ac:dyDescent="0.25">
      <c r="A16897" t="s">
        <v>14315</v>
      </c>
      <c r="B16897" t="s">
        <v>24</v>
      </c>
      <c r="C16897" s="2">
        <f>HYPERLINK("https://cao.dolgi.msk.ru/account/1080155145/", 1080155145)</f>
        <v>1080155145</v>
      </c>
      <c r="D16897" t="s">
        <v>14323</v>
      </c>
      <c r="E16897">
        <v>-11706.05</v>
      </c>
      <c r="F16897">
        <v>-1.07</v>
      </c>
      <c r="G16897" t="s">
        <v>12</v>
      </c>
      <c r="I16897" t="s">
        <v>2409</v>
      </c>
    </row>
    <row r="16898" spans="1:9" hidden="1" x14ac:dyDescent="0.25">
      <c r="A16898" t="s">
        <v>14315</v>
      </c>
      <c r="B16898" t="s">
        <v>27</v>
      </c>
      <c r="C16898" s="2">
        <f>HYPERLINK("https://cao.dolgi.msk.ru/account/1080155153/", 1080155153)</f>
        <v>1080155153</v>
      </c>
      <c r="D16898" t="s">
        <v>14324</v>
      </c>
      <c r="E16898">
        <v>7626.14</v>
      </c>
      <c r="F16898">
        <v>0.8</v>
      </c>
      <c r="G16898" t="s">
        <v>12</v>
      </c>
      <c r="I16898" t="s">
        <v>2409</v>
      </c>
    </row>
    <row r="16899" spans="1:9" hidden="1" x14ac:dyDescent="0.25">
      <c r="A16899" t="s">
        <v>14315</v>
      </c>
      <c r="B16899" t="s">
        <v>29</v>
      </c>
      <c r="C16899" s="2">
        <f>HYPERLINK("https://cao.dolgi.msk.ru/account/1080155161/", 1080155161)</f>
        <v>1080155161</v>
      </c>
      <c r="D16899" t="s">
        <v>14325</v>
      </c>
      <c r="E16899">
        <v>0</v>
      </c>
      <c r="F16899">
        <v>0</v>
      </c>
      <c r="G16899" t="s">
        <v>12</v>
      </c>
      <c r="I16899" t="s">
        <v>2409</v>
      </c>
    </row>
    <row r="16900" spans="1:9" hidden="1" x14ac:dyDescent="0.25">
      <c r="A16900" t="s">
        <v>14315</v>
      </c>
      <c r="B16900" t="s">
        <v>31</v>
      </c>
      <c r="C16900" s="2">
        <f>HYPERLINK("https://cao.dolgi.msk.ru/account/1080155188/", 1080155188)</f>
        <v>1080155188</v>
      </c>
      <c r="D16900" t="s">
        <v>14326</v>
      </c>
      <c r="E16900">
        <v>-14451.12</v>
      </c>
      <c r="F16900">
        <v>-1.03</v>
      </c>
      <c r="G16900" t="s">
        <v>12</v>
      </c>
      <c r="I16900" t="s">
        <v>2409</v>
      </c>
    </row>
    <row r="16901" spans="1:9" hidden="1" x14ac:dyDescent="0.25">
      <c r="A16901" t="s">
        <v>14315</v>
      </c>
      <c r="B16901" t="s">
        <v>33</v>
      </c>
      <c r="C16901" s="2">
        <f>HYPERLINK("https://cao.dolgi.msk.ru/account/1080155196/", 1080155196)</f>
        <v>1080155196</v>
      </c>
      <c r="D16901" t="s">
        <v>14327</v>
      </c>
      <c r="E16901">
        <v>-6819</v>
      </c>
      <c r="F16901">
        <v>-1.1100000000000001</v>
      </c>
      <c r="G16901" t="s">
        <v>12</v>
      </c>
      <c r="I16901" t="s">
        <v>2409</v>
      </c>
    </row>
    <row r="16902" spans="1:9" hidden="1" x14ac:dyDescent="0.25">
      <c r="A16902" t="s">
        <v>14315</v>
      </c>
      <c r="B16902" t="s">
        <v>34</v>
      </c>
      <c r="C16902" s="2">
        <f>HYPERLINK("https://cao.dolgi.msk.ru/account/1080155209/", 1080155209)</f>
        <v>1080155209</v>
      </c>
      <c r="D16902" t="s">
        <v>14328</v>
      </c>
      <c r="E16902">
        <v>-11584.83</v>
      </c>
      <c r="F16902">
        <v>-1.0900000000000001</v>
      </c>
      <c r="G16902" t="s">
        <v>12</v>
      </c>
      <c r="I16902" t="s">
        <v>2409</v>
      </c>
    </row>
    <row r="16903" spans="1:9" hidden="1" x14ac:dyDescent="0.25">
      <c r="A16903" t="s">
        <v>14315</v>
      </c>
      <c r="B16903" t="s">
        <v>36</v>
      </c>
      <c r="C16903" s="2">
        <f>HYPERLINK("https://cao.dolgi.msk.ru/account/1080155903/", 1080155903)</f>
        <v>1080155903</v>
      </c>
      <c r="D16903" t="s">
        <v>14329</v>
      </c>
      <c r="E16903">
        <v>-10709.29</v>
      </c>
      <c r="F16903">
        <v>-1.08</v>
      </c>
      <c r="G16903" t="s">
        <v>12</v>
      </c>
      <c r="I16903" t="s">
        <v>2409</v>
      </c>
    </row>
    <row r="16904" spans="1:9" hidden="1" x14ac:dyDescent="0.25">
      <c r="A16904" t="s">
        <v>14315</v>
      </c>
      <c r="B16904" t="s">
        <v>38</v>
      </c>
      <c r="C16904" s="2">
        <f>HYPERLINK("https://cao.dolgi.msk.ru/account/1080155217/", 1080155217)</f>
        <v>1080155217</v>
      </c>
      <c r="D16904" t="s">
        <v>15</v>
      </c>
      <c r="E16904">
        <v>0</v>
      </c>
      <c r="F16904">
        <v>0</v>
      </c>
      <c r="G16904" t="s">
        <v>12</v>
      </c>
      <c r="I16904" t="s">
        <v>2409</v>
      </c>
    </row>
    <row r="16905" spans="1:9" x14ac:dyDescent="0.25">
      <c r="A16905" t="s">
        <v>14315</v>
      </c>
      <c r="B16905" t="s">
        <v>39</v>
      </c>
      <c r="C16905" s="2">
        <f>HYPERLINK("https://cao.dolgi.msk.ru/account/1080155225/", 1080155225)</f>
        <v>1080155225</v>
      </c>
      <c r="D16905" t="s">
        <v>14330</v>
      </c>
      <c r="E16905">
        <v>20512.04</v>
      </c>
      <c r="F16905">
        <v>1.81</v>
      </c>
      <c r="G16905" t="s">
        <v>12</v>
      </c>
      <c r="I16905" t="s">
        <v>2409</v>
      </c>
    </row>
    <row r="16906" spans="1:9" hidden="1" x14ac:dyDescent="0.25">
      <c r="A16906" t="s">
        <v>14315</v>
      </c>
      <c r="B16906" t="s">
        <v>40</v>
      </c>
      <c r="C16906" s="2">
        <f>HYPERLINK("https://cao.dolgi.msk.ru/account/1080155233/", 1080155233)</f>
        <v>1080155233</v>
      </c>
      <c r="D16906" t="s">
        <v>14331</v>
      </c>
      <c r="E16906">
        <v>-9547.2099999999991</v>
      </c>
      <c r="F16906">
        <v>-1.08</v>
      </c>
      <c r="G16906" t="s">
        <v>12</v>
      </c>
      <c r="I16906" t="s">
        <v>2409</v>
      </c>
    </row>
    <row r="16907" spans="1:9" hidden="1" x14ac:dyDescent="0.25">
      <c r="A16907" t="s">
        <v>14315</v>
      </c>
      <c r="B16907" t="s">
        <v>41</v>
      </c>
      <c r="C16907" s="2">
        <f>HYPERLINK("https://cao.dolgi.msk.ru/account/1080155241/", 1080155241)</f>
        <v>1080155241</v>
      </c>
      <c r="D16907" t="s">
        <v>14332</v>
      </c>
      <c r="E16907">
        <v>-9291.23</v>
      </c>
      <c r="F16907">
        <v>-1.23</v>
      </c>
      <c r="G16907" t="s">
        <v>12</v>
      </c>
      <c r="I16907" t="s">
        <v>2409</v>
      </c>
    </row>
    <row r="16908" spans="1:9" hidden="1" x14ac:dyDescent="0.25">
      <c r="A16908" t="s">
        <v>14315</v>
      </c>
      <c r="B16908" t="s">
        <v>42</v>
      </c>
      <c r="C16908" s="2">
        <f>HYPERLINK("https://cao.dolgi.msk.ru/account/1080155268/", 1080155268)</f>
        <v>1080155268</v>
      </c>
      <c r="D16908" t="s">
        <v>14333</v>
      </c>
      <c r="E16908">
        <v>-8301.7999999999993</v>
      </c>
      <c r="F16908">
        <v>-1.01</v>
      </c>
      <c r="G16908" t="s">
        <v>12</v>
      </c>
      <c r="I16908" t="s">
        <v>2409</v>
      </c>
    </row>
    <row r="16909" spans="1:9" hidden="1" x14ac:dyDescent="0.25">
      <c r="A16909" t="s">
        <v>14315</v>
      </c>
      <c r="B16909" t="s">
        <v>44</v>
      </c>
      <c r="C16909" s="2">
        <f>HYPERLINK("https://cao.dolgi.msk.ru/account/1080155284/", 1080155284)</f>
        <v>1080155284</v>
      </c>
      <c r="D16909" t="s">
        <v>14334</v>
      </c>
      <c r="E16909">
        <v>-9755.2099999999991</v>
      </c>
      <c r="F16909">
        <v>-1.1200000000000001</v>
      </c>
      <c r="G16909" t="s">
        <v>12</v>
      </c>
      <c r="I16909" t="s">
        <v>2409</v>
      </c>
    </row>
    <row r="16910" spans="1:9" hidden="1" x14ac:dyDescent="0.25">
      <c r="A16910" t="s">
        <v>14315</v>
      </c>
      <c r="B16910" t="s">
        <v>277</v>
      </c>
      <c r="C16910" s="2">
        <f>HYPERLINK("https://cao.dolgi.msk.ru/account/1080155276/", 1080155276)</f>
        <v>1080155276</v>
      </c>
      <c r="D16910" t="s">
        <v>14335</v>
      </c>
      <c r="E16910">
        <v>-1716.81</v>
      </c>
      <c r="F16910">
        <v>-0.53</v>
      </c>
      <c r="G16910" t="s">
        <v>12</v>
      </c>
      <c r="I16910" t="s">
        <v>2409</v>
      </c>
    </row>
    <row r="16911" spans="1:9" hidden="1" x14ac:dyDescent="0.25">
      <c r="A16911" t="s">
        <v>14315</v>
      </c>
      <c r="B16911" t="s">
        <v>66</v>
      </c>
      <c r="C16911" s="2">
        <f>HYPERLINK("https://cao.dolgi.msk.ru/account/1080155292/", 1080155292)</f>
        <v>1080155292</v>
      </c>
      <c r="D16911" t="s">
        <v>14336</v>
      </c>
      <c r="E16911">
        <v>-92.11</v>
      </c>
      <c r="F16911">
        <v>-0.01</v>
      </c>
      <c r="G16911" t="s">
        <v>12</v>
      </c>
      <c r="I16911" t="s">
        <v>2409</v>
      </c>
    </row>
    <row r="16912" spans="1:9" hidden="1" x14ac:dyDescent="0.25">
      <c r="A16912" t="s">
        <v>14315</v>
      </c>
      <c r="B16912" t="s">
        <v>68</v>
      </c>
      <c r="C16912" s="2">
        <f>HYPERLINK("https://cao.dolgi.msk.ru/account/1080155305/", 1080155305)</f>
        <v>1080155305</v>
      </c>
      <c r="D16912" t="s">
        <v>14337</v>
      </c>
      <c r="E16912">
        <v>-3079.98</v>
      </c>
      <c r="F16912">
        <v>-1.04</v>
      </c>
      <c r="G16912" t="s">
        <v>12</v>
      </c>
      <c r="I16912" t="s">
        <v>2409</v>
      </c>
    </row>
    <row r="16913" spans="1:9" hidden="1" x14ac:dyDescent="0.25">
      <c r="A16913" t="s">
        <v>14315</v>
      </c>
      <c r="B16913" t="s">
        <v>68</v>
      </c>
      <c r="C16913" s="2">
        <f>HYPERLINK("https://cao.dolgi.msk.ru/account/1080321537/", 1080321537)</f>
        <v>1080321537</v>
      </c>
      <c r="D16913" t="s">
        <v>14337</v>
      </c>
      <c r="E16913">
        <v>-4628.1499999999996</v>
      </c>
      <c r="F16913">
        <v>-0.99</v>
      </c>
      <c r="G16913" t="s">
        <v>12</v>
      </c>
      <c r="I16913" t="s">
        <v>2409</v>
      </c>
    </row>
    <row r="16914" spans="1:9" hidden="1" x14ac:dyDescent="0.25">
      <c r="A16914" t="s">
        <v>14315</v>
      </c>
      <c r="B16914" t="s">
        <v>68</v>
      </c>
      <c r="C16914" s="2">
        <f>HYPERLINK("https://cao.dolgi.msk.ru/account/1080321545/", 1080321545)</f>
        <v>1080321545</v>
      </c>
      <c r="D16914" t="s">
        <v>14337</v>
      </c>
      <c r="E16914">
        <v>-5267.57</v>
      </c>
      <c r="F16914">
        <v>-3.8</v>
      </c>
      <c r="G16914" t="s">
        <v>12</v>
      </c>
      <c r="I16914" t="s">
        <v>2409</v>
      </c>
    </row>
    <row r="16915" spans="1:9" hidden="1" x14ac:dyDescent="0.25">
      <c r="A16915" t="s">
        <v>14315</v>
      </c>
      <c r="B16915" t="s">
        <v>68</v>
      </c>
      <c r="C16915" s="2">
        <f>HYPERLINK("https://cao.dolgi.msk.ru/account/1080321553/", 1080321553)</f>
        <v>1080321553</v>
      </c>
      <c r="D16915" t="s">
        <v>14337</v>
      </c>
      <c r="E16915">
        <v>-5267.57</v>
      </c>
      <c r="F16915">
        <v>-3.8</v>
      </c>
      <c r="G16915" t="s">
        <v>12</v>
      </c>
      <c r="I16915" t="s">
        <v>2409</v>
      </c>
    </row>
    <row r="16916" spans="1:9" hidden="1" x14ac:dyDescent="0.25">
      <c r="A16916" t="s">
        <v>14315</v>
      </c>
      <c r="B16916" t="s">
        <v>70</v>
      </c>
      <c r="C16916" s="2">
        <f>HYPERLINK("https://cao.dolgi.msk.ru/account/1080168325/", 1080168325)</f>
        <v>1080168325</v>
      </c>
      <c r="D16916" t="s">
        <v>14338</v>
      </c>
      <c r="E16916">
        <v>-9517.64</v>
      </c>
      <c r="F16916">
        <v>-1.02</v>
      </c>
      <c r="G16916" t="s">
        <v>12</v>
      </c>
      <c r="I16916" t="s">
        <v>2409</v>
      </c>
    </row>
    <row r="16917" spans="1:9" hidden="1" x14ac:dyDescent="0.25">
      <c r="A16917" t="s">
        <v>14315</v>
      </c>
      <c r="B16917" t="s">
        <v>72</v>
      </c>
      <c r="C16917" s="2">
        <f>HYPERLINK("https://cao.dolgi.msk.ru/account/1080155313/", 1080155313)</f>
        <v>1080155313</v>
      </c>
      <c r="D16917" t="s">
        <v>14339</v>
      </c>
      <c r="E16917">
        <v>-10034.540000000001</v>
      </c>
      <c r="F16917">
        <v>-1.0900000000000001</v>
      </c>
      <c r="G16917" t="s">
        <v>12</v>
      </c>
      <c r="I16917" t="s">
        <v>2409</v>
      </c>
    </row>
    <row r="16918" spans="1:9" hidden="1" x14ac:dyDescent="0.25">
      <c r="A16918" t="s">
        <v>14315</v>
      </c>
      <c r="B16918" t="s">
        <v>74</v>
      </c>
      <c r="C16918" s="2">
        <f>HYPERLINK("https://cao.dolgi.msk.ru/account/1080155321/", 1080155321)</f>
        <v>1080155321</v>
      </c>
      <c r="D16918" t="s">
        <v>14340</v>
      </c>
      <c r="E16918">
        <v>-3993.61</v>
      </c>
      <c r="F16918">
        <v>-0.56000000000000005</v>
      </c>
      <c r="G16918" t="s">
        <v>12</v>
      </c>
      <c r="I16918" t="s">
        <v>2409</v>
      </c>
    </row>
    <row r="16919" spans="1:9" hidden="1" x14ac:dyDescent="0.25">
      <c r="A16919" t="s">
        <v>14315</v>
      </c>
      <c r="B16919" t="s">
        <v>76</v>
      </c>
      <c r="C16919" s="2">
        <f>HYPERLINK("https://cao.dolgi.msk.ru/account/1080155348/", 1080155348)</f>
        <v>1080155348</v>
      </c>
      <c r="D16919" t="s">
        <v>14341</v>
      </c>
      <c r="E16919">
        <v>-9889.7800000000007</v>
      </c>
      <c r="F16919">
        <v>-1.1299999999999999</v>
      </c>
      <c r="G16919" t="s">
        <v>12</v>
      </c>
      <c r="I16919" t="s">
        <v>2409</v>
      </c>
    </row>
    <row r="16920" spans="1:9" hidden="1" x14ac:dyDescent="0.25">
      <c r="A16920" t="s">
        <v>14315</v>
      </c>
      <c r="B16920" t="s">
        <v>78</v>
      </c>
      <c r="C16920" s="2">
        <f>HYPERLINK("https://cao.dolgi.msk.ru/account/1080155356/", 1080155356)</f>
        <v>1080155356</v>
      </c>
      <c r="D16920" t="s">
        <v>14342</v>
      </c>
      <c r="E16920">
        <v>-8771.9699999999993</v>
      </c>
      <c r="F16920">
        <v>-1.17</v>
      </c>
      <c r="G16920" t="s">
        <v>12</v>
      </c>
      <c r="I16920" t="s">
        <v>2409</v>
      </c>
    </row>
    <row r="16921" spans="1:9" hidden="1" x14ac:dyDescent="0.25">
      <c r="A16921" t="s">
        <v>14315</v>
      </c>
      <c r="B16921" t="s">
        <v>80</v>
      </c>
      <c r="C16921" s="2">
        <f>HYPERLINK("https://cao.dolgi.msk.ru/account/1080155364/", 1080155364)</f>
        <v>1080155364</v>
      </c>
      <c r="D16921" t="s">
        <v>14343</v>
      </c>
      <c r="E16921">
        <v>-8868.34</v>
      </c>
      <c r="F16921">
        <v>-1.2</v>
      </c>
      <c r="G16921" t="s">
        <v>12</v>
      </c>
      <c r="I16921" t="s">
        <v>2409</v>
      </c>
    </row>
    <row r="16922" spans="1:9" hidden="1" x14ac:dyDescent="0.25">
      <c r="A16922" t="s">
        <v>14315</v>
      </c>
      <c r="B16922" t="s">
        <v>82</v>
      </c>
      <c r="C16922" s="2">
        <f>HYPERLINK("https://cao.dolgi.msk.ru/account/1080155372/", 1080155372)</f>
        <v>1080155372</v>
      </c>
      <c r="D16922" t="s">
        <v>14344</v>
      </c>
      <c r="E16922">
        <v>-8055.42</v>
      </c>
      <c r="F16922">
        <v>-1.03</v>
      </c>
      <c r="G16922" t="s">
        <v>12</v>
      </c>
      <c r="I16922" t="s">
        <v>2409</v>
      </c>
    </row>
    <row r="16923" spans="1:9" hidden="1" x14ac:dyDescent="0.25">
      <c r="A16923" t="s">
        <v>14315</v>
      </c>
      <c r="B16923" t="s">
        <v>84</v>
      </c>
      <c r="C16923" s="2">
        <f>HYPERLINK("https://cao.dolgi.msk.ru/account/1080155401/", 1080155401)</f>
        <v>1080155401</v>
      </c>
      <c r="D16923" t="s">
        <v>14345</v>
      </c>
      <c r="E16923">
        <v>-6601.72</v>
      </c>
      <c r="F16923">
        <v>-1.02</v>
      </c>
      <c r="G16923" t="s">
        <v>12</v>
      </c>
      <c r="I16923" t="s">
        <v>2409</v>
      </c>
    </row>
    <row r="16924" spans="1:9" hidden="1" x14ac:dyDescent="0.25">
      <c r="A16924" t="s">
        <v>14315</v>
      </c>
      <c r="B16924" t="s">
        <v>86</v>
      </c>
      <c r="C16924" s="2">
        <f>HYPERLINK("https://cao.dolgi.msk.ru/account/1080155428/", 1080155428)</f>
        <v>1080155428</v>
      </c>
      <c r="D16924" t="s">
        <v>14346</v>
      </c>
      <c r="E16924">
        <v>0</v>
      </c>
      <c r="F16924">
        <v>0</v>
      </c>
      <c r="G16924" t="s">
        <v>12</v>
      </c>
      <c r="I16924" t="s">
        <v>2409</v>
      </c>
    </row>
    <row r="16925" spans="1:9" hidden="1" x14ac:dyDescent="0.25">
      <c r="A16925" t="s">
        <v>14315</v>
      </c>
      <c r="B16925" t="s">
        <v>88</v>
      </c>
      <c r="C16925" s="2">
        <f>HYPERLINK("https://cao.dolgi.msk.ru/account/1080155436/", 1080155436)</f>
        <v>1080155436</v>
      </c>
      <c r="D16925" t="s">
        <v>14347</v>
      </c>
      <c r="E16925">
        <v>-11262.6</v>
      </c>
      <c r="F16925">
        <v>-1.1100000000000001</v>
      </c>
      <c r="G16925" t="s">
        <v>12</v>
      </c>
      <c r="I16925" t="s">
        <v>2409</v>
      </c>
    </row>
    <row r="16926" spans="1:9" hidden="1" x14ac:dyDescent="0.25">
      <c r="A16926" t="s">
        <v>14315</v>
      </c>
      <c r="B16926" t="s">
        <v>90</v>
      </c>
      <c r="C16926" s="2">
        <f>HYPERLINK("https://cao.dolgi.msk.ru/account/1080155444/", 1080155444)</f>
        <v>1080155444</v>
      </c>
      <c r="D16926" t="s">
        <v>14348</v>
      </c>
      <c r="E16926">
        <v>-6587.51</v>
      </c>
      <c r="F16926">
        <v>-1.1100000000000001</v>
      </c>
      <c r="G16926" t="s">
        <v>12</v>
      </c>
      <c r="I16926" t="s">
        <v>2409</v>
      </c>
    </row>
    <row r="16927" spans="1:9" hidden="1" x14ac:dyDescent="0.25">
      <c r="A16927" t="s">
        <v>14315</v>
      </c>
      <c r="B16927" t="s">
        <v>92</v>
      </c>
      <c r="C16927" s="2">
        <f>HYPERLINK("https://cao.dolgi.msk.ru/account/1080155452/", 1080155452)</f>
        <v>1080155452</v>
      </c>
      <c r="D16927" t="s">
        <v>14349</v>
      </c>
      <c r="E16927">
        <v>-0.03</v>
      </c>
      <c r="F16927">
        <v>0</v>
      </c>
      <c r="G16927" t="s">
        <v>12</v>
      </c>
      <c r="I16927" t="s">
        <v>2409</v>
      </c>
    </row>
    <row r="16928" spans="1:9" hidden="1" x14ac:dyDescent="0.25">
      <c r="A16928" t="s">
        <v>14315</v>
      </c>
      <c r="B16928" t="s">
        <v>94</v>
      </c>
      <c r="C16928" s="2">
        <f>HYPERLINK("https://cao.dolgi.msk.ru/account/1080155479/", 1080155479)</f>
        <v>1080155479</v>
      </c>
      <c r="D16928" t="s">
        <v>14350</v>
      </c>
      <c r="E16928">
        <v>-10526.19</v>
      </c>
      <c r="F16928">
        <v>-1.07</v>
      </c>
      <c r="G16928" t="s">
        <v>12</v>
      </c>
      <c r="I16928" t="s">
        <v>2409</v>
      </c>
    </row>
    <row r="16929" spans="1:9" hidden="1" x14ac:dyDescent="0.25">
      <c r="A16929" t="s">
        <v>14315</v>
      </c>
      <c r="B16929" t="s">
        <v>96</v>
      </c>
      <c r="C16929" s="2">
        <f>HYPERLINK("https://cao.dolgi.msk.ru/account/1080155487/", 1080155487)</f>
        <v>1080155487</v>
      </c>
      <c r="D16929" t="s">
        <v>14351</v>
      </c>
      <c r="E16929">
        <v>-12824.28</v>
      </c>
      <c r="F16929">
        <v>-1.05</v>
      </c>
      <c r="G16929" t="s">
        <v>12</v>
      </c>
      <c r="I16929" t="s">
        <v>2409</v>
      </c>
    </row>
    <row r="16930" spans="1:9" hidden="1" x14ac:dyDescent="0.25">
      <c r="A16930" t="s">
        <v>14315</v>
      </c>
      <c r="B16930" t="s">
        <v>98</v>
      </c>
      <c r="C16930" s="2">
        <f>HYPERLINK("https://cao.dolgi.msk.ru/account/1080155495/", 1080155495)</f>
        <v>1080155495</v>
      </c>
      <c r="D16930" t="s">
        <v>14352</v>
      </c>
      <c r="E16930">
        <v>-10698.68</v>
      </c>
      <c r="F16930">
        <v>-1.07</v>
      </c>
      <c r="G16930" t="s">
        <v>12</v>
      </c>
      <c r="I16930" t="s">
        <v>2409</v>
      </c>
    </row>
    <row r="16931" spans="1:9" hidden="1" x14ac:dyDescent="0.25">
      <c r="A16931" t="s">
        <v>14315</v>
      </c>
      <c r="B16931" t="s">
        <v>100</v>
      </c>
      <c r="C16931" s="2">
        <f>HYPERLINK("https://cao.dolgi.msk.ru/account/1080155508/", 1080155508)</f>
        <v>1080155508</v>
      </c>
      <c r="D16931" t="s">
        <v>14353</v>
      </c>
      <c r="E16931">
        <v>-388.33</v>
      </c>
      <c r="F16931">
        <v>-0.03</v>
      </c>
      <c r="G16931" t="s">
        <v>12</v>
      </c>
      <c r="I16931" t="s">
        <v>2409</v>
      </c>
    </row>
    <row r="16932" spans="1:9" hidden="1" x14ac:dyDescent="0.25">
      <c r="A16932" t="s">
        <v>14315</v>
      </c>
      <c r="B16932" t="s">
        <v>102</v>
      </c>
      <c r="C16932" s="2">
        <f>HYPERLINK("https://cao.dolgi.msk.ru/account/1080155516/", 1080155516)</f>
        <v>1080155516</v>
      </c>
      <c r="D16932" t="s">
        <v>14354</v>
      </c>
      <c r="E16932">
        <v>-11282.4</v>
      </c>
      <c r="F16932">
        <v>-1.1299999999999999</v>
      </c>
      <c r="G16932" t="s">
        <v>12</v>
      </c>
      <c r="I16932" t="s">
        <v>2409</v>
      </c>
    </row>
    <row r="16933" spans="1:9" x14ac:dyDescent="0.25">
      <c r="A16933" t="s">
        <v>14315</v>
      </c>
      <c r="B16933" t="s">
        <v>104</v>
      </c>
      <c r="C16933" s="2">
        <f>HYPERLINK("https://cao.dolgi.msk.ru/account/1080155524/", 1080155524)</f>
        <v>1080155524</v>
      </c>
      <c r="D16933" t="s">
        <v>14355</v>
      </c>
      <c r="E16933">
        <v>31851.73</v>
      </c>
      <c r="F16933">
        <v>3</v>
      </c>
      <c r="G16933" t="s">
        <v>12</v>
      </c>
      <c r="I16933" t="s">
        <v>2409</v>
      </c>
    </row>
    <row r="16934" spans="1:9" hidden="1" x14ac:dyDescent="0.25">
      <c r="A16934" t="s">
        <v>14315</v>
      </c>
      <c r="B16934" t="s">
        <v>106</v>
      </c>
      <c r="C16934" s="2">
        <f>HYPERLINK("https://cao.dolgi.msk.ru/account/1080155532/", 1080155532)</f>
        <v>1080155532</v>
      </c>
      <c r="D16934" t="s">
        <v>14356</v>
      </c>
      <c r="E16934">
        <v>77.599999999999994</v>
      </c>
      <c r="F16934">
        <v>0.01</v>
      </c>
      <c r="G16934" t="s">
        <v>12</v>
      </c>
      <c r="I16934" t="s">
        <v>2409</v>
      </c>
    </row>
    <row r="16935" spans="1:9" hidden="1" x14ac:dyDescent="0.25">
      <c r="A16935" t="s">
        <v>14315</v>
      </c>
      <c r="B16935" t="s">
        <v>108</v>
      </c>
      <c r="C16935" s="2">
        <f>HYPERLINK("https://cao.dolgi.msk.ru/account/1080155559/", 1080155559)</f>
        <v>1080155559</v>
      </c>
      <c r="D16935" t="s">
        <v>14357</v>
      </c>
      <c r="E16935">
        <v>-12780.82</v>
      </c>
      <c r="F16935">
        <v>-1.32</v>
      </c>
      <c r="G16935" t="s">
        <v>12</v>
      </c>
      <c r="I16935" t="s">
        <v>2409</v>
      </c>
    </row>
    <row r="16936" spans="1:9" hidden="1" x14ac:dyDescent="0.25">
      <c r="A16936" t="s">
        <v>14315</v>
      </c>
      <c r="B16936" t="s">
        <v>110</v>
      </c>
      <c r="C16936" s="2">
        <f>HYPERLINK("https://cao.dolgi.msk.ru/account/1080155567/", 1080155567)</f>
        <v>1080155567</v>
      </c>
      <c r="D16936" t="s">
        <v>736</v>
      </c>
      <c r="E16936">
        <v>-11102.1</v>
      </c>
      <c r="F16936">
        <v>-1.37</v>
      </c>
      <c r="G16936" t="s">
        <v>12</v>
      </c>
      <c r="I16936" t="s">
        <v>2409</v>
      </c>
    </row>
    <row r="16937" spans="1:9" hidden="1" x14ac:dyDescent="0.25">
      <c r="A16937" t="s">
        <v>14315</v>
      </c>
      <c r="B16937" t="s">
        <v>112</v>
      </c>
      <c r="C16937" s="2">
        <f>HYPERLINK("https://cao.dolgi.msk.ru/account/1080155575/", 1080155575)</f>
        <v>1080155575</v>
      </c>
      <c r="D16937" t="s">
        <v>14358</v>
      </c>
      <c r="E16937">
        <v>-6071.65</v>
      </c>
      <c r="F16937">
        <v>-1.1200000000000001</v>
      </c>
      <c r="G16937" t="s">
        <v>12</v>
      </c>
      <c r="I16937" t="s">
        <v>2409</v>
      </c>
    </row>
    <row r="16938" spans="1:9" hidden="1" x14ac:dyDescent="0.25">
      <c r="A16938" t="s">
        <v>14315</v>
      </c>
      <c r="B16938" t="s">
        <v>1185</v>
      </c>
      <c r="C16938" s="2">
        <f>HYPERLINK("https://cao.dolgi.msk.ru/account/1080167242/", 1080167242)</f>
        <v>1080167242</v>
      </c>
      <c r="D16938" t="s">
        <v>14359</v>
      </c>
      <c r="E16938">
        <v>-5640.99</v>
      </c>
      <c r="F16938">
        <v>-1.1499999999999999</v>
      </c>
      <c r="G16938" t="s">
        <v>12</v>
      </c>
      <c r="I16938" t="s">
        <v>2409</v>
      </c>
    </row>
    <row r="16939" spans="1:9" hidden="1" x14ac:dyDescent="0.25">
      <c r="A16939" t="s">
        <v>14315</v>
      </c>
      <c r="B16939" t="s">
        <v>114</v>
      </c>
      <c r="C16939" s="2">
        <f>HYPERLINK("https://cao.dolgi.msk.ru/account/1080155583/", 1080155583)</f>
        <v>1080155583</v>
      </c>
      <c r="D16939" t="s">
        <v>14360</v>
      </c>
      <c r="E16939">
        <v>0</v>
      </c>
      <c r="F16939">
        <v>0</v>
      </c>
      <c r="G16939" t="s">
        <v>12</v>
      </c>
      <c r="I16939" t="s">
        <v>2409</v>
      </c>
    </row>
    <row r="16940" spans="1:9" hidden="1" x14ac:dyDescent="0.25">
      <c r="A16940" t="s">
        <v>14315</v>
      </c>
      <c r="B16940" t="s">
        <v>116</v>
      </c>
      <c r="C16940" s="2">
        <f>HYPERLINK("https://cao.dolgi.msk.ru/account/1080155591/", 1080155591)</f>
        <v>1080155591</v>
      </c>
      <c r="D16940" t="s">
        <v>14361</v>
      </c>
      <c r="E16940">
        <v>-7895.04</v>
      </c>
      <c r="F16940">
        <v>-1.26</v>
      </c>
      <c r="G16940" t="s">
        <v>12</v>
      </c>
      <c r="I16940" t="s">
        <v>2409</v>
      </c>
    </row>
    <row r="16941" spans="1:9" x14ac:dyDescent="0.25">
      <c r="A16941" t="s">
        <v>14315</v>
      </c>
      <c r="B16941" t="s">
        <v>118</v>
      </c>
      <c r="C16941" s="2">
        <f>HYPERLINK("https://cao.dolgi.msk.ru/account/1080155604/", 1080155604)</f>
        <v>1080155604</v>
      </c>
      <c r="D16941" t="s">
        <v>14362</v>
      </c>
      <c r="E16941">
        <v>18356.03</v>
      </c>
      <c r="F16941">
        <v>1.01</v>
      </c>
      <c r="G16941" t="s">
        <v>12</v>
      </c>
      <c r="I16941" t="s">
        <v>2409</v>
      </c>
    </row>
    <row r="16942" spans="1:9" hidden="1" x14ac:dyDescent="0.25">
      <c r="A16942" t="s">
        <v>14315</v>
      </c>
      <c r="B16942" t="s">
        <v>120</v>
      </c>
      <c r="C16942" s="2">
        <f>HYPERLINK("https://cao.dolgi.msk.ru/account/1080155612/", 1080155612)</f>
        <v>1080155612</v>
      </c>
      <c r="D16942" t="s">
        <v>14363</v>
      </c>
      <c r="G16942" t="s">
        <v>14</v>
      </c>
      <c r="I16942" t="s">
        <v>2409</v>
      </c>
    </row>
    <row r="16943" spans="1:9" hidden="1" x14ac:dyDescent="0.25">
      <c r="A16943" t="s">
        <v>14315</v>
      </c>
      <c r="B16943" t="s">
        <v>122</v>
      </c>
      <c r="C16943" s="2">
        <f>HYPERLINK("https://cao.dolgi.msk.ru/account/1080155639/", 1080155639)</f>
        <v>1080155639</v>
      </c>
      <c r="D16943" t="s">
        <v>14364</v>
      </c>
      <c r="E16943">
        <v>-9728.52</v>
      </c>
      <c r="F16943">
        <v>-1.0900000000000001</v>
      </c>
      <c r="G16943" t="s">
        <v>12</v>
      </c>
      <c r="I16943" t="s">
        <v>2409</v>
      </c>
    </row>
    <row r="16944" spans="1:9" hidden="1" x14ac:dyDescent="0.25">
      <c r="A16944" t="s">
        <v>14315</v>
      </c>
      <c r="B16944" t="s">
        <v>124</v>
      </c>
      <c r="C16944" s="2">
        <f>HYPERLINK("https://cao.dolgi.msk.ru/account/1080155647/", 1080155647)</f>
        <v>1080155647</v>
      </c>
      <c r="D16944" t="s">
        <v>14365</v>
      </c>
      <c r="E16944">
        <v>-9054.85</v>
      </c>
      <c r="F16944">
        <v>-0.88</v>
      </c>
      <c r="G16944" t="s">
        <v>12</v>
      </c>
      <c r="I16944" t="s">
        <v>2409</v>
      </c>
    </row>
    <row r="16945" spans="1:9" hidden="1" x14ac:dyDescent="0.25">
      <c r="A16945" t="s">
        <v>14315</v>
      </c>
      <c r="B16945" t="s">
        <v>126</v>
      </c>
      <c r="C16945" s="2">
        <f>HYPERLINK("https://cao.dolgi.msk.ru/account/1080155655/", 1080155655)</f>
        <v>1080155655</v>
      </c>
      <c r="D16945" t="s">
        <v>14366</v>
      </c>
      <c r="E16945">
        <v>-8086.27</v>
      </c>
      <c r="F16945">
        <v>-1.0900000000000001</v>
      </c>
      <c r="G16945" t="s">
        <v>12</v>
      </c>
      <c r="I16945" t="s">
        <v>2409</v>
      </c>
    </row>
    <row r="16946" spans="1:9" hidden="1" x14ac:dyDescent="0.25">
      <c r="A16946" t="s">
        <v>14315</v>
      </c>
      <c r="B16946" t="s">
        <v>128</v>
      </c>
      <c r="C16946" s="2">
        <f>HYPERLINK("https://cao.dolgi.msk.ru/account/1080155663/", 1080155663)</f>
        <v>1080155663</v>
      </c>
      <c r="D16946" t="s">
        <v>14367</v>
      </c>
      <c r="E16946">
        <v>-7520.53</v>
      </c>
      <c r="F16946">
        <v>-1.0900000000000001</v>
      </c>
      <c r="G16946" t="s">
        <v>12</v>
      </c>
      <c r="I16946" t="s">
        <v>2409</v>
      </c>
    </row>
    <row r="16947" spans="1:9" hidden="1" x14ac:dyDescent="0.25">
      <c r="A16947" t="s">
        <v>14315</v>
      </c>
      <c r="B16947" t="s">
        <v>130</v>
      </c>
      <c r="C16947" s="2">
        <f>HYPERLINK("https://cao.dolgi.msk.ru/account/1080155671/", 1080155671)</f>
        <v>1080155671</v>
      </c>
      <c r="D16947" t="s">
        <v>14368</v>
      </c>
      <c r="E16947">
        <v>-12703.34</v>
      </c>
      <c r="F16947">
        <v>-1.23</v>
      </c>
      <c r="G16947" t="s">
        <v>12</v>
      </c>
      <c r="I16947" t="s">
        <v>2409</v>
      </c>
    </row>
    <row r="16948" spans="1:9" hidden="1" x14ac:dyDescent="0.25">
      <c r="A16948" t="s">
        <v>14315</v>
      </c>
      <c r="B16948" t="s">
        <v>132</v>
      </c>
      <c r="C16948" s="2">
        <f>HYPERLINK("https://cao.dolgi.msk.ru/account/1080155698/", 1080155698)</f>
        <v>1080155698</v>
      </c>
      <c r="D16948" t="s">
        <v>14369</v>
      </c>
      <c r="E16948">
        <v>-11505.16</v>
      </c>
      <c r="F16948">
        <v>-1.48</v>
      </c>
      <c r="G16948" t="s">
        <v>12</v>
      </c>
      <c r="I16948" t="s">
        <v>2409</v>
      </c>
    </row>
    <row r="16949" spans="1:9" hidden="1" x14ac:dyDescent="0.25">
      <c r="A16949" t="s">
        <v>14315</v>
      </c>
      <c r="B16949" t="s">
        <v>133</v>
      </c>
      <c r="C16949" s="2">
        <f>HYPERLINK("https://cao.dolgi.msk.ru/account/1080155719/", 1080155719)</f>
        <v>1080155719</v>
      </c>
      <c r="D16949" t="s">
        <v>14370</v>
      </c>
      <c r="E16949">
        <v>0</v>
      </c>
      <c r="F16949">
        <v>0</v>
      </c>
      <c r="G16949" t="s">
        <v>12</v>
      </c>
      <c r="I16949" t="s">
        <v>2409</v>
      </c>
    </row>
    <row r="16950" spans="1:9" hidden="1" x14ac:dyDescent="0.25">
      <c r="A16950" t="s">
        <v>14315</v>
      </c>
      <c r="B16950" t="s">
        <v>135</v>
      </c>
      <c r="C16950" s="2">
        <f>HYPERLINK("https://cao.dolgi.msk.ru/account/1080155727/", 1080155727)</f>
        <v>1080155727</v>
      </c>
      <c r="D16950" t="s">
        <v>14371</v>
      </c>
      <c r="E16950">
        <v>9.82</v>
      </c>
      <c r="F16950">
        <v>0</v>
      </c>
      <c r="G16950" t="s">
        <v>12</v>
      </c>
      <c r="I16950" t="s">
        <v>2409</v>
      </c>
    </row>
    <row r="16951" spans="1:9" hidden="1" x14ac:dyDescent="0.25">
      <c r="A16951" t="s">
        <v>14315</v>
      </c>
      <c r="B16951" t="s">
        <v>137</v>
      </c>
      <c r="C16951" s="2">
        <f>HYPERLINK("https://cao.dolgi.msk.ru/account/1080155735/", 1080155735)</f>
        <v>1080155735</v>
      </c>
      <c r="D16951" t="s">
        <v>14372</v>
      </c>
      <c r="E16951">
        <v>-8101.06</v>
      </c>
      <c r="F16951">
        <v>-1.53</v>
      </c>
      <c r="G16951" t="s">
        <v>12</v>
      </c>
      <c r="I16951" t="s">
        <v>2409</v>
      </c>
    </row>
    <row r="16952" spans="1:9" hidden="1" x14ac:dyDescent="0.25">
      <c r="A16952" t="s">
        <v>14315</v>
      </c>
      <c r="B16952" t="s">
        <v>139</v>
      </c>
      <c r="C16952" s="2">
        <f>HYPERLINK("https://cao.dolgi.msk.ru/account/1080166776/", 1080166776)</f>
        <v>1080166776</v>
      </c>
      <c r="D16952" t="s">
        <v>14373</v>
      </c>
      <c r="E16952">
        <v>1093.71</v>
      </c>
      <c r="F16952">
        <v>0.08</v>
      </c>
      <c r="G16952" t="s">
        <v>12</v>
      </c>
      <c r="I16952" t="s">
        <v>2409</v>
      </c>
    </row>
    <row r="16953" spans="1:9" hidden="1" x14ac:dyDescent="0.25">
      <c r="A16953" t="s">
        <v>14315</v>
      </c>
      <c r="B16953" t="s">
        <v>141</v>
      </c>
      <c r="C16953" s="2">
        <f>HYPERLINK("https://cao.dolgi.msk.ru/account/1080166522/", 1080166522)</f>
        <v>1080166522</v>
      </c>
      <c r="D16953" t="s">
        <v>14374</v>
      </c>
      <c r="E16953">
        <v>-7896.69</v>
      </c>
      <c r="F16953">
        <v>-1.1499999999999999</v>
      </c>
      <c r="G16953" t="s">
        <v>12</v>
      </c>
      <c r="I16953" t="s">
        <v>2409</v>
      </c>
    </row>
    <row r="16954" spans="1:9" hidden="1" x14ac:dyDescent="0.25">
      <c r="A16954" t="s">
        <v>14315</v>
      </c>
      <c r="B16954" t="s">
        <v>143</v>
      </c>
      <c r="C16954" s="2">
        <f>HYPERLINK("https://cao.dolgi.msk.ru/account/1080155743/", 1080155743)</f>
        <v>1080155743</v>
      </c>
      <c r="D16954" t="s">
        <v>14375</v>
      </c>
      <c r="E16954">
        <v>-8638.0499999999993</v>
      </c>
      <c r="F16954">
        <v>-1.08</v>
      </c>
      <c r="G16954" t="s">
        <v>12</v>
      </c>
      <c r="I16954" t="s">
        <v>2409</v>
      </c>
    </row>
    <row r="16955" spans="1:9" hidden="1" x14ac:dyDescent="0.25">
      <c r="A16955" t="s">
        <v>14315</v>
      </c>
      <c r="B16955" t="s">
        <v>145</v>
      </c>
      <c r="C16955" s="2">
        <f>HYPERLINK("https://cao.dolgi.msk.ru/account/1080155751/", 1080155751)</f>
        <v>1080155751</v>
      </c>
      <c r="D16955" t="s">
        <v>14376</v>
      </c>
      <c r="E16955">
        <v>0</v>
      </c>
      <c r="F16955">
        <v>0</v>
      </c>
      <c r="G16955" t="s">
        <v>12</v>
      </c>
      <c r="I16955" t="s">
        <v>2409</v>
      </c>
    </row>
    <row r="16956" spans="1:9" hidden="1" x14ac:dyDescent="0.25">
      <c r="A16956" t="s">
        <v>14315</v>
      </c>
      <c r="B16956" t="s">
        <v>147</v>
      </c>
      <c r="C16956" s="2">
        <f>HYPERLINK("https://cao.dolgi.msk.ru/account/1080155778/", 1080155778)</f>
        <v>1080155778</v>
      </c>
      <c r="D16956" t="s">
        <v>14377</v>
      </c>
      <c r="E16956">
        <v>-7685.79</v>
      </c>
      <c r="F16956">
        <v>-1.1299999999999999</v>
      </c>
      <c r="G16956" t="s">
        <v>12</v>
      </c>
      <c r="I16956" t="s">
        <v>2409</v>
      </c>
    </row>
    <row r="16957" spans="1:9" hidden="1" x14ac:dyDescent="0.25">
      <c r="A16957" t="s">
        <v>14315</v>
      </c>
      <c r="B16957" t="s">
        <v>149</v>
      </c>
      <c r="C16957" s="2">
        <f>HYPERLINK("https://cao.dolgi.msk.ru/account/1080165239/", 1080165239)</f>
        <v>1080165239</v>
      </c>
      <c r="D16957" t="s">
        <v>14378</v>
      </c>
      <c r="E16957">
        <v>501</v>
      </c>
      <c r="F16957">
        <v>0.08</v>
      </c>
      <c r="G16957" t="s">
        <v>12</v>
      </c>
      <c r="I16957" t="s">
        <v>2409</v>
      </c>
    </row>
    <row r="16958" spans="1:9" hidden="1" x14ac:dyDescent="0.25">
      <c r="A16958" t="s">
        <v>14315</v>
      </c>
      <c r="B16958" t="s">
        <v>151</v>
      </c>
      <c r="C16958" s="2">
        <f>HYPERLINK("https://cao.dolgi.msk.ru/account/1080155794/", 1080155794)</f>
        <v>1080155794</v>
      </c>
      <c r="D16958" t="s">
        <v>14379</v>
      </c>
      <c r="E16958">
        <v>-122.78</v>
      </c>
      <c r="F16958">
        <v>-0.01</v>
      </c>
      <c r="G16958" t="s">
        <v>12</v>
      </c>
      <c r="I16958" t="s">
        <v>2409</v>
      </c>
    </row>
    <row r="16959" spans="1:9" hidden="1" x14ac:dyDescent="0.25">
      <c r="A16959" t="s">
        <v>14315</v>
      </c>
      <c r="B16959" t="s">
        <v>153</v>
      </c>
      <c r="C16959" s="2">
        <f>HYPERLINK("https://cao.dolgi.msk.ru/account/1080155807/", 1080155807)</f>
        <v>1080155807</v>
      </c>
      <c r="D16959" t="s">
        <v>14380</v>
      </c>
      <c r="E16959">
        <v>-7145.96</v>
      </c>
      <c r="F16959">
        <v>-1.1299999999999999</v>
      </c>
      <c r="G16959" t="s">
        <v>12</v>
      </c>
      <c r="I16959" t="s">
        <v>2409</v>
      </c>
    </row>
    <row r="16960" spans="1:9" hidden="1" x14ac:dyDescent="0.25">
      <c r="A16960" t="s">
        <v>14315</v>
      </c>
      <c r="B16960" t="s">
        <v>155</v>
      </c>
      <c r="C16960" s="2">
        <f>HYPERLINK("https://cao.dolgi.msk.ru/account/1080155815/", 1080155815)</f>
        <v>1080155815</v>
      </c>
      <c r="D16960" t="s">
        <v>14381</v>
      </c>
      <c r="E16960">
        <v>-10940.57</v>
      </c>
      <c r="F16960">
        <v>-1.08</v>
      </c>
      <c r="G16960" t="s">
        <v>12</v>
      </c>
      <c r="I16960" t="s">
        <v>2409</v>
      </c>
    </row>
    <row r="16961" spans="1:9" hidden="1" x14ac:dyDescent="0.25">
      <c r="A16961" t="s">
        <v>14315</v>
      </c>
      <c r="B16961" t="s">
        <v>157</v>
      </c>
      <c r="C16961" s="2">
        <f>HYPERLINK("https://cao.dolgi.msk.ru/account/1080166653/", 1080166653)</f>
        <v>1080166653</v>
      </c>
      <c r="D16961" t="s">
        <v>14382</v>
      </c>
      <c r="E16961">
        <v>-22617.81</v>
      </c>
      <c r="F16961">
        <v>-1.02</v>
      </c>
      <c r="G16961" t="s">
        <v>12</v>
      </c>
      <c r="I16961" t="s">
        <v>2409</v>
      </c>
    </row>
    <row r="16962" spans="1:9" hidden="1" x14ac:dyDescent="0.25">
      <c r="A16962" t="s">
        <v>14315</v>
      </c>
      <c r="B16962" t="s">
        <v>159</v>
      </c>
      <c r="C16962" s="2">
        <f>HYPERLINK("https://cao.dolgi.msk.ru/account/1080155823/", 1080155823)</f>
        <v>1080155823</v>
      </c>
      <c r="D16962" t="s">
        <v>14383</v>
      </c>
      <c r="E16962">
        <v>-1983.78</v>
      </c>
      <c r="F16962">
        <v>-0.25</v>
      </c>
      <c r="G16962" t="s">
        <v>12</v>
      </c>
      <c r="I16962" t="s">
        <v>2409</v>
      </c>
    </row>
    <row r="16963" spans="1:9" hidden="1" x14ac:dyDescent="0.25">
      <c r="A16963" t="s">
        <v>14315</v>
      </c>
      <c r="B16963" t="s">
        <v>161</v>
      </c>
      <c r="C16963" s="2">
        <f>HYPERLINK("https://cao.dolgi.msk.ru/account/1080155831/", 1080155831)</f>
        <v>1080155831</v>
      </c>
      <c r="D16963" t="s">
        <v>14384</v>
      </c>
      <c r="E16963">
        <v>-7829.44</v>
      </c>
      <c r="F16963">
        <v>-1.1599999999999999</v>
      </c>
      <c r="G16963" t="s">
        <v>12</v>
      </c>
      <c r="I16963" t="s">
        <v>2409</v>
      </c>
    </row>
    <row r="16964" spans="1:9" hidden="1" x14ac:dyDescent="0.25">
      <c r="A16964" t="s">
        <v>14315</v>
      </c>
      <c r="B16964" t="s">
        <v>163</v>
      </c>
      <c r="C16964" s="2">
        <f>HYPERLINK("https://cao.dolgi.msk.ru/account/1080155858/", 1080155858)</f>
        <v>1080155858</v>
      </c>
      <c r="D16964" t="s">
        <v>14385</v>
      </c>
      <c r="E16964">
        <v>-12877.3</v>
      </c>
      <c r="F16964">
        <v>-1.03</v>
      </c>
      <c r="G16964" t="s">
        <v>12</v>
      </c>
      <c r="I16964" t="s">
        <v>2409</v>
      </c>
    </row>
    <row r="16965" spans="1:9" hidden="1" x14ac:dyDescent="0.25">
      <c r="A16965" t="s">
        <v>14315</v>
      </c>
      <c r="B16965" t="s">
        <v>571</v>
      </c>
      <c r="C16965" s="2">
        <f>HYPERLINK("https://cao.dolgi.msk.ru/account/1080155866/", 1080155866)</f>
        <v>1080155866</v>
      </c>
      <c r="D16965" t="s">
        <v>14386</v>
      </c>
      <c r="E16965">
        <v>-2783.7</v>
      </c>
      <c r="F16965">
        <v>-1.8</v>
      </c>
      <c r="G16965" t="s">
        <v>12</v>
      </c>
      <c r="I16965" t="s">
        <v>2409</v>
      </c>
    </row>
    <row r="16966" spans="1:9" hidden="1" x14ac:dyDescent="0.25">
      <c r="A16966" t="s">
        <v>14315</v>
      </c>
      <c r="B16966" t="s">
        <v>571</v>
      </c>
      <c r="C16966" s="2">
        <f>HYPERLINK("https://cao.dolgi.msk.ru/account/1089123377/", 1089123377)</f>
        <v>1089123377</v>
      </c>
      <c r="D16966" t="s">
        <v>15</v>
      </c>
      <c r="E16966">
        <v>-7836.49</v>
      </c>
      <c r="F16966">
        <v>-1.23</v>
      </c>
      <c r="G16966" t="s">
        <v>12</v>
      </c>
      <c r="I16966" t="s">
        <v>2409</v>
      </c>
    </row>
    <row r="16967" spans="1:9" hidden="1" x14ac:dyDescent="0.25">
      <c r="A16967" t="s">
        <v>14315</v>
      </c>
      <c r="B16967" t="s">
        <v>682</v>
      </c>
      <c r="C16967" s="2">
        <f>HYPERLINK("https://cao.dolgi.msk.ru/account/1080155882/", 1080155882)</f>
        <v>1080155882</v>
      </c>
      <c r="D16967" t="s">
        <v>14387</v>
      </c>
      <c r="E16967">
        <v>-7166</v>
      </c>
      <c r="F16967">
        <v>-1.06</v>
      </c>
      <c r="G16967" t="s">
        <v>12</v>
      </c>
      <c r="I16967" t="s">
        <v>2409</v>
      </c>
    </row>
    <row r="16968" spans="1:9" hidden="1" x14ac:dyDescent="0.25">
      <c r="A16968" t="s">
        <v>14388</v>
      </c>
      <c r="B16968" t="s">
        <v>10</v>
      </c>
      <c r="C16968" s="2">
        <f>HYPERLINK("https://cao.dolgi.msk.ru/account/1080154417/", 1080154417)</f>
        <v>1080154417</v>
      </c>
      <c r="D16968" t="s">
        <v>14389</v>
      </c>
      <c r="E16968">
        <v>0</v>
      </c>
      <c r="F16968">
        <v>0</v>
      </c>
      <c r="G16968" t="s">
        <v>12</v>
      </c>
      <c r="I16968" t="s">
        <v>2409</v>
      </c>
    </row>
    <row r="16969" spans="1:9" hidden="1" x14ac:dyDescent="0.25">
      <c r="A16969" t="s">
        <v>14388</v>
      </c>
      <c r="B16969" t="s">
        <v>16</v>
      </c>
      <c r="C16969" s="2">
        <f>HYPERLINK("https://cao.dolgi.msk.ru/account/1080151232/", 1080151232)</f>
        <v>1080151232</v>
      </c>
      <c r="D16969" t="s">
        <v>14390</v>
      </c>
      <c r="E16969">
        <v>-5198.68</v>
      </c>
      <c r="F16969">
        <v>-1.23</v>
      </c>
      <c r="G16969" t="s">
        <v>12</v>
      </c>
      <c r="I16969" t="s">
        <v>2409</v>
      </c>
    </row>
    <row r="16970" spans="1:9" hidden="1" x14ac:dyDescent="0.25">
      <c r="A16970" t="s">
        <v>14388</v>
      </c>
      <c r="B16970" t="s">
        <v>18</v>
      </c>
      <c r="C16970" s="2">
        <f>HYPERLINK("https://cao.dolgi.msk.ru/account/1080151259/", 1080151259)</f>
        <v>1080151259</v>
      </c>
      <c r="D16970" t="s">
        <v>14391</v>
      </c>
      <c r="E16970">
        <v>-14.65</v>
      </c>
      <c r="G16970" t="s">
        <v>14</v>
      </c>
      <c r="I16970" t="s">
        <v>2409</v>
      </c>
    </row>
    <row r="16971" spans="1:9" hidden="1" x14ac:dyDescent="0.25">
      <c r="A16971" t="s">
        <v>14388</v>
      </c>
      <c r="B16971" t="s">
        <v>18</v>
      </c>
      <c r="C16971" s="2">
        <f>HYPERLINK("https://cao.dolgi.msk.ru/account/1083270552/", 1083270552)</f>
        <v>1083270552</v>
      </c>
      <c r="D16971" t="s">
        <v>15</v>
      </c>
      <c r="E16971">
        <v>-7010.5</v>
      </c>
      <c r="F16971">
        <v>-1.28</v>
      </c>
      <c r="G16971" t="s">
        <v>12</v>
      </c>
      <c r="I16971" t="s">
        <v>2409</v>
      </c>
    </row>
    <row r="16972" spans="1:9" hidden="1" x14ac:dyDescent="0.25">
      <c r="A16972" t="s">
        <v>14388</v>
      </c>
      <c r="B16972" t="s">
        <v>20</v>
      </c>
      <c r="C16972" s="2">
        <f>HYPERLINK("https://cao.dolgi.msk.ru/account/1080151267/", 1080151267)</f>
        <v>1080151267</v>
      </c>
      <c r="D16972" t="s">
        <v>14392</v>
      </c>
      <c r="E16972">
        <v>-4415.2700000000004</v>
      </c>
      <c r="F16972">
        <v>-1.1499999999999999</v>
      </c>
      <c r="G16972" t="s">
        <v>12</v>
      </c>
      <c r="I16972" t="s">
        <v>2409</v>
      </c>
    </row>
    <row r="16973" spans="1:9" hidden="1" x14ac:dyDescent="0.25">
      <c r="A16973" t="s">
        <v>14388</v>
      </c>
      <c r="B16973" t="s">
        <v>21</v>
      </c>
      <c r="C16973" s="2">
        <f>HYPERLINK("https://cao.dolgi.msk.ru/account/1080151275/", 1080151275)</f>
        <v>1080151275</v>
      </c>
      <c r="D16973" t="s">
        <v>14393</v>
      </c>
      <c r="E16973">
        <v>-6011.75</v>
      </c>
      <c r="F16973">
        <v>-1.2</v>
      </c>
      <c r="G16973" t="s">
        <v>12</v>
      </c>
      <c r="I16973" t="s">
        <v>2409</v>
      </c>
    </row>
    <row r="16974" spans="1:9" hidden="1" x14ac:dyDescent="0.25">
      <c r="A16974" t="s">
        <v>14388</v>
      </c>
      <c r="B16974" t="s">
        <v>22</v>
      </c>
      <c r="C16974" s="2">
        <f>HYPERLINK("https://cao.dolgi.msk.ru/account/1080151283/", 1080151283)</f>
        <v>1080151283</v>
      </c>
      <c r="D16974" t="s">
        <v>14394</v>
      </c>
      <c r="E16974">
        <v>-9970.0300000000007</v>
      </c>
      <c r="F16974">
        <v>-1.23</v>
      </c>
      <c r="G16974" t="s">
        <v>12</v>
      </c>
      <c r="I16974" t="s">
        <v>2409</v>
      </c>
    </row>
    <row r="16975" spans="1:9" hidden="1" x14ac:dyDescent="0.25">
      <c r="A16975" t="s">
        <v>14388</v>
      </c>
      <c r="B16975" t="s">
        <v>23</v>
      </c>
      <c r="C16975" s="2">
        <f>HYPERLINK("https://cao.dolgi.msk.ru/account/1080151291/", 1080151291)</f>
        <v>1080151291</v>
      </c>
      <c r="D16975" t="s">
        <v>14395</v>
      </c>
      <c r="E16975">
        <v>7.34</v>
      </c>
      <c r="F16975">
        <v>0</v>
      </c>
      <c r="G16975" t="s">
        <v>12</v>
      </c>
      <c r="I16975" t="s">
        <v>2409</v>
      </c>
    </row>
    <row r="16976" spans="1:9" hidden="1" x14ac:dyDescent="0.25">
      <c r="A16976" t="s">
        <v>14388</v>
      </c>
      <c r="B16976" t="s">
        <v>24</v>
      </c>
      <c r="C16976" s="2">
        <f>HYPERLINK("https://cao.dolgi.msk.ru/account/1080151304/", 1080151304)</f>
        <v>1080151304</v>
      </c>
      <c r="D16976" t="s">
        <v>14396</v>
      </c>
      <c r="E16976">
        <v>-4474.63</v>
      </c>
      <c r="F16976">
        <v>-1.24</v>
      </c>
      <c r="G16976" t="s">
        <v>12</v>
      </c>
      <c r="I16976" t="s">
        <v>2409</v>
      </c>
    </row>
    <row r="16977" spans="1:9" hidden="1" x14ac:dyDescent="0.25">
      <c r="A16977" t="s">
        <v>14388</v>
      </c>
      <c r="B16977" t="s">
        <v>27</v>
      </c>
      <c r="C16977" s="2">
        <f>HYPERLINK("https://cao.dolgi.msk.ru/account/1080151312/", 1080151312)</f>
        <v>1080151312</v>
      </c>
      <c r="D16977" t="s">
        <v>14397</v>
      </c>
      <c r="E16977">
        <v>-10038.56</v>
      </c>
      <c r="F16977">
        <v>-1.21</v>
      </c>
      <c r="G16977" t="s">
        <v>12</v>
      </c>
      <c r="I16977" t="s">
        <v>2409</v>
      </c>
    </row>
    <row r="16978" spans="1:9" hidden="1" x14ac:dyDescent="0.25">
      <c r="A16978" t="s">
        <v>14388</v>
      </c>
      <c r="B16978" t="s">
        <v>29</v>
      </c>
      <c r="C16978" s="2">
        <f>HYPERLINK("https://cao.dolgi.msk.ru/account/1080151339/", 1080151339)</f>
        <v>1080151339</v>
      </c>
      <c r="D16978" t="s">
        <v>14398</v>
      </c>
      <c r="E16978">
        <v>53.67</v>
      </c>
      <c r="F16978">
        <v>0.01</v>
      </c>
      <c r="G16978" t="s">
        <v>12</v>
      </c>
      <c r="I16978" t="s">
        <v>2409</v>
      </c>
    </row>
    <row r="16979" spans="1:9" hidden="1" x14ac:dyDescent="0.25">
      <c r="A16979" t="s">
        <v>14388</v>
      </c>
      <c r="B16979" t="s">
        <v>31</v>
      </c>
      <c r="C16979" s="2">
        <f>HYPERLINK("https://cao.dolgi.msk.ru/account/1080151347/", 1080151347)</f>
        <v>1080151347</v>
      </c>
      <c r="D16979" t="s">
        <v>14399</v>
      </c>
      <c r="E16979">
        <v>-6309.83</v>
      </c>
      <c r="F16979">
        <v>-1.1499999999999999</v>
      </c>
      <c r="G16979" t="s">
        <v>12</v>
      </c>
      <c r="I16979" t="s">
        <v>2409</v>
      </c>
    </row>
    <row r="16980" spans="1:9" hidden="1" x14ac:dyDescent="0.25">
      <c r="A16980" t="s">
        <v>14388</v>
      </c>
      <c r="B16980" t="s">
        <v>33</v>
      </c>
      <c r="C16980" s="2">
        <f>HYPERLINK("https://cao.dolgi.msk.ru/account/1080151355/", 1080151355)</f>
        <v>1080151355</v>
      </c>
      <c r="D16980" t="s">
        <v>14400</v>
      </c>
      <c r="E16980">
        <v>-4021.61</v>
      </c>
      <c r="F16980">
        <v>-1.1499999999999999</v>
      </c>
      <c r="G16980" t="s">
        <v>12</v>
      </c>
      <c r="I16980" t="s">
        <v>2409</v>
      </c>
    </row>
    <row r="16981" spans="1:9" hidden="1" x14ac:dyDescent="0.25">
      <c r="A16981" t="s">
        <v>14388</v>
      </c>
      <c r="B16981" t="s">
        <v>34</v>
      </c>
      <c r="C16981" s="2">
        <f>HYPERLINK("https://cao.dolgi.msk.ru/account/1080167672/", 1080167672)</f>
        <v>1080167672</v>
      </c>
      <c r="D16981" t="s">
        <v>14401</v>
      </c>
      <c r="E16981">
        <v>6658.29</v>
      </c>
      <c r="F16981">
        <v>0.83</v>
      </c>
      <c r="G16981" t="s">
        <v>12</v>
      </c>
      <c r="I16981" t="s">
        <v>2409</v>
      </c>
    </row>
    <row r="16982" spans="1:9" hidden="1" x14ac:dyDescent="0.25">
      <c r="A16982" t="s">
        <v>14388</v>
      </c>
      <c r="B16982" t="s">
        <v>36</v>
      </c>
      <c r="C16982" s="2">
        <f>HYPERLINK("https://cao.dolgi.msk.ru/account/1080165271/", 1080165271)</f>
        <v>1080165271</v>
      </c>
      <c r="D16982" t="s">
        <v>14402</v>
      </c>
      <c r="E16982">
        <v>-6098.91</v>
      </c>
      <c r="F16982">
        <v>-0.73</v>
      </c>
      <c r="G16982" t="s">
        <v>12</v>
      </c>
      <c r="I16982" t="s">
        <v>2409</v>
      </c>
    </row>
    <row r="16983" spans="1:9" hidden="1" x14ac:dyDescent="0.25">
      <c r="A16983" t="s">
        <v>14388</v>
      </c>
      <c r="B16983" t="s">
        <v>38</v>
      </c>
      <c r="C16983" s="2">
        <f>HYPERLINK("https://cao.dolgi.msk.ru/account/1080151363/", 1080151363)</f>
        <v>1080151363</v>
      </c>
      <c r="D16983" t="s">
        <v>14403</v>
      </c>
      <c r="E16983">
        <v>-13227.03</v>
      </c>
      <c r="F16983">
        <v>-1.89</v>
      </c>
      <c r="G16983" t="s">
        <v>12</v>
      </c>
      <c r="I16983" t="s">
        <v>2409</v>
      </c>
    </row>
    <row r="16984" spans="1:9" hidden="1" x14ac:dyDescent="0.25">
      <c r="A16984" t="s">
        <v>14388</v>
      </c>
      <c r="B16984" t="s">
        <v>39</v>
      </c>
      <c r="C16984" s="2">
        <f>HYPERLINK("https://cao.dolgi.msk.ru/account/1080151371/", 1080151371)</f>
        <v>1080151371</v>
      </c>
      <c r="D16984" t="s">
        <v>14404</v>
      </c>
      <c r="E16984">
        <v>-6125.45</v>
      </c>
      <c r="F16984">
        <v>-0.93</v>
      </c>
      <c r="G16984" t="s">
        <v>12</v>
      </c>
      <c r="I16984" t="s">
        <v>2409</v>
      </c>
    </row>
    <row r="16985" spans="1:9" hidden="1" x14ac:dyDescent="0.25">
      <c r="A16985" t="s">
        <v>14388</v>
      </c>
      <c r="B16985" t="s">
        <v>40</v>
      </c>
      <c r="C16985" s="2">
        <f>HYPERLINK("https://cao.dolgi.msk.ru/account/1080151398/", 1080151398)</f>
        <v>1080151398</v>
      </c>
      <c r="D16985" t="s">
        <v>14405</v>
      </c>
      <c r="E16985">
        <v>-9461.09</v>
      </c>
      <c r="F16985">
        <v>-1.19</v>
      </c>
      <c r="G16985" t="s">
        <v>12</v>
      </c>
      <c r="I16985" t="s">
        <v>2409</v>
      </c>
    </row>
    <row r="16986" spans="1:9" hidden="1" x14ac:dyDescent="0.25">
      <c r="A16986" t="s">
        <v>14388</v>
      </c>
      <c r="B16986" t="s">
        <v>41</v>
      </c>
      <c r="C16986" s="2">
        <f>HYPERLINK("https://cao.dolgi.msk.ru/account/1080151419/", 1080151419)</f>
        <v>1080151419</v>
      </c>
      <c r="D16986" t="s">
        <v>6502</v>
      </c>
      <c r="E16986">
        <v>-13032.38</v>
      </c>
      <c r="F16986">
        <v>-1.18</v>
      </c>
      <c r="G16986" t="s">
        <v>12</v>
      </c>
      <c r="I16986" t="s">
        <v>2409</v>
      </c>
    </row>
    <row r="16987" spans="1:9" hidden="1" x14ac:dyDescent="0.25">
      <c r="A16987" t="s">
        <v>14388</v>
      </c>
      <c r="B16987" t="s">
        <v>42</v>
      </c>
      <c r="C16987" s="2">
        <f>HYPERLINK("https://cao.dolgi.msk.ru/account/1080164957/", 1080164957)</f>
        <v>1080164957</v>
      </c>
      <c r="D16987" t="s">
        <v>14406</v>
      </c>
      <c r="E16987">
        <v>-6269.32</v>
      </c>
      <c r="F16987">
        <v>-1.17</v>
      </c>
      <c r="G16987" t="s">
        <v>12</v>
      </c>
      <c r="I16987" t="s">
        <v>2409</v>
      </c>
    </row>
    <row r="16988" spans="1:9" x14ac:dyDescent="0.25">
      <c r="A16988" t="s">
        <v>14388</v>
      </c>
      <c r="B16988" t="s">
        <v>44</v>
      </c>
      <c r="C16988" s="2">
        <f>HYPERLINK("https://cao.dolgi.msk.ru/account/1080151427/", 1080151427)</f>
        <v>1080151427</v>
      </c>
      <c r="D16988" t="s">
        <v>14407</v>
      </c>
      <c r="E16988">
        <v>495680.14</v>
      </c>
      <c r="F16988">
        <v>63.85</v>
      </c>
      <c r="G16988" t="s">
        <v>12</v>
      </c>
      <c r="I16988" t="s">
        <v>2409</v>
      </c>
    </row>
    <row r="16989" spans="1:9" hidden="1" x14ac:dyDescent="0.25">
      <c r="A16989" t="s">
        <v>14388</v>
      </c>
      <c r="B16989" t="s">
        <v>66</v>
      </c>
      <c r="C16989" s="2">
        <f>HYPERLINK("https://cao.dolgi.msk.ru/account/1080151435/", 1080151435)</f>
        <v>1080151435</v>
      </c>
      <c r="D16989" t="s">
        <v>14408</v>
      </c>
      <c r="E16989">
        <v>-8103.59</v>
      </c>
      <c r="F16989">
        <v>-1.2</v>
      </c>
      <c r="G16989" t="s">
        <v>12</v>
      </c>
      <c r="I16989" t="s">
        <v>2409</v>
      </c>
    </row>
    <row r="16990" spans="1:9" hidden="1" x14ac:dyDescent="0.25">
      <c r="A16990" t="s">
        <v>14388</v>
      </c>
      <c r="B16990" t="s">
        <v>68</v>
      </c>
      <c r="C16990" s="2">
        <f>HYPERLINK("https://cao.dolgi.msk.ru/account/1080166872/", 1080166872)</f>
        <v>1080166872</v>
      </c>
      <c r="D16990" t="s">
        <v>14409</v>
      </c>
      <c r="E16990">
        <v>298.49</v>
      </c>
      <c r="F16990">
        <v>0.04</v>
      </c>
      <c r="G16990" t="s">
        <v>12</v>
      </c>
      <c r="I16990" t="s">
        <v>2409</v>
      </c>
    </row>
    <row r="16991" spans="1:9" hidden="1" x14ac:dyDescent="0.25">
      <c r="A16991" t="s">
        <v>14388</v>
      </c>
      <c r="B16991" t="s">
        <v>70</v>
      </c>
      <c r="C16991" s="2">
        <f>HYPERLINK("https://cao.dolgi.msk.ru/account/1080151443/", 1080151443)</f>
        <v>1080151443</v>
      </c>
      <c r="D16991" t="s">
        <v>14410</v>
      </c>
      <c r="E16991">
        <v>0</v>
      </c>
      <c r="F16991">
        <v>0</v>
      </c>
      <c r="G16991" t="s">
        <v>12</v>
      </c>
      <c r="I16991" t="s">
        <v>2409</v>
      </c>
    </row>
    <row r="16992" spans="1:9" hidden="1" x14ac:dyDescent="0.25">
      <c r="A16992" t="s">
        <v>14388</v>
      </c>
      <c r="B16992" t="s">
        <v>72</v>
      </c>
      <c r="C16992" s="2">
        <f>HYPERLINK("https://cao.dolgi.msk.ru/account/1080164949/", 1080164949)</f>
        <v>1080164949</v>
      </c>
      <c r="D16992" t="s">
        <v>14411</v>
      </c>
      <c r="E16992">
        <v>6014.65</v>
      </c>
      <c r="F16992">
        <v>1</v>
      </c>
      <c r="G16992" t="s">
        <v>12</v>
      </c>
      <c r="I16992" t="s">
        <v>2409</v>
      </c>
    </row>
    <row r="16993" spans="1:9" hidden="1" x14ac:dyDescent="0.25">
      <c r="A16993" t="s">
        <v>14388</v>
      </c>
      <c r="B16993" t="s">
        <v>74</v>
      </c>
      <c r="C16993" s="2">
        <f>HYPERLINK("https://cao.dolgi.msk.ru/account/1080151451/", 1080151451)</f>
        <v>1080151451</v>
      </c>
      <c r="D16993" t="s">
        <v>14412</v>
      </c>
      <c r="E16993">
        <v>-7537.61</v>
      </c>
      <c r="F16993">
        <v>-1.1499999999999999</v>
      </c>
      <c r="G16993" t="s">
        <v>12</v>
      </c>
      <c r="I16993" t="s">
        <v>2409</v>
      </c>
    </row>
    <row r="16994" spans="1:9" hidden="1" x14ac:dyDescent="0.25">
      <c r="A16994" t="s">
        <v>14388</v>
      </c>
      <c r="B16994" t="s">
        <v>76</v>
      </c>
      <c r="C16994" s="2">
        <f>HYPERLINK("https://cao.dolgi.msk.ru/account/1080151478/", 1080151478)</f>
        <v>1080151478</v>
      </c>
      <c r="D16994" t="s">
        <v>15</v>
      </c>
      <c r="G16994" t="s">
        <v>14</v>
      </c>
      <c r="I16994" t="s">
        <v>2409</v>
      </c>
    </row>
    <row r="16995" spans="1:9" hidden="1" x14ac:dyDescent="0.25">
      <c r="A16995" t="s">
        <v>14388</v>
      </c>
      <c r="B16995" t="s">
        <v>76</v>
      </c>
      <c r="C16995" s="2">
        <f>HYPERLINK("https://cao.dolgi.msk.ru/account/1080151486/", 1080151486)</f>
        <v>1080151486</v>
      </c>
      <c r="D16995" t="s">
        <v>15</v>
      </c>
      <c r="G16995" t="s">
        <v>14</v>
      </c>
      <c r="I16995" t="s">
        <v>2409</v>
      </c>
    </row>
    <row r="16996" spans="1:9" hidden="1" x14ac:dyDescent="0.25">
      <c r="A16996" t="s">
        <v>14388</v>
      </c>
      <c r="B16996" t="s">
        <v>76</v>
      </c>
      <c r="C16996" s="2">
        <f>HYPERLINK("https://cao.dolgi.msk.ru/account/1080320497/", 1080320497)</f>
        <v>1080320497</v>
      </c>
      <c r="D16996" t="s">
        <v>14413</v>
      </c>
      <c r="E16996">
        <v>-8809.64</v>
      </c>
      <c r="F16996">
        <v>-1.22</v>
      </c>
      <c r="G16996" t="s">
        <v>12</v>
      </c>
      <c r="I16996" t="s">
        <v>2409</v>
      </c>
    </row>
    <row r="16997" spans="1:9" hidden="1" x14ac:dyDescent="0.25">
      <c r="A16997" t="s">
        <v>14388</v>
      </c>
      <c r="B16997" t="s">
        <v>78</v>
      </c>
      <c r="C16997" s="2">
        <f>HYPERLINK("https://cao.dolgi.msk.ru/account/1080151494/", 1080151494)</f>
        <v>1080151494</v>
      </c>
      <c r="D16997" t="s">
        <v>14414</v>
      </c>
      <c r="E16997">
        <v>418.15</v>
      </c>
      <c r="F16997">
        <v>0.57999999999999996</v>
      </c>
      <c r="G16997" t="s">
        <v>12</v>
      </c>
      <c r="I16997" t="s">
        <v>2409</v>
      </c>
    </row>
    <row r="16998" spans="1:9" hidden="1" x14ac:dyDescent="0.25">
      <c r="A16998" t="s">
        <v>14388</v>
      </c>
      <c r="B16998" t="s">
        <v>78</v>
      </c>
      <c r="C16998" s="2">
        <f>HYPERLINK("https://cao.dolgi.msk.ru/account/1083269965/", 1083269965)</f>
        <v>1083269965</v>
      </c>
      <c r="D16998" t="s">
        <v>14415</v>
      </c>
      <c r="E16998">
        <v>0</v>
      </c>
      <c r="F16998">
        <v>0</v>
      </c>
      <c r="G16998" t="s">
        <v>12</v>
      </c>
      <c r="I16998" t="s">
        <v>2409</v>
      </c>
    </row>
    <row r="16999" spans="1:9" hidden="1" x14ac:dyDescent="0.25">
      <c r="A16999" t="s">
        <v>14388</v>
      </c>
      <c r="B16999" t="s">
        <v>80</v>
      </c>
      <c r="C16999" s="2">
        <f>HYPERLINK("https://cao.dolgi.msk.ru/account/1080151507/", 1080151507)</f>
        <v>1080151507</v>
      </c>
      <c r="D16999" t="s">
        <v>14416</v>
      </c>
      <c r="E16999">
        <v>-427.24</v>
      </c>
      <c r="F16999">
        <v>-0.06</v>
      </c>
      <c r="G16999" t="s">
        <v>12</v>
      </c>
      <c r="I16999" t="s">
        <v>2409</v>
      </c>
    </row>
    <row r="17000" spans="1:9" hidden="1" x14ac:dyDescent="0.25">
      <c r="A17000" t="s">
        <v>14388</v>
      </c>
      <c r="B17000" t="s">
        <v>82</v>
      </c>
      <c r="C17000" s="2">
        <f>HYPERLINK("https://cao.dolgi.msk.ru/account/1080151515/", 1080151515)</f>
        <v>1080151515</v>
      </c>
      <c r="D17000" t="s">
        <v>14417</v>
      </c>
      <c r="E17000">
        <v>2625.96</v>
      </c>
      <c r="F17000">
        <v>0.42</v>
      </c>
      <c r="G17000" t="s">
        <v>12</v>
      </c>
      <c r="H17000" t="s">
        <v>7</v>
      </c>
      <c r="I17000" t="s">
        <v>2409</v>
      </c>
    </row>
    <row r="17001" spans="1:9" hidden="1" x14ac:dyDescent="0.25">
      <c r="A17001" t="s">
        <v>14388</v>
      </c>
      <c r="B17001" t="s">
        <v>82</v>
      </c>
      <c r="C17001" s="2">
        <f>HYPERLINK("https://cao.dolgi.msk.ru/account/1080151523/", 1080151523)</f>
        <v>1080151523</v>
      </c>
      <c r="D17001" t="s">
        <v>14417</v>
      </c>
      <c r="E17001">
        <v>-405</v>
      </c>
      <c r="F17001">
        <v>-0.11</v>
      </c>
      <c r="G17001" t="s">
        <v>12</v>
      </c>
      <c r="H17001" t="s">
        <v>7</v>
      </c>
      <c r="I17001" t="s">
        <v>2409</v>
      </c>
    </row>
    <row r="17002" spans="1:9" hidden="1" x14ac:dyDescent="0.25">
      <c r="A17002" t="s">
        <v>14388</v>
      </c>
      <c r="B17002" t="s">
        <v>84</v>
      </c>
      <c r="C17002" s="2">
        <f>HYPERLINK("https://cao.dolgi.msk.ru/account/1080166645/", 1080166645)</f>
        <v>1080166645</v>
      </c>
      <c r="D17002" t="s">
        <v>14418</v>
      </c>
      <c r="E17002">
        <v>-285.79000000000002</v>
      </c>
      <c r="F17002">
        <v>-0.06</v>
      </c>
      <c r="G17002" t="s">
        <v>12</v>
      </c>
      <c r="I17002" t="s">
        <v>2409</v>
      </c>
    </row>
    <row r="17003" spans="1:9" hidden="1" x14ac:dyDescent="0.25">
      <c r="A17003" t="s">
        <v>14388</v>
      </c>
      <c r="B17003" t="s">
        <v>84</v>
      </c>
      <c r="C17003" s="2">
        <f>HYPERLINK("https://cao.dolgi.msk.ru/account/1089123713/", 1089123713)</f>
        <v>1089123713</v>
      </c>
      <c r="D17003" t="s">
        <v>14418</v>
      </c>
      <c r="E17003">
        <v>-164.48</v>
      </c>
      <c r="F17003">
        <v>-0.12</v>
      </c>
      <c r="G17003" t="s">
        <v>12</v>
      </c>
      <c r="I17003" t="s">
        <v>2409</v>
      </c>
    </row>
    <row r="17004" spans="1:9" hidden="1" x14ac:dyDescent="0.25">
      <c r="A17004" t="s">
        <v>14388</v>
      </c>
      <c r="B17004" t="s">
        <v>86</v>
      </c>
      <c r="C17004" s="2">
        <f>HYPERLINK("https://cao.dolgi.msk.ru/account/1080151531/", 1080151531)</f>
        <v>1080151531</v>
      </c>
      <c r="D17004" t="s">
        <v>11550</v>
      </c>
      <c r="E17004">
        <v>-6451.91</v>
      </c>
      <c r="F17004">
        <v>-1.18</v>
      </c>
      <c r="G17004" t="s">
        <v>12</v>
      </c>
      <c r="I17004" t="s">
        <v>2409</v>
      </c>
    </row>
    <row r="17005" spans="1:9" hidden="1" x14ac:dyDescent="0.25">
      <c r="A17005" t="s">
        <v>14388</v>
      </c>
      <c r="B17005" t="s">
        <v>88</v>
      </c>
      <c r="C17005" s="2">
        <f>HYPERLINK("https://cao.dolgi.msk.ru/account/1080151558/", 1080151558)</f>
        <v>1080151558</v>
      </c>
      <c r="D17005" t="s">
        <v>14419</v>
      </c>
      <c r="E17005">
        <v>1629.91</v>
      </c>
      <c r="F17005">
        <v>0.32</v>
      </c>
      <c r="G17005" t="s">
        <v>12</v>
      </c>
      <c r="I17005" t="s">
        <v>2409</v>
      </c>
    </row>
    <row r="17006" spans="1:9" hidden="1" x14ac:dyDescent="0.25">
      <c r="A17006" t="s">
        <v>14388</v>
      </c>
      <c r="B17006" t="s">
        <v>90</v>
      </c>
      <c r="C17006" s="2">
        <f>HYPERLINK("https://cao.dolgi.msk.ru/account/1080151566/", 1080151566)</f>
        <v>1080151566</v>
      </c>
      <c r="D17006" t="s">
        <v>14420</v>
      </c>
      <c r="E17006">
        <v>-8759.7000000000007</v>
      </c>
      <c r="F17006">
        <v>-1.0900000000000001</v>
      </c>
      <c r="G17006" t="s">
        <v>12</v>
      </c>
      <c r="I17006" t="s">
        <v>2409</v>
      </c>
    </row>
    <row r="17007" spans="1:9" hidden="1" x14ac:dyDescent="0.25">
      <c r="A17007" t="s">
        <v>14388</v>
      </c>
      <c r="B17007" t="s">
        <v>92</v>
      </c>
      <c r="C17007" s="2">
        <f>HYPERLINK("https://cao.dolgi.msk.ru/account/1080151574/", 1080151574)</f>
        <v>1080151574</v>
      </c>
      <c r="D17007" t="s">
        <v>14421</v>
      </c>
      <c r="E17007">
        <v>50.99</v>
      </c>
      <c r="F17007">
        <v>0.01</v>
      </c>
      <c r="G17007" t="s">
        <v>12</v>
      </c>
      <c r="I17007" t="s">
        <v>2409</v>
      </c>
    </row>
    <row r="17008" spans="1:9" hidden="1" x14ac:dyDescent="0.25">
      <c r="A17008" t="s">
        <v>14388</v>
      </c>
      <c r="B17008" t="s">
        <v>94</v>
      </c>
      <c r="C17008" s="2">
        <f>HYPERLINK("https://cao.dolgi.msk.ru/account/1080151582/", 1080151582)</f>
        <v>1080151582</v>
      </c>
      <c r="D17008" t="s">
        <v>14422</v>
      </c>
      <c r="E17008">
        <v>-4287.07</v>
      </c>
      <c r="F17008">
        <v>-1.18</v>
      </c>
      <c r="G17008" t="s">
        <v>12</v>
      </c>
      <c r="I17008" t="s">
        <v>2409</v>
      </c>
    </row>
    <row r="17009" spans="1:9" hidden="1" x14ac:dyDescent="0.25">
      <c r="A17009" t="s">
        <v>14388</v>
      </c>
      <c r="B17009" t="s">
        <v>96</v>
      </c>
      <c r="C17009" s="2">
        <f>HYPERLINK("https://cao.dolgi.msk.ru/account/1080151603/", 1080151603)</f>
        <v>1080151603</v>
      </c>
      <c r="D17009" t="s">
        <v>14423</v>
      </c>
      <c r="E17009">
        <v>-11713.15</v>
      </c>
      <c r="F17009">
        <v>-2.0299999999999998</v>
      </c>
      <c r="G17009" t="s">
        <v>12</v>
      </c>
      <c r="I17009" t="s">
        <v>2409</v>
      </c>
    </row>
    <row r="17010" spans="1:9" hidden="1" x14ac:dyDescent="0.25">
      <c r="A17010" t="s">
        <v>14388</v>
      </c>
      <c r="B17010" t="s">
        <v>98</v>
      </c>
      <c r="C17010" s="2">
        <f>HYPERLINK("https://cao.dolgi.msk.ru/account/1080151611/", 1080151611)</f>
        <v>1080151611</v>
      </c>
      <c r="D17010" t="s">
        <v>14424</v>
      </c>
      <c r="E17010">
        <v>-926.59</v>
      </c>
      <c r="F17010">
        <v>-0.18</v>
      </c>
      <c r="G17010" t="s">
        <v>12</v>
      </c>
      <c r="I17010" t="s">
        <v>2409</v>
      </c>
    </row>
    <row r="17011" spans="1:9" hidden="1" x14ac:dyDescent="0.25">
      <c r="A17011" t="s">
        <v>14388</v>
      </c>
      <c r="B17011" t="s">
        <v>100</v>
      </c>
      <c r="C17011" s="2">
        <f>HYPERLINK("https://cao.dolgi.msk.ru/account/1080151638/", 1080151638)</f>
        <v>1080151638</v>
      </c>
      <c r="D17011" t="s">
        <v>14425</v>
      </c>
      <c r="E17011">
        <v>0</v>
      </c>
      <c r="F17011">
        <v>0</v>
      </c>
      <c r="G17011" t="s">
        <v>12</v>
      </c>
      <c r="I17011" t="s">
        <v>2409</v>
      </c>
    </row>
    <row r="17012" spans="1:9" hidden="1" x14ac:dyDescent="0.25">
      <c r="A17012" t="s">
        <v>14388</v>
      </c>
      <c r="B17012" t="s">
        <v>100</v>
      </c>
      <c r="C17012" s="2">
        <f>HYPERLINK("https://cao.dolgi.msk.ru/account/1089124951/", 1089124951)</f>
        <v>1089124951</v>
      </c>
      <c r="D17012" t="s">
        <v>15</v>
      </c>
      <c r="E17012">
        <v>-3419.85</v>
      </c>
      <c r="F17012">
        <v>-1.22</v>
      </c>
      <c r="G17012" t="s">
        <v>12</v>
      </c>
      <c r="I17012" t="s">
        <v>2409</v>
      </c>
    </row>
    <row r="17013" spans="1:9" hidden="1" x14ac:dyDescent="0.25">
      <c r="A17013" t="s">
        <v>14388</v>
      </c>
      <c r="B17013" t="s">
        <v>102</v>
      </c>
      <c r="C17013" s="2">
        <f>HYPERLINK("https://cao.dolgi.msk.ru/account/1080151646/", 1080151646)</f>
        <v>1080151646</v>
      </c>
      <c r="D17013" t="s">
        <v>14426</v>
      </c>
      <c r="E17013">
        <v>-4.7</v>
      </c>
      <c r="F17013">
        <v>0</v>
      </c>
      <c r="G17013" t="s">
        <v>12</v>
      </c>
      <c r="I17013" t="s">
        <v>2409</v>
      </c>
    </row>
    <row r="17014" spans="1:9" hidden="1" x14ac:dyDescent="0.25">
      <c r="A17014" t="s">
        <v>14388</v>
      </c>
      <c r="B17014" t="s">
        <v>104</v>
      </c>
      <c r="C17014" s="2">
        <f>HYPERLINK("https://cao.dolgi.msk.ru/account/1080151654/", 1080151654)</f>
        <v>1080151654</v>
      </c>
      <c r="D17014" t="s">
        <v>14427</v>
      </c>
      <c r="E17014">
        <v>-5366.85</v>
      </c>
      <c r="F17014">
        <v>-1.17</v>
      </c>
      <c r="G17014" t="s">
        <v>12</v>
      </c>
      <c r="I17014" t="s">
        <v>2409</v>
      </c>
    </row>
    <row r="17015" spans="1:9" hidden="1" x14ac:dyDescent="0.25">
      <c r="A17015" t="s">
        <v>14388</v>
      </c>
      <c r="B17015" t="s">
        <v>106</v>
      </c>
      <c r="C17015" s="2">
        <f>HYPERLINK("https://cao.dolgi.msk.ru/account/1080151662/", 1080151662)</f>
        <v>1080151662</v>
      </c>
      <c r="D17015" t="s">
        <v>14428</v>
      </c>
      <c r="E17015">
        <v>-6886.17</v>
      </c>
      <c r="F17015">
        <v>-1.25</v>
      </c>
      <c r="G17015" t="s">
        <v>12</v>
      </c>
      <c r="I17015" t="s">
        <v>2409</v>
      </c>
    </row>
    <row r="17016" spans="1:9" hidden="1" x14ac:dyDescent="0.25">
      <c r="A17016" t="s">
        <v>14388</v>
      </c>
      <c r="B17016" t="s">
        <v>108</v>
      </c>
      <c r="C17016" s="2">
        <f>HYPERLINK("https://cao.dolgi.msk.ru/account/1080166127/", 1080166127)</f>
        <v>1080166127</v>
      </c>
      <c r="D17016" t="s">
        <v>14429</v>
      </c>
      <c r="E17016">
        <v>-8121.65</v>
      </c>
      <c r="F17016">
        <v>-1.1399999999999999</v>
      </c>
      <c r="G17016" t="s">
        <v>12</v>
      </c>
      <c r="I17016" t="s">
        <v>2409</v>
      </c>
    </row>
    <row r="17017" spans="1:9" hidden="1" x14ac:dyDescent="0.25">
      <c r="A17017" t="s">
        <v>14388</v>
      </c>
      <c r="B17017" t="s">
        <v>110</v>
      </c>
      <c r="C17017" s="2">
        <f>HYPERLINK("https://cao.dolgi.msk.ru/account/1080166987/", 1080166987)</f>
        <v>1080166987</v>
      </c>
      <c r="D17017" t="s">
        <v>14430</v>
      </c>
      <c r="E17017">
        <v>-4444.55</v>
      </c>
      <c r="F17017">
        <v>-1.18</v>
      </c>
      <c r="G17017" t="s">
        <v>12</v>
      </c>
      <c r="I17017" t="s">
        <v>2409</v>
      </c>
    </row>
    <row r="17018" spans="1:9" hidden="1" x14ac:dyDescent="0.25">
      <c r="A17018" t="s">
        <v>14388</v>
      </c>
      <c r="B17018" t="s">
        <v>112</v>
      </c>
      <c r="C17018" s="2">
        <f>HYPERLINK("https://cao.dolgi.msk.ru/account/1080151689/", 1080151689)</f>
        <v>1080151689</v>
      </c>
      <c r="D17018" t="s">
        <v>14431</v>
      </c>
      <c r="E17018">
        <v>-6282.65</v>
      </c>
      <c r="F17018">
        <v>-1.21</v>
      </c>
      <c r="G17018" t="s">
        <v>12</v>
      </c>
      <c r="I17018" t="s">
        <v>2409</v>
      </c>
    </row>
    <row r="17019" spans="1:9" hidden="1" x14ac:dyDescent="0.25">
      <c r="A17019" t="s">
        <v>14388</v>
      </c>
      <c r="B17019" t="s">
        <v>112</v>
      </c>
      <c r="C17019" s="2">
        <f>HYPERLINK("https://cao.dolgi.msk.ru/account/1089125321/", 1089125321)</f>
        <v>1089125321</v>
      </c>
      <c r="D17019" t="s">
        <v>15</v>
      </c>
      <c r="E17019">
        <v>0</v>
      </c>
      <c r="G17019" t="s">
        <v>14</v>
      </c>
      <c r="I17019" t="s">
        <v>2409</v>
      </c>
    </row>
    <row r="17020" spans="1:9" hidden="1" x14ac:dyDescent="0.25">
      <c r="A17020" t="s">
        <v>14388</v>
      </c>
      <c r="B17020" t="s">
        <v>114</v>
      </c>
      <c r="C17020" s="2">
        <f>HYPERLINK("https://cao.dolgi.msk.ru/account/1080165474/", 1080165474)</f>
        <v>1080165474</v>
      </c>
      <c r="D17020" t="s">
        <v>14432</v>
      </c>
      <c r="E17020">
        <v>0</v>
      </c>
      <c r="F17020">
        <v>0</v>
      </c>
      <c r="G17020" t="s">
        <v>12</v>
      </c>
      <c r="I17020" t="s">
        <v>2409</v>
      </c>
    </row>
    <row r="17021" spans="1:9" hidden="1" x14ac:dyDescent="0.25">
      <c r="A17021" t="s">
        <v>14388</v>
      </c>
      <c r="B17021" t="s">
        <v>116</v>
      </c>
      <c r="C17021" s="2">
        <f>HYPERLINK("https://cao.dolgi.msk.ru/account/1080151697/", 1080151697)</f>
        <v>1080151697</v>
      </c>
      <c r="D17021" t="s">
        <v>14433</v>
      </c>
      <c r="E17021">
        <v>-38.799999999999997</v>
      </c>
      <c r="F17021">
        <v>-0.01</v>
      </c>
      <c r="G17021" t="s">
        <v>12</v>
      </c>
      <c r="I17021" t="s">
        <v>2409</v>
      </c>
    </row>
    <row r="17022" spans="1:9" hidden="1" x14ac:dyDescent="0.25">
      <c r="A17022" t="s">
        <v>14388</v>
      </c>
      <c r="B17022" t="s">
        <v>118</v>
      </c>
      <c r="C17022" s="2">
        <f>HYPERLINK("https://cao.dolgi.msk.ru/account/1080151718/", 1080151718)</f>
        <v>1080151718</v>
      </c>
      <c r="D17022" t="s">
        <v>14434</v>
      </c>
      <c r="E17022">
        <v>-740.84</v>
      </c>
      <c r="F17022">
        <v>-0.14000000000000001</v>
      </c>
      <c r="G17022" t="s">
        <v>12</v>
      </c>
      <c r="I17022" t="s">
        <v>2409</v>
      </c>
    </row>
    <row r="17023" spans="1:9" hidden="1" x14ac:dyDescent="0.25">
      <c r="A17023" t="s">
        <v>14388</v>
      </c>
      <c r="B17023" t="s">
        <v>120</v>
      </c>
      <c r="C17023" s="2">
        <f>HYPERLINK("https://cao.dolgi.msk.ru/account/1080165466/", 1080165466)</f>
        <v>1080165466</v>
      </c>
      <c r="D17023" t="s">
        <v>14435</v>
      </c>
      <c r="E17023">
        <v>-7177.76</v>
      </c>
      <c r="F17023">
        <v>-0.89</v>
      </c>
      <c r="G17023" t="s">
        <v>12</v>
      </c>
      <c r="I17023" t="s">
        <v>2409</v>
      </c>
    </row>
    <row r="17024" spans="1:9" hidden="1" x14ac:dyDescent="0.25">
      <c r="A17024" t="s">
        <v>14388</v>
      </c>
      <c r="B17024" t="s">
        <v>122</v>
      </c>
      <c r="C17024" s="2">
        <f>HYPERLINK("https://cao.dolgi.msk.ru/account/1080151726/", 1080151726)</f>
        <v>1080151726</v>
      </c>
      <c r="D17024" t="s">
        <v>14436</v>
      </c>
      <c r="E17024">
        <v>-6914</v>
      </c>
      <c r="F17024">
        <v>-1.1399999999999999</v>
      </c>
      <c r="G17024" t="s">
        <v>12</v>
      </c>
      <c r="I17024" t="s">
        <v>2409</v>
      </c>
    </row>
    <row r="17025" spans="1:9" hidden="1" x14ac:dyDescent="0.25">
      <c r="A17025" t="s">
        <v>14388</v>
      </c>
      <c r="B17025" t="s">
        <v>124</v>
      </c>
      <c r="C17025" s="2">
        <f>HYPERLINK("https://cao.dolgi.msk.ru/account/1080151734/", 1080151734)</f>
        <v>1080151734</v>
      </c>
      <c r="D17025" t="s">
        <v>14437</v>
      </c>
      <c r="E17025">
        <v>-11005.42</v>
      </c>
      <c r="F17025">
        <v>-1.78</v>
      </c>
      <c r="G17025" t="s">
        <v>12</v>
      </c>
      <c r="I17025" t="s">
        <v>2409</v>
      </c>
    </row>
    <row r="17026" spans="1:9" hidden="1" x14ac:dyDescent="0.25">
      <c r="A17026" t="s">
        <v>14388</v>
      </c>
      <c r="B17026" t="s">
        <v>126</v>
      </c>
      <c r="C17026" s="2">
        <f>HYPERLINK("https://cao.dolgi.msk.ru/account/1080151742/", 1080151742)</f>
        <v>1080151742</v>
      </c>
      <c r="D17026" t="s">
        <v>14438</v>
      </c>
      <c r="E17026">
        <v>-8472.5300000000007</v>
      </c>
      <c r="F17026">
        <v>-1.24</v>
      </c>
      <c r="G17026" t="s">
        <v>12</v>
      </c>
      <c r="I17026" t="s">
        <v>2409</v>
      </c>
    </row>
    <row r="17027" spans="1:9" hidden="1" x14ac:dyDescent="0.25">
      <c r="A17027" t="s">
        <v>14388</v>
      </c>
      <c r="B17027" t="s">
        <v>128</v>
      </c>
      <c r="C17027" s="2">
        <f>HYPERLINK("https://cao.dolgi.msk.ru/account/1080151769/", 1080151769)</f>
        <v>1080151769</v>
      </c>
      <c r="D17027" t="s">
        <v>14439</v>
      </c>
      <c r="E17027">
        <v>-8432.92</v>
      </c>
      <c r="F17027">
        <v>-1.23</v>
      </c>
      <c r="G17027" t="s">
        <v>12</v>
      </c>
      <c r="I17027" t="s">
        <v>2409</v>
      </c>
    </row>
    <row r="17028" spans="1:9" hidden="1" x14ac:dyDescent="0.25">
      <c r="A17028" t="s">
        <v>14388</v>
      </c>
      <c r="B17028" t="s">
        <v>130</v>
      </c>
      <c r="C17028" s="2">
        <f>HYPERLINK("https://cao.dolgi.msk.ru/account/1080151777/", 1080151777)</f>
        <v>1080151777</v>
      </c>
      <c r="D17028" t="s">
        <v>14440</v>
      </c>
      <c r="E17028">
        <v>-5538.21</v>
      </c>
      <c r="F17028">
        <v>-1.19</v>
      </c>
      <c r="G17028" t="s">
        <v>12</v>
      </c>
      <c r="I17028" t="s">
        <v>2409</v>
      </c>
    </row>
    <row r="17029" spans="1:9" hidden="1" x14ac:dyDescent="0.25">
      <c r="A17029" t="s">
        <v>14388</v>
      </c>
      <c r="B17029" t="s">
        <v>132</v>
      </c>
      <c r="C17029" s="2">
        <f>HYPERLINK("https://cao.dolgi.msk.ru/account/1080151785/", 1080151785)</f>
        <v>1080151785</v>
      </c>
      <c r="D17029" t="s">
        <v>14441</v>
      </c>
      <c r="E17029">
        <v>-12073.64</v>
      </c>
      <c r="F17029">
        <v>-1</v>
      </c>
      <c r="G17029" t="s">
        <v>12</v>
      </c>
      <c r="I17029" t="s">
        <v>2409</v>
      </c>
    </row>
    <row r="17030" spans="1:9" hidden="1" x14ac:dyDescent="0.25">
      <c r="A17030" t="s">
        <v>14388</v>
      </c>
      <c r="B17030" t="s">
        <v>133</v>
      </c>
      <c r="C17030" s="2">
        <f>HYPERLINK("https://cao.dolgi.msk.ru/account/1080151793/", 1080151793)</f>
        <v>1080151793</v>
      </c>
      <c r="D17030" t="s">
        <v>15</v>
      </c>
      <c r="G17030" t="s">
        <v>14</v>
      </c>
      <c r="I17030" t="s">
        <v>2409</v>
      </c>
    </row>
    <row r="17031" spans="1:9" hidden="1" x14ac:dyDescent="0.25">
      <c r="A17031" t="s">
        <v>14388</v>
      </c>
      <c r="B17031" t="s">
        <v>135</v>
      </c>
      <c r="C17031" s="2">
        <f>HYPERLINK("https://cao.dolgi.msk.ru/account/1080151806/", 1080151806)</f>
        <v>1080151806</v>
      </c>
      <c r="D17031" t="s">
        <v>14442</v>
      </c>
      <c r="E17031">
        <v>-2654.66</v>
      </c>
      <c r="F17031">
        <v>-1.66</v>
      </c>
      <c r="G17031" t="s">
        <v>12</v>
      </c>
      <c r="I17031" t="s">
        <v>2409</v>
      </c>
    </row>
    <row r="17032" spans="1:9" hidden="1" x14ac:dyDescent="0.25">
      <c r="A17032" t="s">
        <v>14388</v>
      </c>
      <c r="B17032" t="s">
        <v>135</v>
      </c>
      <c r="C17032" s="2">
        <f>HYPERLINK("https://cao.dolgi.msk.ru/account/1080321924/", 1080321924)</f>
        <v>1080321924</v>
      </c>
      <c r="D17032" t="s">
        <v>14442</v>
      </c>
      <c r="E17032">
        <v>175.47</v>
      </c>
      <c r="F17032">
        <v>0.06</v>
      </c>
      <c r="G17032" t="s">
        <v>12</v>
      </c>
      <c r="I17032" t="s">
        <v>2409</v>
      </c>
    </row>
    <row r="17033" spans="1:9" hidden="1" x14ac:dyDescent="0.25">
      <c r="A17033" t="s">
        <v>14388</v>
      </c>
      <c r="B17033" t="s">
        <v>137</v>
      </c>
      <c r="C17033" s="2">
        <f>HYPERLINK("https://cao.dolgi.msk.ru/account/1080151814/", 1080151814)</f>
        <v>1080151814</v>
      </c>
      <c r="D17033" t="s">
        <v>14443</v>
      </c>
      <c r="E17033">
        <v>0</v>
      </c>
      <c r="F17033">
        <v>0</v>
      </c>
      <c r="G17033" t="s">
        <v>12</v>
      </c>
      <c r="I17033" t="s">
        <v>2409</v>
      </c>
    </row>
    <row r="17034" spans="1:9" hidden="1" x14ac:dyDescent="0.25">
      <c r="A17034" t="s">
        <v>14388</v>
      </c>
      <c r="B17034" t="s">
        <v>139</v>
      </c>
      <c r="C17034" s="2">
        <f>HYPERLINK("https://cao.dolgi.msk.ru/account/1080151822/", 1080151822)</f>
        <v>1080151822</v>
      </c>
      <c r="D17034" t="s">
        <v>14444</v>
      </c>
      <c r="E17034">
        <v>-96461.88</v>
      </c>
      <c r="F17034">
        <v>-16.98</v>
      </c>
      <c r="G17034" t="s">
        <v>12</v>
      </c>
      <c r="I17034" t="s">
        <v>2409</v>
      </c>
    </row>
    <row r="17035" spans="1:9" hidden="1" x14ac:dyDescent="0.25">
      <c r="A17035" t="s">
        <v>14388</v>
      </c>
      <c r="B17035" t="s">
        <v>141</v>
      </c>
      <c r="C17035" s="2">
        <f>HYPERLINK("https://cao.dolgi.msk.ru/account/1080151849/", 1080151849)</f>
        <v>1080151849</v>
      </c>
      <c r="D17035" t="s">
        <v>14445</v>
      </c>
      <c r="E17035">
        <v>-4573.0200000000004</v>
      </c>
      <c r="F17035">
        <v>-1.21</v>
      </c>
      <c r="G17035" t="s">
        <v>12</v>
      </c>
      <c r="I17035" t="s">
        <v>2409</v>
      </c>
    </row>
    <row r="17036" spans="1:9" hidden="1" x14ac:dyDescent="0.25">
      <c r="A17036" t="s">
        <v>14388</v>
      </c>
      <c r="B17036" t="s">
        <v>141</v>
      </c>
      <c r="C17036" s="2">
        <f>HYPERLINK("https://cao.dolgi.msk.ru/account/1089126789/", 1089126789)</f>
        <v>1089126789</v>
      </c>
      <c r="D17036" t="s">
        <v>14445</v>
      </c>
      <c r="E17036">
        <v>-5432.4</v>
      </c>
      <c r="F17036">
        <v>-1.97</v>
      </c>
      <c r="G17036" t="s">
        <v>12</v>
      </c>
      <c r="I17036" t="s">
        <v>2409</v>
      </c>
    </row>
    <row r="17037" spans="1:9" hidden="1" x14ac:dyDescent="0.25">
      <c r="A17037" t="s">
        <v>14388</v>
      </c>
      <c r="B17037" t="s">
        <v>143</v>
      </c>
      <c r="C17037" s="2">
        <f>HYPERLINK("https://cao.dolgi.msk.ru/account/1080151857/", 1080151857)</f>
        <v>1080151857</v>
      </c>
      <c r="D17037" t="s">
        <v>14446</v>
      </c>
      <c r="E17037">
        <v>-4176.8900000000003</v>
      </c>
      <c r="F17037">
        <v>-1.27</v>
      </c>
      <c r="G17037" t="s">
        <v>12</v>
      </c>
      <c r="I17037" t="s">
        <v>2409</v>
      </c>
    </row>
    <row r="17038" spans="1:9" hidden="1" x14ac:dyDescent="0.25">
      <c r="A17038" t="s">
        <v>14388</v>
      </c>
      <c r="B17038" t="s">
        <v>145</v>
      </c>
      <c r="C17038" s="2">
        <f>HYPERLINK("https://cao.dolgi.msk.ru/account/1080151865/", 1080151865)</f>
        <v>1080151865</v>
      </c>
      <c r="D17038" t="s">
        <v>14447</v>
      </c>
      <c r="E17038">
        <v>-10285.719999999999</v>
      </c>
      <c r="F17038">
        <v>-1.1499999999999999</v>
      </c>
      <c r="G17038" t="s">
        <v>12</v>
      </c>
      <c r="I17038" t="s">
        <v>2409</v>
      </c>
    </row>
    <row r="17039" spans="1:9" hidden="1" x14ac:dyDescent="0.25">
      <c r="A17039" t="s">
        <v>14388</v>
      </c>
      <c r="B17039" t="s">
        <v>147</v>
      </c>
      <c r="C17039" s="2">
        <f>HYPERLINK("https://cao.dolgi.msk.ru/account/1080151873/", 1080151873)</f>
        <v>1080151873</v>
      </c>
      <c r="D17039" t="s">
        <v>15</v>
      </c>
      <c r="G17039" t="s">
        <v>14</v>
      </c>
      <c r="I17039" t="s">
        <v>2409</v>
      </c>
    </row>
    <row r="17040" spans="1:9" hidden="1" x14ac:dyDescent="0.25">
      <c r="A17040" t="s">
        <v>14388</v>
      </c>
      <c r="B17040" t="s">
        <v>147</v>
      </c>
      <c r="C17040" s="2">
        <f>HYPERLINK("https://cao.dolgi.msk.ru/account/1080165095/", 1080165095)</f>
        <v>1080165095</v>
      </c>
      <c r="D17040" t="s">
        <v>14448</v>
      </c>
      <c r="E17040">
        <v>114.26</v>
      </c>
      <c r="F17040">
        <v>0.02</v>
      </c>
      <c r="G17040" t="s">
        <v>12</v>
      </c>
      <c r="I17040" t="s">
        <v>2409</v>
      </c>
    </row>
    <row r="17041" spans="1:9" hidden="1" x14ac:dyDescent="0.25">
      <c r="A17041" t="s">
        <v>14388</v>
      </c>
      <c r="B17041" t="s">
        <v>149</v>
      </c>
      <c r="C17041" s="2">
        <f>HYPERLINK("https://cao.dolgi.msk.ru/account/1080151881/", 1080151881)</f>
        <v>1080151881</v>
      </c>
      <c r="D17041" t="s">
        <v>14449</v>
      </c>
      <c r="E17041">
        <v>466.16</v>
      </c>
      <c r="F17041">
        <v>7.0000000000000007E-2</v>
      </c>
      <c r="G17041" t="s">
        <v>12</v>
      </c>
      <c r="I17041" t="s">
        <v>2409</v>
      </c>
    </row>
    <row r="17042" spans="1:9" hidden="1" x14ac:dyDescent="0.25">
      <c r="A17042" t="s">
        <v>14388</v>
      </c>
      <c r="B17042" t="s">
        <v>151</v>
      </c>
      <c r="C17042" s="2">
        <f>HYPERLINK("https://cao.dolgi.msk.ru/account/1080151929/", 1080151929)</f>
        <v>1080151929</v>
      </c>
      <c r="D17042" t="s">
        <v>14450</v>
      </c>
      <c r="E17042">
        <v>-7211.17</v>
      </c>
      <c r="F17042">
        <v>-1.06</v>
      </c>
      <c r="G17042" t="s">
        <v>12</v>
      </c>
      <c r="I17042" t="s">
        <v>2409</v>
      </c>
    </row>
    <row r="17043" spans="1:9" hidden="1" x14ac:dyDescent="0.25">
      <c r="A17043" t="s">
        <v>14388</v>
      </c>
      <c r="B17043" t="s">
        <v>153</v>
      </c>
      <c r="C17043" s="2">
        <f>HYPERLINK("https://cao.dolgi.msk.ru/account/1080151937/", 1080151937)</f>
        <v>1080151937</v>
      </c>
      <c r="D17043" t="s">
        <v>14451</v>
      </c>
      <c r="E17043">
        <v>-5800.5</v>
      </c>
      <c r="F17043">
        <v>-1.1299999999999999</v>
      </c>
      <c r="G17043" t="s">
        <v>12</v>
      </c>
      <c r="I17043" t="s">
        <v>2409</v>
      </c>
    </row>
    <row r="17044" spans="1:9" hidden="1" x14ac:dyDescent="0.25">
      <c r="A17044" t="s">
        <v>14388</v>
      </c>
      <c r="B17044" t="s">
        <v>155</v>
      </c>
      <c r="C17044" s="2">
        <f>HYPERLINK("https://cao.dolgi.msk.ru/account/1080165204/", 1080165204)</f>
        <v>1080165204</v>
      </c>
      <c r="D17044" t="s">
        <v>15</v>
      </c>
      <c r="E17044">
        <v>-8495.59</v>
      </c>
      <c r="F17044">
        <v>-1.18</v>
      </c>
      <c r="G17044" t="s">
        <v>12</v>
      </c>
      <c r="I17044" t="s">
        <v>2409</v>
      </c>
    </row>
    <row r="17045" spans="1:9" hidden="1" x14ac:dyDescent="0.25">
      <c r="A17045" t="s">
        <v>14388</v>
      </c>
      <c r="B17045" t="s">
        <v>157</v>
      </c>
      <c r="C17045" s="2">
        <f>HYPERLINK("https://cao.dolgi.msk.ru/account/1080151953/", 1080151953)</f>
        <v>1080151953</v>
      </c>
      <c r="D17045" t="s">
        <v>14452</v>
      </c>
      <c r="E17045">
        <v>-2375.4</v>
      </c>
      <c r="F17045">
        <v>-0.49</v>
      </c>
      <c r="G17045" t="s">
        <v>12</v>
      </c>
      <c r="I17045" t="s">
        <v>2409</v>
      </c>
    </row>
    <row r="17046" spans="1:9" hidden="1" x14ac:dyDescent="0.25">
      <c r="A17046" t="s">
        <v>14388</v>
      </c>
      <c r="B17046" t="s">
        <v>159</v>
      </c>
      <c r="C17046" s="2">
        <f>HYPERLINK("https://cao.dolgi.msk.ru/account/1080151961/", 1080151961)</f>
        <v>1080151961</v>
      </c>
      <c r="D17046" t="s">
        <v>14453</v>
      </c>
      <c r="E17046">
        <v>-4943.1000000000004</v>
      </c>
      <c r="F17046">
        <v>-1.36</v>
      </c>
      <c r="G17046" t="s">
        <v>12</v>
      </c>
      <c r="I17046" t="s">
        <v>2409</v>
      </c>
    </row>
    <row r="17047" spans="1:9" hidden="1" x14ac:dyDescent="0.25">
      <c r="A17047" t="s">
        <v>14388</v>
      </c>
      <c r="B17047" t="s">
        <v>161</v>
      </c>
      <c r="C17047" s="2">
        <f>HYPERLINK("https://cao.dolgi.msk.ru/account/1080151988/", 1080151988)</f>
        <v>1080151988</v>
      </c>
      <c r="D17047" t="s">
        <v>14454</v>
      </c>
      <c r="E17047">
        <v>576.63</v>
      </c>
      <c r="F17047">
        <v>0.13</v>
      </c>
      <c r="G17047" t="s">
        <v>12</v>
      </c>
      <c r="I17047" t="s">
        <v>2409</v>
      </c>
    </row>
    <row r="17048" spans="1:9" hidden="1" x14ac:dyDescent="0.25">
      <c r="A17048" t="s">
        <v>14388</v>
      </c>
      <c r="B17048" t="s">
        <v>163</v>
      </c>
      <c r="C17048" s="2">
        <f>HYPERLINK("https://cao.dolgi.msk.ru/account/1080151996/", 1080151996)</f>
        <v>1080151996</v>
      </c>
      <c r="D17048" t="s">
        <v>14455</v>
      </c>
      <c r="E17048">
        <v>-708.14</v>
      </c>
      <c r="F17048">
        <v>-0.11</v>
      </c>
      <c r="G17048" t="s">
        <v>12</v>
      </c>
      <c r="I17048" t="s">
        <v>2409</v>
      </c>
    </row>
    <row r="17049" spans="1:9" hidden="1" x14ac:dyDescent="0.25">
      <c r="A17049" t="s">
        <v>14388</v>
      </c>
      <c r="B17049" t="s">
        <v>571</v>
      </c>
      <c r="C17049" s="2">
        <f>HYPERLINK("https://cao.dolgi.msk.ru/account/1080152008/", 1080152008)</f>
        <v>1080152008</v>
      </c>
      <c r="D17049" t="s">
        <v>14456</v>
      </c>
      <c r="E17049">
        <v>2497.2800000000002</v>
      </c>
      <c r="F17049">
        <v>0.81</v>
      </c>
      <c r="G17049" t="s">
        <v>12</v>
      </c>
      <c r="I17049" t="s">
        <v>2409</v>
      </c>
    </row>
    <row r="17050" spans="1:9" hidden="1" x14ac:dyDescent="0.25">
      <c r="A17050" t="s">
        <v>14388</v>
      </c>
      <c r="B17050" t="s">
        <v>682</v>
      </c>
      <c r="C17050" s="2">
        <f>HYPERLINK("https://cao.dolgi.msk.ru/account/1080152016/", 1080152016)</f>
        <v>1080152016</v>
      </c>
      <c r="D17050" t="s">
        <v>14457</v>
      </c>
      <c r="E17050">
        <v>-4302.01</v>
      </c>
      <c r="F17050">
        <v>-1.17</v>
      </c>
      <c r="G17050" t="s">
        <v>12</v>
      </c>
      <c r="I17050" t="s">
        <v>2409</v>
      </c>
    </row>
    <row r="17051" spans="1:9" hidden="1" x14ac:dyDescent="0.25">
      <c r="A17051" t="s">
        <v>14388</v>
      </c>
      <c r="B17051" t="s">
        <v>682</v>
      </c>
      <c r="C17051" s="2">
        <f>HYPERLINK("https://cao.dolgi.msk.ru/account/1083378088/", 1083378088)</f>
        <v>1083378088</v>
      </c>
      <c r="D17051" t="s">
        <v>15</v>
      </c>
      <c r="E17051">
        <v>-104.25</v>
      </c>
      <c r="G17051" t="s">
        <v>14</v>
      </c>
      <c r="I17051" t="s">
        <v>2409</v>
      </c>
    </row>
    <row r="17052" spans="1:9" hidden="1" x14ac:dyDescent="0.25">
      <c r="A17052" t="s">
        <v>14388</v>
      </c>
      <c r="B17052" t="s">
        <v>578</v>
      </c>
      <c r="C17052" s="2">
        <f>HYPERLINK("https://cao.dolgi.msk.ru/account/1080152024/", 1080152024)</f>
        <v>1080152024</v>
      </c>
      <c r="D17052" t="s">
        <v>14458</v>
      </c>
      <c r="E17052">
        <v>-3248.71</v>
      </c>
      <c r="F17052">
        <v>-1.1499999999999999</v>
      </c>
      <c r="G17052" t="s">
        <v>12</v>
      </c>
      <c r="H17052" t="s">
        <v>7</v>
      </c>
      <c r="I17052" t="s">
        <v>2409</v>
      </c>
    </row>
    <row r="17053" spans="1:9" hidden="1" x14ac:dyDescent="0.25">
      <c r="A17053" t="s">
        <v>14388</v>
      </c>
      <c r="B17053" t="s">
        <v>578</v>
      </c>
      <c r="C17053" s="2">
        <f>HYPERLINK("https://cao.dolgi.msk.ru/account/1080152032/", 1080152032)</f>
        <v>1080152032</v>
      </c>
      <c r="D17053" t="s">
        <v>14458</v>
      </c>
      <c r="E17053">
        <v>-2571.15</v>
      </c>
      <c r="F17053">
        <v>-1.1299999999999999</v>
      </c>
      <c r="G17053" t="s">
        <v>12</v>
      </c>
      <c r="H17053" t="s">
        <v>7</v>
      </c>
      <c r="I17053" t="s">
        <v>2409</v>
      </c>
    </row>
    <row r="17054" spans="1:9" hidden="1" x14ac:dyDescent="0.25">
      <c r="A17054" t="s">
        <v>14388</v>
      </c>
      <c r="B17054" t="s">
        <v>580</v>
      </c>
      <c r="C17054" s="2">
        <f>HYPERLINK("https://cao.dolgi.msk.ru/account/1080152059/", 1080152059)</f>
        <v>1080152059</v>
      </c>
      <c r="D17054" t="s">
        <v>14459</v>
      </c>
      <c r="E17054">
        <v>-6537.21</v>
      </c>
      <c r="F17054">
        <v>-1.1000000000000001</v>
      </c>
      <c r="G17054" t="s">
        <v>12</v>
      </c>
      <c r="I17054" t="s">
        <v>2409</v>
      </c>
    </row>
    <row r="17055" spans="1:9" hidden="1" x14ac:dyDescent="0.25">
      <c r="A17055" t="s">
        <v>14388</v>
      </c>
      <c r="B17055" t="s">
        <v>686</v>
      </c>
      <c r="C17055" s="2">
        <f>HYPERLINK("https://cao.dolgi.msk.ru/account/1080152067/", 1080152067)</f>
        <v>1080152067</v>
      </c>
      <c r="D17055" t="s">
        <v>14460</v>
      </c>
      <c r="E17055">
        <v>-6269.1</v>
      </c>
      <c r="F17055">
        <v>-1.1499999999999999</v>
      </c>
      <c r="G17055" t="s">
        <v>12</v>
      </c>
      <c r="I17055" t="s">
        <v>2409</v>
      </c>
    </row>
    <row r="17056" spans="1:9" hidden="1" x14ac:dyDescent="0.25">
      <c r="A17056" t="s">
        <v>14388</v>
      </c>
      <c r="B17056" t="s">
        <v>582</v>
      </c>
      <c r="C17056" s="2">
        <f>HYPERLINK("https://cao.dolgi.msk.ru/account/1080151902/", 1080151902)</f>
        <v>1080151902</v>
      </c>
      <c r="D17056" t="s">
        <v>14461</v>
      </c>
      <c r="E17056">
        <v>-6600.76</v>
      </c>
      <c r="F17056">
        <v>-1.29</v>
      </c>
      <c r="G17056" t="s">
        <v>12</v>
      </c>
      <c r="I17056" t="s">
        <v>2409</v>
      </c>
    </row>
    <row r="17057" spans="1:9" hidden="1" x14ac:dyDescent="0.25">
      <c r="A17057" t="s">
        <v>14388</v>
      </c>
      <c r="B17057" t="s">
        <v>584</v>
      </c>
      <c r="C17057" s="2">
        <f>HYPERLINK("https://cao.dolgi.msk.ru/account/1080152075/", 1080152075)</f>
        <v>1080152075</v>
      </c>
      <c r="D17057" t="s">
        <v>14462</v>
      </c>
      <c r="E17057">
        <v>-6047.99</v>
      </c>
      <c r="F17057">
        <v>-1.1399999999999999</v>
      </c>
      <c r="G17057" t="s">
        <v>12</v>
      </c>
      <c r="I17057" t="s">
        <v>2409</v>
      </c>
    </row>
    <row r="17058" spans="1:9" hidden="1" x14ac:dyDescent="0.25">
      <c r="A17058" t="s">
        <v>14388</v>
      </c>
      <c r="B17058" t="s">
        <v>586</v>
      </c>
      <c r="C17058" s="2">
        <f>HYPERLINK("https://cao.dolgi.msk.ru/account/1080152083/", 1080152083)</f>
        <v>1080152083</v>
      </c>
      <c r="D17058" t="s">
        <v>14463</v>
      </c>
      <c r="E17058">
        <v>-374.09</v>
      </c>
      <c r="F17058">
        <v>-0.06</v>
      </c>
      <c r="G17058" t="s">
        <v>12</v>
      </c>
      <c r="I17058" t="s">
        <v>2409</v>
      </c>
    </row>
    <row r="17059" spans="1:9" hidden="1" x14ac:dyDescent="0.25">
      <c r="A17059" t="s">
        <v>14388</v>
      </c>
      <c r="B17059" t="s">
        <v>588</v>
      </c>
      <c r="C17059" s="2">
        <f>HYPERLINK("https://cao.dolgi.msk.ru/account/1080152091/", 1080152091)</f>
        <v>1080152091</v>
      </c>
      <c r="D17059" t="s">
        <v>14464</v>
      </c>
      <c r="E17059">
        <v>-1804.55</v>
      </c>
      <c r="F17059">
        <v>-1.25</v>
      </c>
      <c r="G17059" t="s">
        <v>12</v>
      </c>
      <c r="I17059" t="s">
        <v>2409</v>
      </c>
    </row>
    <row r="17060" spans="1:9" hidden="1" x14ac:dyDescent="0.25">
      <c r="A17060" t="s">
        <v>14388</v>
      </c>
      <c r="B17060" t="s">
        <v>588</v>
      </c>
      <c r="C17060" s="2">
        <f>HYPERLINK("https://cao.dolgi.msk.ru/account/1089133575/", 1089133575)</f>
        <v>1089133575</v>
      </c>
      <c r="D17060" t="s">
        <v>14465</v>
      </c>
      <c r="E17060">
        <v>-3485.42</v>
      </c>
      <c r="F17060">
        <v>-1.26</v>
      </c>
      <c r="G17060" t="s">
        <v>12</v>
      </c>
      <c r="I17060" t="s">
        <v>2409</v>
      </c>
    </row>
    <row r="17061" spans="1:9" hidden="1" x14ac:dyDescent="0.25">
      <c r="A17061" t="s">
        <v>14388</v>
      </c>
      <c r="B17061" t="s">
        <v>590</v>
      </c>
      <c r="C17061" s="2">
        <f>HYPERLINK("https://cao.dolgi.msk.ru/account/1080152104/", 1080152104)</f>
        <v>1080152104</v>
      </c>
      <c r="D17061" t="s">
        <v>14466</v>
      </c>
      <c r="E17061">
        <v>-6936.01</v>
      </c>
      <c r="F17061">
        <v>-1.18</v>
      </c>
      <c r="G17061" t="s">
        <v>12</v>
      </c>
      <c r="I17061" t="s">
        <v>2409</v>
      </c>
    </row>
    <row r="17062" spans="1:9" hidden="1" x14ac:dyDescent="0.25">
      <c r="A17062" t="s">
        <v>14388</v>
      </c>
      <c r="B17062" t="s">
        <v>693</v>
      </c>
      <c r="C17062" s="2">
        <f>HYPERLINK("https://cao.dolgi.msk.ru/account/1080152112/", 1080152112)</f>
        <v>1080152112</v>
      </c>
      <c r="D17062" t="s">
        <v>14467</v>
      </c>
      <c r="E17062">
        <v>-8844.2999999999993</v>
      </c>
      <c r="F17062">
        <v>-1.24</v>
      </c>
      <c r="G17062" t="s">
        <v>12</v>
      </c>
      <c r="I17062" t="s">
        <v>2409</v>
      </c>
    </row>
    <row r="17063" spans="1:9" hidden="1" x14ac:dyDescent="0.25">
      <c r="A17063" t="s">
        <v>14388</v>
      </c>
      <c r="B17063" t="s">
        <v>694</v>
      </c>
      <c r="C17063" s="2">
        <f>HYPERLINK("https://cao.dolgi.msk.ru/account/1080152139/", 1080152139)</f>
        <v>1080152139</v>
      </c>
      <c r="D17063" t="s">
        <v>14468</v>
      </c>
      <c r="E17063">
        <v>-9621.86</v>
      </c>
      <c r="F17063">
        <v>-1.17</v>
      </c>
      <c r="G17063" t="s">
        <v>12</v>
      </c>
      <c r="I17063" t="s">
        <v>2409</v>
      </c>
    </row>
    <row r="17064" spans="1:9" hidden="1" x14ac:dyDescent="0.25">
      <c r="A17064" t="s">
        <v>14388</v>
      </c>
      <c r="B17064" t="s">
        <v>696</v>
      </c>
      <c r="C17064" s="2">
        <f>HYPERLINK("https://cao.dolgi.msk.ru/account/1080152147/", 1080152147)</f>
        <v>1080152147</v>
      </c>
      <c r="D17064" t="s">
        <v>14469</v>
      </c>
      <c r="E17064">
        <v>-7739.03</v>
      </c>
      <c r="F17064">
        <v>-1.1399999999999999</v>
      </c>
      <c r="G17064" t="s">
        <v>12</v>
      </c>
      <c r="I17064" t="s">
        <v>2409</v>
      </c>
    </row>
    <row r="17065" spans="1:9" hidden="1" x14ac:dyDescent="0.25">
      <c r="A17065" t="s">
        <v>14388</v>
      </c>
      <c r="B17065" t="s">
        <v>698</v>
      </c>
      <c r="C17065" s="2">
        <f>HYPERLINK("https://cao.dolgi.msk.ru/account/1080164877/", 1080164877)</f>
        <v>1080164877</v>
      </c>
      <c r="D17065" t="s">
        <v>14470</v>
      </c>
      <c r="E17065">
        <v>-7078.92</v>
      </c>
      <c r="F17065">
        <v>-1.31</v>
      </c>
      <c r="G17065" t="s">
        <v>12</v>
      </c>
      <c r="I17065" t="s">
        <v>2409</v>
      </c>
    </row>
    <row r="17066" spans="1:9" hidden="1" x14ac:dyDescent="0.25">
      <c r="A17066" t="s">
        <v>14388</v>
      </c>
      <c r="B17066" t="s">
        <v>700</v>
      </c>
      <c r="C17066" s="2">
        <f>HYPERLINK("https://cao.dolgi.msk.ru/account/1080152155/", 1080152155)</f>
        <v>1080152155</v>
      </c>
      <c r="D17066" t="s">
        <v>14471</v>
      </c>
      <c r="E17066">
        <v>-11047.07</v>
      </c>
      <c r="F17066">
        <v>-2.12</v>
      </c>
      <c r="G17066" t="s">
        <v>12</v>
      </c>
      <c r="I17066" t="s">
        <v>2409</v>
      </c>
    </row>
    <row r="17067" spans="1:9" hidden="1" x14ac:dyDescent="0.25">
      <c r="A17067" t="s">
        <v>14388</v>
      </c>
      <c r="B17067" t="s">
        <v>703</v>
      </c>
      <c r="C17067" s="2">
        <f>HYPERLINK("https://cao.dolgi.msk.ru/account/1080167218/", 1080167218)</f>
        <v>1080167218</v>
      </c>
      <c r="D17067" t="s">
        <v>14472</v>
      </c>
      <c r="E17067">
        <v>-13804.52</v>
      </c>
      <c r="F17067">
        <v>-2.23</v>
      </c>
      <c r="G17067" t="s">
        <v>12</v>
      </c>
      <c r="I17067" t="s">
        <v>2409</v>
      </c>
    </row>
    <row r="17068" spans="1:9" hidden="1" x14ac:dyDescent="0.25">
      <c r="A17068" t="s">
        <v>14388</v>
      </c>
      <c r="B17068" t="s">
        <v>705</v>
      </c>
      <c r="C17068" s="2">
        <f>HYPERLINK("https://cao.dolgi.msk.ru/account/1080152163/", 1080152163)</f>
        <v>1080152163</v>
      </c>
      <c r="D17068" t="s">
        <v>14473</v>
      </c>
      <c r="E17068">
        <v>-6972.61</v>
      </c>
      <c r="F17068">
        <v>-1.1499999999999999</v>
      </c>
      <c r="G17068" t="s">
        <v>12</v>
      </c>
      <c r="I17068" t="s">
        <v>2409</v>
      </c>
    </row>
    <row r="17069" spans="1:9" hidden="1" x14ac:dyDescent="0.25">
      <c r="A17069" t="s">
        <v>14388</v>
      </c>
      <c r="B17069" t="s">
        <v>707</v>
      </c>
      <c r="C17069" s="2">
        <f>HYPERLINK("https://cao.dolgi.msk.ru/account/1080152171/", 1080152171)</f>
        <v>1080152171</v>
      </c>
      <c r="D17069" t="s">
        <v>14474</v>
      </c>
      <c r="E17069">
        <v>-6038.48</v>
      </c>
      <c r="F17069">
        <v>-1.17</v>
      </c>
      <c r="G17069" t="s">
        <v>12</v>
      </c>
      <c r="I17069" t="s">
        <v>2409</v>
      </c>
    </row>
    <row r="17070" spans="1:9" hidden="1" x14ac:dyDescent="0.25">
      <c r="A17070" t="s">
        <v>14388</v>
      </c>
      <c r="B17070" t="s">
        <v>709</v>
      </c>
      <c r="C17070" s="2">
        <f>HYPERLINK("https://cao.dolgi.msk.ru/account/1080152198/", 1080152198)</f>
        <v>1080152198</v>
      </c>
      <c r="D17070" t="s">
        <v>14475</v>
      </c>
      <c r="E17070">
        <v>80.290000000000006</v>
      </c>
      <c r="F17070">
        <v>0.01</v>
      </c>
      <c r="G17070" t="s">
        <v>12</v>
      </c>
      <c r="I17070" t="s">
        <v>2409</v>
      </c>
    </row>
    <row r="17071" spans="1:9" hidden="1" x14ac:dyDescent="0.25">
      <c r="A17071" t="s">
        <v>14388</v>
      </c>
      <c r="B17071" t="s">
        <v>711</v>
      </c>
      <c r="C17071" s="2">
        <f>HYPERLINK("https://cao.dolgi.msk.ru/account/1080152219/", 1080152219)</f>
        <v>1080152219</v>
      </c>
      <c r="D17071" t="s">
        <v>14476</v>
      </c>
      <c r="E17071">
        <v>-8433.8799999999992</v>
      </c>
      <c r="F17071">
        <v>-1.22</v>
      </c>
      <c r="G17071" t="s">
        <v>12</v>
      </c>
      <c r="I17071" t="s">
        <v>2409</v>
      </c>
    </row>
    <row r="17072" spans="1:9" hidden="1" x14ac:dyDescent="0.25">
      <c r="A17072" t="s">
        <v>14388</v>
      </c>
      <c r="B17072" t="s">
        <v>713</v>
      </c>
      <c r="C17072" s="2">
        <f>HYPERLINK("https://cao.dolgi.msk.ru/account/1080166098/", 1080166098)</f>
        <v>1080166098</v>
      </c>
      <c r="D17072" t="s">
        <v>14477</v>
      </c>
      <c r="E17072">
        <v>-8124.93</v>
      </c>
      <c r="F17072">
        <v>-1.07</v>
      </c>
      <c r="G17072" t="s">
        <v>12</v>
      </c>
      <c r="I17072" t="s">
        <v>2409</v>
      </c>
    </row>
    <row r="17073" spans="1:9" hidden="1" x14ac:dyDescent="0.25">
      <c r="A17073" t="s">
        <v>14388</v>
      </c>
      <c r="B17073" t="s">
        <v>528</v>
      </c>
      <c r="C17073" s="2">
        <f>HYPERLINK("https://cao.dolgi.msk.ru/account/1080152227/", 1080152227)</f>
        <v>1080152227</v>
      </c>
      <c r="D17073" t="s">
        <v>14478</v>
      </c>
      <c r="E17073">
        <v>-5908.2</v>
      </c>
      <c r="F17073">
        <v>-1.08</v>
      </c>
      <c r="G17073" t="s">
        <v>12</v>
      </c>
      <c r="I17073" t="s">
        <v>2409</v>
      </c>
    </row>
    <row r="17074" spans="1:9" hidden="1" x14ac:dyDescent="0.25">
      <c r="A17074" t="s">
        <v>14388</v>
      </c>
      <c r="B17074" t="s">
        <v>530</v>
      </c>
      <c r="C17074" s="2">
        <f>HYPERLINK("https://cao.dolgi.msk.ru/account/1080152235/", 1080152235)</f>
        <v>1080152235</v>
      </c>
      <c r="D17074" t="s">
        <v>14479</v>
      </c>
      <c r="E17074">
        <v>-8531.65</v>
      </c>
      <c r="F17074">
        <v>-1.18</v>
      </c>
      <c r="G17074" t="s">
        <v>12</v>
      </c>
      <c r="I17074" t="s">
        <v>2409</v>
      </c>
    </row>
    <row r="17075" spans="1:9" hidden="1" x14ac:dyDescent="0.25">
      <c r="A17075" t="s">
        <v>14388</v>
      </c>
      <c r="B17075" t="s">
        <v>532</v>
      </c>
      <c r="C17075" s="2">
        <f>HYPERLINK("https://cao.dolgi.msk.ru/account/1080166303/", 1080166303)</f>
        <v>1080166303</v>
      </c>
      <c r="D17075" t="s">
        <v>14480</v>
      </c>
      <c r="E17075">
        <v>-7320.01</v>
      </c>
      <c r="F17075">
        <v>-1.1000000000000001</v>
      </c>
      <c r="G17075" t="s">
        <v>12</v>
      </c>
      <c r="I17075" t="s">
        <v>2409</v>
      </c>
    </row>
    <row r="17076" spans="1:9" hidden="1" x14ac:dyDescent="0.25">
      <c r="A17076" t="s">
        <v>14388</v>
      </c>
      <c r="B17076" t="s">
        <v>532</v>
      </c>
      <c r="C17076" s="2">
        <f>HYPERLINK("https://cao.dolgi.msk.ru/account/1089125049/", 1089125049)</f>
        <v>1089125049</v>
      </c>
      <c r="D17076" t="s">
        <v>14481</v>
      </c>
      <c r="E17076">
        <v>0</v>
      </c>
      <c r="G17076" t="s">
        <v>14</v>
      </c>
      <c r="I17076" t="s">
        <v>2409</v>
      </c>
    </row>
    <row r="17077" spans="1:9" hidden="1" x14ac:dyDescent="0.25">
      <c r="A17077" t="s">
        <v>14388</v>
      </c>
      <c r="B17077" t="s">
        <v>534</v>
      </c>
      <c r="C17077" s="2">
        <f>HYPERLINK("https://cao.dolgi.msk.ru/account/1080152243/", 1080152243)</f>
        <v>1080152243</v>
      </c>
      <c r="D17077" t="s">
        <v>14482</v>
      </c>
      <c r="E17077">
        <v>-1471.89</v>
      </c>
      <c r="F17077">
        <v>-0.26</v>
      </c>
      <c r="G17077" t="s">
        <v>12</v>
      </c>
      <c r="I17077" t="s">
        <v>2409</v>
      </c>
    </row>
    <row r="17078" spans="1:9" hidden="1" x14ac:dyDescent="0.25">
      <c r="A17078" t="s">
        <v>14388</v>
      </c>
      <c r="B17078" t="s">
        <v>536</v>
      </c>
      <c r="C17078" s="2">
        <f>HYPERLINK("https://cao.dolgi.msk.ru/account/1080152251/", 1080152251)</f>
        <v>1080152251</v>
      </c>
      <c r="D17078" t="s">
        <v>14483</v>
      </c>
      <c r="E17078">
        <v>-3518.16</v>
      </c>
      <c r="F17078">
        <v>-1.1499999999999999</v>
      </c>
      <c r="G17078" t="s">
        <v>12</v>
      </c>
      <c r="I17078" t="s">
        <v>2409</v>
      </c>
    </row>
    <row r="17079" spans="1:9" hidden="1" x14ac:dyDescent="0.25">
      <c r="A17079" t="s">
        <v>14388</v>
      </c>
      <c r="B17079" t="s">
        <v>538</v>
      </c>
      <c r="C17079" s="2">
        <f>HYPERLINK("https://cao.dolgi.msk.ru/account/1080152278/", 1080152278)</f>
        <v>1080152278</v>
      </c>
      <c r="D17079" t="s">
        <v>14484</v>
      </c>
      <c r="E17079">
        <v>-2387.15</v>
      </c>
      <c r="F17079">
        <v>-0.24</v>
      </c>
      <c r="G17079" t="s">
        <v>12</v>
      </c>
      <c r="I17079" t="s">
        <v>2409</v>
      </c>
    </row>
    <row r="17080" spans="1:9" hidden="1" x14ac:dyDescent="0.25">
      <c r="A17080" t="s">
        <v>14388</v>
      </c>
      <c r="B17080" t="s">
        <v>539</v>
      </c>
      <c r="C17080" s="2">
        <f>HYPERLINK("https://cao.dolgi.msk.ru/account/1080152286/", 1080152286)</f>
        <v>1080152286</v>
      </c>
      <c r="D17080" t="s">
        <v>14485</v>
      </c>
      <c r="E17080">
        <v>-9922.7000000000007</v>
      </c>
      <c r="F17080">
        <v>-1.33</v>
      </c>
      <c r="G17080" t="s">
        <v>12</v>
      </c>
      <c r="I17080" t="s">
        <v>2409</v>
      </c>
    </row>
    <row r="17081" spans="1:9" hidden="1" x14ac:dyDescent="0.25">
      <c r="A17081" t="s">
        <v>14388</v>
      </c>
      <c r="B17081" t="s">
        <v>539</v>
      </c>
      <c r="C17081" s="2">
        <f>HYPERLINK("https://cao.dolgi.msk.ru/account/1083272937/", 1083272937)</f>
        <v>1083272937</v>
      </c>
      <c r="D17081" t="s">
        <v>15</v>
      </c>
      <c r="E17081">
        <v>0</v>
      </c>
      <c r="F17081">
        <v>0</v>
      </c>
      <c r="G17081" t="s">
        <v>14</v>
      </c>
      <c r="I17081" t="s">
        <v>2409</v>
      </c>
    </row>
    <row r="17082" spans="1:9" hidden="1" x14ac:dyDescent="0.25">
      <c r="A17082" t="s">
        <v>14388</v>
      </c>
      <c r="B17082" t="s">
        <v>539</v>
      </c>
      <c r="C17082" s="2">
        <f>HYPERLINK("https://cao.dolgi.msk.ru/account/1083370967/", 1083370967)</f>
        <v>1083370967</v>
      </c>
      <c r="D17082" t="s">
        <v>15</v>
      </c>
      <c r="E17082">
        <v>0</v>
      </c>
      <c r="G17082" t="s">
        <v>14</v>
      </c>
      <c r="I17082" t="s">
        <v>2409</v>
      </c>
    </row>
    <row r="17083" spans="1:9" hidden="1" x14ac:dyDescent="0.25">
      <c r="A17083" t="s">
        <v>14388</v>
      </c>
      <c r="B17083" t="s">
        <v>541</v>
      </c>
      <c r="C17083" s="2">
        <f>HYPERLINK("https://cao.dolgi.msk.ru/account/1080152294/", 1080152294)</f>
        <v>1080152294</v>
      </c>
      <c r="D17083" t="s">
        <v>14486</v>
      </c>
      <c r="E17083">
        <v>-4554.2</v>
      </c>
      <c r="F17083">
        <v>-1.1000000000000001</v>
      </c>
      <c r="G17083" t="s">
        <v>12</v>
      </c>
      <c r="I17083" t="s">
        <v>2409</v>
      </c>
    </row>
    <row r="17084" spans="1:9" hidden="1" x14ac:dyDescent="0.25">
      <c r="A17084" t="s">
        <v>14388</v>
      </c>
      <c r="B17084" t="s">
        <v>543</v>
      </c>
      <c r="C17084" s="2">
        <f>HYPERLINK("https://cao.dolgi.msk.ru/account/1080152307/", 1080152307)</f>
        <v>1080152307</v>
      </c>
      <c r="D17084" t="s">
        <v>14487</v>
      </c>
      <c r="E17084">
        <v>-6083.19</v>
      </c>
      <c r="F17084">
        <v>-1.18</v>
      </c>
      <c r="G17084" t="s">
        <v>12</v>
      </c>
      <c r="I17084" t="s">
        <v>2409</v>
      </c>
    </row>
    <row r="17085" spans="1:9" hidden="1" x14ac:dyDescent="0.25">
      <c r="A17085" t="s">
        <v>14388</v>
      </c>
      <c r="B17085" t="s">
        <v>545</v>
      </c>
      <c r="C17085" s="2">
        <f>HYPERLINK("https://cao.dolgi.msk.ru/account/1080152315/", 1080152315)</f>
        <v>1080152315</v>
      </c>
      <c r="D17085" t="s">
        <v>14488</v>
      </c>
      <c r="E17085">
        <v>-8854.2000000000007</v>
      </c>
      <c r="F17085">
        <v>-1.79</v>
      </c>
      <c r="G17085" t="s">
        <v>12</v>
      </c>
      <c r="I17085" t="s">
        <v>2409</v>
      </c>
    </row>
    <row r="17086" spans="1:9" hidden="1" x14ac:dyDescent="0.25">
      <c r="A17086" t="s">
        <v>14388</v>
      </c>
      <c r="B17086" t="s">
        <v>546</v>
      </c>
      <c r="C17086" s="2">
        <f>HYPERLINK("https://cao.dolgi.msk.ru/account/1080152323/", 1080152323)</f>
        <v>1080152323</v>
      </c>
      <c r="D17086" t="s">
        <v>14489</v>
      </c>
      <c r="E17086">
        <v>-7978.38</v>
      </c>
      <c r="F17086">
        <v>-1.0900000000000001</v>
      </c>
      <c r="G17086" t="s">
        <v>12</v>
      </c>
      <c r="I17086" t="s">
        <v>2409</v>
      </c>
    </row>
    <row r="17087" spans="1:9" hidden="1" x14ac:dyDescent="0.25">
      <c r="A17087" t="s">
        <v>14388</v>
      </c>
      <c r="B17087" t="s">
        <v>548</v>
      </c>
      <c r="C17087" s="2">
        <f>HYPERLINK("https://cao.dolgi.msk.ru/account/1080152331/", 1080152331)</f>
        <v>1080152331</v>
      </c>
      <c r="D17087" t="s">
        <v>14490</v>
      </c>
      <c r="E17087">
        <v>-7046.34</v>
      </c>
      <c r="F17087">
        <v>-1.23</v>
      </c>
      <c r="G17087" t="s">
        <v>12</v>
      </c>
      <c r="I17087" t="s">
        <v>2409</v>
      </c>
    </row>
    <row r="17088" spans="1:9" hidden="1" x14ac:dyDescent="0.25">
      <c r="A17088" t="s">
        <v>14388</v>
      </c>
      <c r="B17088" t="s">
        <v>727</v>
      </c>
      <c r="C17088" s="2">
        <f>HYPERLINK("https://cao.dolgi.msk.ru/account/1080152358/", 1080152358)</f>
        <v>1080152358</v>
      </c>
      <c r="D17088" t="s">
        <v>14491</v>
      </c>
      <c r="E17088">
        <v>-5946.57</v>
      </c>
      <c r="F17088">
        <v>-1.08</v>
      </c>
      <c r="G17088" t="s">
        <v>12</v>
      </c>
      <c r="I17088" t="s">
        <v>2409</v>
      </c>
    </row>
    <row r="17089" spans="1:9" hidden="1" x14ac:dyDescent="0.25">
      <c r="A17089" t="s">
        <v>14388</v>
      </c>
      <c r="B17089" t="s">
        <v>551</v>
      </c>
      <c r="C17089" s="2">
        <f>HYPERLINK("https://cao.dolgi.msk.ru/account/1080152366/", 1080152366)</f>
        <v>1080152366</v>
      </c>
      <c r="D17089" t="s">
        <v>14492</v>
      </c>
      <c r="E17089">
        <v>-5989.41</v>
      </c>
      <c r="F17089">
        <v>-1.1399999999999999</v>
      </c>
      <c r="G17089" t="s">
        <v>12</v>
      </c>
      <c r="I17089" t="s">
        <v>2409</v>
      </c>
    </row>
    <row r="17090" spans="1:9" hidden="1" x14ac:dyDescent="0.25">
      <c r="A17090" t="s">
        <v>14388</v>
      </c>
      <c r="B17090" t="s">
        <v>730</v>
      </c>
      <c r="C17090" s="2">
        <f>HYPERLINK("https://cao.dolgi.msk.ru/account/1080152374/", 1080152374)</f>
        <v>1080152374</v>
      </c>
      <c r="D17090" t="s">
        <v>14493</v>
      </c>
      <c r="E17090">
        <v>-7116.65</v>
      </c>
      <c r="F17090">
        <v>-1.1200000000000001</v>
      </c>
      <c r="G17090" t="s">
        <v>12</v>
      </c>
      <c r="I17090" t="s">
        <v>2409</v>
      </c>
    </row>
    <row r="17091" spans="1:9" hidden="1" x14ac:dyDescent="0.25">
      <c r="A17091" t="s">
        <v>14388</v>
      </c>
      <c r="B17091" t="s">
        <v>732</v>
      </c>
      <c r="C17091" s="2">
        <f>HYPERLINK("https://cao.dolgi.msk.ru/account/1080152382/", 1080152382)</f>
        <v>1080152382</v>
      </c>
      <c r="D17091" t="s">
        <v>14494</v>
      </c>
      <c r="E17091">
        <v>9824.68</v>
      </c>
      <c r="F17091">
        <v>0.99</v>
      </c>
      <c r="G17091" t="s">
        <v>12</v>
      </c>
      <c r="I17091" t="s">
        <v>2409</v>
      </c>
    </row>
    <row r="17092" spans="1:9" hidden="1" x14ac:dyDescent="0.25">
      <c r="A17092" t="s">
        <v>14388</v>
      </c>
      <c r="B17092" t="s">
        <v>553</v>
      </c>
      <c r="C17092" s="2">
        <f>HYPERLINK("https://cao.dolgi.msk.ru/account/1080152403/", 1080152403)</f>
        <v>1080152403</v>
      </c>
      <c r="D17092" t="s">
        <v>11898</v>
      </c>
      <c r="E17092">
        <v>6091.34</v>
      </c>
      <c r="F17092">
        <v>1</v>
      </c>
      <c r="G17092" t="s">
        <v>12</v>
      </c>
      <c r="I17092" t="s">
        <v>2409</v>
      </c>
    </row>
    <row r="17093" spans="1:9" hidden="1" x14ac:dyDescent="0.25">
      <c r="A17093" t="s">
        <v>14388</v>
      </c>
      <c r="B17093" t="s">
        <v>555</v>
      </c>
      <c r="C17093" s="2">
        <f>HYPERLINK("https://cao.dolgi.msk.ru/account/1080152411/", 1080152411)</f>
        <v>1080152411</v>
      </c>
      <c r="D17093" t="s">
        <v>14495</v>
      </c>
      <c r="E17093">
        <v>4855.4399999999996</v>
      </c>
      <c r="F17093">
        <v>0.95</v>
      </c>
      <c r="G17093" t="s">
        <v>12</v>
      </c>
      <c r="I17093" t="s">
        <v>2409</v>
      </c>
    </row>
    <row r="17094" spans="1:9" hidden="1" x14ac:dyDescent="0.25">
      <c r="A17094" t="s">
        <v>14388</v>
      </c>
      <c r="B17094" t="s">
        <v>736</v>
      </c>
      <c r="C17094" s="2">
        <f>HYPERLINK("https://cao.dolgi.msk.ru/account/1080167066/", 1080167066)</f>
        <v>1080167066</v>
      </c>
      <c r="D17094" t="s">
        <v>14496</v>
      </c>
      <c r="E17094">
        <v>-6607.42</v>
      </c>
      <c r="F17094">
        <v>-1.1599999999999999</v>
      </c>
      <c r="G17094" t="s">
        <v>12</v>
      </c>
      <c r="I17094" t="s">
        <v>2409</v>
      </c>
    </row>
    <row r="17095" spans="1:9" hidden="1" x14ac:dyDescent="0.25">
      <c r="A17095" t="s">
        <v>14388</v>
      </c>
      <c r="B17095" t="s">
        <v>738</v>
      </c>
      <c r="C17095" s="2">
        <f>HYPERLINK("https://cao.dolgi.msk.ru/account/1080152438/", 1080152438)</f>
        <v>1080152438</v>
      </c>
      <c r="D17095" t="s">
        <v>14497</v>
      </c>
      <c r="E17095">
        <v>-10458.299999999999</v>
      </c>
      <c r="F17095">
        <v>-1.53</v>
      </c>
      <c r="G17095" t="s">
        <v>12</v>
      </c>
      <c r="I17095" t="s">
        <v>2409</v>
      </c>
    </row>
    <row r="17096" spans="1:9" hidden="1" x14ac:dyDescent="0.25">
      <c r="A17096" t="s">
        <v>14388</v>
      </c>
      <c r="B17096" t="s">
        <v>740</v>
      </c>
      <c r="C17096" s="2">
        <f>HYPERLINK("https://cao.dolgi.msk.ru/account/1080152454/", 1080152454)</f>
        <v>1080152454</v>
      </c>
      <c r="D17096" t="s">
        <v>14498</v>
      </c>
      <c r="E17096">
        <v>-6410.43</v>
      </c>
      <c r="F17096">
        <v>-1.08</v>
      </c>
      <c r="G17096" t="s">
        <v>12</v>
      </c>
      <c r="I17096" t="s">
        <v>2409</v>
      </c>
    </row>
    <row r="17097" spans="1:9" hidden="1" x14ac:dyDescent="0.25">
      <c r="A17097" t="s">
        <v>14388</v>
      </c>
      <c r="B17097" t="s">
        <v>742</v>
      </c>
      <c r="C17097" s="2">
        <f>HYPERLINK("https://cao.dolgi.msk.ru/account/1080152462/", 1080152462)</f>
        <v>1080152462</v>
      </c>
      <c r="D17097" t="s">
        <v>14499</v>
      </c>
      <c r="E17097">
        <v>-319.8</v>
      </c>
      <c r="F17097">
        <v>-0.04</v>
      </c>
      <c r="G17097" t="s">
        <v>12</v>
      </c>
      <c r="I17097" t="s">
        <v>2409</v>
      </c>
    </row>
    <row r="17098" spans="1:9" hidden="1" x14ac:dyDescent="0.25">
      <c r="A17098" t="s">
        <v>14500</v>
      </c>
      <c r="B17098" t="s">
        <v>10</v>
      </c>
      <c r="C17098" s="2">
        <f>HYPERLINK("https://cao.dolgi.msk.ru/account/1080162695/", 1080162695)</f>
        <v>1080162695</v>
      </c>
      <c r="D17098" t="s">
        <v>14501</v>
      </c>
      <c r="E17098">
        <v>-7173.42</v>
      </c>
      <c r="F17098">
        <v>-1.44</v>
      </c>
      <c r="G17098" t="s">
        <v>12</v>
      </c>
      <c r="I17098" t="s">
        <v>2409</v>
      </c>
    </row>
    <row r="17099" spans="1:9" hidden="1" x14ac:dyDescent="0.25">
      <c r="A17099" t="s">
        <v>14500</v>
      </c>
      <c r="B17099" t="s">
        <v>16</v>
      </c>
      <c r="C17099" s="2">
        <f>HYPERLINK("https://cao.dolgi.msk.ru/account/1080162708/", 1080162708)</f>
        <v>1080162708</v>
      </c>
      <c r="D17099" t="s">
        <v>14502</v>
      </c>
      <c r="E17099">
        <v>-452.56</v>
      </c>
      <c r="F17099">
        <v>-0.08</v>
      </c>
      <c r="G17099" t="s">
        <v>12</v>
      </c>
      <c r="I17099" t="s">
        <v>2409</v>
      </c>
    </row>
    <row r="17100" spans="1:9" hidden="1" x14ac:dyDescent="0.25">
      <c r="A17100" t="s">
        <v>14500</v>
      </c>
      <c r="B17100" t="s">
        <v>18</v>
      </c>
      <c r="C17100" s="2">
        <f>HYPERLINK("https://cao.dolgi.msk.ru/account/1080162716/", 1080162716)</f>
        <v>1080162716</v>
      </c>
      <c r="D17100" t="s">
        <v>14503</v>
      </c>
      <c r="E17100">
        <v>-10776.12</v>
      </c>
      <c r="F17100">
        <v>-1.1299999999999999</v>
      </c>
      <c r="G17100" t="s">
        <v>12</v>
      </c>
      <c r="I17100" t="s">
        <v>2409</v>
      </c>
    </row>
    <row r="17101" spans="1:9" hidden="1" x14ac:dyDescent="0.25">
      <c r="A17101" t="s">
        <v>14500</v>
      </c>
      <c r="B17101" t="s">
        <v>20</v>
      </c>
      <c r="C17101" s="2">
        <f>HYPERLINK("https://cao.dolgi.msk.ru/account/1080162724/", 1080162724)</f>
        <v>1080162724</v>
      </c>
      <c r="D17101" t="s">
        <v>14504</v>
      </c>
      <c r="E17101">
        <v>-6700.2</v>
      </c>
      <c r="F17101">
        <v>-1.18</v>
      </c>
      <c r="G17101" t="s">
        <v>12</v>
      </c>
      <c r="I17101" t="s">
        <v>2409</v>
      </c>
    </row>
    <row r="17102" spans="1:9" hidden="1" x14ac:dyDescent="0.25">
      <c r="A17102" t="s">
        <v>14500</v>
      </c>
      <c r="B17102" t="s">
        <v>21</v>
      </c>
      <c r="C17102" s="2">
        <f>HYPERLINK("https://cao.dolgi.msk.ru/account/1080162732/", 1080162732)</f>
        <v>1080162732</v>
      </c>
      <c r="D17102" t="s">
        <v>14505</v>
      </c>
      <c r="E17102">
        <v>0</v>
      </c>
      <c r="F17102">
        <v>0</v>
      </c>
      <c r="G17102" t="s">
        <v>12</v>
      </c>
      <c r="I17102" t="s">
        <v>2409</v>
      </c>
    </row>
    <row r="17103" spans="1:9" hidden="1" x14ac:dyDescent="0.25">
      <c r="A17103" t="s">
        <v>14500</v>
      </c>
      <c r="B17103" t="s">
        <v>22</v>
      </c>
      <c r="C17103" s="2">
        <f>HYPERLINK("https://cao.dolgi.msk.ru/account/1080162759/", 1080162759)</f>
        <v>1080162759</v>
      </c>
      <c r="D17103" t="s">
        <v>14506</v>
      </c>
      <c r="E17103">
        <v>-4987.3100000000004</v>
      </c>
      <c r="F17103">
        <v>-1.17</v>
      </c>
      <c r="G17103" t="s">
        <v>12</v>
      </c>
      <c r="I17103" t="s">
        <v>2409</v>
      </c>
    </row>
    <row r="17104" spans="1:9" hidden="1" x14ac:dyDescent="0.25">
      <c r="A17104" t="s">
        <v>14500</v>
      </c>
      <c r="B17104" t="s">
        <v>23</v>
      </c>
      <c r="C17104" s="2">
        <f>HYPERLINK("https://cao.dolgi.msk.ru/account/1080162767/", 1080162767)</f>
        <v>1080162767</v>
      </c>
      <c r="D17104" t="s">
        <v>14507</v>
      </c>
      <c r="E17104">
        <v>-9441.16</v>
      </c>
      <c r="F17104">
        <v>-1.1299999999999999</v>
      </c>
      <c r="G17104" t="s">
        <v>12</v>
      </c>
      <c r="I17104" t="s">
        <v>2409</v>
      </c>
    </row>
    <row r="17105" spans="1:9" hidden="1" x14ac:dyDescent="0.25">
      <c r="A17105" t="s">
        <v>14500</v>
      </c>
      <c r="B17105" t="s">
        <v>24</v>
      </c>
      <c r="C17105" s="2">
        <f>HYPERLINK("https://cao.dolgi.msk.ru/account/1080162775/", 1080162775)</f>
        <v>1080162775</v>
      </c>
      <c r="D17105" t="s">
        <v>14508</v>
      </c>
      <c r="E17105">
        <v>-6376.98</v>
      </c>
      <c r="F17105">
        <v>-1.1399999999999999</v>
      </c>
      <c r="G17105" t="s">
        <v>12</v>
      </c>
      <c r="I17105" t="s">
        <v>2409</v>
      </c>
    </row>
    <row r="17106" spans="1:9" hidden="1" x14ac:dyDescent="0.25">
      <c r="A17106" t="s">
        <v>14500</v>
      </c>
      <c r="B17106" t="s">
        <v>27</v>
      </c>
      <c r="C17106" s="2">
        <f>HYPERLINK("https://cao.dolgi.msk.ru/account/1080162783/", 1080162783)</f>
        <v>1080162783</v>
      </c>
      <c r="D17106" t="s">
        <v>14509</v>
      </c>
      <c r="E17106">
        <v>-8450.41</v>
      </c>
      <c r="F17106">
        <v>-0.88</v>
      </c>
      <c r="G17106" t="s">
        <v>12</v>
      </c>
      <c r="I17106" t="s">
        <v>2409</v>
      </c>
    </row>
    <row r="17107" spans="1:9" hidden="1" x14ac:dyDescent="0.25">
      <c r="A17107" t="s">
        <v>14500</v>
      </c>
      <c r="B17107" t="s">
        <v>29</v>
      </c>
      <c r="C17107" s="2">
        <f>HYPERLINK("https://cao.dolgi.msk.ru/account/1080162791/", 1080162791)</f>
        <v>1080162791</v>
      </c>
      <c r="D17107" t="s">
        <v>14510</v>
      </c>
      <c r="E17107">
        <v>-6486.74</v>
      </c>
      <c r="F17107">
        <v>-1.35</v>
      </c>
      <c r="G17107" t="s">
        <v>12</v>
      </c>
      <c r="I17107" t="s">
        <v>2409</v>
      </c>
    </row>
    <row r="17108" spans="1:9" hidden="1" x14ac:dyDescent="0.25">
      <c r="A17108" t="s">
        <v>14500</v>
      </c>
      <c r="B17108" t="s">
        <v>31</v>
      </c>
      <c r="C17108" s="2">
        <f>HYPERLINK("https://cao.dolgi.msk.ru/account/1080162804/", 1080162804)</f>
        <v>1080162804</v>
      </c>
      <c r="D17108" t="s">
        <v>14511</v>
      </c>
      <c r="E17108">
        <v>9008.31</v>
      </c>
      <c r="F17108">
        <v>0.99</v>
      </c>
      <c r="G17108" t="s">
        <v>12</v>
      </c>
      <c r="I17108" t="s">
        <v>2409</v>
      </c>
    </row>
    <row r="17109" spans="1:9" hidden="1" x14ac:dyDescent="0.25">
      <c r="A17109" t="s">
        <v>14500</v>
      </c>
      <c r="B17109" t="s">
        <v>33</v>
      </c>
      <c r="C17109" s="2">
        <f>HYPERLINK("https://cao.dolgi.msk.ru/account/1080162812/", 1080162812)</f>
        <v>1080162812</v>
      </c>
      <c r="D17109" t="s">
        <v>14512</v>
      </c>
      <c r="E17109">
        <v>-6270.02</v>
      </c>
      <c r="F17109">
        <v>-1.06</v>
      </c>
      <c r="G17109" t="s">
        <v>12</v>
      </c>
      <c r="I17109" t="s">
        <v>2409</v>
      </c>
    </row>
    <row r="17110" spans="1:9" hidden="1" x14ac:dyDescent="0.25">
      <c r="A17110" t="s">
        <v>14500</v>
      </c>
      <c r="B17110" t="s">
        <v>34</v>
      </c>
      <c r="C17110" s="2">
        <f>HYPERLINK("https://cao.dolgi.msk.ru/account/1080162839/", 1080162839)</f>
        <v>1080162839</v>
      </c>
      <c r="D17110" t="s">
        <v>14513</v>
      </c>
      <c r="E17110">
        <v>37.119999999999997</v>
      </c>
      <c r="F17110">
        <v>0</v>
      </c>
      <c r="G17110" t="s">
        <v>12</v>
      </c>
      <c r="I17110" t="s">
        <v>2409</v>
      </c>
    </row>
    <row r="17111" spans="1:9" hidden="1" x14ac:dyDescent="0.25">
      <c r="A17111" t="s">
        <v>14500</v>
      </c>
      <c r="B17111" t="s">
        <v>36</v>
      </c>
      <c r="C17111" s="2">
        <f>HYPERLINK("https://cao.dolgi.msk.ru/account/1080162847/", 1080162847)</f>
        <v>1080162847</v>
      </c>
      <c r="D17111" t="s">
        <v>14514</v>
      </c>
      <c r="E17111">
        <v>-1901.81</v>
      </c>
      <c r="F17111">
        <v>-0.31</v>
      </c>
      <c r="G17111" t="s">
        <v>12</v>
      </c>
      <c r="I17111" t="s">
        <v>2409</v>
      </c>
    </row>
    <row r="17112" spans="1:9" hidden="1" x14ac:dyDescent="0.25">
      <c r="A17112" t="s">
        <v>14500</v>
      </c>
      <c r="B17112" t="s">
        <v>38</v>
      </c>
      <c r="C17112" s="2">
        <f>HYPERLINK("https://cao.dolgi.msk.ru/account/1080162855/", 1080162855)</f>
        <v>1080162855</v>
      </c>
      <c r="D17112" t="s">
        <v>14515</v>
      </c>
      <c r="E17112">
        <v>-13460.68</v>
      </c>
      <c r="F17112">
        <v>-1.1100000000000001</v>
      </c>
      <c r="G17112" t="s">
        <v>12</v>
      </c>
      <c r="I17112" t="s">
        <v>2409</v>
      </c>
    </row>
    <row r="17113" spans="1:9" hidden="1" x14ac:dyDescent="0.25">
      <c r="A17113" t="s">
        <v>14500</v>
      </c>
      <c r="B17113" t="s">
        <v>39</v>
      </c>
      <c r="C17113" s="2">
        <f>HYPERLINK("https://cao.dolgi.msk.ru/account/1080162863/", 1080162863)</f>
        <v>1080162863</v>
      </c>
      <c r="D17113" t="s">
        <v>14516</v>
      </c>
      <c r="E17113">
        <v>-6749.59</v>
      </c>
      <c r="F17113">
        <v>-1.1100000000000001</v>
      </c>
      <c r="G17113" t="s">
        <v>12</v>
      </c>
      <c r="I17113" t="s">
        <v>2409</v>
      </c>
    </row>
    <row r="17114" spans="1:9" hidden="1" x14ac:dyDescent="0.25">
      <c r="A17114" t="s">
        <v>14500</v>
      </c>
      <c r="B17114" t="s">
        <v>40</v>
      </c>
      <c r="C17114" s="2">
        <f>HYPERLINK("https://cao.dolgi.msk.ru/account/1080162871/", 1080162871)</f>
        <v>1080162871</v>
      </c>
      <c r="D17114" t="s">
        <v>14517</v>
      </c>
      <c r="E17114">
        <v>-6849.36</v>
      </c>
      <c r="F17114">
        <v>-1.1599999999999999</v>
      </c>
      <c r="G17114" t="s">
        <v>12</v>
      </c>
      <c r="I17114" t="s">
        <v>2409</v>
      </c>
    </row>
    <row r="17115" spans="1:9" hidden="1" x14ac:dyDescent="0.25">
      <c r="A17115" t="s">
        <v>14500</v>
      </c>
      <c r="B17115" t="s">
        <v>41</v>
      </c>
      <c r="C17115" s="2">
        <f>HYPERLINK("https://cao.dolgi.msk.ru/account/1080162898/", 1080162898)</f>
        <v>1080162898</v>
      </c>
      <c r="D17115" t="s">
        <v>14518</v>
      </c>
      <c r="E17115">
        <v>-5835.62</v>
      </c>
      <c r="F17115">
        <v>-1.17</v>
      </c>
      <c r="G17115" t="s">
        <v>12</v>
      </c>
      <c r="I17115" t="s">
        <v>2409</v>
      </c>
    </row>
    <row r="17116" spans="1:9" hidden="1" x14ac:dyDescent="0.25">
      <c r="A17116" t="s">
        <v>14500</v>
      </c>
      <c r="B17116" t="s">
        <v>42</v>
      </c>
      <c r="C17116" s="2">
        <f>HYPERLINK("https://cao.dolgi.msk.ru/account/1080162919/", 1080162919)</f>
        <v>1080162919</v>
      </c>
      <c r="D17116" t="s">
        <v>14519</v>
      </c>
      <c r="E17116">
        <v>-133.12</v>
      </c>
      <c r="F17116">
        <v>-0.01</v>
      </c>
      <c r="G17116" t="s">
        <v>12</v>
      </c>
      <c r="I17116" t="s">
        <v>2409</v>
      </c>
    </row>
    <row r="17117" spans="1:9" hidden="1" x14ac:dyDescent="0.25">
      <c r="A17117" t="s">
        <v>14500</v>
      </c>
      <c r="B17117" t="s">
        <v>44</v>
      </c>
      <c r="C17117" s="2">
        <f>HYPERLINK("https://cao.dolgi.msk.ru/account/1080162927/", 1080162927)</f>
        <v>1080162927</v>
      </c>
      <c r="D17117" t="s">
        <v>14520</v>
      </c>
      <c r="E17117">
        <v>-5617.8</v>
      </c>
      <c r="F17117">
        <v>-1.1100000000000001</v>
      </c>
      <c r="G17117" t="s">
        <v>12</v>
      </c>
      <c r="I17117" t="s">
        <v>2409</v>
      </c>
    </row>
    <row r="17118" spans="1:9" hidden="1" x14ac:dyDescent="0.25">
      <c r="A17118" t="s">
        <v>14500</v>
      </c>
      <c r="B17118" t="s">
        <v>66</v>
      </c>
      <c r="C17118" s="2">
        <f>HYPERLINK("https://cao.dolgi.msk.ru/account/1080162935/", 1080162935)</f>
        <v>1080162935</v>
      </c>
      <c r="D17118" t="s">
        <v>14521</v>
      </c>
      <c r="E17118">
        <v>-9736.24</v>
      </c>
      <c r="F17118">
        <v>-1</v>
      </c>
      <c r="G17118" t="s">
        <v>12</v>
      </c>
      <c r="I17118" t="s">
        <v>2409</v>
      </c>
    </row>
    <row r="17119" spans="1:9" hidden="1" x14ac:dyDescent="0.25">
      <c r="A17119" t="s">
        <v>14500</v>
      </c>
      <c r="B17119" t="s">
        <v>68</v>
      </c>
      <c r="C17119" s="2">
        <f>HYPERLINK("https://cao.dolgi.msk.ru/account/1080162943/", 1080162943)</f>
        <v>1080162943</v>
      </c>
      <c r="D17119" t="s">
        <v>14522</v>
      </c>
      <c r="E17119">
        <v>-7032.58</v>
      </c>
      <c r="F17119">
        <v>-1.43</v>
      </c>
      <c r="G17119" t="s">
        <v>12</v>
      </c>
      <c r="I17119" t="s">
        <v>2409</v>
      </c>
    </row>
    <row r="17120" spans="1:9" hidden="1" x14ac:dyDescent="0.25">
      <c r="A17120" t="s">
        <v>14500</v>
      </c>
      <c r="B17120" t="s">
        <v>70</v>
      </c>
      <c r="C17120" s="2">
        <f>HYPERLINK("https://cao.dolgi.msk.ru/account/1080162951/", 1080162951)</f>
        <v>1080162951</v>
      </c>
      <c r="D17120" t="s">
        <v>14523</v>
      </c>
      <c r="E17120">
        <v>-10020.94</v>
      </c>
      <c r="F17120">
        <v>-1.1299999999999999</v>
      </c>
      <c r="G17120" t="s">
        <v>12</v>
      </c>
      <c r="I17120" t="s">
        <v>2409</v>
      </c>
    </row>
    <row r="17121" spans="1:9" hidden="1" x14ac:dyDescent="0.25">
      <c r="A17121" t="s">
        <v>14500</v>
      </c>
      <c r="B17121" t="s">
        <v>72</v>
      </c>
      <c r="C17121" s="2">
        <f>HYPERLINK("https://cao.dolgi.msk.ru/account/1080162978/", 1080162978)</f>
        <v>1080162978</v>
      </c>
      <c r="D17121" t="s">
        <v>14524</v>
      </c>
      <c r="E17121">
        <v>-789.34</v>
      </c>
      <c r="F17121">
        <v>-0.12</v>
      </c>
      <c r="G17121" t="s">
        <v>12</v>
      </c>
      <c r="I17121" t="s">
        <v>2409</v>
      </c>
    </row>
    <row r="17122" spans="1:9" hidden="1" x14ac:dyDescent="0.25">
      <c r="A17122" t="s">
        <v>14500</v>
      </c>
      <c r="B17122" t="s">
        <v>74</v>
      </c>
      <c r="C17122" s="2">
        <f>HYPERLINK("https://cao.dolgi.msk.ru/account/1080162994/", 1080162994)</f>
        <v>1080162994</v>
      </c>
      <c r="D17122" t="s">
        <v>14525</v>
      </c>
      <c r="E17122">
        <v>6912.26</v>
      </c>
      <c r="F17122">
        <v>0.77</v>
      </c>
      <c r="G17122" t="s">
        <v>12</v>
      </c>
      <c r="I17122" t="s">
        <v>2409</v>
      </c>
    </row>
    <row r="17123" spans="1:9" hidden="1" x14ac:dyDescent="0.25">
      <c r="A17123" t="s">
        <v>14500</v>
      </c>
      <c r="B17123" t="s">
        <v>76</v>
      </c>
      <c r="C17123" s="2">
        <f>HYPERLINK("https://cao.dolgi.msk.ru/account/1080163006/", 1080163006)</f>
        <v>1080163006</v>
      </c>
      <c r="D17123" t="s">
        <v>14526</v>
      </c>
      <c r="E17123">
        <v>-7245.79</v>
      </c>
      <c r="F17123">
        <v>-1.01</v>
      </c>
      <c r="G17123" t="s">
        <v>12</v>
      </c>
      <c r="I17123" t="s">
        <v>2409</v>
      </c>
    </row>
    <row r="17124" spans="1:9" hidden="1" x14ac:dyDescent="0.25">
      <c r="A17124" t="s">
        <v>14500</v>
      </c>
      <c r="B17124" t="s">
        <v>78</v>
      </c>
      <c r="C17124" s="2">
        <f>HYPERLINK("https://cao.dolgi.msk.ru/account/1080163014/", 1080163014)</f>
        <v>1080163014</v>
      </c>
      <c r="D17124" t="s">
        <v>14527</v>
      </c>
      <c r="E17124">
        <v>-11464.69</v>
      </c>
      <c r="F17124">
        <v>-1</v>
      </c>
      <c r="G17124" t="s">
        <v>12</v>
      </c>
      <c r="I17124" t="s">
        <v>2409</v>
      </c>
    </row>
    <row r="17125" spans="1:9" hidden="1" x14ac:dyDescent="0.25">
      <c r="A17125" t="s">
        <v>14500</v>
      </c>
      <c r="B17125" t="s">
        <v>80</v>
      </c>
      <c r="C17125" s="2">
        <f>HYPERLINK("https://cao.dolgi.msk.ru/account/1080163022/", 1080163022)</f>
        <v>1080163022</v>
      </c>
      <c r="D17125" t="s">
        <v>14528</v>
      </c>
      <c r="E17125">
        <v>-58.68</v>
      </c>
      <c r="F17125">
        <v>-0.01</v>
      </c>
      <c r="G17125" t="s">
        <v>12</v>
      </c>
      <c r="I17125" t="s">
        <v>2409</v>
      </c>
    </row>
    <row r="17126" spans="1:9" hidden="1" x14ac:dyDescent="0.25">
      <c r="A17126" t="s">
        <v>14500</v>
      </c>
      <c r="B17126" t="s">
        <v>82</v>
      </c>
      <c r="C17126" s="2">
        <f>HYPERLINK("https://cao.dolgi.msk.ru/account/1080163049/", 1080163049)</f>
        <v>1080163049</v>
      </c>
      <c r="D17126" t="s">
        <v>14529</v>
      </c>
      <c r="E17126">
        <v>-13172.29</v>
      </c>
      <c r="F17126">
        <v>-1.93</v>
      </c>
      <c r="G17126" t="s">
        <v>12</v>
      </c>
      <c r="I17126" t="s">
        <v>2409</v>
      </c>
    </row>
    <row r="17127" spans="1:9" hidden="1" x14ac:dyDescent="0.25">
      <c r="A17127" t="s">
        <v>14500</v>
      </c>
      <c r="B17127" t="s">
        <v>84</v>
      </c>
      <c r="C17127" s="2">
        <f>HYPERLINK("https://cao.dolgi.msk.ru/account/1080163057/", 1080163057)</f>
        <v>1080163057</v>
      </c>
      <c r="D17127" t="s">
        <v>14530</v>
      </c>
      <c r="E17127">
        <v>-3755.4</v>
      </c>
      <c r="F17127">
        <v>-1.04</v>
      </c>
      <c r="G17127" t="s">
        <v>12</v>
      </c>
      <c r="I17127" t="s">
        <v>2409</v>
      </c>
    </row>
    <row r="17128" spans="1:9" hidden="1" x14ac:dyDescent="0.25">
      <c r="A17128" t="s">
        <v>14500</v>
      </c>
      <c r="B17128" t="s">
        <v>86</v>
      </c>
      <c r="C17128" s="2">
        <f>HYPERLINK("https://cao.dolgi.msk.ru/account/1080163065/", 1080163065)</f>
        <v>1080163065</v>
      </c>
      <c r="D17128" t="s">
        <v>14531</v>
      </c>
      <c r="E17128">
        <v>0</v>
      </c>
      <c r="F17128">
        <v>0</v>
      </c>
      <c r="G17128" t="s">
        <v>12</v>
      </c>
      <c r="I17128" t="s">
        <v>2409</v>
      </c>
    </row>
    <row r="17129" spans="1:9" hidden="1" x14ac:dyDescent="0.25">
      <c r="A17129" t="s">
        <v>14500</v>
      </c>
      <c r="B17129" t="s">
        <v>88</v>
      </c>
      <c r="C17129" s="2">
        <f>HYPERLINK("https://cao.dolgi.msk.ru/account/1080163073/", 1080163073)</f>
        <v>1080163073</v>
      </c>
      <c r="D17129" t="s">
        <v>14532</v>
      </c>
      <c r="E17129">
        <v>-8377.93</v>
      </c>
      <c r="F17129">
        <v>-1.18</v>
      </c>
      <c r="G17129" t="s">
        <v>12</v>
      </c>
      <c r="I17129" t="s">
        <v>2409</v>
      </c>
    </row>
    <row r="17130" spans="1:9" hidden="1" x14ac:dyDescent="0.25">
      <c r="A17130" t="s">
        <v>14500</v>
      </c>
      <c r="B17130" t="s">
        <v>90</v>
      </c>
      <c r="C17130" s="2">
        <f>HYPERLINK("https://cao.dolgi.msk.ru/account/1080163081/", 1080163081)</f>
        <v>1080163081</v>
      </c>
      <c r="D17130" t="s">
        <v>14533</v>
      </c>
      <c r="E17130">
        <v>-7082.09</v>
      </c>
      <c r="F17130">
        <v>-1.95</v>
      </c>
      <c r="G17130" t="s">
        <v>12</v>
      </c>
      <c r="I17130" t="s">
        <v>2409</v>
      </c>
    </row>
    <row r="17131" spans="1:9" hidden="1" x14ac:dyDescent="0.25">
      <c r="A17131" t="s">
        <v>14500</v>
      </c>
      <c r="B17131" t="s">
        <v>92</v>
      </c>
      <c r="C17131" s="2">
        <f>HYPERLINK("https://cao.dolgi.msk.ru/account/1080163102/", 1080163102)</f>
        <v>1080163102</v>
      </c>
      <c r="D17131" t="s">
        <v>14534</v>
      </c>
      <c r="E17131">
        <v>-4074.76</v>
      </c>
      <c r="F17131">
        <v>-1.27</v>
      </c>
      <c r="G17131" t="s">
        <v>12</v>
      </c>
      <c r="I17131" t="s">
        <v>2409</v>
      </c>
    </row>
    <row r="17132" spans="1:9" hidden="1" x14ac:dyDescent="0.25">
      <c r="A17132" t="s">
        <v>14500</v>
      </c>
      <c r="B17132" t="s">
        <v>94</v>
      </c>
      <c r="C17132" s="2">
        <f>HYPERLINK("https://cao.dolgi.msk.ru/account/1080163129/", 1080163129)</f>
        <v>1080163129</v>
      </c>
      <c r="D17132" t="s">
        <v>14535</v>
      </c>
      <c r="E17132">
        <v>-5849.7</v>
      </c>
      <c r="F17132">
        <v>-1.1299999999999999</v>
      </c>
      <c r="G17132" t="s">
        <v>12</v>
      </c>
      <c r="I17132" t="s">
        <v>2409</v>
      </c>
    </row>
    <row r="17133" spans="1:9" hidden="1" x14ac:dyDescent="0.25">
      <c r="A17133" t="s">
        <v>14500</v>
      </c>
      <c r="B17133" t="s">
        <v>96</v>
      </c>
      <c r="C17133" s="2">
        <f>HYPERLINK("https://cao.dolgi.msk.ru/account/1080163137/", 1080163137)</f>
        <v>1080163137</v>
      </c>
      <c r="D17133" t="s">
        <v>14536</v>
      </c>
      <c r="E17133">
        <v>-8056.01</v>
      </c>
      <c r="F17133">
        <v>-1.0900000000000001</v>
      </c>
      <c r="G17133" t="s">
        <v>12</v>
      </c>
      <c r="I17133" t="s">
        <v>2409</v>
      </c>
    </row>
    <row r="17134" spans="1:9" hidden="1" x14ac:dyDescent="0.25">
      <c r="A17134" t="s">
        <v>14500</v>
      </c>
      <c r="B17134" t="s">
        <v>98</v>
      </c>
      <c r="C17134" s="2">
        <f>HYPERLINK("https://cao.dolgi.msk.ru/account/1080163145/", 1080163145)</f>
        <v>1080163145</v>
      </c>
      <c r="D17134" t="s">
        <v>14537</v>
      </c>
      <c r="E17134">
        <v>-6705.72</v>
      </c>
      <c r="F17134">
        <v>-1.42</v>
      </c>
      <c r="G17134" t="s">
        <v>12</v>
      </c>
      <c r="I17134" t="s">
        <v>2409</v>
      </c>
    </row>
    <row r="17135" spans="1:9" hidden="1" x14ac:dyDescent="0.25">
      <c r="A17135" t="s">
        <v>14500</v>
      </c>
      <c r="B17135" t="s">
        <v>100</v>
      </c>
      <c r="C17135" s="2">
        <f>HYPERLINK("https://cao.dolgi.msk.ru/account/1080163153/", 1080163153)</f>
        <v>1080163153</v>
      </c>
      <c r="D17135" t="s">
        <v>14538</v>
      </c>
      <c r="E17135">
        <v>-5.34</v>
      </c>
      <c r="F17135">
        <v>0</v>
      </c>
      <c r="G17135" t="s">
        <v>12</v>
      </c>
      <c r="I17135" t="s">
        <v>2409</v>
      </c>
    </row>
    <row r="17136" spans="1:9" hidden="1" x14ac:dyDescent="0.25">
      <c r="A17136" t="s">
        <v>14500</v>
      </c>
      <c r="B17136" t="s">
        <v>102</v>
      </c>
      <c r="C17136" s="2">
        <f>HYPERLINK("https://cao.dolgi.msk.ru/account/1080163161/", 1080163161)</f>
        <v>1080163161</v>
      </c>
      <c r="D17136" t="s">
        <v>14539</v>
      </c>
      <c r="E17136">
        <v>-5272.57</v>
      </c>
      <c r="F17136">
        <v>-1.36</v>
      </c>
      <c r="G17136" t="s">
        <v>12</v>
      </c>
      <c r="I17136" t="s">
        <v>2409</v>
      </c>
    </row>
    <row r="17137" spans="1:9" hidden="1" x14ac:dyDescent="0.25">
      <c r="A17137" t="s">
        <v>14500</v>
      </c>
      <c r="B17137" t="s">
        <v>104</v>
      </c>
      <c r="C17137" s="2">
        <f>HYPERLINK("https://cao.dolgi.msk.ru/account/1080163188/", 1080163188)</f>
        <v>1080163188</v>
      </c>
      <c r="D17137" t="s">
        <v>14540</v>
      </c>
      <c r="E17137">
        <v>-4160.21</v>
      </c>
      <c r="F17137">
        <v>-0.85</v>
      </c>
      <c r="G17137" t="s">
        <v>12</v>
      </c>
      <c r="I17137" t="s">
        <v>2409</v>
      </c>
    </row>
    <row r="17138" spans="1:9" hidden="1" x14ac:dyDescent="0.25">
      <c r="A17138" t="s">
        <v>14500</v>
      </c>
      <c r="B17138" t="s">
        <v>104</v>
      </c>
      <c r="C17138" s="2">
        <f>HYPERLINK("https://cao.dolgi.msk.ru/account/1089133233/", 1089133233)</f>
        <v>1089133233</v>
      </c>
      <c r="D17138" t="s">
        <v>15</v>
      </c>
      <c r="E17138">
        <v>0</v>
      </c>
      <c r="F17138">
        <v>0</v>
      </c>
      <c r="G17138" t="s">
        <v>14</v>
      </c>
      <c r="I17138" t="s">
        <v>2409</v>
      </c>
    </row>
    <row r="17139" spans="1:9" hidden="1" x14ac:dyDescent="0.25">
      <c r="A17139" t="s">
        <v>14500</v>
      </c>
      <c r="B17139" t="s">
        <v>106</v>
      </c>
      <c r="C17139" s="2">
        <f>HYPERLINK("https://cao.dolgi.msk.ru/account/1080163196/", 1080163196)</f>
        <v>1080163196</v>
      </c>
      <c r="D17139" t="s">
        <v>14541</v>
      </c>
      <c r="E17139">
        <v>-5978.11</v>
      </c>
      <c r="F17139">
        <v>-1.35</v>
      </c>
      <c r="G17139" t="s">
        <v>12</v>
      </c>
      <c r="I17139" t="s">
        <v>2409</v>
      </c>
    </row>
    <row r="17140" spans="1:9" hidden="1" x14ac:dyDescent="0.25">
      <c r="A17140" t="s">
        <v>14500</v>
      </c>
      <c r="B17140" t="s">
        <v>108</v>
      </c>
      <c r="C17140" s="2">
        <f>HYPERLINK("https://cao.dolgi.msk.ru/account/1080163209/", 1080163209)</f>
        <v>1080163209</v>
      </c>
      <c r="D17140" t="s">
        <v>14542</v>
      </c>
      <c r="E17140">
        <v>-6639.58</v>
      </c>
      <c r="F17140">
        <v>-1.1399999999999999</v>
      </c>
      <c r="G17140" t="s">
        <v>12</v>
      </c>
      <c r="I17140" t="s">
        <v>2409</v>
      </c>
    </row>
    <row r="17141" spans="1:9" hidden="1" x14ac:dyDescent="0.25">
      <c r="A17141" t="s">
        <v>14500</v>
      </c>
      <c r="B17141" t="s">
        <v>110</v>
      </c>
      <c r="C17141" s="2">
        <f>HYPERLINK("https://cao.dolgi.msk.ru/account/1080163217/", 1080163217)</f>
        <v>1080163217</v>
      </c>
      <c r="D17141" t="s">
        <v>14543</v>
      </c>
      <c r="E17141">
        <v>-7110.86</v>
      </c>
      <c r="F17141">
        <v>-1.1499999999999999</v>
      </c>
      <c r="G17141" t="s">
        <v>12</v>
      </c>
      <c r="I17141" t="s">
        <v>2409</v>
      </c>
    </row>
    <row r="17142" spans="1:9" hidden="1" x14ac:dyDescent="0.25">
      <c r="A17142" t="s">
        <v>14500</v>
      </c>
      <c r="B17142" t="s">
        <v>112</v>
      </c>
      <c r="C17142" s="2">
        <f>HYPERLINK("https://cao.dolgi.msk.ru/account/1080163225/", 1080163225)</f>
        <v>1080163225</v>
      </c>
      <c r="D17142" t="s">
        <v>14544</v>
      </c>
      <c r="E17142">
        <v>-5811.76</v>
      </c>
      <c r="F17142">
        <v>-1.1599999999999999</v>
      </c>
      <c r="G17142" t="s">
        <v>12</v>
      </c>
      <c r="I17142" t="s">
        <v>2409</v>
      </c>
    </row>
    <row r="17143" spans="1:9" x14ac:dyDescent="0.25">
      <c r="A17143" t="s">
        <v>14500</v>
      </c>
      <c r="B17143" t="s">
        <v>114</v>
      </c>
      <c r="C17143" s="2">
        <f>HYPERLINK("https://cao.dolgi.msk.ru/account/1080163233/", 1080163233)</f>
        <v>1080163233</v>
      </c>
      <c r="D17143" t="s">
        <v>14545</v>
      </c>
      <c r="E17143">
        <v>34363.61</v>
      </c>
      <c r="F17143">
        <v>5.31</v>
      </c>
      <c r="G17143" t="s">
        <v>12</v>
      </c>
      <c r="I17143" t="s">
        <v>2409</v>
      </c>
    </row>
    <row r="17144" spans="1:9" hidden="1" x14ac:dyDescent="0.25">
      <c r="A17144" t="s">
        <v>14500</v>
      </c>
      <c r="B17144" t="s">
        <v>116</v>
      </c>
      <c r="C17144" s="2">
        <f>HYPERLINK("https://cao.dolgi.msk.ru/account/1080163241/", 1080163241)</f>
        <v>1080163241</v>
      </c>
      <c r="D17144" t="s">
        <v>14546</v>
      </c>
      <c r="E17144">
        <v>-9573.66</v>
      </c>
      <c r="F17144">
        <v>-1.94</v>
      </c>
      <c r="G17144" t="s">
        <v>12</v>
      </c>
      <c r="I17144" t="s">
        <v>2409</v>
      </c>
    </row>
    <row r="17145" spans="1:9" hidden="1" x14ac:dyDescent="0.25">
      <c r="A17145" t="s">
        <v>14500</v>
      </c>
      <c r="B17145" t="s">
        <v>118</v>
      </c>
      <c r="C17145" s="2">
        <f>HYPERLINK("https://cao.dolgi.msk.ru/account/1080163268/", 1080163268)</f>
        <v>1080163268</v>
      </c>
      <c r="D17145" t="s">
        <v>14547</v>
      </c>
      <c r="E17145">
        <v>-3550.74</v>
      </c>
      <c r="F17145">
        <v>-0.92</v>
      </c>
      <c r="G17145" t="s">
        <v>12</v>
      </c>
      <c r="I17145" t="s">
        <v>2409</v>
      </c>
    </row>
    <row r="17146" spans="1:9" hidden="1" x14ac:dyDescent="0.25">
      <c r="A17146" t="s">
        <v>14500</v>
      </c>
      <c r="B17146" t="s">
        <v>120</v>
      </c>
      <c r="C17146" s="2">
        <f>HYPERLINK("https://cao.dolgi.msk.ru/account/1080163276/", 1080163276)</f>
        <v>1080163276</v>
      </c>
      <c r="D17146" t="s">
        <v>14548</v>
      </c>
      <c r="E17146">
        <v>417.38</v>
      </c>
      <c r="F17146">
        <v>0.08</v>
      </c>
      <c r="G17146" t="s">
        <v>12</v>
      </c>
      <c r="I17146" t="s">
        <v>2409</v>
      </c>
    </row>
    <row r="17147" spans="1:9" hidden="1" x14ac:dyDescent="0.25">
      <c r="A17147" t="s">
        <v>14500</v>
      </c>
      <c r="B17147" t="s">
        <v>122</v>
      </c>
      <c r="C17147" s="2">
        <f>HYPERLINK("https://cao.dolgi.msk.ru/account/1080163284/", 1080163284)</f>
        <v>1080163284</v>
      </c>
      <c r="D17147" t="s">
        <v>14549</v>
      </c>
      <c r="E17147">
        <v>-8197</v>
      </c>
      <c r="F17147">
        <v>-1.93</v>
      </c>
      <c r="G17147" t="s">
        <v>12</v>
      </c>
      <c r="I17147" t="s">
        <v>2409</v>
      </c>
    </row>
    <row r="17148" spans="1:9" hidden="1" x14ac:dyDescent="0.25">
      <c r="A17148" t="s">
        <v>14500</v>
      </c>
      <c r="B17148" t="s">
        <v>124</v>
      </c>
      <c r="C17148" s="2">
        <f>HYPERLINK("https://cao.dolgi.msk.ru/account/1080163292/", 1080163292)</f>
        <v>1080163292</v>
      </c>
      <c r="D17148" t="s">
        <v>14550</v>
      </c>
      <c r="E17148">
        <v>-5274.41</v>
      </c>
      <c r="F17148">
        <v>-1.23</v>
      </c>
      <c r="G17148" t="s">
        <v>12</v>
      </c>
      <c r="I17148" t="s">
        <v>2409</v>
      </c>
    </row>
    <row r="17149" spans="1:9" hidden="1" x14ac:dyDescent="0.25">
      <c r="A17149" t="s">
        <v>14500</v>
      </c>
      <c r="B17149" t="s">
        <v>126</v>
      </c>
      <c r="C17149" s="2">
        <f>HYPERLINK("https://cao.dolgi.msk.ru/account/1080163305/", 1080163305)</f>
        <v>1080163305</v>
      </c>
      <c r="D17149" t="s">
        <v>14551</v>
      </c>
      <c r="E17149">
        <v>-7826.78</v>
      </c>
      <c r="F17149">
        <v>-1.1499999999999999</v>
      </c>
      <c r="G17149" t="s">
        <v>12</v>
      </c>
      <c r="I17149" t="s">
        <v>2409</v>
      </c>
    </row>
    <row r="17150" spans="1:9" hidden="1" x14ac:dyDescent="0.25">
      <c r="A17150" t="s">
        <v>14500</v>
      </c>
      <c r="B17150" t="s">
        <v>128</v>
      </c>
      <c r="C17150" s="2">
        <f>HYPERLINK("https://cao.dolgi.msk.ru/account/1080163313/", 1080163313)</f>
        <v>1080163313</v>
      </c>
      <c r="D17150" t="s">
        <v>14552</v>
      </c>
      <c r="E17150">
        <v>7002.81</v>
      </c>
      <c r="F17150">
        <v>0.97</v>
      </c>
      <c r="G17150" t="s">
        <v>12</v>
      </c>
      <c r="I17150" t="s">
        <v>2409</v>
      </c>
    </row>
    <row r="17151" spans="1:9" hidden="1" x14ac:dyDescent="0.25">
      <c r="A17151" t="s">
        <v>14500</v>
      </c>
      <c r="B17151" t="s">
        <v>130</v>
      </c>
      <c r="C17151" s="2">
        <f>HYPERLINK("https://cao.dolgi.msk.ru/account/1080163321/", 1080163321)</f>
        <v>1080163321</v>
      </c>
      <c r="D17151" t="s">
        <v>14553</v>
      </c>
      <c r="E17151">
        <v>-39479.46</v>
      </c>
      <c r="F17151">
        <v>-2.84</v>
      </c>
      <c r="G17151" t="s">
        <v>12</v>
      </c>
      <c r="I17151" t="s">
        <v>2409</v>
      </c>
    </row>
    <row r="17152" spans="1:9" hidden="1" x14ac:dyDescent="0.25">
      <c r="A17152" t="s">
        <v>14500</v>
      </c>
      <c r="B17152" t="s">
        <v>132</v>
      </c>
      <c r="C17152" s="2">
        <f>HYPERLINK("https://cao.dolgi.msk.ru/account/1080163348/", 1080163348)</f>
        <v>1080163348</v>
      </c>
      <c r="D17152" t="s">
        <v>14554</v>
      </c>
      <c r="E17152">
        <v>-5554.75</v>
      </c>
      <c r="F17152">
        <v>-1.19</v>
      </c>
      <c r="G17152" t="s">
        <v>12</v>
      </c>
      <c r="I17152" t="s">
        <v>2409</v>
      </c>
    </row>
    <row r="17153" spans="1:9" hidden="1" x14ac:dyDescent="0.25">
      <c r="A17153" t="s">
        <v>14500</v>
      </c>
      <c r="B17153" t="s">
        <v>133</v>
      </c>
      <c r="C17153" s="2">
        <f>HYPERLINK("https://cao.dolgi.msk.ru/account/1080163364/", 1080163364)</f>
        <v>1080163364</v>
      </c>
      <c r="D17153" t="s">
        <v>14555</v>
      </c>
      <c r="E17153">
        <v>-4680.95</v>
      </c>
      <c r="F17153">
        <v>-1.06</v>
      </c>
      <c r="G17153" t="s">
        <v>12</v>
      </c>
      <c r="I17153" t="s">
        <v>2409</v>
      </c>
    </row>
    <row r="17154" spans="1:9" hidden="1" x14ac:dyDescent="0.25">
      <c r="A17154" t="s">
        <v>14500</v>
      </c>
      <c r="B17154" t="s">
        <v>135</v>
      </c>
      <c r="C17154" s="2">
        <f>HYPERLINK("https://cao.dolgi.msk.ru/account/1080163372/", 1080163372)</f>
        <v>1080163372</v>
      </c>
      <c r="D17154" t="s">
        <v>14556</v>
      </c>
      <c r="E17154">
        <v>-256.14</v>
      </c>
      <c r="F17154">
        <v>-0.04</v>
      </c>
      <c r="G17154" t="s">
        <v>12</v>
      </c>
      <c r="I17154" t="s">
        <v>2409</v>
      </c>
    </row>
    <row r="17155" spans="1:9" hidden="1" x14ac:dyDescent="0.25">
      <c r="A17155" t="s">
        <v>14500</v>
      </c>
      <c r="B17155" t="s">
        <v>137</v>
      </c>
      <c r="C17155" s="2">
        <f>HYPERLINK("https://cao.dolgi.msk.ru/account/1080163399/", 1080163399)</f>
        <v>1080163399</v>
      </c>
      <c r="D17155" t="s">
        <v>14557</v>
      </c>
      <c r="E17155">
        <v>-32784.15</v>
      </c>
      <c r="F17155">
        <v>-5.52</v>
      </c>
      <c r="G17155" t="s">
        <v>12</v>
      </c>
      <c r="I17155" t="s">
        <v>2409</v>
      </c>
    </row>
    <row r="17156" spans="1:9" hidden="1" x14ac:dyDescent="0.25">
      <c r="A17156" t="s">
        <v>14500</v>
      </c>
      <c r="B17156" t="s">
        <v>139</v>
      </c>
      <c r="C17156" s="2">
        <f>HYPERLINK("https://cao.dolgi.msk.ru/account/1080163401/", 1080163401)</f>
        <v>1080163401</v>
      </c>
      <c r="D17156" t="s">
        <v>14558</v>
      </c>
      <c r="E17156">
        <v>-2532.3000000000002</v>
      </c>
      <c r="F17156">
        <v>-1.28</v>
      </c>
      <c r="G17156" t="s">
        <v>12</v>
      </c>
      <c r="H17156" t="s">
        <v>7</v>
      </c>
      <c r="I17156" t="s">
        <v>2409</v>
      </c>
    </row>
    <row r="17157" spans="1:9" hidden="1" x14ac:dyDescent="0.25">
      <c r="A17157" t="s">
        <v>14500</v>
      </c>
      <c r="B17157" t="s">
        <v>139</v>
      </c>
      <c r="C17157" s="2">
        <f>HYPERLINK("https://cao.dolgi.msk.ru/account/1080163428/", 1080163428)</f>
        <v>1080163428</v>
      </c>
      <c r="D17157" t="s">
        <v>14558</v>
      </c>
      <c r="E17157">
        <v>-6013.14</v>
      </c>
      <c r="F17157">
        <v>-1.25</v>
      </c>
      <c r="G17157" t="s">
        <v>12</v>
      </c>
      <c r="H17157" t="s">
        <v>7</v>
      </c>
      <c r="I17157" t="s">
        <v>2409</v>
      </c>
    </row>
    <row r="17158" spans="1:9" hidden="1" x14ac:dyDescent="0.25">
      <c r="A17158" t="s">
        <v>14500</v>
      </c>
      <c r="B17158" t="s">
        <v>139</v>
      </c>
      <c r="C17158" s="2">
        <f>HYPERLINK("https://cao.dolgi.msk.ru/account/1080163436/", 1080163436)</f>
        <v>1080163436</v>
      </c>
      <c r="D17158" t="s">
        <v>15</v>
      </c>
      <c r="G17158" t="s">
        <v>14</v>
      </c>
      <c r="H17158" t="s">
        <v>7</v>
      </c>
      <c r="I17158" t="s">
        <v>2409</v>
      </c>
    </row>
    <row r="17159" spans="1:9" hidden="1" x14ac:dyDescent="0.25">
      <c r="A17159" t="s">
        <v>14500</v>
      </c>
      <c r="B17159" t="s">
        <v>141</v>
      </c>
      <c r="C17159" s="2">
        <f>HYPERLINK("https://cao.dolgi.msk.ru/account/1080163444/", 1080163444)</f>
        <v>1080163444</v>
      </c>
      <c r="D17159" t="s">
        <v>15</v>
      </c>
      <c r="E17159">
        <v>-5912.51</v>
      </c>
      <c r="F17159">
        <v>-1.21</v>
      </c>
      <c r="G17159" t="s">
        <v>12</v>
      </c>
      <c r="I17159" t="s">
        <v>2409</v>
      </c>
    </row>
    <row r="17160" spans="1:9" hidden="1" x14ac:dyDescent="0.25">
      <c r="A17160" t="s">
        <v>14500</v>
      </c>
      <c r="B17160" t="s">
        <v>143</v>
      </c>
      <c r="C17160" s="2">
        <f>HYPERLINK("https://cao.dolgi.msk.ru/account/1080163786/", 1080163786)</f>
        <v>1080163786</v>
      </c>
      <c r="D17160" t="s">
        <v>14559</v>
      </c>
      <c r="G17160" t="s">
        <v>14</v>
      </c>
      <c r="I17160" t="s">
        <v>2409</v>
      </c>
    </row>
    <row r="17161" spans="1:9" hidden="1" x14ac:dyDescent="0.25">
      <c r="A17161" t="s">
        <v>14500</v>
      </c>
      <c r="B17161" t="s">
        <v>145</v>
      </c>
      <c r="C17161" s="2">
        <f>HYPERLINK("https://cao.dolgi.msk.ru/account/1080163794/", 1080163794)</f>
        <v>1080163794</v>
      </c>
      <c r="D17161" t="s">
        <v>14560</v>
      </c>
      <c r="E17161">
        <v>0</v>
      </c>
      <c r="G17161" t="s">
        <v>14</v>
      </c>
      <c r="I17161" t="s">
        <v>2409</v>
      </c>
    </row>
    <row r="17162" spans="1:9" hidden="1" x14ac:dyDescent="0.25">
      <c r="A17162" t="s">
        <v>14500</v>
      </c>
      <c r="B17162" t="s">
        <v>147</v>
      </c>
      <c r="C17162" s="2">
        <f>HYPERLINK("https://cao.dolgi.msk.ru/account/1080163452/", 1080163452)</f>
        <v>1080163452</v>
      </c>
      <c r="D17162" t="s">
        <v>14561</v>
      </c>
      <c r="E17162">
        <v>-6283.04</v>
      </c>
      <c r="F17162">
        <v>-1.03</v>
      </c>
      <c r="G17162" t="s">
        <v>12</v>
      </c>
      <c r="I17162" t="s">
        <v>2409</v>
      </c>
    </row>
    <row r="17163" spans="1:9" hidden="1" x14ac:dyDescent="0.25">
      <c r="A17163" t="s">
        <v>14500</v>
      </c>
      <c r="B17163" t="s">
        <v>149</v>
      </c>
      <c r="C17163" s="2">
        <f>HYPERLINK("https://cao.dolgi.msk.ru/account/1080163479/", 1080163479)</f>
        <v>1080163479</v>
      </c>
      <c r="D17163" t="s">
        <v>14562</v>
      </c>
      <c r="E17163">
        <v>11.57</v>
      </c>
      <c r="F17163">
        <v>0</v>
      </c>
      <c r="G17163" t="s">
        <v>12</v>
      </c>
      <c r="I17163" t="s">
        <v>2409</v>
      </c>
    </row>
    <row r="17164" spans="1:9" hidden="1" x14ac:dyDescent="0.25">
      <c r="A17164" t="s">
        <v>14500</v>
      </c>
      <c r="B17164" t="s">
        <v>151</v>
      </c>
      <c r="C17164" s="2">
        <f>HYPERLINK("https://cao.dolgi.msk.ru/account/1080163487/", 1080163487)</f>
        <v>1080163487</v>
      </c>
      <c r="D17164" t="s">
        <v>14563</v>
      </c>
      <c r="E17164">
        <v>-171.97</v>
      </c>
      <c r="F17164">
        <v>-0.03</v>
      </c>
      <c r="G17164" t="s">
        <v>12</v>
      </c>
      <c r="I17164" t="s">
        <v>2409</v>
      </c>
    </row>
    <row r="17165" spans="1:9" hidden="1" x14ac:dyDescent="0.25">
      <c r="A17165" t="s">
        <v>14500</v>
      </c>
      <c r="B17165" t="s">
        <v>153</v>
      </c>
      <c r="C17165" s="2">
        <f>HYPERLINK("https://cao.dolgi.msk.ru/account/1080163495/", 1080163495)</f>
        <v>1080163495</v>
      </c>
      <c r="D17165" t="s">
        <v>14564</v>
      </c>
      <c r="E17165">
        <v>0</v>
      </c>
      <c r="G17165" t="s">
        <v>14</v>
      </c>
      <c r="I17165" t="s">
        <v>2409</v>
      </c>
    </row>
    <row r="17166" spans="1:9" hidden="1" x14ac:dyDescent="0.25">
      <c r="A17166" t="s">
        <v>14500</v>
      </c>
      <c r="B17166" t="s">
        <v>153</v>
      </c>
      <c r="C17166" s="2">
        <f>HYPERLINK("https://cao.dolgi.msk.ru/account/1080163807/", 1080163807)</f>
        <v>1080163807</v>
      </c>
      <c r="D17166" t="s">
        <v>14565</v>
      </c>
      <c r="E17166">
        <v>-9937.2900000000009</v>
      </c>
      <c r="F17166">
        <v>-1.1499999999999999</v>
      </c>
      <c r="G17166" t="s">
        <v>12</v>
      </c>
      <c r="I17166" t="s">
        <v>2409</v>
      </c>
    </row>
    <row r="17167" spans="1:9" hidden="1" x14ac:dyDescent="0.25">
      <c r="A17167" t="s">
        <v>14500</v>
      </c>
      <c r="B17167" t="s">
        <v>153</v>
      </c>
      <c r="C17167" s="2">
        <f>HYPERLINK("https://cao.dolgi.msk.ru/account/1080163815/", 1080163815)</f>
        <v>1080163815</v>
      </c>
      <c r="D17167" t="s">
        <v>14565</v>
      </c>
      <c r="E17167">
        <v>-47.41</v>
      </c>
      <c r="G17167" t="s">
        <v>14</v>
      </c>
      <c r="I17167" t="s">
        <v>2409</v>
      </c>
    </row>
    <row r="17168" spans="1:9" hidden="1" x14ac:dyDescent="0.25">
      <c r="A17168" t="s">
        <v>14500</v>
      </c>
      <c r="B17168" t="s">
        <v>155</v>
      </c>
      <c r="C17168" s="2">
        <f>HYPERLINK("https://cao.dolgi.msk.ru/account/1080163508/", 1080163508)</f>
        <v>1080163508</v>
      </c>
      <c r="D17168" t="s">
        <v>14566</v>
      </c>
      <c r="E17168">
        <v>-8804.7999999999993</v>
      </c>
      <c r="F17168">
        <v>-1.1399999999999999</v>
      </c>
      <c r="G17168" t="s">
        <v>12</v>
      </c>
      <c r="I17168" t="s">
        <v>2409</v>
      </c>
    </row>
    <row r="17169" spans="1:9" hidden="1" x14ac:dyDescent="0.25">
      <c r="A17169" t="s">
        <v>14500</v>
      </c>
      <c r="B17169" t="s">
        <v>157</v>
      </c>
      <c r="C17169" s="2">
        <f>HYPERLINK("https://cao.dolgi.msk.ru/account/1080163516/", 1080163516)</f>
        <v>1080163516</v>
      </c>
      <c r="D17169" t="s">
        <v>14567</v>
      </c>
      <c r="E17169">
        <v>-3974.94</v>
      </c>
      <c r="F17169">
        <v>-1.1100000000000001</v>
      </c>
      <c r="G17169" t="s">
        <v>12</v>
      </c>
      <c r="I17169" t="s">
        <v>2409</v>
      </c>
    </row>
    <row r="17170" spans="1:9" hidden="1" x14ac:dyDescent="0.25">
      <c r="A17170" t="s">
        <v>14500</v>
      </c>
      <c r="B17170" t="s">
        <v>159</v>
      </c>
      <c r="C17170" s="2">
        <f>HYPERLINK("https://cao.dolgi.msk.ru/account/1080163524/", 1080163524)</f>
        <v>1080163524</v>
      </c>
      <c r="D17170" t="s">
        <v>14568</v>
      </c>
      <c r="E17170">
        <v>-6476.36</v>
      </c>
      <c r="F17170">
        <v>-1.06</v>
      </c>
      <c r="G17170" t="s">
        <v>12</v>
      </c>
      <c r="I17170" t="s">
        <v>2409</v>
      </c>
    </row>
    <row r="17171" spans="1:9" hidden="1" x14ac:dyDescent="0.25">
      <c r="A17171" t="s">
        <v>14500</v>
      </c>
      <c r="B17171" t="s">
        <v>161</v>
      </c>
      <c r="C17171" s="2">
        <f>HYPERLINK("https://cao.dolgi.msk.ru/account/1080163532/", 1080163532)</f>
        <v>1080163532</v>
      </c>
      <c r="D17171" t="s">
        <v>14569</v>
      </c>
      <c r="E17171">
        <v>141.43</v>
      </c>
      <c r="F17171">
        <v>0.01</v>
      </c>
      <c r="G17171" t="s">
        <v>12</v>
      </c>
      <c r="I17171" t="s">
        <v>2409</v>
      </c>
    </row>
    <row r="17172" spans="1:9" x14ac:dyDescent="0.25">
      <c r="A17172" t="s">
        <v>14500</v>
      </c>
      <c r="B17172" t="s">
        <v>163</v>
      </c>
      <c r="C17172" s="2">
        <f>HYPERLINK("https://cao.dolgi.msk.ru/account/1080163559/", 1080163559)</f>
        <v>1080163559</v>
      </c>
      <c r="D17172" t="s">
        <v>14570</v>
      </c>
      <c r="E17172">
        <v>27330.81</v>
      </c>
      <c r="F17172">
        <v>3.35</v>
      </c>
      <c r="G17172" t="s">
        <v>12</v>
      </c>
      <c r="I17172" t="s">
        <v>2409</v>
      </c>
    </row>
    <row r="17173" spans="1:9" hidden="1" x14ac:dyDescent="0.25">
      <c r="A17173" t="s">
        <v>14500</v>
      </c>
      <c r="B17173" t="s">
        <v>571</v>
      </c>
      <c r="C17173" s="2">
        <f>HYPERLINK("https://cao.dolgi.msk.ru/account/1080163567/", 1080163567)</f>
        <v>1080163567</v>
      </c>
      <c r="D17173" t="s">
        <v>14571</v>
      </c>
      <c r="E17173">
        <v>-7942.83</v>
      </c>
      <c r="F17173">
        <v>-1.1100000000000001</v>
      </c>
      <c r="G17173" t="s">
        <v>12</v>
      </c>
      <c r="I17173" t="s">
        <v>2409</v>
      </c>
    </row>
    <row r="17174" spans="1:9" hidden="1" x14ac:dyDescent="0.25">
      <c r="A17174" t="s">
        <v>14500</v>
      </c>
      <c r="B17174" t="s">
        <v>682</v>
      </c>
      <c r="C17174" s="2">
        <f>HYPERLINK("https://cao.dolgi.msk.ru/account/1080163575/", 1080163575)</f>
        <v>1080163575</v>
      </c>
      <c r="D17174" t="s">
        <v>14572</v>
      </c>
      <c r="E17174">
        <v>-5392.53</v>
      </c>
      <c r="F17174">
        <v>-1.1599999999999999</v>
      </c>
      <c r="G17174" t="s">
        <v>12</v>
      </c>
      <c r="I17174" t="s">
        <v>2409</v>
      </c>
    </row>
    <row r="17175" spans="1:9" hidden="1" x14ac:dyDescent="0.25">
      <c r="A17175" t="s">
        <v>14500</v>
      </c>
      <c r="B17175" t="s">
        <v>578</v>
      </c>
      <c r="C17175" s="2">
        <f>HYPERLINK("https://cao.dolgi.msk.ru/account/1080163583/", 1080163583)</f>
        <v>1080163583</v>
      </c>
      <c r="D17175" t="s">
        <v>14573</v>
      </c>
      <c r="E17175">
        <v>-2338.8000000000002</v>
      </c>
      <c r="F17175">
        <v>-0.4</v>
      </c>
      <c r="G17175" t="s">
        <v>12</v>
      </c>
      <c r="I17175" t="s">
        <v>2409</v>
      </c>
    </row>
    <row r="17176" spans="1:9" hidden="1" x14ac:dyDescent="0.25">
      <c r="A17176" t="s">
        <v>14500</v>
      </c>
      <c r="B17176" t="s">
        <v>580</v>
      </c>
      <c r="C17176" s="2">
        <f>HYPERLINK("https://cao.dolgi.msk.ru/account/1080163591/", 1080163591)</f>
        <v>1080163591</v>
      </c>
      <c r="D17176" t="s">
        <v>14574</v>
      </c>
      <c r="E17176">
        <v>537.39</v>
      </c>
      <c r="F17176">
        <v>7.0000000000000007E-2</v>
      </c>
      <c r="G17176" t="s">
        <v>12</v>
      </c>
      <c r="I17176" t="s">
        <v>2409</v>
      </c>
    </row>
    <row r="17177" spans="1:9" hidden="1" x14ac:dyDescent="0.25">
      <c r="A17177" t="s">
        <v>14500</v>
      </c>
      <c r="B17177" t="s">
        <v>686</v>
      </c>
      <c r="C17177" s="2">
        <f>HYPERLINK("https://cao.dolgi.msk.ru/account/1080163604/", 1080163604)</f>
        <v>1080163604</v>
      </c>
      <c r="D17177" t="s">
        <v>14575</v>
      </c>
      <c r="E17177">
        <v>-5744.05</v>
      </c>
      <c r="F17177">
        <v>-1.1499999999999999</v>
      </c>
      <c r="G17177" t="s">
        <v>12</v>
      </c>
      <c r="I17177" t="s">
        <v>2409</v>
      </c>
    </row>
    <row r="17178" spans="1:9" x14ac:dyDescent="0.25">
      <c r="A17178" t="s">
        <v>14500</v>
      </c>
      <c r="B17178" t="s">
        <v>582</v>
      </c>
      <c r="C17178" s="2">
        <f>HYPERLINK("https://cao.dolgi.msk.ru/account/1080163612/", 1080163612)</f>
        <v>1080163612</v>
      </c>
      <c r="D17178" t="s">
        <v>14576</v>
      </c>
      <c r="E17178">
        <v>4058.14</v>
      </c>
      <c r="F17178">
        <v>1.36</v>
      </c>
      <c r="G17178" t="s">
        <v>12</v>
      </c>
      <c r="I17178" t="s">
        <v>2409</v>
      </c>
    </row>
    <row r="17179" spans="1:9" hidden="1" x14ac:dyDescent="0.25">
      <c r="A17179" t="s">
        <v>14500</v>
      </c>
      <c r="B17179" t="s">
        <v>584</v>
      </c>
      <c r="C17179" s="2">
        <f>HYPERLINK("https://cao.dolgi.msk.ru/account/1080163639/", 1080163639)</f>
        <v>1080163639</v>
      </c>
      <c r="D17179" t="s">
        <v>14577</v>
      </c>
      <c r="E17179">
        <v>-8179.86</v>
      </c>
      <c r="F17179">
        <v>-1.1399999999999999</v>
      </c>
      <c r="G17179" t="s">
        <v>12</v>
      </c>
      <c r="I17179" t="s">
        <v>2409</v>
      </c>
    </row>
    <row r="17180" spans="1:9" hidden="1" x14ac:dyDescent="0.25">
      <c r="A17180" t="s">
        <v>14500</v>
      </c>
      <c r="B17180" t="s">
        <v>586</v>
      </c>
      <c r="C17180" s="2">
        <f>HYPERLINK("https://cao.dolgi.msk.ru/account/1080163647/", 1080163647)</f>
        <v>1080163647</v>
      </c>
      <c r="D17180" t="s">
        <v>14578</v>
      </c>
      <c r="E17180">
        <v>-9858.57</v>
      </c>
      <c r="F17180">
        <v>-1.1000000000000001</v>
      </c>
      <c r="G17180" t="s">
        <v>12</v>
      </c>
      <c r="I17180" t="s">
        <v>2409</v>
      </c>
    </row>
    <row r="17181" spans="1:9" hidden="1" x14ac:dyDescent="0.25">
      <c r="A17181" t="s">
        <v>14500</v>
      </c>
      <c r="B17181" t="s">
        <v>588</v>
      </c>
      <c r="C17181" s="2">
        <f>HYPERLINK("https://cao.dolgi.msk.ru/account/1080163655/", 1080163655)</f>
        <v>1080163655</v>
      </c>
      <c r="D17181" t="s">
        <v>14579</v>
      </c>
      <c r="E17181">
        <v>-6052.69</v>
      </c>
      <c r="F17181">
        <v>-1.1100000000000001</v>
      </c>
      <c r="G17181" t="s">
        <v>12</v>
      </c>
      <c r="I17181" t="s">
        <v>2409</v>
      </c>
    </row>
    <row r="17182" spans="1:9" hidden="1" x14ac:dyDescent="0.25">
      <c r="A17182" t="s">
        <v>14500</v>
      </c>
      <c r="B17182" t="s">
        <v>590</v>
      </c>
      <c r="C17182" s="2">
        <f>HYPERLINK("https://cao.dolgi.msk.ru/account/1080163663/", 1080163663)</f>
        <v>1080163663</v>
      </c>
      <c r="D17182" t="s">
        <v>14580</v>
      </c>
      <c r="E17182">
        <v>-4018.23</v>
      </c>
      <c r="F17182">
        <v>-1.06</v>
      </c>
      <c r="G17182" t="s">
        <v>12</v>
      </c>
      <c r="I17182" t="s">
        <v>2409</v>
      </c>
    </row>
    <row r="17183" spans="1:9" x14ac:dyDescent="0.25">
      <c r="A17183" t="s">
        <v>14500</v>
      </c>
      <c r="B17183" t="s">
        <v>693</v>
      </c>
      <c r="C17183" s="2">
        <f>HYPERLINK("https://cao.dolgi.msk.ru/account/1080163671/", 1080163671)</f>
        <v>1080163671</v>
      </c>
      <c r="D17183" t="s">
        <v>14581</v>
      </c>
      <c r="E17183">
        <v>137460.76999999999</v>
      </c>
      <c r="F17183">
        <v>13.39</v>
      </c>
      <c r="G17183" t="s">
        <v>12</v>
      </c>
      <c r="I17183" t="s">
        <v>2409</v>
      </c>
    </row>
    <row r="17184" spans="1:9" x14ac:dyDescent="0.25">
      <c r="A17184" t="s">
        <v>14500</v>
      </c>
      <c r="B17184" t="s">
        <v>694</v>
      </c>
      <c r="C17184" s="2">
        <f>HYPERLINK("https://cao.dolgi.msk.ru/account/1080163698/", 1080163698)</f>
        <v>1080163698</v>
      </c>
      <c r="D17184" t="s">
        <v>1082</v>
      </c>
      <c r="E17184">
        <v>14611.45</v>
      </c>
      <c r="F17184">
        <v>6.87</v>
      </c>
      <c r="G17184" t="s">
        <v>12</v>
      </c>
      <c r="I17184" t="s">
        <v>2409</v>
      </c>
    </row>
    <row r="17185" spans="1:9" hidden="1" x14ac:dyDescent="0.25">
      <c r="A17185" t="s">
        <v>14500</v>
      </c>
      <c r="B17185" t="s">
        <v>696</v>
      </c>
      <c r="C17185" s="2">
        <f>HYPERLINK("https://cao.dolgi.msk.ru/account/1080163719/", 1080163719)</f>
        <v>1080163719</v>
      </c>
      <c r="D17185" t="s">
        <v>14582</v>
      </c>
      <c r="E17185">
        <v>-186.3</v>
      </c>
      <c r="F17185">
        <v>-0.02</v>
      </c>
      <c r="G17185" t="s">
        <v>12</v>
      </c>
      <c r="I17185" t="s">
        <v>2409</v>
      </c>
    </row>
    <row r="17186" spans="1:9" hidden="1" x14ac:dyDescent="0.25">
      <c r="A17186" t="s">
        <v>14500</v>
      </c>
      <c r="B17186" t="s">
        <v>698</v>
      </c>
      <c r="C17186" s="2">
        <f>HYPERLINK("https://cao.dolgi.msk.ru/account/1080163727/", 1080163727)</f>
        <v>1080163727</v>
      </c>
      <c r="D17186" t="s">
        <v>14583</v>
      </c>
      <c r="E17186">
        <v>-3764.06</v>
      </c>
      <c r="F17186">
        <v>-1.1200000000000001</v>
      </c>
      <c r="G17186" t="s">
        <v>12</v>
      </c>
      <c r="I17186" t="s">
        <v>2409</v>
      </c>
    </row>
    <row r="17187" spans="1:9" hidden="1" x14ac:dyDescent="0.25">
      <c r="A17187" t="s">
        <v>14500</v>
      </c>
      <c r="B17187" t="s">
        <v>700</v>
      </c>
      <c r="C17187" s="2">
        <f>HYPERLINK("https://cao.dolgi.msk.ru/account/1080163735/", 1080163735)</f>
        <v>1080163735</v>
      </c>
      <c r="D17187" t="s">
        <v>14584</v>
      </c>
      <c r="E17187">
        <v>-286.87</v>
      </c>
      <c r="F17187">
        <v>-0.02</v>
      </c>
      <c r="G17187" t="s">
        <v>12</v>
      </c>
      <c r="I17187" t="s">
        <v>2409</v>
      </c>
    </row>
    <row r="17188" spans="1:9" hidden="1" x14ac:dyDescent="0.25">
      <c r="A17188" t="s">
        <v>14500</v>
      </c>
      <c r="B17188" t="s">
        <v>702</v>
      </c>
      <c r="C17188" s="2">
        <f>HYPERLINK("https://cao.dolgi.msk.ru/account/1080163743/", 1080163743)</f>
        <v>1080163743</v>
      </c>
      <c r="D17188" t="s">
        <v>14585</v>
      </c>
      <c r="E17188">
        <v>-25009.88</v>
      </c>
      <c r="F17188">
        <v>-2.2200000000000002</v>
      </c>
      <c r="G17188" t="s">
        <v>12</v>
      </c>
      <c r="I17188" t="s">
        <v>2409</v>
      </c>
    </row>
    <row r="17189" spans="1:9" hidden="1" x14ac:dyDescent="0.25">
      <c r="A17189" t="s">
        <v>14500</v>
      </c>
      <c r="B17189" t="s">
        <v>703</v>
      </c>
      <c r="C17189" s="2">
        <f>HYPERLINK("https://cao.dolgi.msk.ru/account/1080163751/", 1080163751)</f>
        <v>1080163751</v>
      </c>
      <c r="D17189" t="s">
        <v>14586</v>
      </c>
      <c r="E17189">
        <v>-7688.41</v>
      </c>
      <c r="F17189">
        <v>-1.01</v>
      </c>
      <c r="G17189" t="s">
        <v>12</v>
      </c>
      <c r="I17189" t="s">
        <v>2409</v>
      </c>
    </row>
    <row r="17190" spans="1:9" hidden="1" x14ac:dyDescent="0.25">
      <c r="A17190" t="s">
        <v>14500</v>
      </c>
      <c r="B17190" t="s">
        <v>705</v>
      </c>
      <c r="C17190" s="2">
        <f>HYPERLINK("https://cao.dolgi.msk.ru/account/1080163778/", 1080163778)</f>
        <v>1080163778</v>
      </c>
      <c r="D17190" t="s">
        <v>62</v>
      </c>
      <c r="E17190">
        <v>6513.77</v>
      </c>
      <c r="F17190">
        <v>1</v>
      </c>
      <c r="G17190" t="s">
        <v>12</v>
      </c>
      <c r="I17190" t="s">
        <v>2409</v>
      </c>
    </row>
    <row r="17191" spans="1:9" hidden="1" x14ac:dyDescent="0.25">
      <c r="A17191" t="s">
        <v>14500</v>
      </c>
      <c r="B17191" t="s">
        <v>705</v>
      </c>
      <c r="C17191" s="2">
        <f>HYPERLINK("https://cao.dolgi.msk.ru/account/1089126172/", 1089126172)</f>
        <v>1089126172</v>
      </c>
      <c r="D17191" t="s">
        <v>15</v>
      </c>
      <c r="E17191">
        <v>0</v>
      </c>
      <c r="F17191">
        <v>0</v>
      </c>
      <c r="G17191" t="s">
        <v>14</v>
      </c>
      <c r="I17191" t="s">
        <v>2409</v>
      </c>
    </row>
    <row r="17192" spans="1:9" hidden="1" x14ac:dyDescent="0.25">
      <c r="A17192" t="s">
        <v>14500</v>
      </c>
      <c r="B17192" t="s">
        <v>707</v>
      </c>
      <c r="C17192" s="2">
        <f>HYPERLINK("https://cao.dolgi.msk.ru/account/1080163823/", 1080163823)</f>
        <v>1080163823</v>
      </c>
      <c r="D17192" t="s">
        <v>1082</v>
      </c>
      <c r="E17192">
        <v>6967.77</v>
      </c>
      <c r="F17192">
        <v>1</v>
      </c>
      <c r="G17192" t="s">
        <v>12</v>
      </c>
      <c r="I17192" t="s">
        <v>2409</v>
      </c>
    </row>
    <row r="17193" spans="1:9" hidden="1" x14ac:dyDescent="0.25">
      <c r="A17193" t="s">
        <v>14587</v>
      </c>
      <c r="B17193" t="s">
        <v>10</v>
      </c>
      <c r="C17193" s="2">
        <f>HYPERLINK("https://cao.dolgi.msk.ru/account/1080166346/", 1080166346)</f>
        <v>1080166346</v>
      </c>
      <c r="D17193" t="s">
        <v>14588</v>
      </c>
      <c r="E17193">
        <v>2614.75</v>
      </c>
      <c r="F17193">
        <v>0.54</v>
      </c>
      <c r="G17193" t="s">
        <v>12</v>
      </c>
      <c r="I17193" t="s">
        <v>2409</v>
      </c>
    </row>
    <row r="17194" spans="1:9" hidden="1" x14ac:dyDescent="0.25">
      <c r="A17194" t="s">
        <v>14587</v>
      </c>
      <c r="B17194" t="s">
        <v>16</v>
      </c>
      <c r="C17194" s="2">
        <f>HYPERLINK("https://cao.dolgi.msk.ru/account/1080142627/", 1080142627)</f>
        <v>1080142627</v>
      </c>
      <c r="D17194" t="s">
        <v>14589</v>
      </c>
      <c r="E17194">
        <v>-6748.16</v>
      </c>
      <c r="F17194">
        <v>-1.26</v>
      </c>
      <c r="G17194" t="s">
        <v>12</v>
      </c>
      <c r="I17194" t="s">
        <v>2409</v>
      </c>
    </row>
    <row r="17195" spans="1:9" hidden="1" x14ac:dyDescent="0.25">
      <c r="A17195" t="s">
        <v>14587</v>
      </c>
      <c r="B17195" t="s">
        <v>18</v>
      </c>
      <c r="C17195" s="2">
        <f>HYPERLINK("https://cao.dolgi.msk.ru/account/1080142635/", 1080142635)</f>
        <v>1080142635</v>
      </c>
      <c r="D17195" t="s">
        <v>14590</v>
      </c>
      <c r="E17195">
        <v>58.2</v>
      </c>
      <c r="F17195">
        <v>0</v>
      </c>
      <c r="G17195" t="s">
        <v>12</v>
      </c>
      <c r="I17195" t="s">
        <v>2409</v>
      </c>
    </row>
    <row r="17196" spans="1:9" hidden="1" x14ac:dyDescent="0.25">
      <c r="A17196" t="s">
        <v>14587</v>
      </c>
      <c r="B17196" t="s">
        <v>20</v>
      </c>
      <c r="C17196" s="2">
        <f>HYPERLINK("https://cao.dolgi.msk.ru/account/1080142643/", 1080142643)</f>
        <v>1080142643</v>
      </c>
      <c r="D17196" t="s">
        <v>14591</v>
      </c>
      <c r="E17196">
        <v>-12460.86</v>
      </c>
      <c r="F17196">
        <v>-1.1399999999999999</v>
      </c>
      <c r="G17196" t="s">
        <v>12</v>
      </c>
      <c r="I17196" t="s">
        <v>2409</v>
      </c>
    </row>
    <row r="17197" spans="1:9" hidden="1" x14ac:dyDescent="0.25">
      <c r="A17197" t="s">
        <v>14587</v>
      </c>
      <c r="B17197" t="s">
        <v>21</v>
      </c>
      <c r="C17197" s="2">
        <f>HYPERLINK("https://cao.dolgi.msk.ru/account/1080142651/", 1080142651)</f>
        <v>1080142651</v>
      </c>
      <c r="D17197" t="s">
        <v>14592</v>
      </c>
      <c r="E17197">
        <v>-11707.98</v>
      </c>
      <c r="F17197">
        <v>-1.03</v>
      </c>
      <c r="G17197" t="s">
        <v>12</v>
      </c>
      <c r="I17197" t="s">
        <v>2409</v>
      </c>
    </row>
    <row r="17198" spans="1:9" hidden="1" x14ac:dyDescent="0.25">
      <c r="A17198" t="s">
        <v>14587</v>
      </c>
      <c r="B17198" t="s">
        <v>22</v>
      </c>
      <c r="C17198" s="2">
        <f>HYPERLINK("https://cao.dolgi.msk.ru/account/1080142678/", 1080142678)</f>
        <v>1080142678</v>
      </c>
      <c r="D17198" t="s">
        <v>14593</v>
      </c>
      <c r="E17198">
        <v>-16674.580000000002</v>
      </c>
      <c r="F17198">
        <v>-1.84</v>
      </c>
      <c r="G17198" t="s">
        <v>12</v>
      </c>
      <c r="I17198" t="s">
        <v>2409</v>
      </c>
    </row>
    <row r="17199" spans="1:9" hidden="1" x14ac:dyDescent="0.25">
      <c r="A17199" t="s">
        <v>14587</v>
      </c>
      <c r="B17199" t="s">
        <v>23</v>
      </c>
      <c r="C17199" s="2">
        <f>HYPERLINK("https://cao.dolgi.msk.ru/account/1080142686/", 1080142686)</f>
        <v>1080142686</v>
      </c>
      <c r="D17199" t="s">
        <v>14594</v>
      </c>
      <c r="E17199">
        <v>-8624.5499999999993</v>
      </c>
      <c r="F17199">
        <v>-1.17</v>
      </c>
      <c r="G17199" t="s">
        <v>12</v>
      </c>
      <c r="I17199" t="s">
        <v>2409</v>
      </c>
    </row>
    <row r="17200" spans="1:9" hidden="1" x14ac:dyDescent="0.25">
      <c r="A17200" t="s">
        <v>14587</v>
      </c>
      <c r="B17200" t="s">
        <v>24</v>
      </c>
      <c r="C17200" s="2">
        <f>HYPERLINK("https://cao.dolgi.msk.ru/account/1080142694/", 1080142694)</f>
        <v>1080142694</v>
      </c>
      <c r="D17200" t="s">
        <v>14595</v>
      </c>
      <c r="E17200">
        <v>-13095.05</v>
      </c>
      <c r="F17200">
        <v>-1.0900000000000001</v>
      </c>
      <c r="G17200" t="s">
        <v>12</v>
      </c>
      <c r="I17200" t="s">
        <v>2409</v>
      </c>
    </row>
    <row r="17201" spans="1:9" hidden="1" x14ac:dyDescent="0.25">
      <c r="A17201" t="s">
        <v>14587</v>
      </c>
      <c r="B17201" t="s">
        <v>27</v>
      </c>
      <c r="C17201" s="2">
        <f>HYPERLINK("https://cao.dolgi.msk.ru/account/1080142707/", 1080142707)</f>
        <v>1080142707</v>
      </c>
      <c r="D17201" t="s">
        <v>14596</v>
      </c>
      <c r="E17201">
        <v>4415.32</v>
      </c>
      <c r="F17201">
        <v>0.43</v>
      </c>
      <c r="G17201" t="s">
        <v>12</v>
      </c>
      <c r="I17201" t="s">
        <v>2409</v>
      </c>
    </row>
    <row r="17202" spans="1:9" hidden="1" x14ac:dyDescent="0.25">
      <c r="A17202" t="s">
        <v>14587</v>
      </c>
      <c r="B17202" t="s">
        <v>29</v>
      </c>
      <c r="C17202" s="2">
        <f>HYPERLINK("https://cao.dolgi.msk.ru/account/1080142715/", 1080142715)</f>
        <v>1080142715</v>
      </c>
      <c r="D17202" t="s">
        <v>14597</v>
      </c>
      <c r="E17202">
        <v>-2570.64</v>
      </c>
      <c r="F17202">
        <v>-0.18</v>
      </c>
      <c r="G17202" t="s">
        <v>12</v>
      </c>
      <c r="I17202" t="s">
        <v>2409</v>
      </c>
    </row>
    <row r="17203" spans="1:9" hidden="1" x14ac:dyDescent="0.25">
      <c r="A17203" t="s">
        <v>14587</v>
      </c>
      <c r="B17203" t="s">
        <v>31</v>
      </c>
      <c r="C17203" s="2">
        <f>HYPERLINK("https://cao.dolgi.msk.ru/account/1080142723/", 1080142723)</f>
        <v>1080142723</v>
      </c>
      <c r="D17203" t="s">
        <v>15</v>
      </c>
      <c r="G17203" t="s">
        <v>14</v>
      </c>
      <c r="I17203" t="s">
        <v>2409</v>
      </c>
    </row>
    <row r="17204" spans="1:9" hidden="1" x14ac:dyDescent="0.25">
      <c r="A17204" t="s">
        <v>14587</v>
      </c>
      <c r="B17204" t="s">
        <v>33</v>
      </c>
      <c r="C17204" s="2">
        <f>HYPERLINK("https://cao.dolgi.msk.ru/account/1080142731/", 1080142731)</f>
        <v>1080142731</v>
      </c>
      <c r="D17204" t="s">
        <v>14598</v>
      </c>
      <c r="E17204">
        <v>-10504.56</v>
      </c>
      <c r="F17204">
        <v>-1.1000000000000001</v>
      </c>
      <c r="G17204" t="s">
        <v>12</v>
      </c>
      <c r="I17204" t="s">
        <v>2409</v>
      </c>
    </row>
    <row r="17205" spans="1:9" hidden="1" x14ac:dyDescent="0.25">
      <c r="A17205" t="s">
        <v>14587</v>
      </c>
      <c r="B17205" t="s">
        <v>34</v>
      </c>
      <c r="C17205" s="2">
        <f>HYPERLINK("https://cao.dolgi.msk.ru/account/1080142758/", 1080142758)</f>
        <v>1080142758</v>
      </c>
      <c r="D17205" t="s">
        <v>14599</v>
      </c>
      <c r="E17205">
        <v>-8983.8700000000008</v>
      </c>
      <c r="F17205">
        <v>-1.1299999999999999</v>
      </c>
      <c r="G17205" t="s">
        <v>12</v>
      </c>
      <c r="I17205" t="s">
        <v>2409</v>
      </c>
    </row>
    <row r="17206" spans="1:9" hidden="1" x14ac:dyDescent="0.25">
      <c r="A17206" t="s">
        <v>14587</v>
      </c>
      <c r="B17206" t="s">
        <v>36</v>
      </c>
      <c r="C17206" s="2">
        <f>HYPERLINK("https://cao.dolgi.msk.ru/account/1080142766/", 1080142766)</f>
        <v>1080142766</v>
      </c>
      <c r="D17206" t="s">
        <v>14600</v>
      </c>
      <c r="E17206">
        <v>-38.799999999999997</v>
      </c>
      <c r="F17206">
        <v>-0.01</v>
      </c>
      <c r="G17206" t="s">
        <v>12</v>
      </c>
      <c r="I17206" t="s">
        <v>2409</v>
      </c>
    </row>
    <row r="17207" spans="1:9" hidden="1" x14ac:dyDescent="0.25">
      <c r="A17207" t="s">
        <v>14587</v>
      </c>
      <c r="B17207" t="s">
        <v>38</v>
      </c>
      <c r="C17207" s="2">
        <f>HYPERLINK("https://cao.dolgi.msk.ru/account/1080142774/", 1080142774)</f>
        <v>1080142774</v>
      </c>
      <c r="D17207" t="s">
        <v>14601</v>
      </c>
      <c r="E17207">
        <v>10021.51</v>
      </c>
      <c r="F17207">
        <v>0.89</v>
      </c>
      <c r="G17207" t="s">
        <v>12</v>
      </c>
      <c r="I17207" t="s">
        <v>2409</v>
      </c>
    </row>
    <row r="17208" spans="1:9" hidden="1" x14ac:dyDescent="0.25">
      <c r="A17208" t="s">
        <v>14587</v>
      </c>
      <c r="B17208" t="s">
        <v>39</v>
      </c>
      <c r="C17208" s="2">
        <f>HYPERLINK("https://cao.dolgi.msk.ru/account/1080142782/", 1080142782)</f>
        <v>1080142782</v>
      </c>
      <c r="D17208" t="s">
        <v>14602</v>
      </c>
      <c r="E17208">
        <v>-7099.96</v>
      </c>
      <c r="F17208">
        <v>-0.86</v>
      </c>
      <c r="G17208" t="s">
        <v>12</v>
      </c>
      <c r="I17208" t="s">
        <v>2409</v>
      </c>
    </row>
    <row r="17209" spans="1:9" hidden="1" x14ac:dyDescent="0.25">
      <c r="A17209" t="s">
        <v>14587</v>
      </c>
      <c r="B17209" t="s">
        <v>40</v>
      </c>
      <c r="C17209" s="2">
        <f>HYPERLINK("https://cao.dolgi.msk.ru/account/1080142803/", 1080142803)</f>
        <v>1080142803</v>
      </c>
      <c r="D17209" t="s">
        <v>14603</v>
      </c>
      <c r="E17209">
        <v>-31854.74</v>
      </c>
      <c r="F17209">
        <v>-9.4700000000000006</v>
      </c>
      <c r="G17209" t="s">
        <v>12</v>
      </c>
      <c r="I17209" t="s">
        <v>2409</v>
      </c>
    </row>
    <row r="17210" spans="1:9" hidden="1" x14ac:dyDescent="0.25">
      <c r="A17210" t="s">
        <v>14587</v>
      </c>
      <c r="B17210" t="s">
        <v>41</v>
      </c>
      <c r="C17210" s="2">
        <f>HYPERLINK("https://cao.dolgi.msk.ru/account/1080142811/", 1080142811)</f>
        <v>1080142811</v>
      </c>
      <c r="D17210" t="s">
        <v>14604</v>
      </c>
      <c r="E17210">
        <v>364.81</v>
      </c>
      <c r="F17210">
        <v>0.04</v>
      </c>
      <c r="G17210" t="s">
        <v>12</v>
      </c>
      <c r="I17210" t="s">
        <v>2409</v>
      </c>
    </row>
    <row r="17211" spans="1:9" hidden="1" x14ac:dyDescent="0.25">
      <c r="A17211" t="s">
        <v>14587</v>
      </c>
      <c r="B17211" t="s">
        <v>42</v>
      </c>
      <c r="C17211" s="2">
        <f>HYPERLINK("https://cao.dolgi.msk.ru/account/1080142838/", 1080142838)</f>
        <v>1080142838</v>
      </c>
      <c r="D17211" t="s">
        <v>14605</v>
      </c>
      <c r="E17211">
        <v>-7363.95</v>
      </c>
      <c r="F17211">
        <v>-1.2</v>
      </c>
      <c r="G17211" t="s">
        <v>12</v>
      </c>
      <c r="I17211" t="s">
        <v>2409</v>
      </c>
    </row>
    <row r="17212" spans="1:9" hidden="1" x14ac:dyDescent="0.25">
      <c r="A17212" t="s">
        <v>14587</v>
      </c>
      <c r="B17212" t="s">
        <v>44</v>
      </c>
      <c r="C17212" s="2">
        <f>HYPERLINK("https://cao.dolgi.msk.ru/account/1080142846/", 1080142846)</f>
        <v>1080142846</v>
      </c>
      <c r="D17212" t="s">
        <v>14606</v>
      </c>
      <c r="E17212">
        <v>-8610.7900000000009</v>
      </c>
      <c r="F17212">
        <v>-1.07</v>
      </c>
      <c r="G17212" t="s">
        <v>12</v>
      </c>
      <c r="I17212" t="s">
        <v>2409</v>
      </c>
    </row>
    <row r="17213" spans="1:9" hidden="1" x14ac:dyDescent="0.25">
      <c r="A17213" t="s">
        <v>14587</v>
      </c>
      <c r="B17213" t="s">
        <v>66</v>
      </c>
      <c r="C17213" s="2">
        <f>HYPERLINK("https://cao.dolgi.msk.ru/account/1080142854/", 1080142854)</f>
        <v>1080142854</v>
      </c>
      <c r="D17213" t="s">
        <v>14607</v>
      </c>
      <c r="E17213">
        <v>-80.19</v>
      </c>
      <c r="F17213">
        <v>-0.01</v>
      </c>
      <c r="G17213" t="s">
        <v>12</v>
      </c>
      <c r="I17213" t="s">
        <v>2409</v>
      </c>
    </row>
    <row r="17214" spans="1:9" hidden="1" x14ac:dyDescent="0.25">
      <c r="A17214" t="s">
        <v>14587</v>
      </c>
      <c r="B17214" t="s">
        <v>68</v>
      </c>
      <c r="C17214" s="2">
        <f>HYPERLINK("https://cao.dolgi.msk.ru/account/1080142862/", 1080142862)</f>
        <v>1080142862</v>
      </c>
      <c r="D17214" t="s">
        <v>14608</v>
      </c>
      <c r="E17214">
        <v>-8474.49</v>
      </c>
      <c r="F17214">
        <v>-1.36</v>
      </c>
      <c r="G17214" t="s">
        <v>12</v>
      </c>
      <c r="I17214" t="s">
        <v>2409</v>
      </c>
    </row>
    <row r="17215" spans="1:9" hidden="1" x14ac:dyDescent="0.25">
      <c r="A17215" t="s">
        <v>14587</v>
      </c>
      <c r="B17215" t="s">
        <v>70</v>
      </c>
      <c r="C17215" s="2">
        <f>HYPERLINK("https://cao.dolgi.msk.ru/account/1080142889/", 1080142889)</f>
        <v>1080142889</v>
      </c>
      <c r="D17215" t="s">
        <v>14609</v>
      </c>
      <c r="E17215">
        <v>-721.42</v>
      </c>
      <c r="F17215">
        <v>-0.16</v>
      </c>
      <c r="G17215" t="s">
        <v>12</v>
      </c>
      <c r="I17215" t="s">
        <v>2409</v>
      </c>
    </row>
    <row r="17216" spans="1:9" hidden="1" x14ac:dyDescent="0.25">
      <c r="A17216" t="s">
        <v>14587</v>
      </c>
      <c r="B17216" t="s">
        <v>72</v>
      </c>
      <c r="C17216" s="2">
        <f>HYPERLINK("https://cao.dolgi.msk.ru/account/1080142897/", 1080142897)</f>
        <v>1080142897</v>
      </c>
      <c r="D17216" t="s">
        <v>14610</v>
      </c>
      <c r="E17216">
        <v>-16214.39</v>
      </c>
      <c r="F17216">
        <v>-1.1399999999999999</v>
      </c>
      <c r="G17216" t="s">
        <v>12</v>
      </c>
      <c r="I17216" t="s">
        <v>2409</v>
      </c>
    </row>
    <row r="17217" spans="1:9" hidden="1" x14ac:dyDescent="0.25">
      <c r="A17217" t="s">
        <v>14587</v>
      </c>
      <c r="B17217" t="s">
        <v>74</v>
      </c>
      <c r="C17217" s="2">
        <f>HYPERLINK("https://cao.dolgi.msk.ru/account/1080142918/", 1080142918)</f>
        <v>1080142918</v>
      </c>
      <c r="D17217" t="s">
        <v>14611</v>
      </c>
      <c r="E17217">
        <v>-0.09</v>
      </c>
      <c r="F17217">
        <v>0</v>
      </c>
      <c r="G17217" t="s">
        <v>12</v>
      </c>
      <c r="I17217" t="s">
        <v>2409</v>
      </c>
    </row>
    <row r="17218" spans="1:9" hidden="1" x14ac:dyDescent="0.25">
      <c r="A17218" t="s">
        <v>14587</v>
      </c>
      <c r="B17218" t="s">
        <v>76</v>
      </c>
      <c r="C17218" s="2">
        <f>HYPERLINK("https://cao.dolgi.msk.ru/account/1080165298/", 1080165298)</f>
        <v>1080165298</v>
      </c>
      <c r="D17218" t="s">
        <v>14612</v>
      </c>
      <c r="E17218">
        <v>-7573.37</v>
      </c>
      <c r="F17218">
        <v>-1.21</v>
      </c>
      <c r="G17218" t="s">
        <v>12</v>
      </c>
      <c r="I17218" t="s">
        <v>2409</v>
      </c>
    </row>
    <row r="17219" spans="1:9" hidden="1" x14ac:dyDescent="0.25">
      <c r="A17219" t="s">
        <v>14587</v>
      </c>
      <c r="B17219" t="s">
        <v>78</v>
      </c>
      <c r="C17219" s="2">
        <f>HYPERLINK("https://cao.dolgi.msk.ru/account/1080142926/", 1080142926)</f>
        <v>1080142926</v>
      </c>
      <c r="D17219" t="s">
        <v>14613</v>
      </c>
      <c r="E17219">
        <v>-12081.25</v>
      </c>
      <c r="F17219">
        <v>-1.1100000000000001</v>
      </c>
      <c r="G17219" t="s">
        <v>12</v>
      </c>
      <c r="I17219" t="s">
        <v>2409</v>
      </c>
    </row>
    <row r="17220" spans="1:9" x14ac:dyDescent="0.25">
      <c r="A17220" t="s">
        <v>14587</v>
      </c>
      <c r="B17220" t="s">
        <v>80</v>
      </c>
      <c r="C17220" s="2">
        <f>HYPERLINK("https://cao.dolgi.msk.ru/account/1080142934/", 1080142934)</f>
        <v>1080142934</v>
      </c>
      <c r="D17220" t="s">
        <v>14614</v>
      </c>
      <c r="E17220">
        <v>47344.24</v>
      </c>
      <c r="F17220">
        <v>5.73</v>
      </c>
      <c r="G17220" t="s">
        <v>12</v>
      </c>
      <c r="I17220" t="s">
        <v>2409</v>
      </c>
    </row>
    <row r="17221" spans="1:9" hidden="1" x14ac:dyDescent="0.25">
      <c r="A17221" t="s">
        <v>14587</v>
      </c>
      <c r="B17221" t="s">
        <v>82</v>
      </c>
      <c r="C17221" s="2">
        <f>HYPERLINK("https://cao.dolgi.msk.ru/account/1080142942/", 1080142942)</f>
        <v>1080142942</v>
      </c>
      <c r="D17221" t="s">
        <v>14615</v>
      </c>
      <c r="E17221">
        <v>-1289.77</v>
      </c>
      <c r="F17221">
        <v>-0.21</v>
      </c>
      <c r="G17221" t="s">
        <v>12</v>
      </c>
      <c r="I17221" t="s">
        <v>2409</v>
      </c>
    </row>
    <row r="17222" spans="1:9" hidden="1" x14ac:dyDescent="0.25">
      <c r="A17222" t="s">
        <v>14587</v>
      </c>
      <c r="B17222" t="s">
        <v>84</v>
      </c>
      <c r="C17222" s="2">
        <f>HYPERLINK("https://cao.dolgi.msk.ru/account/1080142969/", 1080142969)</f>
        <v>1080142969</v>
      </c>
      <c r="D17222" t="s">
        <v>14616</v>
      </c>
      <c r="E17222">
        <v>-16233.37</v>
      </c>
      <c r="F17222">
        <v>-1.29</v>
      </c>
      <c r="G17222" t="s">
        <v>12</v>
      </c>
      <c r="I17222" t="s">
        <v>2409</v>
      </c>
    </row>
    <row r="17223" spans="1:9" hidden="1" x14ac:dyDescent="0.25">
      <c r="A17223" t="s">
        <v>14587</v>
      </c>
      <c r="B17223" t="s">
        <v>86</v>
      </c>
      <c r="C17223" s="2">
        <f>HYPERLINK("https://cao.dolgi.msk.ru/account/1080142977/", 1080142977)</f>
        <v>1080142977</v>
      </c>
      <c r="D17223" t="s">
        <v>14617</v>
      </c>
      <c r="E17223">
        <v>-12521.25</v>
      </c>
      <c r="F17223">
        <v>-1.1299999999999999</v>
      </c>
      <c r="G17223" t="s">
        <v>12</v>
      </c>
      <c r="I17223" t="s">
        <v>2409</v>
      </c>
    </row>
    <row r="17224" spans="1:9" hidden="1" x14ac:dyDescent="0.25">
      <c r="A17224" t="s">
        <v>14587</v>
      </c>
      <c r="B17224" t="s">
        <v>88</v>
      </c>
      <c r="C17224" s="2">
        <f>HYPERLINK("https://cao.dolgi.msk.ru/account/1080142985/", 1080142985)</f>
        <v>1080142985</v>
      </c>
      <c r="D17224" t="s">
        <v>14618</v>
      </c>
      <c r="E17224">
        <v>-6150.19</v>
      </c>
      <c r="F17224">
        <v>-1.2</v>
      </c>
      <c r="G17224" t="s">
        <v>12</v>
      </c>
      <c r="I17224" t="s">
        <v>2409</v>
      </c>
    </row>
    <row r="17225" spans="1:9" hidden="1" x14ac:dyDescent="0.25">
      <c r="A17225" t="s">
        <v>14587</v>
      </c>
      <c r="B17225" t="s">
        <v>90</v>
      </c>
      <c r="C17225" s="2">
        <f>HYPERLINK("https://cao.dolgi.msk.ru/account/1080142993/", 1080142993)</f>
        <v>1080142993</v>
      </c>
      <c r="D17225" t="s">
        <v>14619</v>
      </c>
      <c r="E17225">
        <v>-11227.89</v>
      </c>
      <c r="F17225">
        <v>-1.0900000000000001</v>
      </c>
      <c r="G17225" t="s">
        <v>12</v>
      </c>
      <c r="I17225" t="s">
        <v>2409</v>
      </c>
    </row>
    <row r="17226" spans="1:9" hidden="1" x14ac:dyDescent="0.25">
      <c r="A17226" t="s">
        <v>14587</v>
      </c>
      <c r="B17226" t="s">
        <v>92</v>
      </c>
      <c r="C17226" s="2">
        <f>HYPERLINK("https://cao.dolgi.msk.ru/account/1080143005/", 1080143005)</f>
        <v>1080143005</v>
      </c>
      <c r="D17226" t="s">
        <v>14620</v>
      </c>
      <c r="E17226">
        <v>-11461.47</v>
      </c>
      <c r="F17226">
        <v>-1.1399999999999999</v>
      </c>
      <c r="G17226" t="s">
        <v>12</v>
      </c>
      <c r="I17226" t="s">
        <v>2409</v>
      </c>
    </row>
    <row r="17227" spans="1:9" hidden="1" x14ac:dyDescent="0.25">
      <c r="A17227" t="s">
        <v>14587</v>
      </c>
      <c r="B17227" t="s">
        <v>94</v>
      </c>
      <c r="C17227" s="2">
        <f>HYPERLINK("https://cao.dolgi.msk.ru/account/1080143013/", 1080143013)</f>
        <v>1080143013</v>
      </c>
      <c r="D17227" t="s">
        <v>14621</v>
      </c>
      <c r="E17227">
        <v>-7969.9</v>
      </c>
      <c r="F17227">
        <v>-1.1100000000000001</v>
      </c>
      <c r="G17227" t="s">
        <v>12</v>
      </c>
      <c r="I17227" t="s">
        <v>2409</v>
      </c>
    </row>
    <row r="17228" spans="1:9" hidden="1" x14ac:dyDescent="0.25">
      <c r="A17228" t="s">
        <v>14587</v>
      </c>
      <c r="B17228" t="s">
        <v>96</v>
      </c>
      <c r="C17228" s="2">
        <f>HYPERLINK("https://cao.dolgi.msk.ru/account/1080143021/", 1080143021)</f>
        <v>1080143021</v>
      </c>
      <c r="D17228" t="s">
        <v>14622</v>
      </c>
      <c r="E17228">
        <v>-18083.849999999999</v>
      </c>
      <c r="F17228">
        <v>-1.1599999999999999</v>
      </c>
      <c r="G17228" t="s">
        <v>12</v>
      </c>
      <c r="I17228" t="s">
        <v>2409</v>
      </c>
    </row>
    <row r="17229" spans="1:9" hidden="1" x14ac:dyDescent="0.25">
      <c r="A17229" t="s">
        <v>14587</v>
      </c>
      <c r="B17229" t="s">
        <v>98</v>
      </c>
      <c r="C17229" s="2">
        <f>HYPERLINK("https://cao.dolgi.msk.ru/account/1080143048/", 1080143048)</f>
        <v>1080143048</v>
      </c>
      <c r="D17229" t="s">
        <v>14623</v>
      </c>
      <c r="E17229">
        <v>-7307.01</v>
      </c>
      <c r="F17229">
        <v>-1.1299999999999999</v>
      </c>
      <c r="G17229" t="s">
        <v>12</v>
      </c>
      <c r="I17229" t="s">
        <v>2409</v>
      </c>
    </row>
    <row r="17230" spans="1:9" hidden="1" x14ac:dyDescent="0.25">
      <c r="A17230" t="s">
        <v>14587</v>
      </c>
      <c r="B17230" t="s">
        <v>100</v>
      </c>
      <c r="C17230" s="2">
        <f>HYPERLINK("https://cao.dolgi.msk.ru/account/1080143056/", 1080143056)</f>
        <v>1080143056</v>
      </c>
      <c r="D17230" t="s">
        <v>14624</v>
      </c>
      <c r="E17230">
        <v>-237.18</v>
      </c>
      <c r="F17230">
        <v>-0.04</v>
      </c>
      <c r="G17230" t="s">
        <v>12</v>
      </c>
      <c r="I17230" t="s">
        <v>2409</v>
      </c>
    </row>
    <row r="17231" spans="1:9" hidden="1" x14ac:dyDescent="0.25">
      <c r="A17231" t="s">
        <v>14587</v>
      </c>
      <c r="B17231" t="s">
        <v>102</v>
      </c>
      <c r="C17231" s="2">
        <f>HYPERLINK("https://cao.dolgi.msk.ru/account/1080143064/", 1080143064)</f>
        <v>1080143064</v>
      </c>
      <c r="D17231" t="s">
        <v>14625</v>
      </c>
      <c r="E17231">
        <v>2.9</v>
      </c>
      <c r="F17231">
        <v>0</v>
      </c>
      <c r="G17231" t="s">
        <v>12</v>
      </c>
      <c r="I17231" t="s">
        <v>2409</v>
      </c>
    </row>
    <row r="17232" spans="1:9" hidden="1" x14ac:dyDescent="0.25">
      <c r="A17232" t="s">
        <v>14587</v>
      </c>
      <c r="B17232" t="s">
        <v>104</v>
      </c>
      <c r="C17232" s="2">
        <f>HYPERLINK("https://cao.dolgi.msk.ru/account/1080143072/", 1080143072)</f>
        <v>1080143072</v>
      </c>
      <c r="D17232" t="s">
        <v>14626</v>
      </c>
      <c r="E17232">
        <v>-450.22</v>
      </c>
      <c r="F17232">
        <v>-0.05</v>
      </c>
      <c r="G17232" t="s">
        <v>12</v>
      </c>
      <c r="I17232" t="s">
        <v>2409</v>
      </c>
    </row>
    <row r="17233" spans="1:9" hidden="1" x14ac:dyDescent="0.25">
      <c r="A17233" t="s">
        <v>14587</v>
      </c>
      <c r="B17233" t="s">
        <v>106</v>
      </c>
      <c r="C17233" s="2">
        <f>HYPERLINK("https://cao.dolgi.msk.ru/account/1080143099/", 1080143099)</f>
        <v>1080143099</v>
      </c>
      <c r="D17233" t="s">
        <v>14627</v>
      </c>
      <c r="E17233">
        <v>-10932.59</v>
      </c>
      <c r="F17233">
        <v>-1.37</v>
      </c>
      <c r="G17233" t="s">
        <v>12</v>
      </c>
      <c r="I17233" t="s">
        <v>2409</v>
      </c>
    </row>
    <row r="17234" spans="1:9" hidden="1" x14ac:dyDescent="0.25">
      <c r="A17234" t="s">
        <v>14587</v>
      </c>
      <c r="B17234" t="s">
        <v>108</v>
      </c>
      <c r="C17234" s="2">
        <f>HYPERLINK("https://cao.dolgi.msk.ru/account/1080143101/", 1080143101)</f>
        <v>1080143101</v>
      </c>
      <c r="D17234" t="s">
        <v>14628</v>
      </c>
      <c r="E17234">
        <v>-19225.509999999998</v>
      </c>
      <c r="F17234">
        <v>-1.21</v>
      </c>
      <c r="G17234" t="s">
        <v>12</v>
      </c>
      <c r="I17234" t="s">
        <v>2409</v>
      </c>
    </row>
    <row r="17235" spans="1:9" hidden="1" x14ac:dyDescent="0.25">
      <c r="A17235" t="s">
        <v>14587</v>
      </c>
      <c r="B17235" t="s">
        <v>110</v>
      </c>
      <c r="C17235" s="2">
        <f>HYPERLINK("https://cao.dolgi.msk.ru/account/1080143128/", 1080143128)</f>
        <v>1080143128</v>
      </c>
      <c r="D17235" t="s">
        <v>14629</v>
      </c>
      <c r="E17235">
        <v>9472.77</v>
      </c>
      <c r="F17235">
        <v>1</v>
      </c>
      <c r="G17235" t="s">
        <v>12</v>
      </c>
      <c r="I17235" t="s">
        <v>2409</v>
      </c>
    </row>
    <row r="17236" spans="1:9" hidden="1" x14ac:dyDescent="0.25">
      <c r="A17236" t="s">
        <v>14587</v>
      </c>
      <c r="B17236" t="s">
        <v>112</v>
      </c>
      <c r="C17236" s="2">
        <f>HYPERLINK("https://cao.dolgi.msk.ru/account/1080143136/", 1080143136)</f>
        <v>1080143136</v>
      </c>
      <c r="D17236" t="s">
        <v>14630</v>
      </c>
      <c r="E17236">
        <v>-225.72</v>
      </c>
      <c r="F17236">
        <v>-0.04</v>
      </c>
      <c r="G17236" t="s">
        <v>12</v>
      </c>
      <c r="I17236" t="s">
        <v>2409</v>
      </c>
    </row>
    <row r="17237" spans="1:9" hidden="1" x14ac:dyDescent="0.25">
      <c r="A17237" t="s">
        <v>14587</v>
      </c>
      <c r="B17237" t="s">
        <v>114</v>
      </c>
      <c r="C17237" s="2">
        <f>HYPERLINK("https://cao.dolgi.msk.ru/account/1080165431/", 1080165431)</f>
        <v>1080165431</v>
      </c>
      <c r="D17237" t="s">
        <v>14631</v>
      </c>
      <c r="E17237">
        <v>-13903.16</v>
      </c>
      <c r="F17237">
        <v>-1.19</v>
      </c>
      <c r="G17237" t="s">
        <v>12</v>
      </c>
      <c r="I17237" t="s">
        <v>2409</v>
      </c>
    </row>
    <row r="17238" spans="1:9" hidden="1" x14ac:dyDescent="0.25">
      <c r="A17238" t="s">
        <v>14587</v>
      </c>
      <c r="B17238" t="s">
        <v>116</v>
      </c>
      <c r="C17238" s="2">
        <f>HYPERLINK("https://cao.dolgi.msk.ru/account/1080143144/", 1080143144)</f>
        <v>1080143144</v>
      </c>
      <c r="D17238" t="s">
        <v>14632</v>
      </c>
      <c r="E17238">
        <v>-11303.68</v>
      </c>
      <c r="F17238">
        <v>-1.17</v>
      </c>
      <c r="G17238" t="s">
        <v>12</v>
      </c>
      <c r="I17238" t="s">
        <v>2409</v>
      </c>
    </row>
    <row r="17239" spans="1:9" hidden="1" x14ac:dyDescent="0.25">
      <c r="A17239" t="s">
        <v>14587</v>
      </c>
      <c r="B17239" t="s">
        <v>118</v>
      </c>
      <c r="C17239" s="2">
        <f>HYPERLINK("https://cao.dolgi.msk.ru/account/1080143152/", 1080143152)</f>
        <v>1080143152</v>
      </c>
      <c r="D17239" t="s">
        <v>14633</v>
      </c>
      <c r="E17239">
        <v>-5196.99</v>
      </c>
      <c r="F17239">
        <v>-1.1499999999999999</v>
      </c>
      <c r="G17239" t="s">
        <v>12</v>
      </c>
      <c r="I17239" t="s">
        <v>2409</v>
      </c>
    </row>
    <row r="17240" spans="1:9" hidden="1" x14ac:dyDescent="0.25">
      <c r="A17240" t="s">
        <v>14587</v>
      </c>
      <c r="B17240" t="s">
        <v>120</v>
      </c>
      <c r="C17240" s="2">
        <f>HYPERLINK("https://cao.dolgi.msk.ru/account/1080143179/", 1080143179)</f>
        <v>1080143179</v>
      </c>
      <c r="D17240" t="s">
        <v>14634</v>
      </c>
      <c r="E17240">
        <v>-2433.0500000000002</v>
      </c>
      <c r="F17240">
        <v>-0.16</v>
      </c>
      <c r="G17240" t="s">
        <v>12</v>
      </c>
      <c r="I17240" t="s">
        <v>2409</v>
      </c>
    </row>
    <row r="17241" spans="1:9" x14ac:dyDescent="0.25">
      <c r="A17241" t="s">
        <v>14587</v>
      </c>
      <c r="B17241" t="s">
        <v>122</v>
      </c>
      <c r="C17241" s="2">
        <f>HYPERLINK("https://cao.dolgi.msk.ru/account/1080143187/", 1080143187)</f>
        <v>1080143187</v>
      </c>
      <c r="D17241" t="s">
        <v>14635</v>
      </c>
      <c r="E17241">
        <v>103493.07</v>
      </c>
      <c r="F17241">
        <v>6.07</v>
      </c>
      <c r="G17241" t="s">
        <v>12</v>
      </c>
      <c r="I17241" t="s">
        <v>2409</v>
      </c>
    </row>
    <row r="17242" spans="1:9" hidden="1" x14ac:dyDescent="0.25">
      <c r="A17242" t="s">
        <v>14587</v>
      </c>
      <c r="B17242" t="s">
        <v>124</v>
      </c>
      <c r="C17242" s="2">
        <f>HYPERLINK("https://cao.dolgi.msk.ru/account/1080143195/", 1080143195)</f>
        <v>1080143195</v>
      </c>
      <c r="D17242" t="s">
        <v>14636</v>
      </c>
      <c r="E17242">
        <v>-6478</v>
      </c>
      <c r="F17242">
        <v>-1.0900000000000001</v>
      </c>
      <c r="G17242" t="s">
        <v>12</v>
      </c>
      <c r="I17242" t="s">
        <v>2409</v>
      </c>
    </row>
    <row r="17243" spans="1:9" hidden="1" x14ac:dyDescent="0.25">
      <c r="A17243" t="s">
        <v>14587</v>
      </c>
      <c r="B17243" t="s">
        <v>126</v>
      </c>
      <c r="C17243" s="2">
        <f>HYPERLINK("https://cao.dolgi.msk.ru/account/1080143208/", 1080143208)</f>
        <v>1080143208</v>
      </c>
      <c r="D17243" t="s">
        <v>14637</v>
      </c>
      <c r="E17243">
        <v>-34854.58</v>
      </c>
      <c r="F17243">
        <v>-1.87</v>
      </c>
      <c r="G17243" t="s">
        <v>12</v>
      </c>
      <c r="I17243" t="s">
        <v>2409</v>
      </c>
    </row>
    <row r="17244" spans="1:9" hidden="1" x14ac:dyDescent="0.25">
      <c r="A17244" t="s">
        <v>14587</v>
      </c>
      <c r="B17244" t="s">
        <v>128</v>
      </c>
      <c r="C17244" s="2">
        <f>HYPERLINK("https://cao.dolgi.msk.ru/account/1080143216/", 1080143216)</f>
        <v>1080143216</v>
      </c>
      <c r="D17244" t="s">
        <v>14638</v>
      </c>
      <c r="E17244">
        <v>-2921.53</v>
      </c>
      <c r="F17244">
        <v>-0.36</v>
      </c>
      <c r="G17244" t="s">
        <v>12</v>
      </c>
      <c r="I17244" t="s">
        <v>2409</v>
      </c>
    </row>
    <row r="17245" spans="1:9" hidden="1" x14ac:dyDescent="0.25">
      <c r="A17245" t="s">
        <v>14587</v>
      </c>
      <c r="B17245" t="s">
        <v>130</v>
      </c>
      <c r="C17245" s="2">
        <f>HYPERLINK("https://cao.dolgi.msk.ru/account/1080143224/", 1080143224)</f>
        <v>1080143224</v>
      </c>
      <c r="D17245" t="s">
        <v>14639</v>
      </c>
      <c r="E17245">
        <v>0</v>
      </c>
      <c r="F17245">
        <v>0</v>
      </c>
      <c r="G17245" t="s">
        <v>12</v>
      </c>
      <c r="I17245" t="s">
        <v>2409</v>
      </c>
    </row>
    <row r="17246" spans="1:9" x14ac:dyDescent="0.25">
      <c r="A17246" t="s">
        <v>14587</v>
      </c>
      <c r="B17246" t="s">
        <v>132</v>
      </c>
      <c r="C17246" s="2">
        <f>HYPERLINK("https://cao.dolgi.msk.ru/account/1080143232/", 1080143232)</f>
        <v>1080143232</v>
      </c>
      <c r="D17246" t="s">
        <v>14640</v>
      </c>
      <c r="E17246">
        <v>531247.69999999995</v>
      </c>
      <c r="F17246">
        <v>63.06</v>
      </c>
      <c r="G17246" t="s">
        <v>12</v>
      </c>
      <c r="I17246" t="s">
        <v>2409</v>
      </c>
    </row>
    <row r="17247" spans="1:9" hidden="1" x14ac:dyDescent="0.25">
      <c r="A17247" t="s">
        <v>14587</v>
      </c>
      <c r="B17247" t="s">
        <v>133</v>
      </c>
      <c r="C17247" s="2">
        <f>HYPERLINK("https://cao.dolgi.msk.ru/account/1080143259/", 1080143259)</f>
        <v>1080143259</v>
      </c>
      <c r="D17247" t="s">
        <v>14641</v>
      </c>
      <c r="E17247">
        <v>-6362.15</v>
      </c>
      <c r="F17247">
        <v>-2.0699999999999998</v>
      </c>
      <c r="G17247" t="s">
        <v>12</v>
      </c>
      <c r="I17247" t="s">
        <v>2409</v>
      </c>
    </row>
    <row r="17248" spans="1:9" hidden="1" x14ac:dyDescent="0.25">
      <c r="A17248" t="s">
        <v>14587</v>
      </c>
      <c r="B17248" t="s">
        <v>135</v>
      </c>
      <c r="C17248" s="2">
        <f>HYPERLINK("https://cao.dolgi.msk.ru/account/1080143267/", 1080143267)</f>
        <v>1080143267</v>
      </c>
      <c r="D17248" t="s">
        <v>14642</v>
      </c>
      <c r="E17248">
        <v>-14965.27</v>
      </c>
      <c r="F17248">
        <v>-2.91</v>
      </c>
      <c r="G17248" t="s">
        <v>12</v>
      </c>
      <c r="I17248" t="s">
        <v>2409</v>
      </c>
    </row>
    <row r="17249" spans="1:9" hidden="1" x14ac:dyDescent="0.25">
      <c r="A17249" t="s">
        <v>14587</v>
      </c>
      <c r="B17249" t="s">
        <v>137</v>
      </c>
      <c r="C17249" s="2">
        <f>HYPERLINK("https://cao.dolgi.msk.ru/account/1080143275/", 1080143275)</f>
        <v>1080143275</v>
      </c>
      <c r="D17249" t="s">
        <v>14643</v>
      </c>
      <c r="E17249">
        <v>-190.55</v>
      </c>
      <c r="F17249">
        <v>-0.02</v>
      </c>
      <c r="G17249" t="s">
        <v>12</v>
      </c>
      <c r="I17249" t="s">
        <v>2409</v>
      </c>
    </row>
    <row r="17250" spans="1:9" hidden="1" x14ac:dyDescent="0.25">
      <c r="A17250" t="s">
        <v>14587</v>
      </c>
      <c r="B17250" t="s">
        <v>139</v>
      </c>
      <c r="C17250" s="2">
        <f>HYPERLINK("https://cao.dolgi.msk.ru/account/1080143283/", 1080143283)</f>
        <v>1080143283</v>
      </c>
      <c r="D17250" t="s">
        <v>14644</v>
      </c>
      <c r="E17250">
        <v>-9137.59</v>
      </c>
      <c r="F17250">
        <v>-1.17</v>
      </c>
      <c r="G17250" t="s">
        <v>12</v>
      </c>
      <c r="I17250" t="s">
        <v>2409</v>
      </c>
    </row>
    <row r="17251" spans="1:9" hidden="1" x14ac:dyDescent="0.25">
      <c r="A17251" t="s">
        <v>14587</v>
      </c>
      <c r="B17251" t="s">
        <v>141</v>
      </c>
      <c r="C17251" s="2">
        <f>HYPERLINK("https://cao.dolgi.msk.ru/account/1080143291/", 1080143291)</f>
        <v>1080143291</v>
      </c>
      <c r="D17251" t="s">
        <v>14645</v>
      </c>
      <c r="E17251">
        <v>-11948.38</v>
      </c>
      <c r="F17251">
        <v>-1.06</v>
      </c>
      <c r="G17251" t="s">
        <v>12</v>
      </c>
      <c r="I17251" t="s">
        <v>2409</v>
      </c>
    </row>
    <row r="17252" spans="1:9" x14ac:dyDescent="0.25">
      <c r="A17252" t="s">
        <v>14587</v>
      </c>
      <c r="B17252" t="s">
        <v>143</v>
      </c>
      <c r="C17252" s="2">
        <f>HYPERLINK("https://cao.dolgi.msk.ru/account/1080143304/", 1080143304)</f>
        <v>1080143304</v>
      </c>
      <c r="D17252" t="s">
        <v>14646</v>
      </c>
      <c r="E17252">
        <v>76162.22</v>
      </c>
      <c r="F17252">
        <v>6.79</v>
      </c>
      <c r="G17252" t="s">
        <v>12</v>
      </c>
      <c r="I17252" t="s">
        <v>2409</v>
      </c>
    </row>
    <row r="17253" spans="1:9" hidden="1" x14ac:dyDescent="0.25">
      <c r="A17253" t="s">
        <v>14587</v>
      </c>
      <c r="B17253" t="s">
        <v>145</v>
      </c>
      <c r="C17253" s="2">
        <f>HYPERLINK("https://cao.dolgi.msk.ru/account/1080143312/", 1080143312)</f>
        <v>1080143312</v>
      </c>
      <c r="D17253" t="s">
        <v>14647</v>
      </c>
      <c r="E17253">
        <v>0</v>
      </c>
      <c r="F17253">
        <v>0</v>
      </c>
      <c r="G17253" t="s">
        <v>12</v>
      </c>
      <c r="I17253" t="s">
        <v>2409</v>
      </c>
    </row>
    <row r="17254" spans="1:9" hidden="1" x14ac:dyDescent="0.25">
      <c r="A17254" t="s">
        <v>14587</v>
      </c>
      <c r="B17254" t="s">
        <v>147</v>
      </c>
      <c r="C17254" s="2">
        <f>HYPERLINK("https://cao.dolgi.msk.ru/account/1080143339/", 1080143339)</f>
        <v>1080143339</v>
      </c>
      <c r="D17254" t="s">
        <v>14648</v>
      </c>
      <c r="E17254">
        <v>-6501.24</v>
      </c>
      <c r="F17254">
        <v>-1.1499999999999999</v>
      </c>
      <c r="G17254" t="s">
        <v>12</v>
      </c>
      <c r="I17254" t="s">
        <v>2409</v>
      </c>
    </row>
    <row r="17255" spans="1:9" hidden="1" x14ac:dyDescent="0.25">
      <c r="A17255" t="s">
        <v>14587</v>
      </c>
      <c r="B17255" t="s">
        <v>149</v>
      </c>
      <c r="C17255" s="2">
        <f>HYPERLINK("https://cao.dolgi.msk.ru/account/1080143347/", 1080143347)</f>
        <v>1080143347</v>
      </c>
      <c r="D17255" t="s">
        <v>14649</v>
      </c>
      <c r="E17255">
        <v>-32953.35</v>
      </c>
      <c r="F17255">
        <v>-3.14</v>
      </c>
      <c r="G17255" t="s">
        <v>12</v>
      </c>
      <c r="I17255" t="s">
        <v>2409</v>
      </c>
    </row>
    <row r="17256" spans="1:9" hidden="1" x14ac:dyDescent="0.25">
      <c r="A17256" t="s">
        <v>14587</v>
      </c>
      <c r="B17256" t="s">
        <v>151</v>
      </c>
      <c r="C17256" s="2">
        <f>HYPERLINK("https://cao.dolgi.msk.ru/account/1080143355/", 1080143355)</f>
        <v>1080143355</v>
      </c>
      <c r="D17256" t="s">
        <v>14650</v>
      </c>
      <c r="E17256">
        <v>908.82</v>
      </c>
      <c r="F17256">
        <v>7.0000000000000007E-2</v>
      </c>
      <c r="G17256" t="s">
        <v>12</v>
      </c>
      <c r="I17256" t="s">
        <v>2409</v>
      </c>
    </row>
    <row r="17257" spans="1:9" hidden="1" x14ac:dyDescent="0.25">
      <c r="A17257" t="s">
        <v>14587</v>
      </c>
      <c r="B17257" t="s">
        <v>153</v>
      </c>
      <c r="C17257" s="2">
        <f>HYPERLINK("https://cao.dolgi.msk.ru/account/1080143363/", 1080143363)</f>
        <v>1080143363</v>
      </c>
      <c r="D17257" t="s">
        <v>14651</v>
      </c>
      <c r="E17257">
        <v>-2126.11</v>
      </c>
      <c r="F17257">
        <v>-0.33</v>
      </c>
      <c r="G17257" t="s">
        <v>12</v>
      </c>
      <c r="I17257" t="s">
        <v>2409</v>
      </c>
    </row>
    <row r="17258" spans="1:9" hidden="1" x14ac:dyDescent="0.25">
      <c r="A17258" t="s">
        <v>14587</v>
      </c>
      <c r="B17258" t="s">
        <v>155</v>
      </c>
      <c r="C17258" s="2">
        <f>HYPERLINK("https://cao.dolgi.msk.ru/account/1080143371/", 1080143371)</f>
        <v>1080143371</v>
      </c>
      <c r="D17258" t="s">
        <v>14652</v>
      </c>
      <c r="E17258">
        <v>-11305.46</v>
      </c>
      <c r="F17258">
        <v>-1.1299999999999999</v>
      </c>
      <c r="G17258" t="s">
        <v>12</v>
      </c>
      <c r="I17258" t="s">
        <v>2409</v>
      </c>
    </row>
    <row r="17259" spans="1:9" hidden="1" x14ac:dyDescent="0.25">
      <c r="A17259" t="s">
        <v>14587</v>
      </c>
      <c r="B17259" t="s">
        <v>157</v>
      </c>
      <c r="C17259" s="2">
        <f>HYPERLINK("https://cao.dolgi.msk.ru/account/1080166223/", 1080166223)</f>
        <v>1080166223</v>
      </c>
      <c r="D17259" t="s">
        <v>14653</v>
      </c>
      <c r="E17259">
        <v>-7093.8</v>
      </c>
      <c r="F17259">
        <v>-1</v>
      </c>
      <c r="G17259" t="s">
        <v>12</v>
      </c>
      <c r="I17259" t="s">
        <v>2409</v>
      </c>
    </row>
    <row r="17260" spans="1:9" hidden="1" x14ac:dyDescent="0.25">
      <c r="A17260" t="s">
        <v>14587</v>
      </c>
      <c r="B17260" t="s">
        <v>159</v>
      </c>
      <c r="C17260" s="2">
        <f>HYPERLINK("https://cao.dolgi.msk.ru/account/1080143398/", 1080143398)</f>
        <v>1080143398</v>
      </c>
      <c r="D17260" t="s">
        <v>14654</v>
      </c>
      <c r="E17260">
        <v>-5448.23</v>
      </c>
      <c r="F17260">
        <v>-1.18</v>
      </c>
      <c r="G17260" t="s">
        <v>12</v>
      </c>
      <c r="I17260" t="s">
        <v>2409</v>
      </c>
    </row>
    <row r="17261" spans="1:9" hidden="1" x14ac:dyDescent="0.25">
      <c r="A17261" t="s">
        <v>14587</v>
      </c>
      <c r="B17261" t="s">
        <v>161</v>
      </c>
      <c r="C17261" s="2">
        <f>HYPERLINK("https://cao.dolgi.msk.ru/account/1080143419/", 1080143419)</f>
        <v>1080143419</v>
      </c>
      <c r="D17261" t="s">
        <v>1801</v>
      </c>
      <c r="E17261">
        <v>-1856.48</v>
      </c>
      <c r="F17261">
        <v>-0.25</v>
      </c>
      <c r="G17261" t="s">
        <v>12</v>
      </c>
      <c r="I17261" t="s">
        <v>2409</v>
      </c>
    </row>
    <row r="17262" spans="1:9" hidden="1" x14ac:dyDescent="0.25">
      <c r="A17262" t="s">
        <v>14587</v>
      </c>
      <c r="B17262" t="s">
        <v>163</v>
      </c>
      <c r="C17262" s="2">
        <f>HYPERLINK("https://cao.dolgi.msk.ru/account/1080143427/", 1080143427)</f>
        <v>1080143427</v>
      </c>
      <c r="D17262" t="s">
        <v>14655</v>
      </c>
      <c r="E17262">
        <v>-9203.85</v>
      </c>
      <c r="F17262">
        <v>-1.52</v>
      </c>
      <c r="G17262" t="s">
        <v>12</v>
      </c>
      <c r="I17262" t="s">
        <v>2409</v>
      </c>
    </row>
    <row r="17263" spans="1:9" hidden="1" x14ac:dyDescent="0.25">
      <c r="A17263" t="s">
        <v>14587</v>
      </c>
      <c r="B17263" t="s">
        <v>571</v>
      </c>
      <c r="C17263" s="2">
        <f>HYPERLINK("https://cao.dolgi.msk.ru/account/1080143435/", 1080143435)</f>
        <v>1080143435</v>
      </c>
      <c r="D17263" t="s">
        <v>14656</v>
      </c>
      <c r="E17263">
        <v>-8056.96</v>
      </c>
      <c r="F17263">
        <v>-1.37</v>
      </c>
      <c r="G17263" t="s">
        <v>12</v>
      </c>
      <c r="I17263" t="s">
        <v>2409</v>
      </c>
    </row>
    <row r="17264" spans="1:9" hidden="1" x14ac:dyDescent="0.25">
      <c r="A17264" t="s">
        <v>14587</v>
      </c>
      <c r="B17264" t="s">
        <v>682</v>
      </c>
      <c r="C17264" s="2">
        <f>HYPERLINK("https://cao.dolgi.msk.ru/account/1080143443/", 1080143443)</f>
        <v>1080143443</v>
      </c>
      <c r="D17264" t="s">
        <v>14657</v>
      </c>
      <c r="E17264">
        <v>-10864.39</v>
      </c>
      <c r="F17264">
        <v>-1.1100000000000001</v>
      </c>
      <c r="G17264" t="s">
        <v>12</v>
      </c>
      <c r="I17264" t="s">
        <v>2409</v>
      </c>
    </row>
    <row r="17265" spans="1:9" x14ac:dyDescent="0.25">
      <c r="A17265" t="s">
        <v>14587</v>
      </c>
      <c r="B17265" t="s">
        <v>578</v>
      </c>
      <c r="C17265" s="2">
        <f>HYPERLINK("https://cao.dolgi.msk.ru/account/1080143451/", 1080143451)</f>
        <v>1080143451</v>
      </c>
      <c r="D17265" t="s">
        <v>14658</v>
      </c>
      <c r="E17265">
        <v>16010.51</v>
      </c>
      <c r="F17265">
        <v>1.98</v>
      </c>
      <c r="G17265" t="s">
        <v>12</v>
      </c>
      <c r="I17265" t="s">
        <v>2409</v>
      </c>
    </row>
    <row r="17266" spans="1:9" hidden="1" x14ac:dyDescent="0.25">
      <c r="A17266" t="s">
        <v>14587</v>
      </c>
      <c r="B17266" t="s">
        <v>580</v>
      </c>
      <c r="C17266" s="2">
        <f>HYPERLINK("https://cao.dolgi.msk.ru/account/1080143478/", 1080143478)</f>
        <v>1080143478</v>
      </c>
      <c r="D17266" t="s">
        <v>14659</v>
      </c>
      <c r="E17266">
        <v>-6.04</v>
      </c>
      <c r="F17266">
        <v>0</v>
      </c>
      <c r="G17266" t="s">
        <v>12</v>
      </c>
      <c r="I17266" t="s">
        <v>2409</v>
      </c>
    </row>
    <row r="17267" spans="1:9" hidden="1" x14ac:dyDescent="0.25">
      <c r="A17267" t="s">
        <v>14587</v>
      </c>
      <c r="B17267" t="s">
        <v>686</v>
      </c>
      <c r="C17267" s="2">
        <f>HYPERLINK("https://cao.dolgi.msk.ru/account/1080143486/", 1080143486)</f>
        <v>1080143486</v>
      </c>
      <c r="D17267" t="s">
        <v>14660</v>
      </c>
      <c r="E17267">
        <v>-12871.68</v>
      </c>
      <c r="F17267">
        <v>-1.1499999999999999</v>
      </c>
      <c r="G17267" t="s">
        <v>12</v>
      </c>
      <c r="I17267" t="s">
        <v>2409</v>
      </c>
    </row>
    <row r="17268" spans="1:9" hidden="1" x14ac:dyDescent="0.25">
      <c r="A17268" t="s">
        <v>14587</v>
      </c>
      <c r="B17268" t="s">
        <v>582</v>
      </c>
      <c r="C17268" s="2">
        <f>HYPERLINK("https://cao.dolgi.msk.ru/account/1080143494/", 1080143494)</f>
        <v>1080143494</v>
      </c>
      <c r="D17268" t="s">
        <v>14661</v>
      </c>
      <c r="E17268">
        <v>-32092.31</v>
      </c>
      <c r="F17268">
        <v>-5.27</v>
      </c>
      <c r="G17268" t="s">
        <v>12</v>
      </c>
      <c r="I17268" t="s">
        <v>2409</v>
      </c>
    </row>
    <row r="17269" spans="1:9" hidden="1" x14ac:dyDescent="0.25">
      <c r="A17269" t="s">
        <v>14587</v>
      </c>
      <c r="B17269" t="s">
        <v>584</v>
      </c>
      <c r="C17269" s="2">
        <f>HYPERLINK("https://cao.dolgi.msk.ru/account/1080143507/", 1080143507)</f>
        <v>1080143507</v>
      </c>
      <c r="D17269" t="s">
        <v>14662</v>
      </c>
      <c r="E17269">
        <v>-9113.3700000000008</v>
      </c>
      <c r="F17269">
        <v>-1.53</v>
      </c>
      <c r="G17269" t="s">
        <v>12</v>
      </c>
      <c r="I17269" t="s">
        <v>2409</v>
      </c>
    </row>
    <row r="17270" spans="1:9" hidden="1" x14ac:dyDescent="0.25">
      <c r="A17270" t="s">
        <v>14587</v>
      </c>
      <c r="B17270" t="s">
        <v>586</v>
      </c>
      <c r="C17270" s="2">
        <f>HYPERLINK("https://cao.dolgi.msk.ru/account/1080143515/", 1080143515)</f>
        <v>1080143515</v>
      </c>
      <c r="D17270" t="s">
        <v>14663</v>
      </c>
      <c r="E17270">
        <v>-9940.56</v>
      </c>
      <c r="F17270">
        <v>-1.01</v>
      </c>
      <c r="G17270" t="s">
        <v>12</v>
      </c>
      <c r="I17270" t="s">
        <v>2409</v>
      </c>
    </row>
    <row r="17271" spans="1:9" hidden="1" x14ac:dyDescent="0.25">
      <c r="A17271" t="s">
        <v>14587</v>
      </c>
      <c r="B17271" t="s">
        <v>588</v>
      </c>
      <c r="C17271" s="2">
        <f>HYPERLINK("https://cao.dolgi.msk.ru/account/1080143523/", 1080143523)</f>
        <v>1080143523</v>
      </c>
      <c r="D17271" t="s">
        <v>14664</v>
      </c>
      <c r="E17271">
        <v>-9091.16</v>
      </c>
      <c r="F17271">
        <v>-1.24</v>
      </c>
      <c r="G17271" t="s">
        <v>12</v>
      </c>
      <c r="I17271" t="s">
        <v>2409</v>
      </c>
    </row>
    <row r="17272" spans="1:9" hidden="1" x14ac:dyDescent="0.25">
      <c r="A17272" t="s">
        <v>14587</v>
      </c>
      <c r="B17272" t="s">
        <v>590</v>
      </c>
      <c r="C17272" s="2">
        <f>HYPERLINK("https://cao.dolgi.msk.ru/account/1080143531/", 1080143531)</f>
        <v>1080143531</v>
      </c>
      <c r="D17272" t="s">
        <v>14665</v>
      </c>
      <c r="E17272">
        <v>-7278.94</v>
      </c>
      <c r="F17272">
        <v>-1.0900000000000001</v>
      </c>
      <c r="G17272" t="s">
        <v>12</v>
      </c>
      <c r="I17272" t="s">
        <v>2409</v>
      </c>
    </row>
    <row r="17273" spans="1:9" hidden="1" x14ac:dyDescent="0.25">
      <c r="A17273" t="s">
        <v>14587</v>
      </c>
      <c r="B17273" t="s">
        <v>693</v>
      </c>
      <c r="C17273" s="2">
        <f>HYPERLINK("https://cao.dolgi.msk.ru/account/1080164906/", 1080164906)</f>
        <v>1080164906</v>
      </c>
      <c r="D17273" t="s">
        <v>14666</v>
      </c>
      <c r="E17273">
        <v>-9843.35</v>
      </c>
      <c r="F17273">
        <v>-1.19</v>
      </c>
      <c r="G17273" t="s">
        <v>12</v>
      </c>
      <c r="I17273" t="s">
        <v>2409</v>
      </c>
    </row>
    <row r="17274" spans="1:9" hidden="1" x14ac:dyDescent="0.25">
      <c r="A17274" t="s">
        <v>14587</v>
      </c>
      <c r="B17274" t="s">
        <v>694</v>
      </c>
      <c r="C17274" s="2">
        <f>HYPERLINK("https://cao.dolgi.msk.ru/account/1080143558/", 1080143558)</f>
        <v>1080143558</v>
      </c>
      <c r="D17274" t="s">
        <v>14667</v>
      </c>
      <c r="E17274">
        <v>-6279.47</v>
      </c>
      <c r="F17274">
        <v>-1.1100000000000001</v>
      </c>
      <c r="G17274" t="s">
        <v>12</v>
      </c>
      <c r="I17274" t="s">
        <v>2409</v>
      </c>
    </row>
    <row r="17275" spans="1:9" hidden="1" x14ac:dyDescent="0.25">
      <c r="A17275" t="s">
        <v>14587</v>
      </c>
      <c r="B17275" t="s">
        <v>696</v>
      </c>
      <c r="C17275" s="2">
        <f>HYPERLINK("https://cao.dolgi.msk.ru/account/1080143566/", 1080143566)</f>
        <v>1080143566</v>
      </c>
      <c r="D17275" t="s">
        <v>14668</v>
      </c>
      <c r="E17275">
        <v>-12597.07</v>
      </c>
      <c r="F17275">
        <v>-1.18</v>
      </c>
      <c r="G17275" t="s">
        <v>12</v>
      </c>
      <c r="I17275" t="s">
        <v>2409</v>
      </c>
    </row>
    <row r="17276" spans="1:9" hidden="1" x14ac:dyDescent="0.25">
      <c r="A17276" t="s">
        <v>14587</v>
      </c>
      <c r="B17276" t="s">
        <v>698</v>
      </c>
      <c r="C17276" s="2">
        <f>HYPERLINK("https://cao.dolgi.msk.ru/account/1080165423/", 1080165423)</f>
        <v>1080165423</v>
      </c>
      <c r="D17276" t="s">
        <v>14669</v>
      </c>
      <c r="E17276">
        <v>-11915.25</v>
      </c>
      <c r="F17276">
        <v>-1.23</v>
      </c>
      <c r="G17276" t="s">
        <v>12</v>
      </c>
      <c r="I17276" t="s">
        <v>2409</v>
      </c>
    </row>
    <row r="17277" spans="1:9" hidden="1" x14ac:dyDescent="0.25">
      <c r="A17277" t="s">
        <v>14587</v>
      </c>
      <c r="B17277" t="s">
        <v>700</v>
      </c>
      <c r="C17277" s="2">
        <f>HYPERLINK("https://cao.dolgi.msk.ru/account/1080143574/", 1080143574)</f>
        <v>1080143574</v>
      </c>
      <c r="D17277" t="s">
        <v>15</v>
      </c>
      <c r="E17277">
        <v>-28.55</v>
      </c>
      <c r="F17277">
        <v>-0.01</v>
      </c>
      <c r="G17277" t="s">
        <v>12</v>
      </c>
      <c r="I17277" t="s">
        <v>2409</v>
      </c>
    </row>
    <row r="17278" spans="1:9" hidden="1" x14ac:dyDescent="0.25">
      <c r="A17278" t="s">
        <v>14587</v>
      </c>
      <c r="B17278" t="s">
        <v>702</v>
      </c>
      <c r="C17278" s="2">
        <f>HYPERLINK("https://cao.dolgi.msk.ru/account/1080143582/", 1080143582)</f>
        <v>1080143582</v>
      </c>
      <c r="D17278" t="s">
        <v>14670</v>
      </c>
      <c r="E17278">
        <v>-12227.4</v>
      </c>
      <c r="F17278">
        <v>-1.1599999999999999</v>
      </c>
      <c r="G17278" t="s">
        <v>12</v>
      </c>
      <c r="I17278" t="s">
        <v>2409</v>
      </c>
    </row>
    <row r="17279" spans="1:9" hidden="1" x14ac:dyDescent="0.25">
      <c r="A17279" t="s">
        <v>14587</v>
      </c>
      <c r="B17279" t="s">
        <v>703</v>
      </c>
      <c r="C17279" s="2">
        <f>HYPERLINK("https://cao.dolgi.msk.ru/account/1080143603/", 1080143603)</f>
        <v>1080143603</v>
      </c>
      <c r="D17279" t="s">
        <v>14671</v>
      </c>
      <c r="E17279">
        <v>-14852.28</v>
      </c>
      <c r="F17279">
        <v>-1.1599999999999999</v>
      </c>
      <c r="G17279" t="s">
        <v>12</v>
      </c>
      <c r="I17279" t="s">
        <v>2409</v>
      </c>
    </row>
    <row r="17280" spans="1:9" hidden="1" x14ac:dyDescent="0.25">
      <c r="A17280" t="s">
        <v>14587</v>
      </c>
      <c r="B17280" t="s">
        <v>705</v>
      </c>
      <c r="C17280" s="2">
        <f>HYPERLINK("https://cao.dolgi.msk.ru/account/1080166063/", 1080166063)</f>
        <v>1080166063</v>
      </c>
      <c r="D17280" t="s">
        <v>14672</v>
      </c>
      <c r="E17280">
        <v>0</v>
      </c>
      <c r="F17280">
        <v>0</v>
      </c>
      <c r="G17280" t="s">
        <v>12</v>
      </c>
      <c r="I17280" t="s">
        <v>2409</v>
      </c>
    </row>
    <row r="17281" spans="1:9" hidden="1" x14ac:dyDescent="0.25">
      <c r="A17281" t="s">
        <v>14587</v>
      </c>
      <c r="B17281" t="s">
        <v>707</v>
      </c>
      <c r="C17281" s="2">
        <f>HYPERLINK("https://cao.dolgi.msk.ru/account/1080143611/", 1080143611)</f>
        <v>1080143611</v>
      </c>
      <c r="D17281" t="s">
        <v>14673</v>
      </c>
      <c r="E17281">
        <v>-7723.12</v>
      </c>
      <c r="F17281">
        <v>-1.1299999999999999</v>
      </c>
      <c r="G17281" t="s">
        <v>12</v>
      </c>
      <c r="I17281" t="s">
        <v>2409</v>
      </c>
    </row>
    <row r="17282" spans="1:9" hidden="1" x14ac:dyDescent="0.25">
      <c r="A17282" t="s">
        <v>14587</v>
      </c>
      <c r="B17282" t="s">
        <v>709</v>
      </c>
      <c r="C17282" s="2">
        <f>HYPERLINK("https://cao.dolgi.msk.ru/account/1080143638/", 1080143638)</f>
        <v>1080143638</v>
      </c>
      <c r="D17282" t="s">
        <v>14674</v>
      </c>
      <c r="E17282">
        <v>-8587.2800000000007</v>
      </c>
      <c r="F17282">
        <v>-1.1499999999999999</v>
      </c>
      <c r="G17282" t="s">
        <v>12</v>
      </c>
      <c r="I17282" t="s">
        <v>2409</v>
      </c>
    </row>
    <row r="17283" spans="1:9" hidden="1" x14ac:dyDescent="0.25">
      <c r="A17283" t="s">
        <v>14587</v>
      </c>
      <c r="B17283" t="s">
        <v>711</v>
      </c>
      <c r="C17283" s="2">
        <f>HYPERLINK("https://cao.dolgi.msk.ru/account/1080143646/", 1080143646)</f>
        <v>1080143646</v>
      </c>
      <c r="D17283" t="s">
        <v>14675</v>
      </c>
      <c r="E17283">
        <v>-9313.73</v>
      </c>
      <c r="F17283">
        <v>-1.1100000000000001</v>
      </c>
      <c r="G17283" t="s">
        <v>12</v>
      </c>
      <c r="I17283" t="s">
        <v>2409</v>
      </c>
    </row>
    <row r="17284" spans="1:9" hidden="1" x14ac:dyDescent="0.25">
      <c r="A17284" t="s">
        <v>14587</v>
      </c>
      <c r="B17284" t="s">
        <v>713</v>
      </c>
      <c r="C17284" s="2">
        <f>HYPERLINK("https://cao.dolgi.msk.ru/account/1080143654/", 1080143654)</f>
        <v>1080143654</v>
      </c>
      <c r="D17284" t="s">
        <v>14676</v>
      </c>
      <c r="E17284">
        <v>-15143.24</v>
      </c>
      <c r="F17284">
        <v>-1.1299999999999999</v>
      </c>
      <c r="G17284" t="s">
        <v>12</v>
      </c>
      <c r="I17284" t="s">
        <v>2409</v>
      </c>
    </row>
    <row r="17285" spans="1:9" x14ac:dyDescent="0.25">
      <c r="A17285" t="s">
        <v>14587</v>
      </c>
      <c r="B17285" t="s">
        <v>528</v>
      </c>
      <c r="C17285" s="2">
        <f>HYPERLINK("https://cao.dolgi.msk.ru/account/1080143662/", 1080143662)</f>
        <v>1080143662</v>
      </c>
      <c r="D17285" t="s">
        <v>14677</v>
      </c>
      <c r="E17285">
        <v>87885.33</v>
      </c>
      <c r="F17285">
        <v>7.18</v>
      </c>
      <c r="G17285" t="s">
        <v>12</v>
      </c>
      <c r="I17285" t="s">
        <v>2409</v>
      </c>
    </row>
    <row r="17286" spans="1:9" hidden="1" x14ac:dyDescent="0.25">
      <c r="A17286" t="s">
        <v>14587</v>
      </c>
      <c r="B17286" t="s">
        <v>530</v>
      </c>
      <c r="C17286" s="2">
        <f>HYPERLINK("https://cao.dolgi.msk.ru/account/1080143689/", 1080143689)</f>
        <v>1080143689</v>
      </c>
      <c r="D17286" t="s">
        <v>14678</v>
      </c>
      <c r="E17286">
        <v>-24.13</v>
      </c>
      <c r="F17286">
        <v>-0.01</v>
      </c>
      <c r="G17286" t="s">
        <v>12</v>
      </c>
      <c r="I17286" t="s">
        <v>2409</v>
      </c>
    </row>
    <row r="17287" spans="1:9" hidden="1" x14ac:dyDescent="0.25">
      <c r="A17287" t="s">
        <v>14587</v>
      </c>
      <c r="B17287" t="s">
        <v>532</v>
      </c>
      <c r="C17287" s="2">
        <f>HYPERLINK("https://cao.dolgi.msk.ru/account/1080168237/", 1080168237)</f>
        <v>1080168237</v>
      </c>
      <c r="D17287" t="s">
        <v>14679</v>
      </c>
      <c r="E17287">
        <v>-1007.26</v>
      </c>
      <c r="F17287">
        <v>-0.08</v>
      </c>
      <c r="G17287" t="s">
        <v>12</v>
      </c>
      <c r="I17287" t="s">
        <v>2409</v>
      </c>
    </row>
    <row r="17288" spans="1:9" x14ac:dyDescent="0.25">
      <c r="A17288" t="s">
        <v>14587</v>
      </c>
      <c r="B17288" t="s">
        <v>534</v>
      </c>
      <c r="C17288" s="2">
        <f>HYPERLINK("https://cao.dolgi.msk.ru/account/1080146978/", 1080146978)</f>
        <v>1080146978</v>
      </c>
      <c r="D17288" t="s">
        <v>14680</v>
      </c>
      <c r="E17288">
        <v>56211.38</v>
      </c>
      <c r="F17288">
        <v>5</v>
      </c>
      <c r="G17288" t="s">
        <v>12</v>
      </c>
      <c r="I17288" t="s">
        <v>2409</v>
      </c>
    </row>
    <row r="17289" spans="1:9" hidden="1" x14ac:dyDescent="0.25">
      <c r="A17289" t="s">
        <v>14587</v>
      </c>
      <c r="B17289" t="s">
        <v>536</v>
      </c>
      <c r="C17289" s="2">
        <f>HYPERLINK("https://cao.dolgi.msk.ru/account/1080146986/", 1080146986)</f>
        <v>1080146986</v>
      </c>
      <c r="D17289" t="s">
        <v>14681</v>
      </c>
      <c r="E17289">
        <v>-5981.91</v>
      </c>
      <c r="F17289">
        <v>-1.0900000000000001</v>
      </c>
      <c r="G17289" t="s">
        <v>12</v>
      </c>
      <c r="I17289" t="s">
        <v>2409</v>
      </c>
    </row>
    <row r="17290" spans="1:9" hidden="1" x14ac:dyDescent="0.25">
      <c r="A17290" t="s">
        <v>14587</v>
      </c>
      <c r="B17290" t="s">
        <v>538</v>
      </c>
      <c r="C17290" s="2">
        <f>HYPERLINK("https://cao.dolgi.msk.ru/account/1080167349/", 1080167349)</f>
        <v>1080167349</v>
      </c>
      <c r="D17290" t="s">
        <v>14682</v>
      </c>
      <c r="E17290">
        <v>-11176.21</v>
      </c>
      <c r="F17290">
        <v>-1.68</v>
      </c>
      <c r="G17290" t="s">
        <v>12</v>
      </c>
      <c r="I17290" t="s">
        <v>2409</v>
      </c>
    </row>
    <row r="17291" spans="1:9" hidden="1" x14ac:dyDescent="0.25">
      <c r="A17291" t="s">
        <v>14587</v>
      </c>
      <c r="B17291" t="s">
        <v>539</v>
      </c>
      <c r="C17291" s="2">
        <f>HYPERLINK("https://cao.dolgi.msk.ru/account/1080146994/", 1080146994)</f>
        <v>1080146994</v>
      </c>
      <c r="D17291" t="s">
        <v>14683</v>
      </c>
      <c r="E17291">
        <v>-13939.34</v>
      </c>
      <c r="F17291">
        <v>-1.38</v>
      </c>
      <c r="G17291" t="s">
        <v>12</v>
      </c>
      <c r="I17291" t="s">
        <v>2409</v>
      </c>
    </row>
    <row r="17292" spans="1:9" hidden="1" x14ac:dyDescent="0.25">
      <c r="A17292" t="s">
        <v>14587</v>
      </c>
      <c r="B17292" t="s">
        <v>541</v>
      </c>
      <c r="C17292" s="2">
        <f>HYPERLINK("https://cao.dolgi.msk.ru/account/1080147006/", 1080147006)</f>
        <v>1080147006</v>
      </c>
      <c r="D17292" t="s">
        <v>14684</v>
      </c>
      <c r="E17292">
        <v>-5965.76</v>
      </c>
      <c r="F17292">
        <v>-1.2</v>
      </c>
      <c r="G17292" t="s">
        <v>12</v>
      </c>
      <c r="I17292" t="s">
        <v>2409</v>
      </c>
    </row>
    <row r="17293" spans="1:9" hidden="1" x14ac:dyDescent="0.25">
      <c r="A17293" t="s">
        <v>14587</v>
      </c>
      <c r="B17293" t="s">
        <v>541</v>
      </c>
      <c r="C17293" s="2">
        <f>HYPERLINK("https://cao.dolgi.msk.ru/account/1083268823/", 1083268823)</f>
        <v>1083268823</v>
      </c>
      <c r="D17293" t="s">
        <v>15</v>
      </c>
      <c r="G17293" t="s">
        <v>14</v>
      </c>
      <c r="I17293" t="s">
        <v>2409</v>
      </c>
    </row>
    <row r="17294" spans="1:9" hidden="1" x14ac:dyDescent="0.25">
      <c r="A17294" t="s">
        <v>14587</v>
      </c>
      <c r="B17294" t="s">
        <v>543</v>
      </c>
      <c r="C17294" s="2">
        <f>HYPERLINK("https://cao.dolgi.msk.ru/account/1080166354/", 1080166354)</f>
        <v>1080166354</v>
      </c>
      <c r="D17294" t="s">
        <v>14685</v>
      </c>
      <c r="E17294">
        <v>-9985.17</v>
      </c>
      <c r="F17294">
        <v>-1.21</v>
      </c>
      <c r="G17294" t="s">
        <v>12</v>
      </c>
      <c r="I17294" t="s">
        <v>2409</v>
      </c>
    </row>
    <row r="17295" spans="1:9" hidden="1" x14ac:dyDescent="0.25">
      <c r="A17295" t="s">
        <v>14587</v>
      </c>
      <c r="B17295" t="s">
        <v>545</v>
      </c>
      <c r="C17295" s="2">
        <f>HYPERLINK("https://cao.dolgi.msk.ru/account/1080147014/", 1080147014)</f>
        <v>1080147014</v>
      </c>
      <c r="D17295" t="s">
        <v>14686</v>
      </c>
      <c r="E17295">
        <v>-16319.43</v>
      </c>
      <c r="F17295">
        <v>-1.1399999999999999</v>
      </c>
      <c r="G17295" t="s">
        <v>12</v>
      </c>
      <c r="I17295" t="s">
        <v>2409</v>
      </c>
    </row>
    <row r="17296" spans="1:9" hidden="1" x14ac:dyDescent="0.25">
      <c r="A17296" t="s">
        <v>14587</v>
      </c>
      <c r="B17296" t="s">
        <v>546</v>
      </c>
      <c r="C17296" s="2">
        <f>HYPERLINK("https://cao.dolgi.msk.ru/account/1080147022/", 1080147022)</f>
        <v>1080147022</v>
      </c>
      <c r="D17296" t="s">
        <v>14687</v>
      </c>
      <c r="E17296">
        <v>-5952.28</v>
      </c>
      <c r="F17296">
        <v>-1.18</v>
      </c>
      <c r="G17296" t="s">
        <v>12</v>
      </c>
      <c r="I17296" t="s">
        <v>2409</v>
      </c>
    </row>
    <row r="17297" spans="1:9" hidden="1" x14ac:dyDescent="0.25">
      <c r="A17297" t="s">
        <v>14587</v>
      </c>
      <c r="B17297" t="s">
        <v>548</v>
      </c>
      <c r="C17297" s="2">
        <f>HYPERLINK("https://cao.dolgi.msk.ru/account/1080147049/", 1080147049)</f>
        <v>1080147049</v>
      </c>
      <c r="D17297" t="s">
        <v>14688</v>
      </c>
      <c r="E17297">
        <v>-11418.14</v>
      </c>
      <c r="F17297">
        <v>-1.24</v>
      </c>
      <c r="G17297" t="s">
        <v>12</v>
      </c>
      <c r="I17297" t="s">
        <v>2409</v>
      </c>
    </row>
    <row r="17298" spans="1:9" hidden="1" x14ac:dyDescent="0.25">
      <c r="A17298" t="s">
        <v>14587</v>
      </c>
      <c r="B17298" t="s">
        <v>727</v>
      </c>
      <c r="C17298" s="2">
        <f>HYPERLINK("https://cao.dolgi.msk.ru/account/1080147057/", 1080147057)</f>
        <v>1080147057</v>
      </c>
      <c r="D17298" t="s">
        <v>14689</v>
      </c>
      <c r="E17298">
        <v>11016.49</v>
      </c>
      <c r="F17298">
        <v>0.85</v>
      </c>
      <c r="G17298" t="s">
        <v>12</v>
      </c>
      <c r="I17298" t="s">
        <v>2409</v>
      </c>
    </row>
    <row r="17299" spans="1:9" hidden="1" x14ac:dyDescent="0.25">
      <c r="A17299" t="s">
        <v>14587</v>
      </c>
      <c r="B17299" t="s">
        <v>551</v>
      </c>
      <c r="C17299" s="2">
        <f>HYPERLINK("https://cao.dolgi.msk.ru/account/1080147065/", 1080147065)</f>
        <v>1080147065</v>
      </c>
      <c r="D17299" t="s">
        <v>14690</v>
      </c>
      <c r="E17299">
        <v>-5273.03</v>
      </c>
      <c r="F17299">
        <v>-1.17</v>
      </c>
      <c r="G17299" t="s">
        <v>12</v>
      </c>
      <c r="I17299" t="s">
        <v>2409</v>
      </c>
    </row>
    <row r="17300" spans="1:9" hidden="1" x14ac:dyDescent="0.25">
      <c r="A17300" t="s">
        <v>14587</v>
      </c>
      <c r="B17300" t="s">
        <v>730</v>
      </c>
      <c r="C17300" s="2">
        <f>HYPERLINK("https://cao.dolgi.msk.ru/account/1080147073/", 1080147073)</f>
        <v>1080147073</v>
      </c>
      <c r="D17300" t="s">
        <v>14691</v>
      </c>
      <c r="E17300">
        <v>-2322.04</v>
      </c>
      <c r="F17300">
        <v>-0.61</v>
      </c>
      <c r="G17300" t="s">
        <v>12</v>
      </c>
      <c r="I17300" t="s">
        <v>2409</v>
      </c>
    </row>
    <row r="17301" spans="1:9" hidden="1" x14ac:dyDescent="0.25">
      <c r="A17301" t="s">
        <v>14587</v>
      </c>
      <c r="B17301" t="s">
        <v>732</v>
      </c>
      <c r="C17301" s="2">
        <f>HYPERLINK("https://cao.dolgi.msk.ru/account/1080147081/", 1080147081)</f>
        <v>1080147081</v>
      </c>
      <c r="D17301" t="s">
        <v>14692</v>
      </c>
      <c r="E17301">
        <v>-4541.92</v>
      </c>
      <c r="F17301">
        <v>-1.67</v>
      </c>
      <c r="G17301" t="s">
        <v>12</v>
      </c>
      <c r="I17301" t="s">
        <v>2409</v>
      </c>
    </row>
    <row r="17302" spans="1:9" hidden="1" x14ac:dyDescent="0.25">
      <c r="A17302" t="s">
        <v>14587</v>
      </c>
      <c r="B17302" t="s">
        <v>553</v>
      </c>
      <c r="C17302" s="2">
        <f>HYPERLINK("https://cao.dolgi.msk.ru/account/1080147102/", 1080147102)</f>
        <v>1080147102</v>
      </c>
      <c r="D17302" t="s">
        <v>14693</v>
      </c>
      <c r="E17302">
        <v>-14827.29</v>
      </c>
      <c r="F17302">
        <v>-1.24</v>
      </c>
      <c r="G17302" t="s">
        <v>12</v>
      </c>
      <c r="I17302" t="s">
        <v>2409</v>
      </c>
    </row>
    <row r="17303" spans="1:9" hidden="1" x14ac:dyDescent="0.25">
      <c r="A17303" t="s">
        <v>14587</v>
      </c>
      <c r="B17303" t="s">
        <v>555</v>
      </c>
      <c r="C17303" s="2">
        <f>HYPERLINK("https://cao.dolgi.msk.ru/account/1080147129/", 1080147129)</f>
        <v>1080147129</v>
      </c>
      <c r="D17303" t="s">
        <v>14694</v>
      </c>
      <c r="E17303">
        <v>-5575.51</v>
      </c>
      <c r="F17303">
        <v>-1.2</v>
      </c>
      <c r="G17303" t="s">
        <v>12</v>
      </c>
      <c r="I17303" t="s">
        <v>2409</v>
      </c>
    </row>
    <row r="17304" spans="1:9" hidden="1" x14ac:dyDescent="0.25">
      <c r="A17304" t="s">
        <v>14587</v>
      </c>
      <c r="B17304" t="s">
        <v>736</v>
      </c>
      <c r="C17304" s="2">
        <f>HYPERLINK("https://cao.dolgi.msk.ru/account/1080147137/", 1080147137)</f>
        <v>1080147137</v>
      </c>
      <c r="D17304" t="s">
        <v>14695</v>
      </c>
      <c r="E17304">
        <v>-7137.78</v>
      </c>
      <c r="F17304">
        <v>-1.1200000000000001</v>
      </c>
      <c r="G17304" t="s">
        <v>12</v>
      </c>
      <c r="I17304" t="s">
        <v>2409</v>
      </c>
    </row>
    <row r="17305" spans="1:9" hidden="1" x14ac:dyDescent="0.25">
      <c r="A17305" t="s">
        <v>14587</v>
      </c>
      <c r="B17305" t="s">
        <v>738</v>
      </c>
      <c r="C17305" s="2">
        <f>HYPERLINK("https://cao.dolgi.msk.ru/account/1080147145/", 1080147145)</f>
        <v>1080147145</v>
      </c>
      <c r="D17305" t="s">
        <v>14696</v>
      </c>
      <c r="E17305">
        <v>-73.59</v>
      </c>
      <c r="F17305">
        <v>-0.01</v>
      </c>
      <c r="G17305" t="s">
        <v>12</v>
      </c>
      <c r="I17305" t="s">
        <v>2409</v>
      </c>
    </row>
    <row r="17306" spans="1:9" hidden="1" x14ac:dyDescent="0.25">
      <c r="A17306" t="s">
        <v>14587</v>
      </c>
      <c r="B17306" t="s">
        <v>740</v>
      </c>
      <c r="C17306" s="2">
        <f>HYPERLINK("https://cao.dolgi.msk.ru/account/1080147153/", 1080147153)</f>
        <v>1080147153</v>
      </c>
      <c r="D17306" t="s">
        <v>14697</v>
      </c>
      <c r="E17306">
        <v>-45.43</v>
      </c>
      <c r="F17306">
        <v>-0.01</v>
      </c>
      <c r="G17306" t="s">
        <v>12</v>
      </c>
      <c r="I17306" t="s">
        <v>2409</v>
      </c>
    </row>
    <row r="17307" spans="1:9" x14ac:dyDescent="0.25">
      <c r="A17307" t="s">
        <v>14587</v>
      </c>
      <c r="B17307" t="s">
        <v>742</v>
      </c>
      <c r="C17307" s="2">
        <f>HYPERLINK("https://cao.dolgi.msk.ru/account/1080147161/", 1080147161)</f>
        <v>1080147161</v>
      </c>
      <c r="D17307" t="s">
        <v>14698</v>
      </c>
      <c r="E17307">
        <v>443477.5</v>
      </c>
      <c r="F17307">
        <v>56.12</v>
      </c>
      <c r="G17307" t="s">
        <v>12</v>
      </c>
      <c r="I17307" t="s">
        <v>2409</v>
      </c>
    </row>
    <row r="17308" spans="1:9" hidden="1" x14ac:dyDescent="0.25">
      <c r="A17308" t="s">
        <v>14587</v>
      </c>
      <c r="B17308" t="s">
        <v>557</v>
      </c>
      <c r="C17308" s="2">
        <f>HYPERLINK("https://cao.dolgi.msk.ru/account/1080147188/", 1080147188)</f>
        <v>1080147188</v>
      </c>
      <c r="D17308" t="s">
        <v>14699</v>
      </c>
      <c r="E17308">
        <v>-7049.32</v>
      </c>
      <c r="F17308">
        <v>-1.21</v>
      </c>
      <c r="G17308" t="s">
        <v>12</v>
      </c>
      <c r="I17308" t="s">
        <v>2409</v>
      </c>
    </row>
    <row r="17309" spans="1:9" hidden="1" x14ac:dyDescent="0.25">
      <c r="A17309" t="s">
        <v>14587</v>
      </c>
      <c r="B17309" t="s">
        <v>558</v>
      </c>
      <c r="C17309" s="2">
        <f>HYPERLINK("https://cao.dolgi.msk.ru/account/1080147196/", 1080147196)</f>
        <v>1080147196</v>
      </c>
      <c r="D17309" t="s">
        <v>14700</v>
      </c>
      <c r="E17309">
        <v>-4802.66</v>
      </c>
      <c r="F17309">
        <v>-1.22</v>
      </c>
      <c r="G17309" t="s">
        <v>12</v>
      </c>
      <c r="I17309" t="s">
        <v>2409</v>
      </c>
    </row>
    <row r="17310" spans="1:9" hidden="1" x14ac:dyDescent="0.25">
      <c r="A17310" t="s">
        <v>14587</v>
      </c>
      <c r="B17310" t="s">
        <v>558</v>
      </c>
      <c r="C17310" s="2">
        <f>HYPERLINK("https://cao.dolgi.msk.ru/account/1083270587/", 1083270587)</f>
        <v>1083270587</v>
      </c>
      <c r="D17310" t="s">
        <v>14700</v>
      </c>
      <c r="E17310">
        <v>-5042.6000000000004</v>
      </c>
      <c r="F17310">
        <v>-1.23</v>
      </c>
      <c r="G17310" t="s">
        <v>12</v>
      </c>
      <c r="I17310" t="s">
        <v>2409</v>
      </c>
    </row>
    <row r="17311" spans="1:9" hidden="1" x14ac:dyDescent="0.25">
      <c r="A17311" t="s">
        <v>14587</v>
      </c>
      <c r="B17311" t="s">
        <v>746</v>
      </c>
      <c r="C17311" s="2">
        <f>HYPERLINK("https://cao.dolgi.msk.ru/account/1080147209/", 1080147209)</f>
        <v>1080147209</v>
      </c>
      <c r="D17311" t="s">
        <v>14701</v>
      </c>
      <c r="E17311">
        <v>-26709.25</v>
      </c>
      <c r="F17311">
        <v>-4.37</v>
      </c>
      <c r="G17311" t="s">
        <v>12</v>
      </c>
      <c r="I17311" t="s">
        <v>2409</v>
      </c>
    </row>
    <row r="17312" spans="1:9" hidden="1" x14ac:dyDescent="0.25">
      <c r="A17312" t="s">
        <v>14587</v>
      </c>
      <c r="B17312" t="s">
        <v>748</v>
      </c>
      <c r="C17312" s="2">
        <f>HYPERLINK("https://cao.dolgi.msk.ru/account/1080147217/", 1080147217)</f>
        <v>1080147217</v>
      </c>
      <c r="D17312" t="s">
        <v>14702</v>
      </c>
      <c r="E17312">
        <v>-11126.36</v>
      </c>
      <c r="F17312">
        <v>-1.3</v>
      </c>
      <c r="G17312" t="s">
        <v>12</v>
      </c>
      <c r="I17312" t="s">
        <v>2409</v>
      </c>
    </row>
    <row r="17313" spans="1:9" hidden="1" x14ac:dyDescent="0.25">
      <c r="A17313" t="s">
        <v>14587</v>
      </c>
      <c r="B17313" t="s">
        <v>750</v>
      </c>
      <c r="C17313" s="2">
        <f>HYPERLINK("https://cao.dolgi.msk.ru/account/1080147225/", 1080147225)</f>
        <v>1080147225</v>
      </c>
      <c r="D17313" t="s">
        <v>14703</v>
      </c>
      <c r="E17313">
        <v>-1776.33</v>
      </c>
      <c r="F17313">
        <v>-0.22</v>
      </c>
      <c r="G17313" t="s">
        <v>12</v>
      </c>
      <c r="I17313" t="s">
        <v>2409</v>
      </c>
    </row>
    <row r="17314" spans="1:9" hidden="1" x14ac:dyDescent="0.25">
      <c r="A17314" t="s">
        <v>14587</v>
      </c>
      <c r="B17314" t="s">
        <v>752</v>
      </c>
      <c r="C17314" s="2">
        <f>HYPERLINK("https://cao.dolgi.msk.ru/account/1080147233/", 1080147233)</f>
        <v>1080147233</v>
      </c>
      <c r="D17314" t="s">
        <v>14704</v>
      </c>
      <c r="E17314">
        <v>-6431.28</v>
      </c>
      <c r="F17314">
        <v>-1.1200000000000001</v>
      </c>
      <c r="G17314" t="s">
        <v>12</v>
      </c>
      <c r="I17314" t="s">
        <v>2409</v>
      </c>
    </row>
    <row r="17315" spans="1:9" hidden="1" x14ac:dyDescent="0.25">
      <c r="A17315" t="s">
        <v>14587</v>
      </c>
      <c r="B17315" t="s">
        <v>754</v>
      </c>
      <c r="C17315" s="2">
        <f>HYPERLINK("https://cao.dolgi.msk.ru/account/1080147241/", 1080147241)</f>
        <v>1080147241</v>
      </c>
      <c r="D17315" t="s">
        <v>14705</v>
      </c>
      <c r="E17315">
        <v>-7693.23</v>
      </c>
      <c r="F17315">
        <v>-1.2</v>
      </c>
      <c r="G17315" t="s">
        <v>12</v>
      </c>
      <c r="I17315" t="s">
        <v>2409</v>
      </c>
    </row>
    <row r="17316" spans="1:9" hidden="1" x14ac:dyDescent="0.25">
      <c r="A17316" t="s">
        <v>14587</v>
      </c>
      <c r="B17316" t="s">
        <v>756</v>
      </c>
      <c r="C17316" s="2">
        <f>HYPERLINK("https://cao.dolgi.msk.ru/account/1080147268/", 1080147268)</f>
        <v>1080147268</v>
      </c>
      <c r="D17316" t="s">
        <v>14706</v>
      </c>
      <c r="E17316">
        <v>-7230.12</v>
      </c>
      <c r="F17316">
        <v>-1.18</v>
      </c>
      <c r="G17316" t="s">
        <v>12</v>
      </c>
      <c r="I17316" t="s">
        <v>2409</v>
      </c>
    </row>
    <row r="17317" spans="1:9" hidden="1" x14ac:dyDescent="0.25">
      <c r="A17317" t="s">
        <v>14587</v>
      </c>
      <c r="B17317" t="s">
        <v>758</v>
      </c>
      <c r="C17317" s="2">
        <f>HYPERLINK("https://cao.dolgi.msk.ru/account/1080148885/", 1080148885)</f>
        <v>1080148885</v>
      </c>
      <c r="D17317" t="s">
        <v>14707</v>
      </c>
      <c r="E17317">
        <v>-10591.89</v>
      </c>
      <c r="F17317">
        <v>-1.1499999999999999</v>
      </c>
      <c r="G17317" t="s">
        <v>12</v>
      </c>
      <c r="I17317" t="s">
        <v>2409</v>
      </c>
    </row>
    <row r="17318" spans="1:9" hidden="1" x14ac:dyDescent="0.25">
      <c r="A17318" t="s">
        <v>14587</v>
      </c>
      <c r="B17318" t="s">
        <v>760</v>
      </c>
      <c r="C17318" s="2">
        <f>HYPERLINK("https://cao.dolgi.msk.ru/account/1080147284/", 1080147284)</f>
        <v>1080147284</v>
      </c>
      <c r="D17318" t="s">
        <v>14708</v>
      </c>
      <c r="E17318">
        <v>-9230.11</v>
      </c>
      <c r="F17318">
        <v>-1.1299999999999999</v>
      </c>
      <c r="G17318" t="s">
        <v>12</v>
      </c>
      <c r="I17318" t="s">
        <v>2409</v>
      </c>
    </row>
    <row r="17319" spans="1:9" hidden="1" x14ac:dyDescent="0.25">
      <c r="A17319" t="s">
        <v>14587</v>
      </c>
      <c r="B17319" t="s">
        <v>762</v>
      </c>
      <c r="C17319" s="2">
        <f>HYPERLINK("https://cao.dolgi.msk.ru/account/1080147292/", 1080147292)</f>
        <v>1080147292</v>
      </c>
      <c r="D17319" t="s">
        <v>14709</v>
      </c>
      <c r="E17319">
        <v>0</v>
      </c>
      <c r="F17319">
        <v>0</v>
      </c>
      <c r="G17319" t="s">
        <v>12</v>
      </c>
      <c r="I17319" t="s">
        <v>2409</v>
      </c>
    </row>
    <row r="17320" spans="1:9" hidden="1" x14ac:dyDescent="0.25">
      <c r="A17320" t="s">
        <v>14587</v>
      </c>
      <c r="B17320" t="s">
        <v>764</v>
      </c>
      <c r="C17320" s="2">
        <f>HYPERLINK("https://cao.dolgi.msk.ru/account/1080147305/", 1080147305)</f>
        <v>1080147305</v>
      </c>
      <c r="D17320" t="s">
        <v>14710</v>
      </c>
      <c r="E17320">
        <v>-4863.4799999999996</v>
      </c>
      <c r="F17320">
        <v>-1.1000000000000001</v>
      </c>
      <c r="G17320" t="s">
        <v>12</v>
      </c>
      <c r="I17320" t="s">
        <v>2409</v>
      </c>
    </row>
    <row r="17321" spans="1:9" hidden="1" x14ac:dyDescent="0.25">
      <c r="A17321" t="s">
        <v>14587</v>
      </c>
      <c r="B17321" t="s">
        <v>766</v>
      </c>
      <c r="C17321" s="2">
        <f>HYPERLINK("https://cao.dolgi.msk.ru/account/1080147313/", 1080147313)</f>
        <v>1080147313</v>
      </c>
      <c r="D17321" t="s">
        <v>14711</v>
      </c>
      <c r="E17321">
        <v>0</v>
      </c>
      <c r="F17321">
        <v>0</v>
      </c>
      <c r="G17321" t="s">
        <v>12</v>
      </c>
      <c r="I17321" t="s">
        <v>2409</v>
      </c>
    </row>
    <row r="17322" spans="1:9" hidden="1" x14ac:dyDescent="0.25">
      <c r="A17322" t="s">
        <v>14587</v>
      </c>
      <c r="B17322" t="s">
        <v>768</v>
      </c>
      <c r="C17322" s="2">
        <f>HYPERLINK("https://cao.dolgi.msk.ru/account/1080147321/", 1080147321)</f>
        <v>1080147321</v>
      </c>
      <c r="D17322" t="s">
        <v>14712</v>
      </c>
      <c r="E17322">
        <v>-11046.77</v>
      </c>
      <c r="F17322">
        <v>-1.1599999999999999</v>
      </c>
      <c r="G17322" t="s">
        <v>12</v>
      </c>
      <c r="I17322" t="s">
        <v>2409</v>
      </c>
    </row>
    <row r="17323" spans="1:9" hidden="1" x14ac:dyDescent="0.25">
      <c r="A17323" t="s">
        <v>14587</v>
      </c>
      <c r="B17323" t="s">
        <v>770</v>
      </c>
      <c r="C17323" s="2">
        <f>HYPERLINK("https://cao.dolgi.msk.ru/account/1080147348/", 1080147348)</f>
        <v>1080147348</v>
      </c>
      <c r="D17323" t="s">
        <v>14713</v>
      </c>
      <c r="E17323">
        <v>-6897.09</v>
      </c>
      <c r="F17323">
        <v>-1.1200000000000001</v>
      </c>
      <c r="G17323" t="s">
        <v>12</v>
      </c>
      <c r="I17323" t="s">
        <v>2409</v>
      </c>
    </row>
    <row r="17324" spans="1:9" hidden="1" x14ac:dyDescent="0.25">
      <c r="A17324" t="s">
        <v>14587</v>
      </c>
      <c r="B17324" t="s">
        <v>772</v>
      </c>
      <c r="C17324" s="2">
        <f>HYPERLINK("https://cao.dolgi.msk.ru/account/1080147356/", 1080147356)</f>
        <v>1080147356</v>
      </c>
      <c r="D17324" t="s">
        <v>14714</v>
      </c>
      <c r="E17324">
        <v>0</v>
      </c>
      <c r="F17324">
        <v>0</v>
      </c>
      <c r="G17324" t="s">
        <v>12</v>
      </c>
      <c r="I17324" t="s">
        <v>2409</v>
      </c>
    </row>
    <row r="17325" spans="1:9" hidden="1" x14ac:dyDescent="0.25">
      <c r="A17325" t="s">
        <v>14587</v>
      </c>
      <c r="B17325" t="s">
        <v>774</v>
      </c>
      <c r="C17325" s="2">
        <f>HYPERLINK("https://cao.dolgi.msk.ru/account/1080167381/", 1080167381)</f>
        <v>1080167381</v>
      </c>
      <c r="D17325" t="s">
        <v>14715</v>
      </c>
      <c r="E17325">
        <v>-10004.4</v>
      </c>
      <c r="F17325">
        <v>-1.23</v>
      </c>
      <c r="G17325" t="s">
        <v>12</v>
      </c>
      <c r="I17325" t="s">
        <v>2409</v>
      </c>
    </row>
    <row r="17326" spans="1:9" hidden="1" x14ac:dyDescent="0.25">
      <c r="A17326" t="s">
        <v>14587</v>
      </c>
      <c r="B17326" t="s">
        <v>776</v>
      </c>
      <c r="C17326" s="2">
        <f>HYPERLINK("https://cao.dolgi.msk.ru/account/1080147364/", 1080147364)</f>
        <v>1080147364</v>
      </c>
      <c r="D17326" t="s">
        <v>14716</v>
      </c>
      <c r="E17326">
        <v>-222.97</v>
      </c>
      <c r="F17326">
        <v>-0.04</v>
      </c>
      <c r="G17326" t="s">
        <v>12</v>
      </c>
      <c r="I17326" t="s">
        <v>2409</v>
      </c>
    </row>
    <row r="17327" spans="1:9" hidden="1" x14ac:dyDescent="0.25">
      <c r="A17327" t="s">
        <v>14587</v>
      </c>
      <c r="B17327" t="s">
        <v>778</v>
      </c>
      <c r="C17327" s="2">
        <f>HYPERLINK("https://cao.dolgi.msk.ru/account/1080147372/", 1080147372)</f>
        <v>1080147372</v>
      </c>
      <c r="D17327" t="s">
        <v>14717</v>
      </c>
      <c r="E17327">
        <v>-6700.87</v>
      </c>
      <c r="F17327">
        <v>-1.1200000000000001</v>
      </c>
      <c r="G17327" t="s">
        <v>12</v>
      </c>
      <c r="I17327" t="s">
        <v>2409</v>
      </c>
    </row>
    <row r="17328" spans="1:9" hidden="1" x14ac:dyDescent="0.25">
      <c r="A17328" t="s">
        <v>14587</v>
      </c>
      <c r="B17328" t="s">
        <v>780</v>
      </c>
      <c r="C17328" s="2">
        <f>HYPERLINK("https://cao.dolgi.msk.ru/account/1080147399/", 1080147399)</f>
        <v>1080147399</v>
      </c>
      <c r="D17328" t="s">
        <v>14718</v>
      </c>
      <c r="E17328">
        <v>-8178.28</v>
      </c>
      <c r="F17328">
        <v>-1.07</v>
      </c>
      <c r="G17328" t="s">
        <v>12</v>
      </c>
      <c r="I17328" t="s">
        <v>2409</v>
      </c>
    </row>
    <row r="17329" spans="1:9" hidden="1" x14ac:dyDescent="0.25">
      <c r="A17329" t="s">
        <v>14587</v>
      </c>
      <c r="B17329" t="s">
        <v>781</v>
      </c>
      <c r="C17329" s="2">
        <f>HYPERLINK("https://cao.dolgi.msk.ru/account/1080147401/", 1080147401)</f>
        <v>1080147401</v>
      </c>
      <c r="D17329" t="s">
        <v>14719</v>
      </c>
      <c r="E17329">
        <v>-16676.689999999999</v>
      </c>
      <c r="F17329">
        <v>-1.06</v>
      </c>
      <c r="G17329" t="s">
        <v>12</v>
      </c>
      <c r="I17329" t="s">
        <v>2409</v>
      </c>
    </row>
    <row r="17330" spans="1:9" hidden="1" x14ac:dyDescent="0.25">
      <c r="A17330" t="s">
        <v>14587</v>
      </c>
      <c r="B17330" t="s">
        <v>782</v>
      </c>
      <c r="C17330" s="2">
        <f>HYPERLINK("https://cao.dolgi.msk.ru/account/1080147428/", 1080147428)</f>
        <v>1080147428</v>
      </c>
      <c r="D17330" t="s">
        <v>14720</v>
      </c>
      <c r="E17330">
        <v>0</v>
      </c>
      <c r="F17330">
        <v>0</v>
      </c>
      <c r="G17330" t="s">
        <v>12</v>
      </c>
      <c r="I17330" t="s">
        <v>2409</v>
      </c>
    </row>
    <row r="17331" spans="1:9" hidden="1" x14ac:dyDescent="0.25">
      <c r="A17331" t="s">
        <v>14587</v>
      </c>
      <c r="B17331" t="s">
        <v>784</v>
      </c>
      <c r="C17331" s="2">
        <f>HYPERLINK("https://cao.dolgi.msk.ru/account/1080147436/", 1080147436)</f>
        <v>1080147436</v>
      </c>
      <c r="D17331" t="s">
        <v>14721</v>
      </c>
      <c r="E17331">
        <v>-6546.84</v>
      </c>
      <c r="F17331">
        <v>-1.1399999999999999</v>
      </c>
      <c r="G17331" t="s">
        <v>12</v>
      </c>
      <c r="I17331" t="s">
        <v>2409</v>
      </c>
    </row>
    <row r="17332" spans="1:9" hidden="1" x14ac:dyDescent="0.25">
      <c r="A17332" t="s">
        <v>14587</v>
      </c>
      <c r="B17332" t="s">
        <v>786</v>
      </c>
      <c r="C17332" s="2">
        <f>HYPERLINK("https://cao.dolgi.msk.ru/account/1080147444/", 1080147444)</f>
        <v>1080147444</v>
      </c>
      <c r="D17332" t="s">
        <v>14722</v>
      </c>
      <c r="E17332">
        <v>-9853.0400000000009</v>
      </c>
      <c r="F17332">
        <v>-1.51</v>
      </c>
      <c r="G17332" t="s">
        <v>12</v>
      </c>
      <c r="I17332" t="s">
        <v>2409</v>
      </c>
    </row>
    <row r="17333" spans="1:9" x14ac:dyDescent="0.25">
      <c r="A17333" t="s">
        <v>14587</v>
      </c>
      <c r="B17333" t="s">
        <v>788</v>
      </c>
      <c r="C17333" s="2">
        <f>HYPERLINK("https://cao.dolgi.msk.ru/account/1080147452/", 1080147452)</f>
        <v>1080147452</v>
      </c>
      <c r="D17333" t="s">
        <v>14723</v>
      </c>
      <c r="E17333">
        <v>10387.040000000001</v>
      </c>
      <c r="F17333">
        <v>1.06</v>
      </c>
      <c r="G17333" t="s">
        <v>12</v>
      </c>
      <c r="I17333" t="s">
        <v>2409</v>
      </c>
    </row>
    <row r="17334" spans="1:9" hidden="1" x14ac:dyDescent="0.25">
      <c r="A17334" t="s">
        <v>14587</v>
      </c>
      <c r="B17334" t="s">
        <v>789</v>
      </c>
      <c r="C17334" s="2">
        <f>HYPERLINK("https://cao.dolgi.msk.ru/account/1080147479/", 1080147479)</f>
        <v>1080147479</v>
      </c>
      <c r="D17334" t="s">
        <v>14724</v>
      </c>
      <c r="E17334">
        <v>-6808.39</v>
      </c>
      <c r="F17334">
        <v>-1.19</v>
      </c>
      <c r="G17334" t="s">
        <v>12</v>
      </c>
      <c r="I17334" t="s">
        <v>2409</v>
      </c>
    </row>
    <row r="17335" spans="1:9" hidden="1" x14ac:dyDescent="0.25">
      <c r="A17335" t="s">
        <v>14587</v>
      </c>
      <c r="B17335" t="s">
        <v>790</v>
      </c>
      <c r="C17335" s="2">
        <f>HYPERLINK("https://cao.dolgi.msk.ru/account/1080147487/", 1080147487)</f>
        <v>1080147487</v>
      </c>
      <c r="D17335" t="s">
        <v>14725</v>
      </c>
      <c r="E17335">
        <v>172.55</v>
      </c>
      <c r="F17335">
        <v>0.03</v>
      </c>
      <c r="G17335" t="s">
        <v>12</v>
      </c>
      <c r="I17335" t="s">
        <v>2409</v>
      </c>
    </row>
    <row r="17336" spans="1:9" hidden="1" x14ac:dyDescent="0.25">
      <c r="A17336" t="s">
        <v>14587</v>
      </c>
      <c r="B17336" t="s">
        <v>792</v>
      </c>
      <c r="C17336" s="2">
        <f>HYPERLINK("https://cao.dolgi.msk.ru/account/1080147495/", 1080147495)</f>
        <v>1080147495</v>
      </c>
      <c r="D17336" t="s">
        <v>14726</v>
      </c>
      <c r="E17336">
        <v>-7594.95</v>
      </c>
      <c r="F17336">
        <v>-1.1100000000000001</v>
      </c>
      <c r="G17336" t="s">
        <v>12</v>
      </c>
      <c r="I17336" t="s">
        <v>2409</v>
      </c>
    </row>
    <row r="17337" spans="1:9" hidden="1" x14ac:dyDescent="0.25">
      <c r="A17337" t="s">
        <v>14587</v>
      </c>
      <c r="B17337" t="s">
        <v>794</v>
      </c>
      <c r="C17337" s="2">
        <f>HYPERLINK("https://cao.dolgi.msk.ru/account/1080147508/", 1080147508)</f>
        <v>1080147508</v>
      </c>
      <c r="D17337" t="s">
        <v>14727</v>
      </c>
      <c r="E17337">
        <v>-9916.83</v>
      </c>
      <c r="F17337">
        <v>-1.1599999999999999</v>
      </c>
      <c r="G17337" t="s">
        <v>12</v>
      </c>
      <c r="I17337" t="s">
        <v>2409</v>
      </c>
    </row>
    <row r="17338" spans="1:9" hidden="1" x14ac:dyDescent="0.25">
      <c r="A17338" t="s">
        <v>14587</v>
      </c>
      <c r="B17338" t="s">
        <v>796</v>
      </c>
      <c r="C17338" s="2">
        <f>HYPERLINK("https://cao.dolgi.msk.ru/account/1080147516/", 1080147516)</f>
        <v>1080147516</v>
      </c>
      <c r="D17338" t="s">
        <v>14728</v>
      </c>
      <c r="E17338">
        <v>-1756.76</v>
      </c>
      <c r="F17338">
        <v>-0.22</v>
      </c>
      <c r="G17338" t="s">
        <v>12</v>
      </c>
      <c r="I17338" t="s">
        <v>2409</v>
      </c>
    </row>
    <row r="17339" spans="1:9" hidden="1" x14ac:dyDescent="0.25">
      <c r="A17339" t="s">
        <v>14587</v>
      </c>
      <c r="B17339" t="s">
        <v>798</v>
      </c>
      <c r="C17339" s="2">
        <f>HYPERLINK("https://cao.dolgi.msk.ru/account/1080147524/", 1080147524)</f>
        <v>1080147524</v>
      </c>
      <c r="D17339" t="s">
        <v>14729</v>
      </c>
      <c r="E17339">
        <v>-4226.17</v>
      </c>
      <c r="F17339">
        <v>-1.26</v>
      </c>
      <c r="G17339" t="s">
        <v>12</v>
      </c>
      <c r="I17339" t="s">
        <v>2409</v>
      </c>
    </row>
    <row r="17340" spans="1:9" hidden="1" x14ac:dyDescent="0.25">
      <c r="A17340" t="s">
        <v>14587</v>
      </c>
      <c r="B17340" t="s">
        <v>800</v>
      </c>
      <c r="C17340" s="2">
        <f>HYPERLINK("https://cao.dolgi.msk.ru/account/1080166709/", 1080166709)</f>
        <v>1080166709</v>
      </c>
      <c r="D17340" t="s">
        <v>14730</v>
      </c>
      <c r="E17340">
        <v>-3560.58</v>
      </c>
      <c r="F17340">
        <v>-0.43</v>
      </c>
      <c r="G17340" t="s">
        <v>12</v>
      </c>
      <c r="I17340" t="s">
        <v>2409</v>
      </c>
    </row>
    <row r="17341" spans="1:9" hidden="1" x14ac:dyDescent="0.25">
      <c r="A17341" t="s">
        <v>14587</v>
      </c>
      <c r="B17341" t="s">
        <v>802</v>
      </c>
      <c r="C17341" s="2">
        <f>HYPERLINK("https://cao.dolgi.msk.ru/account/1080147532/", 1080147532)</f>
        <v>1080147532</v>
      </c>
      <c r="D17341" t="s">
        <v>14731</v>
      </c>
      <c r="E17341">
        <v>-13295.02</v>
      </c>
      <c r="F17341">
        <v>-1.1100000000000001</v>
      </c>
      <c r="G17341" t="s">
        <v>12</v>
      </c>
      <c r="I17341" t="s">
        <v>2409</v>
      </c>
    </row>
    <row r="17342" spans="1:9" hidden="1" x14ac:dyDescent="0.25">
      <c r="A17342" t="s">
        <v>14587</v>
      </c>
      <c r="B17342" t="s">
        <v>804</v>
      </c>
      <c r="C17342" s="2">
        <f>HYPERLINK("https://cao.dolgi.msk.ru/account/1080147559/", 1080147559)</f>
        <v>1080147559</v>
      </c>
      <c r="D17342" t="s">
        <v>14732</v>
      </c>
      <c r="E17342">
        <v>23.26</v>
      </c>
      <c r="F17342">
        <v>0</v>
      </c>
      <c r="G17342" t="s">
        <v>12</v>
      </c>
      <c r="I17342" t="s">
        <v>2409</v>
      </c>
    </row>
    <row r="17343" spans="1:9" hidden="1" x14ac:dyDescent="0.25">
      <c r="A17343" t="s">
        <v>14587</v>
      </c>
      <c r="B17343" t="s">
        <v>806</v>
      </c>
      <c r="C17343" s="2">
        <f>HYPERLINK("https://cao.dolgi.msk.ru/account/1080147567/", 1080147567)</f>
        <v>1080147567</v>
      </c>
      <c r="D17343" t="s">
        <v>15</v>
      </c>
      <c r="E17343">
        <v>-7500.06</v>
      </c>
      <c r="F17343">
        <v>-1.18</v>
      </c>
      <c r="G17343" t="s">
        <v>12</v>
      </c>
      <c r="I17343" t="s">
        <v>2409</v>
      </c>
    </row>
    <row r="17344" spans="1:9" hidden="1" x14ac:dyDescent="0.25">
      <c r="A17344" t="s">
        <v>14587</v>
      </c>
      <c r="B17344" t="s">
        <v>808</v>
      </c>
      <c r="C17344" s="2">
        <f>HYPERLINK("https://cao.dolgi.msk.ru/account/1080147575/", 1080147575)</f>
        <v>1080147575</v>
      </c>
      <c r="D17344" t="s">
        <v>14733</v>
      </c>
      <c r="E17344">
        <v>-3150.97</v>
      </c>
      <c r="F17344">
        <v>-1.25</v>
      </c>
      <c r="G17344" t="s">
        <v>12</v>
      </c>
      <c r="I17344" t="s">
        <v>2409</v>
      </c>
    </row>
    <row r="17345" spans="1:9" hidden="1" x14ac:dyDescent="0.25">
      <c r="A17345" t="s">
        <v>14587</v>
      </c>
      <c r="B17345" t="s">
        <v>810</v>
      </c>
      <c r="C17345" s="2">
        <f>HYPERLINK("https://cao.dolgi.msk.ru/account/1080147583/", 1080147583)</f>
        <v>1080147583</v>
      </c>
      <c r="D17345" t="s">
        <v>14734</v>
      </c>
      <c r="E17345">
        <v>-2882.16</v>
      </c>
      <c r="F17345">
        <v>-0.27</v>
      </c>
      <c r="G17345" t="s">
        <v>12</v>
      </c>
      <c r="I17345" t="s">
        <v>2409</v>
      </c>
    </row>
    <row r="17346" spans="1:9" hidden="1" x14ac:dyDescent="0.25">
      <c r="A17346" t="s">
        <v>14587</v>
      </c>
      <c r="B17346" t="s">
        <v>812</v>
      </c>
      <c r="C17346" s="2">
        <f>HYPERLINK("https://cao.dolgi.msk.ru/account/1080147591/", 1080147591)</f>
        <v>1080147591</v>
      </c>
      <c r="D17346" t="s">
        <v>14735</v>
      </c>
      <c r="E17346">
        <v>-9713.7900000000009</v>
      </c>
      <c r="F17346">
        <v>-1.1100000000000001</v>
      </c>
      <c r="G17346" t="s">
        <v>12</v>
      </c>
      <c r="I17346" t="s">
        <v>2409</v>
      </c>
    </row>
    <row r="17347" spans="1:9" hidden="1" x14ac:dyDescent="0.25">
      <c r="A17347" t="s">
        <v>14587</v>
      </c>
      <c r="B17347" t="s">
        <v>814</v>
      </c>
      <c r="C17347" s="2">
        <f>HYPERLINK("https://cao.dolgi.msk.ru/account/1080147604/", 1080147604)</f>
        <v>1080147604</v>
      </c>
      <c r="D17347" t="s">
        <v>14736</v>
      </c>
      <c r="E17347">
        <v>-4740.6000000000004</v>
      </c>
      <c r="F17347">
        <v>-1.06</v>
      </c>
      <c r="G17347" t="s">
        <v>12</v>
      </c>
      <c r="I17347" t="s">
        <v>2409</v>
      </c>
    </row>
    <row r="17348" spans="1:9" hidden="1" x14ac:dyDescent="0.25">
      <c r="A17348" t="s">
        <v>14587</v>
      </c>
      <c r="B17348" t="s">
        <v>816</v>
      </c>
      <c r="C17348" s="2">
        <f>HYPERLINK("https://cao.dolgi.msk.ru/account/1080147612/", 1080147612)</f>
        <v>1080147612</v>
      </c>
      <c r="D17348" t="s">
        <v>14737</v>
      </c>
      <c r="E17348">
        <v>-3862.05</v>
      </c>
      <c r="F17348">
        <v>-1.19</v>
      </c>
      <c r="G17348" t="s">
        <v>12</v>
      </c>
      <c r="I17348" t="s">
        <v>2409</v>
      </c>
    </row>
    <row r="17349" spans="1:9" hidden="1" x14ac:dyDescent="0.25">
      <c r="A17349" t="s">
        <v>14587</v>
      </c>
      <c r="B17349" t="s">
        <v>818</v>
      </c>
      <c r="C17349" s="2">
        <f>HYPERLINK("https://cao.dolgi.msk.ru/account/1080147639/", 1080147639)</f>
        <v>1080147639</v>
      </c>
      <c r="D17349" t="s">
        <v>14738</v>
      </c>
      <c r="E17349">
        <v>-7347.5</v>
      </c>
      <c r="F17349">
        <v>-1.24</v>
      </c>
      <c r="G17349" t="s">
        <v>12</v>
      </c>
      <c r="I17349" t="s">
        <v>2409</v>
      </c>
    </row>
    <row r="17350" spans="1:9" hidden="1" x14ac:dyDescent="0.25">
      <c r="A17350" t="s">
        <v>14587</v>
      </c>
      <c r="B17350" t="s">
        <v>820</v>
      </c>
      <c r="C17350" s="2">
        <f>HYPERLINK("https://cao.dolgi.msk.ru/account/1080147647/", 1080147647)</f>
        <v>1080147647</v>
      </c>
      <c r="D17350" t="s">
        <v>14739</v>
      </c>
      <c r="E17350">
        <v>-9117.41</v>
      </c>
      <c r="F17350">
        <v>-1.07</v>
      </c>
      <c r="G17350" t="s">
        <v>12</v>
      </c>
      <c r="I17350" t="s">
        <v>2409</v>
      </c>
    </row>
    <row r="17351" spans="1:9" hidden="1" x14ac:dyDescent="0.25">
      <c r="A17351" t="s">
        <v>14587</v>
      </c>
      <c r="B17351" t="s">
        <v>822</v>
      </c>
      <c r="C17351" s="2">
        <f>HYPERLINK("https://cao.dolgi.msk.ru/account/1080147663/", 1080147663)</f>
        <v>1080147663</v>
      </c>
      <c r="D17351" t="s">
        <v>14740</v>
      </c>
      <c r="E17351">
        <v>-3670.72</v>
      </c>
      <c r="F17351">
        <v>-0.26</v>
      </c>
      <c r="G17351" t="s">
        <v>12</v>
      </c>
      <c r="I17351" t="s">
        <v>2409</v>
      </c>
    </row>
    <row r="17352" spans="1:9" hidden="1" x14ac:dyDescent="0.25">
      <c r="A17352" t="s">
        <v>14587</v>
      </c>
      <c r="B17352" t="s">
        <v>824</v>
      </c>
      <c r="C17352" s="2">
        <f>HYPERLINK("https://cao.dolgi.msk.ru/account/1080147671/", 1080147671)</f>
        <v>1080147671</v>
      </c>
      <c r="D17352" t="s">
        <v>14741</v>
      </c>
      <c r="E17352">
        <v>-1508.88</v>
      </c>
      <c r="F17352">
        <v>-0.35</v>
      </c>
      <c r="G17352" t="s">
        <v>12</v>
      </c>
      <c r="I17352" t="s">
        <v>2409</v>
      </c>
    </row>
    <row r="17353" spans="1:9" hidden="1" x14ac:dyDescent="0.25">
      <c r="A17353" t="s">
        <v>14587</v>
      </c>
      <c r="B17353" t="s">
        <v>826</v>
      </c>
      <c r="C17353" s="2">
        <f>HYPERLINK("https://cao.dolgi.msk.ru/account/1080147698/", 1080147698)</f>
        <v>1080147698</v>
      </c>
      <c r="D17353" t="s">
        <v>15</v>
      </c>
      <c r="G17353" t="s">
        <v>14</v>
      </c>
      <c r="I17353" t="s">
        <v>2409</v>
      </c>
    </row>
    <row r="17354" spans="1:9" hidden="1" x14ac:dyDescent="0.25">
      <c r="A17354" t="s">
        <v>14587</v>
      </c>
      <c r="B17354" t="s">
        <v>826</v>
      </c>
      <c r="C17354" s="2">
        <f>HYPERLINK("https://cao.dolgi.msk.ru/account/1080147719/", 1080147719)</f>
        <v>1080147719</v>
      </c>
      <c r="D17354" t="s">
        <v>14742</v>
      </c>
      <c r="E17354">
        <v>-5048.32</v>
      </c>
      <c r="F17354">
        <v>-1.24</v>
      </c>
      <c r="G17354" t="s">
        <v>12</v>
      </c>
      <c r="I17354" t="s">
        <v>2409</v>
      </c>
    </row>
    <row r="17355" spans="1:9" hidden="1" x14ac:dyDescent="0.25">
      <c r="A17355" t="s">
        <v>14587</v>
      </c>
      <c r="B17355" t="s">
        <v>828</v>
      </c>
      <c r="C17355" s="2">
        <f>HYPERLINK("https://cao.dolgi.msk.ru/account/1080147727/", 1080147727)</f>
        <v>1080147727</v>
      </c>
      <c r="D17355" t="s">
        <v>14743</v>
      </c>
      <c r="E17355">
        <v>-8468.84</v>
      </c>
      <c r="F17355">
        <v>-1.1499999999999999</v>
      </c>
      <c r="G17355" t="s">
        <v>12</v>
      </c>
      <c r="I17355" t="s">
        <v>2409</v>
      </c>
    </row>
    <row r="17356" spans="1:9" hidden="1" x14ac:dyDescent="0.25">
      <c r="A17356" t="s">
        <v>14587</v>
      </c>
      <c r="B17356" t="s">
        <v>830</v>
      </c>
      <c r="C17356" s="2">
        <f>HYPERLINK("https://cao.dolgi.msk.ru/account/1080147735/", 1080147735)</f>
        <v>1080147735</v>
      </c>
      <c r="D17356" t="s">
        <v>14744</v>
      </c>
      <c r="E17356">
        <v>-6258.61</v>
      </c>
      <c r="F17356">
        <v>-1.07</v>
      </c>
      <c r="G17356" t="s">
        <v>12</v>
      </c>
      <c r="I17356" t="s">
        <v>2409</v>
      </c>
    </row>
    <row r="17357" spans="1:9" hidden="1" x14ac:dyDescent="0.25">
      <c r="A17357" t="s">
        <v>14587</v>
      </c>
      <c r="B17357" t="s">
        <v>831</v>
      </c>
      <c r="C17357" s="2">
        <f>HYPERLINK("https://cao.dolgi.msk.ru/account/1080147743/", 1080147743)</f>
        <v>1080147743</v>
      </c>
      <c r="D17357" t="s">
        <v>14745</v>
      </c>
      <c r="E17357">
        <v>-13156.54</v>
      </c>
      <c r="F17357">
        <v>-1.21</v>
      </c>
      <c r="G17357" t="s">
        <v>12</v>
      </c>
      <c r="I17357" t="s">
        <v>2409</v>
      </c>
    </row>
    <row r="17358" spans="1:9" hidden="1" x14ac:dyDescent="0.25">
      <c r="A17358" t="s">
        <v>14587</v>
      </c>
      <c r="B17358" t="s">
        <v>833</v>
      </c>
      <c r="C17358" s="2">
        <f>HYPERLINK("https://cao.dolgi.msk.ru/account/1080147751/", 1080147751)</f>
        <v>1080147751</v>
      </c>
      <c r="D17358" t="s">
        <v>14746</v>
      </c>
      <c r="E17358">
        <v>-9175.8799999999992</v>
      </c>
      <c r="F17358">
        <v>-1.1299999999999999</v>
      </c>
      <c r="G17358" t="s">
        <v>12</v>
      </c>
      <c r="I17358" t="s">
        <v>2409</v>
      </c>
    </row>
    <row r="17359" spans="1:9" hidden="1" x14ac:dyDescent="0.25">
      <c r="A17359" t="s">
        <v>14587</v>
      </c>
      <c r="B17359" t="s">
        <v>835</v>
      </c>
      <c r="C17359" s="2">
        <f>HYPERLINK("https://cao.dolgi.msk.ru/account/1080147778/", 1080147778)</f>
        <v>1080147778</v>
      </c>
      <c r="D17359" t="s">
        <v>14747</v>
      </c>
      <c r="E17359">
        <v>-5720.32</v>
      </c>
      <c r="F17359">
        <v>-1.23</v>
      </c>
      <c r="G17359" t="s">
        <v>12</v>
      </c>
      <c r="I17359" t="s">
        <v>2409</v>
      </c>
    </row>
    <row r="17360" spans="1:9" hidden="1" x14ac:dyDescent="0.25">
      <c r="A17360" t="s">
        <v>14587</v>
      </c>
      <c r="B17360" t="s">
        <v>837</v>
      </c>
      <c r="C17360" s="2">
        <f>HYPERLINK("https://cao.dolgi.msk.ru/account/1080147786/", 1080147786)</f>
        <v>1080147786</v>
      </c>
      <c r="D17360" t="s">
        <v>14748</v>
      </c>
      <c r="E17360">
        <v>-4703.9399999999996</v>
      </c>
      <c r="F17360">
        <v>-1.24</v>
      </c>
      <c r="G17360" t="s">
        <v>12</v>
      </c>
      <c r="I17360" t="s">
        <v>2409</v>
      </c>
    </row>
    <row r="17361" spans="1:9" hidden="1" x14ac:dyDescent="0.25">
      <c r="A17361" t="s">
        <v>14587</v>
      </c>
      <c r="B17361" t="s">
        <v>838</v>
      </c>
      <c r="C17361" s="2">
        <f>HYPERLINK("https://cao.dolgi.msk.ru/account/1080147794/", 1080147794)</f>
        <v>1080147794</v>
      </c>
      <c r="D17361" t="s">
        <v>14749</v>
      </c>
      <c r="E17361">
        <v>-6426.74</v>
      </c>
      <c r="F17361">
        <v>-1.18</v>
      </c>
      <c r="G17361" t="s">
        <v>12</v>
      </c>
      <c r="I17361" t="s">
        <v>2409</v>
      </c>
    </row>
    <row r="17362" spans="1:9" hidden="1" x14ac:dyDescent="0.25">
      <c r="A17362" t="s">
        <v>14587</v>
      </c>
      <c r="B17362" t="s">
        <v>838</v>
      </c>
      <c r="C17362" s="2">
        <f>HYPERLINK("https://cao.dolgi.msk.ru/account/1080147807/", 1080147807)</f>
        <v>1080147807</v>
      </c>
      <c r="D17362" t="s">
        <v>14750</v>
      </c>
      <c r="G17362" t="s">
        <v>14</v>
      </c>
      <c r="I17362" t="s">
        <v>2409</v>
      </c>
    </row>
    <row r="17363" spans="1:9" hidden="1" x14ac:dyDescent="0.25">
      <c r="A17363" t="s">
        <v>14587</v>
      </c>
      <c r="B17363" t="s">
        <v>840</v>
      </c>
      <c r="C17363" s="2">
        <f>HYPERLINK("https://cao.dolgi.msk.ru/account/1080147815/", 1080147815)</f>
        <v>1080147815</v>
      </c>
      <c r="D17363" t="s">
        <v>15</v>
      </c>
      <c r="E17363">
        <v>-8881.93</v>
      </c>
      <c r="F17363">
        <v>-1.81</v>
      </c>
      <c r="G17363" t="s">
        <v>12</v>
      </c>
      <c r="I17363" t="s">
        <v>2409</v>
      </c>
    </row>
    <row r="17364" spans="1:9" hidden="1" x14ac:dyDescent="0.25">
      <c r="A17364" t="s">
        <v>14587</v>
      </c>
      <c r="B17364" t="s">
        <v>842</v>
      </c>
      <c r="C17364" s="2">
        <f>HYPERLINK("https://cao.dolgi.msk.ru/account/1080147823/", 1080147823)</f>
        <v>1080147823</v>
      </c>
      <c r="D17364" t="s">
        <v>14751</v>
      </c>
      <c r="E17364">
        <v>-8360.19</v>
      </c>
      <c r="F17364">
        <v>-1.19</v>
      </c>
      <c r="G17364" t="s">
        <v>12</v>
      </c>
      <c r="I17364" t="s">
        <v>2409</v>
      </c>
    </row>
    <row r="17365" spans="1:9" hidden="1" x14ac:dyDescent="0.25">
      <c r="A17365" t="s">
        <v>14587</v>
      </c>
      <c r="B17365" t="s">
        <v>844</v>
      </c>
      <c r="C17365" s="2">
        <f>HYPERLINK("https://cao.dolgi.msk.ru/account/1080147831/", 1080147831)</f>
        <v>1080147831</v>
      </c>
      <c r="D17365" t="s">
        <v>14752</v>
      </c>
      <c r="E17365">
        <v>-17185.66</v>
      </c>
      <c r="F17365">
        <v>-1.06</v>
      </c>
      <c r="G17365" t="s">
        <v>12</v>
      </c>
      <c r="I17365" t="s">
        <v>2409</v>
      </c>
    </row>
    <row r="17366" spans="1:9" hidden="1" x14ac:dyDescent="0.25">
      <c r="A17366" t="s">
        <v>14587</v>
      </c>
      <c r="B17366" t="s">
        <v>846</v>
      </c>
      <c r="C17366" s="2">
        <f>HYPERLINK("https://cao.dolgi.msk.ru/account/1080147858/", 1080147858)</f>
        <v>1080147858</v>
      </c>
      <c r="D17366" t="s">
        <v>14753</v>
      </c>
      <c r="E17366">
        <v>-4901.37</v>
      </c>
      <c r="F17366">
        <v>-1.19</v>
      </c>
      <c r="G17366" t="s">
        <v>12</v>
      </c>
      <c r="I17366" t="s">
        <v>2409</v>
      </c>
    </row>
    <row r="17367" spans="1:9" hidden="1" x14ac:dyDescent="0.25">
      <c r="A17367" t="s">
        <v>14587</v>
      </c>
      <c r="B17367" t="s">
        <v>848</v>
      </c>
      <c r="C17367" s="2">
        <f>HYPERLINK("https://cao.dolgi.msk.ru/account/1080147866/", 1080147866)</f>
        <v>1080147866</v>
      </c>
      <c r="D17367" t="s">
        <v>14754</v>
      </c>
      <c r="E17367">
        <v>-5561.24</v>
      </c>
      <c r="F17367">
        <v>-1.1299999999999999</v>
      </c>
      <c r="G17367" t="s">
        <v>12</v>
      </c>
      <c r="I17367" t="s">
        <v>2409</v>
      </c>
    </row>
    <row r="17368" spans="1:9" hidden="1" x14ac:dyDescent="0.25">
      <c r="A17368" t="s">
        <v>14587</v>
      </c>
      <c r="B17368" t="s">
        <v>850</v>
      </c>
      <c r="C17368" s="2">
        <f>HYPERLINK("https://cao.dolgi.msk.ru/account/1080147874/", 1080147874)</f>
        <v>1080147874</v>
      </c>
      <c r="D17368" t="s">
        <v>1082</v>
      </c>
      <c r="E17368">
        <v>76.95</v>
      </c>
      <c r="F17368">
        <v>0.01</v>
      </c>
      <c r="G17368" t="s">
        <v>12</v>
      </c>
      <c r="I17368" t="s">
        <v>2409</v>
      </c>
    </row>
    <row r="17369" spans="1:9" hidden="1" x14ac:dyDescent="0.25">
      <c r="A17369" t="s">
        <v>14587</v>
      </c>
      <c r="B17369" t="s">
        <v>852</v>
      </c>
      <c r="C17369" s="2">
        <f>HYPERLINK("https://cao.dolgi.msk.ru/account/1080147882/", 1080147882)</f>
        <v>1080147882</v>
      </c>
      <c r="D17369" t="s">
        <v>14755</v>
      </c>
      <c r="E17369">
        <v>-8045.88</v>
      </c>
      <c r="F17369">
        <v>-1.29</v>
      </c>
      <c r="G17369" t="s">
        <v>12</v>
      </c>
      <c r="I17369" t="s">
        <v>2409</v>
      </c>
    </row>
    <row r="17370" spans="1:9" hidden="1" x14ac:dyDescent="0.25">
      <c r="A17370" t="s">
        <v>14587</v>
      </c>
      <c r="B17370" t="s">
        <v>854</v>
      </c>
      <c r="C17370" s="2">
        <f>HYPERLINK("https://cao.dolgi.msk.ru/account/1080166768/", 1080166768)</f>
        <v>1080166768</v>
      </c>
      <c r="D17370" t="s">
        <v>14756</v>
      </c>
      <c r="E17370">
        <v>-8500.44</v>
      </c>
      <c r="F17370">
        <v>-1.19</v>
      </c>
      <c r="G17370" t="s">
        <v>12</v>
      </c>
      <c r="I17370" t="s">
        <v>2409</v>
      </c>
    </row>
    <row r="17371" spans="1:9" hidden="1" x14ac:dyDescent="0.25">
      <c r="A17371" t="s">
        <v>14587</v>
      </c>
      <c r="B17371" t="s">
        <v>856</v>
      </c>
      <c r="C17371" s="2">
        <f>HYPERLINK("https://cao.dolgi.msk.ru/account/1080165415/", 1080165415)</f>
        <v>1080165415</v>
      </c>
      <c r="D17371" t="s">
        <v>14757</v>
      </c>
      <c r="E17371">
        <v>-8.9</v>
      </c>
      <c r="F17371">
        <v>0</v>
      </c>
      <c r="G17371" t="s">
        <v>12</v>
      </c>
      <c r="I17371" t="s">
        <v>2409</v>
      </c>
    </row>
    <row r="17372" spans="1:9" hidden="1" x14ac:dyDescent="0.25">
      <c r="A17372" t="s">
        <v>14587</v>
      </c>
      <c r="B17372" t="s">
        <v>858</v>
      </c>
      <c r="C17372" s="2">
        <f>HYPERLINK("https://cao.dolgi.msk.ru/account/1080147903/", 1080147903)</f>
        <v>1080147903</v>
      </c>
      <c r="D17372" t="s">
        <v>14758</v>
      </c>
      <c r="E17372">
        <v>-5178.53</v>
      </c>
      <c r="F17372">
        <v>-1.89</v>
      </c>
      <c r="G17372" t="s">
        <v>12</v>
      </c>
      <c r="I17372" t="s">
        <v>2409</v>
      </c>
    </row>
    <row r="17373" spans="1:9" hidden="1" x14ac:dyDescent="0.25">
      <c r="A17373" t="s">
        <v>14587</v>
      </c>
      <c r="B17373" t="s">
        <v>860</v>
      </c>
      <c r="C17373" s="2">
        <f>HYPERLINK("https://cao.dolgi.msk.ru/account/1080147911/", 1080147911)</f>
        <v>1080147911</v>
      </c>
      <c r="D17373" t="s">
        <v>14759</v>
      </c>
      <c r="E17373">
        <v>-8269.73</v>
      </c>
      <c r="F17373">
        <v>-1.0900000000000001</v>
      </c>
      <c r="G17373" t="s">
        <v>12</v>
      </c>
      <c r="I17373" t="s">
        <v>2409</v>
      </c>
    </row>
    <row r="17374" spans="1:9" hidden="1" x14ac:dyDescent="0.25">
      <c r="A17374" t="s">
        <v>14587</v>
      </c>
      <c r="B17374" t="s">
        <v>862</v>
      </c>
      <c r="C17374" s="2">
        <f>HYPERLINK("https://cao.dolgi.msk.ru/account/1080147938/", 1080147938)</f>
        <v>1080147938</v>
      </c>
      <c r="D17374" t="s">
        <v>14760</v>
      </c>
      <c r="E17374">
        <v>-1118.5999999999999</v>
      </c>
      <c r="F17374">
        <v>-0.09</v>
      </c>
      <c r="G17374" t="s">
        <v>12</v>
      </c>
      <c r="I17374" t="s">
        <v>2409</v>
      </c>
    </row>
    <row r="17375" spans="1:9" hidden="1" x14ac:dyDescent="0.25">
      <c r="A17375" t="s">
        <v>14587</v>
      </c>
      <c r="B17375" t="s">
        <v>864</v>
      </c>
      <c r="C17375" s="2">
        <f>HYPERLINK("https://cao.dolgi.msk.ru/account/1080147946/", 1080147946)</f>
        <v>1080147946</v>
      </c>
      <c r="D17375" t="s">
        <v>14761</v>
      </c>
      <c r="E17375">
        <v>-7818.61</v>
      </c>
      <c r="F17375">
        <v>-1.07</v>
      </c>
      <c r="G17375" t="s">
        <v>12</v>
      </c>
      <c r="I17375" t="s">
        <v>2409</v>
      </c>
    </row>
    <row r="17376" spans="1:9" hidden="1" x14ac:dyDescent="0.25">
      <c r="A17376" t="s">
        <v>14587</v>
      </c>
      <c r="B17376" t="s">
        <v>866</v>
      </c>
      <c r="C17376" s="2">
        <f>HYPERLINK("https://cao.dolgi.msk.ru/account/1080147954/", 1080147954)</f>
        <v>1080147954</v>
      </c>
      <c r="D17376" t="s">
        <v>14762</v>
      </c>
      <c r="E17376">
        <v>-10210.58</v>
      </c>
      <c r="F17376">
        <v>-1.99</v>
      </c>
      <c r="G17376" t="s">
        <v>12</v>
      </c>
      <c r="I17376" t="s">
        <v>2409</v>
      </c>
    </row>
    <row r="17377" spans="1:9" hidden="1" x14ac:dyDescent="0.25">
      <c r="A17377" t="s">
        <v>14587</v>
      </c>
      <c r="B17377" t="s">
        <v>868</v>
      </c>
      <c r="C17377" s="2">
        <f>HYPERLINK("https://cao.dolgi.msk.ru/account/1080147962/", 1080147962)</f>
        <v>1080147962</v>
      </c>
      <c r="D17377" t="s">
        <v>14763</v>
      </c>
      <c r="E17377">
        <v>19.399999999999999</v>
      </c>
      <c r="F17377">
        <v>0</v>
      </c>
      <c r="G17377" t="s">
        <v>12</v>
      </c>
      <c r="I17377" t="s">
        <v>2409</v>
      </c>
    </row>
    <row r="17378" spans="1:9" hidden="1" x14ac:dyDescent="0.25">
      <c r="A17378" t="s">
        <v>14587</v>
      </c>
      <c r="B17378" t="s">
        <v>870</v>
      </c>
      <c r="C17378" s="2">
        <f>HYPERLINK("https://cao.dolgi.msk.ru/account/1080147989/", 1080147989)</f>
        <v>1080147989</v>
      </c>
      <c r="D17378" t="s">
        <v>14764</v>
      </c>
      <c r="E17378">
        <v>-15240.56</v>
      </c>
      <c r="F17378">
        <v>-1.89</v>
      </c>
      <c r="G17378" t="s">
        <v>12</v>
      </c>
      <c r="I17378" t="s">
        <v>2409</v>
      </c>
    </row>
    <row r="17379" spans="1:9" hidden="1" x14ac:dyDescent="0.25">
      <c r="A17379" t="s">
        <v>14587</v>
      </c>
      <c r="B17379" t="s">
        <v>872</v>
      </c>
      <c r="C17379" s="2">
        <f>HYPERLINK("https://cao.dolgi.msk.ru/account/1080147997/", 1080147997)</f>
        <v>1080147997</v>
      </c>
      <c r="D17379" t="s">
        <v>14765</v>
      </c>
      <c r="E17379">
        <v>-10275.5</v>
      </c>
      <c r="F17379">
        <v>-1.21</v>
      </c>
      <c r="G17379" t="s">
        <v>12</v>
      </c>
      <c r="I17379" t="s">
        <v>2409</v>
      </c>
    </row>
    <row r="17380" spans="1:9" hidden="1" x14ac:dyDescent="0.25">
      <c r="A17380" t="s">
        <v>14587</v>
      </c>
      <c r="B17380" t="s">
        <v>875</v>
      </c>
      <c r="C17380" s="2">
        <f>HYPERLINK("https://cao.dolgi.msk.ru/account/1080148017/", 1080148017)</f>
        <v>1080148017</v>
      </c>
      <c r="D17380" t="s">
        <v>14766</v>
      </c>
      <c r="E17380">
        <v>-6935.09</v>
      </c>
      <c r="F17380">
        <v>-1.0900000000000001</v>
      </c>
      <c r="G17380" t="s">
        <v>12</v>
      </c>
      <c r="I17380" t="s">
        <v>2409</v>
      </c>
    </row>
    <row r="17381" spans="1:9" hidden="1" x14ac:dyDescent="0.25">
      <c r="A17381" t="s">
        <v>14587</v>
      </c>
      <c r="B17381" t="s">
        <v>877</v>
      </c>
      <c r="C17381" s="2">
        <f>HYPERLINK("https://cao.dolgi.msk.ru/account/1080148025/", 1080148025)</f>
        <v>1080148025</v>
      </c>
      <c r="D17381" t="s">
        <v>14767</v>
      </c>
      <c r="E17381">
        <v>-19992.490000000002</v>
      </c>
      <c r="F17381">
        <v>-2.71</v>
      </c>
      <c r="G17381" t="s">
        <v>12</v>
      </c>
      <c r="I17381" t="s">
        <v>2409</v>
      </c>
    </row>
    <row r="17382" spans="1:9" hidden="1" x14ac:dyDescent="0.25">
      <c r="A17382" t="s">
        <v>14587</v>
      </c>
      <c r="B17382" t="s">
        <v>879</v>
      </c>
      <c r="C17382" s="2">
        <f>HYPERLINK("https://cao.dolgi.msk.ru/account/1080148033/", 1080148033)</f>
        <v>1080148033</v>
      </c>
      <c r="D17382" t="s">
        <v>14768</v>
      </c>
      <c r="E17382">
        <v>-12663.14</v>
      </c>
      <c r="F17382">
        <v>-1.19</v>
      </c>
      <c r="G17382" t="s">
        <v>12</v>
      </c>
      <c r="I17382" t="s">
        <v>2409</v>
      </c>
    </row>
    <row r="17383" spans="1:9" hidden="1" x14ac:dyDescent="0.25">
      <c r="A17383" t="s">
        <v>14587</v>
      </c>
      <c r="B17383" t="s">
        <v>881</v>
      </c>
      <c r="C17383" s="2">
        <f>HYPERLINK("https://cao.dolgi.msk.ru/account/1080148041/", 1080148041)</f>
        <v>1080148041</v>
      </c>
      <c r="D17383" t="s">
        <v>14769</v>
      </c>
      <c r="E17383">
        <v>-7251</v>
      </c>
      <c r="F17383">
        <v>-1.1000000000000001</v>
      </c>
      <c r="G17383" t="s">
        <v>12</v>
      </c>
      <c r="I17383" t="s">
        <v>2409</v>
      </c>
    </row>
    <row r="17384" spans="1:9" hidden="1" x14ac:dyDescent="0.25">
      <c r="A17384" t="s">
        <v>14587</v>
      </c>
      <c r="B17384" t="s">
        <v>883</v>
      </c>
      <c r="C17384" s="2">
        <f>HYPERLINK("https://cao.dolgi.msk.ru/account/1080167437/", 1080167437)</f>
        <v>1080167437</v>
      </c>
      <c r="D17384" t="s">
        <v>14770</v>
      </c>
      <c r="E17384">
        <v>-1406.71</v>
      </c>
      <c r="F17384">
        <v>-0.09</v>
      </c>
      <c r="G17384" t="s">
        <v>12</v>
      </c>
      <c r="I17384" t="s">
        <v>2409</v>
      </c>
    </row>
    <row r="17385" spans="1:9" hidden="1" x14ac:dyDescent="0.25">
      <c r="A17385" t="s">
        <v>14587</v>
      </c>
      <c r="B17385" t="s">
        <v>14771</v>
      </c>
      <c r="C17385" s="2">
        <f>HYPERLINK("https://cao.dolgi.msk.ru/account/1080168587/", 1080168587)</f>
        <v>1080168587</v>
      </c>
      <c r="D17385" t="s">
        <v>14772</v>
      </c>
      <c r="G17385" t="s">
        <v>14</v>
      </c>
      <c r="I17385" t="s">
        <v>2409</v>
      </c>
    </row>
    <row r="17386" spans="1:9" hidden="1" x14ac:dyDescent="0.25">
      <c r="A17386" t="s">
        <v>14587</v>
      </c>
      <c r="B17386" t="s">
        <v>3443</v>
      </c>
      <c r="C17386" s="2">
        <f>HYPERLINK("https://cao.dolgi.msk.ru/account/1080148068/", 1080148068)</f>
        <v>1080148068</v>
      </c>
      <c r="D17386" t="s">
        <v>14773</v>
      </c>
      <c r="E17386">
        <v>-17230.47</v>
      </c>
      <c r="F17386">
        <v>-1.24</v>
      </c>
      <c r="G17386" t="s">
        <v>12</v>
      </c>
      <c r="I17386" t="s">
        <v>2409</v>
      </c>
    </row>
    <row r="17387" spans="1:9" hidden="1" x14ac:dyDescent="0.25">
      <c r="A17387" t="s">
        <v>14587</v>
      </c>
      <c r="B17387" t="s">
        <v>3445</v>
      </c>
      <c r="C17387" s="2">
        <f>HYPERLINK("https://cao.dolgi.msk.ru/account/1080148076/", 1080148076)</f>
        <v>1080148076</v>
      </c>
      <c r="D17387" t="s">
        <v>14774</v>
      </c>
      <c r="E17387">
        <v>-5939.87</v>
      </c>
      <c r="F17387">
        <v>-1.04</v>
      </c>
      <c r="G17387" t="s">
        <v>12</v>
      </c>
      <c r="I17387" t="s">
        <v>2409</v>
      </c>
    </row>
    <row r="17388" spans="1:9" hidden="1" x14ac:dyDescent="0.25">
      <c r="A17388" t="s">
        <v>14587</v>
      </c>
      <c r="B17388" t="s">
        <v>3447</v>
      </c>
      <c r="C17388" s="2">
        <f>HYPERLINK("https://cao.dolgi.msk.ru/account/1080148084/", 1080148084)</f>
        <v>1080148084</v>
      </c>
      <c r="D17388" t="s">
        <v>14775</v>
      </c>
      <c r="E17388">
        <v>-6089.89</v>
      </c>
      <c r="F17388">
        <v>-1.0900000000000001</v>
      </c>
      <c r="G17388" t="s">
        <v>12</v>
      </c>
      <c r="I17388" t="s">
        <v>2409</v>
      </c>
    </row>
    <row r="17389" spans="1:9" hidden="1" x14ac:dyDescent="0.25">
      <c r="A17389" t="s">
        <v>14587</v>
      </c>
      <c r="B17389" t="s">
        <v>14776</v>
      </c>
      <c r="C17389" s="2">
        <f>HYPERLINK("https://cao.dolgi.msk.ru/account/1080148092/", 1080148092)</f>
        <v>1080148092</v>
      </c>
      <c r="D17389" t="s">
        <v>14777</v>
      </c>
      <c r="E17389">
        <v>-15172.93</v>
      </c>
      <c r="F17389">
        <v>-1.19</v>
      </c>
      <c r="G17389" t="s">
        <v>12</v>
      </c>
      <c r="I17389" t="s">
        <v>2409</v>
      </c>
    </row>
    <row r="17390" spans="1:9" hidden="1" x14ac:dyDescent="0.25">
      <c r="A17390" t="s">
        <v>14587</v>
      </c>
      <c r="B17390" t="s">
        <v>3452</v>
      </c>
      <c r="C17390" s="2">
        <f>HYPERLINK("https://cao.dolgi.msk.ru/account/1080148105/", 1080148105)</f>
        <v>1080148105</v>
      </c>
      <c r="D17390" t="s">
        <v>14778</v>
      </c>
      <c r="E17390">
        <v>-6035.77</v>
      </c>
      <c r="F17390">
        <v>-1</v>
      </c>
      <c r="G17390" t="s">
        <v>12</v>
      </c>
      <c r="I17390" t="s">
        <v>2409</v>
      </c>
    </row>
    <row r="17391" spans="1:9" hidden="1" x14ac:dyDescent="0.25">
      <c r="A17391" t="s">
        <v>14587</v>
      </c>
      <c r="B17391" t="s">
        <v>3454</v>
      </c>
      <c r="C17391" s="2">
        <f>HYPERLINK("https://cao.dolgi.msk.ru/account/1080148113/", 1080148113)</f>
        <v>1080148113</v>
      </c>
      <c r="D17391" t="s">
        <v>14779</v>
      </c>
      <c r="E17391">
        <v>-6810.16</v>
      </c>
      <c r="F17391">
        <v>-0.98</v>
      </c>
      <c r="G17391" t="s">
        <v>12</v>
      </c>
      <c r="I17391" t="s">
        <v>2409</v>
      </c>
    </row>
    <row r="17392" spans="1:9" hidden="1" x14ac:dyDescent="0.25">
      <c r="A17392" t="s">
        <v>14587</v>
      </c>
      <c r="B17392" t="s">
        <v>3456</v>
      </c>
      <c r="C17392" s="2">
        <f>HYPERLINK("https://cao.dolgi.msk.ru/account/1080148121/", 1080148121)</f>
        <v>1080148121</v>
      </c>
      <c r="D17392" t="s">
        <v>14780</v>
      </c>
      <c r="E17392">
        <v>-4779.38</v>
      </c>
      <c r="F17392">
        <v>-1.1299999999999999</v>
      </c>
      <c r="G17392" t="s">
        <v>12</v>
      </c>
      <c r="I17392" t="s">
        <v>2409</v>
      </c>
    </row>
    <row r="17393" spans="1:9" hidden="1" x14ac:dyDescent="0.25">
      <c r="A17393" t="s">
        <v>14587</v>
      </c>
      <c r="B17393" t="s">
        <v>3458</v>
      </c>
      <c r="C17393" s="2">
        <f>HYPERLINK("https://cao.dolgi.msk.ru/account/1080148148/", 1080148148)</f>
        <v>1080148148</v>
      </c>
      <c r="D17393" t="s">
        <v>2027</v>
      </c>
      <c r="E17393">
        <v>-8524.2800000000007</v>
      </c>
      <c r="F17393">
        <v>-1.1100000000000001</v>
      </c>
      <c r="G17393" t="s">
        <v>12</v>
      </c>
      <c r="I17393" t="s">
        <v>2409</v>
      </c>
    </row>
    <row r="17394" spans="1:9" x14ac:dyDescent="0.25">
      <c r="A17394" t="s">
        <v>14587</v>
      </c>
      <c r="B17394" t="s">
        <v>3460</v>
      </c>
      <c r="C17394" s="2">
        <f>HYPERLINK("https://cao.dolgi.msk.ru/account/1080148156/", 1080148156)</f>
        <v>1080148156</v>
      </c>
      <c r="D17394" t="s">
        <v>14781</v>
      </c>
      <c r="E17394">
        <v>12375.22</v>
      </c>
      <c r="F17394">
        <v>1.79</v>
      </c>
      <c r="G17394" t="s">
        <v>12</v>
      </c>
      <c r="I17394" t="s">
        <v>2409</v>
      </c>
    </row>
    <row r="17395" spans="1:9" hidden="1" x14ac:dyDescent="0.25">
      <c r="A17395" t="s">
        <v>14587</v>
      </c>
      <c r="B17395" t="s">
        <v>3462</v>
      </c>
      <c r="C17395" s="2">
        <f>HYPERLINK("https://cao.dolgi.msk.ru/account/1080148164/", 1080148164)</f>
        <v>1080148164</v>
      </c>
      <c r="D17395" t="s">
        <v>14782</v>
      </c>
      <c r="E17395">
        <v>0</v>
      </c>
      <c r="F17395">
        <v>0</v>
      </c>
      <c r="G17395" t="s">
        <v>12</v>
      </c>
      <c r="I17395" t="s">
        <v>2409</v>
      </c>
    </row>
    <row r="17396" spans="1:9" hidden="1" x14ac:dyDescent="0.25">
      <c r="A17396" t="s">
        <v>14587</v>
      </c>
      <c r="B17396" t="s">
        <v>3463</v>
      </c>
      <c r="C17396" s="2">
        <f>HYPERLINK("https://cao.dolgi.msk.ru/account/1080148172/", 1080148172)</f>
        <v>1080148172</v>
      </c>
      <c r="D17396" t="s">
        <v>14783</v>
      </c>
      <c r="E17396">
        <v>-10970.88</v>
      </c>
      <c r="F17396">
        <v>-1.02</v>
      </c>
      <c r="G17396" t="s">
        <v>12</v>
      </c>
      <c r="I17396" t="s">
        <v>2409</v>
      </c>
    </row>
    <row r="17397" spans="1:9" hidden="1" x14ac:dyDescent="0.25">
      <c r="A17397" t="s">
        <v>14587</v>
      </c>
      <c r="B17397" t="s">
        <v>1791</v>
      </c>
      <c r="C17397" s="2">
        <f>HYPERLINK("https://cao.dolgi.msk.ru/account/1080148199/", 1080148199)</f>
        <v>1080148199</v>
      </c>
      <c r="D17397" t="s">
        <v>14784</v>
      </c>
      <c r="E17397">
        <v>-5621.25</v>
      </c>
      <c r="F17397">
        <v>-1.17</v>
      </c>
      <c r="G17397" t="s">
        <v>12</v>
      </c>
      <c r="I17397" t="s">
        <v>2409</v>
      </c>
    </row>
    <row r="17398" spans="1:9" hidden="1" x14ac:dyDescent="0.25">
      <c r="A17398" t="s">
        <v>14587</v>
      </c>
      <c r="B17398" t="s">
        <v>3466</v>
      </c>
      <c r="C17398" s="2">
        <f>HYPERLINK("https://cao.dolgi.msk.ru/account/1080148201/", 1080148201)</f>
        <v>1080148201</v>
      </c>
      <c r="D17398" t="s">
        <v>14785</v>
      </c>
      <c r="E17398">
        <v>-9774.16</v>
      </c>
      <c r="F17398">
        <v>-1.54</v>
      </c>
      <c r="G17398" t="s">
        <v>12</v>
      </c>
      <c r="I17398" t="s">
        <v>2409</v>
      </c>
    </row>
    <row r="17399" spans="1:9" hidden="1" x14ac:dyDescent="0.25">
      <c r="A17399" t="s">
        <v>14587</v>
      </c>
      <c r="B17399" t="s">
        <v>1792</v>
      </c>
      <c r="C17399" s="2">
        <f>HYPERLINK("https://cao.dolgi.msk.ru/account/1080148228/", 1080148228)</f>
        <v>1080148228</v>
      </c>
      <c r="D17399" t="s">
        <v>14786</v>
      </c>
      <c r="E17399">
        <v>2.39</v>
      </c>
      <c r="F17399">
        <v>0</v>
      </c>
      <c r="G17399" t="s">
        <v>12</v>
      </c>
      <c r="I17399" t="s">
        <v>2409</v>
      </c>
    </row>
    <row r="17400" spans="1:9" hidden="1" x14ac:dyDescent="0.25">
      <c r="A17400" t="s">
        <v>14587</v>
      </c>
      <c r="B17400" t="s">
        <v>3469</v>
      </c>
      <c r="C17400" s="2">
        <f>HYPERLINK("https://cao.dolgi.msk.ru/account/1080148236/", 1080148236)</f>
        <v>1080148236</v>
      </c>
      <c r="D17400" t="s">
        <v>14787</v>
      </c>
      <c r="E17400">
        <v>-7961.44</v>
      </c>
      <c r="F17400">
        <v>-1.1499999999999999</v>
      </c>
      <c r="G17400" t="s">
        <v>12</v>
      </c>
      <c r="I17400" t="s">
        <v>2409</v>
      </c>
    </row>
    <row r="17401" spans="1:9" hidden="1" x14ac:dyDescent="0.25">
      <c r="A17401" t="s">
        <v>14587</v>
      </c>
      <c r="B17401" t="s">
        <v>1793</v>
      </c>
      <c r="C17401" s="2">
        <f>HYPERLINK("https://cao.dolgi.msk.ru/account/1080148244/", 1080148244)</f>
        <v>1080148244</v>
      </c>
      <c r="D17401" t="s">
        <v>14788</v>
      </c>
      <c r="E17401">
        <v>-7529.19</v>
      </c>
      <c r="F17401">
        <v>-1.03</v>
      </c>
      <c r="G17401" t="s">
        <v>12</v>
      </c>
      <c r="I17401" t="s">
        <v>2409</v>
      </c>
    </row>
    <row r="17402" spans="1:9" hidden="1" x14ac:dyDescent="0.25">
      <c r="A17402" t="s">
        <v>14587</v>
      </c>
      <c r="B17402" t="s">
        <v>3472</v>
      </c>
      <c r="C17402" s="2">
        <f>HYPERLINK("https://cao.dolgi.msk.ru/account/1080148252/", 1080148252)</f>
        <v>1080148252</v>
      </c>
      <c r="D17402" t="s">
        <v>14789</v>
      </c>
      <c r="E17402">
        <v>-1345.99</v>
      </c>
      <c r="F17402">
        <v>-0.34</v>
      </c>
      <c r="G17402" t="s">
        <v>12</v>
      </c>
      <c r="I17402" t="s">
        <v>2409</v>
      </c>
    </row>
    <row r="17403" spans="1:9" hidden="1" x14ac:dyDescent="0.25">
      <c r="A17403" t="s">
        <v>14587</v>
      </c>
      <c r="B17403" t="s">
        <v>3474</v>
      </c>
      <c r="C17403" s="2">
        <f>HYPERLINK("https://cao.dolgi.msk.ru/account/1080148279/", 1080148279)</f>
        <v>1080148279</v>
      </c>
      <c r="D17403" t="s">
        <v>14790</v>
      </c>
      <c r="E17403">
        <v>-6106.46</v>
      </c>
      <c r="F17403">
        <v>-1.03</v>
      </c>
      <c r="G17403" t="s">
        <v>12</v>
      </c>
      <c r="I17403" t="s">
        <v>2409</v>
      </c>
    </row>
    <row r="17404" spans="1:9" hidden="1" x14ac:dyDescent="0.25">
      <c r="A17404" t="s">
        <v>14587</v>
      </c>
      <c r="B17404" t="s">
        <v>1794</v>
      </c>
      <c r="C17404" s="2">
        <f>HYPERLINK("https://cao.dolgi.msk.ru/account/1080148287/", 1080148287)</f>
        <v>1080148287</v>
      </c>
      <c r="D17404" t="s">
        <v>14791</v>
      </c>
      <c r="E17404">
        <v>-4424.62</v>
      </c>
      <c r="F17404">
        <v>-1.2</v>
      </c>
      <c r="G17404" t="s">
        <v>12</v>
      </c>
      <c r="I17404" t="s">
        <v>2409</v>
      </c>
    </row>
    <row r="17405" spans="1:9" hidden="1" x14ac:dyDescent="0.25">
      <c r="A17405" t="s">
        <v>14587</v>
      </c>
      <c r="B17405" t="s">
        <v>3477</v>
      </c>
      <c r="C17405" s="2">
        <f>HYPERLINK("https://cao.dolgi.msk.ru/account/1080148295/", 1080148295)</f>
        <v>1080148295</v>
      </c>
      <c r="D17405" t="s">
        <v>14792</v>
      </c>
      <c r="E17405">
        <v>3731.26</v>
      </c>
      <c r="F17405">
        <v>0.97</v>
      </c>
      <c r="G17405" t="s">
        <v>12</v>
      </c>
      <c r="I17405" t="s">
        <v>2409</v>
      </c>
    </row>
    <row r="17406" spans="1:9" x14ac:dyDescent="0.25">
      <c r="A17406" t="s">
        <v>14587</v>
      </c>
      <c r="B17406" t="s">
        <v>3477</v>
      </c>
      <c r="C17406" s="2">
        <f>HYPERLINK("https://cao.dolgi.msk.ru/account/1089133428/", 1089133428)</f>
        <v>1089133428</v>
      </c>
      <c r="D17406" t="s">
        <v>14792</v>
      </c>
      <c r="E17406">
        <v>5784.72</v>
      </c>
      <c r="F17406">
        <v>1.51</v>
      </c>
      <c r="G17406" t="s">
        <v>12</v>
      </c>
      <c r="I17406" t="s">
        <v>2409</v>
      </c>
    </row>
    <row r="17407" spans="1:9" hidden="1" x14ac:dyDescent="0.25">
      <c r="A17407" t="s">
        <v>14587</v>
      </c>
      <c r="B17407" t="s">
        <v>1795</v>
      </c>
      <c r="C17407" s="2">
        <f>HYPERLINK("https://cao.dolgi.msk.ru/account/1080148308/", 1080148308)</f>
        <v>1080148308</v>
      </c>
      <c r="D17407" t="s">
        <v>14793</v>
      </c>
      <c r="E17407">
        <v>-5411.58</v>
      </c>
      <c r="F17407">
        <v>-1.22</v>
      </c>
      <c r="G17407" t="s">
        <v>12</v>
      </c>
      <c r="I17407" t="s">
        <v>2409</v>
      </c>
    </row>
    <row r="17408" spans="1:9" hidden="1" x14ac:dyDescent="0.25">
      <c r="A17408" t="s">
        <v>14587</v>
      </c>
      <c r="B17408" t="s">
        <v>3480</v>
      </c>
      <c r="C17408" s="2">
        <f>HYPERLINK("https://cao.dolgi.msk.ru/account/1080148316/", 1080148316)</f>
        <v>1080148316</v>
      </c>
      <c r="D17408" t="s">
        <v>14794</v>
      </c>
      <c r="E17408">
        <v>517.71</v>
      </c>
      <c r="F17408">
        <v>0.08</v>
      </c>
      <c r="G17408" t="s">
        <v>12</v>
      </c>
      <c r="I17408" t="s">
        <v>2409</v>
      </c>
    </row>
    <row r="17409" spans="1:9" hidden="1" x14ac:dyDescent="0.25">
      <c r="A17409" t="s">
        <v>14587</v>
      </c>
      <c r="B17409" t="s">
        <v>1797</v>
      </c>
      <c r="C17409" s="2">
        <f>HYPERLINK("https://cao.dolgi.msk.ru/account/1080148324/", 1080148324)</f>
        <v>1080148324</v>
      </c>
      <c r="D17409" t="s">
        <v>14795</v>
      </c>
      <c r="E17409">
        <v>-10004.290000000001</v>
      </c>
      <c r="F17409">
        <v>-1.03</v>
      </c>
      <c r="G17409" t="s">
        <v>12</v>
      </c>
      <c r="I17409" t="s">
        <v>2409</v>
      </c>
    </row>
    <row r="17410" spans="1:9" hidden="1" x14ac:dyDescent="0.25">
      <c r="A17410" t="s">
        <v>14587</v>
      </c>
      <c r="B17410" t="s">
        <v>1798</v>
      </c>
      <c r="C17410" s="2">
        <f>HYPERLINK("https://cao.dolgi.msk.ru/account/1080148332/", 1080148332)</f>
        <v>1080148332</v>
      </c>
      <c r="D17410" t="s">
        <v>14796</v>
      </c>
      <c r="E17410">
        <v>-10803.48</v>
      </c>
      <c r="F17410">
        <v>-1.1399999999999999</v>
      </c>
      <c r="G17410" t="s">
        <v>12</v>
      </c>
      <c r="I17410" t="s">
        <v>2409</v>
      </c>
    </row>
    <row r="17411" spans="1:9" hidden="1" x14ac:dyDescent="0.25">
      <c r="A17411" t="s">
        <v>14587</v>
      </c>
      <c r="B17411" t="s">
        <v>1800</v>
      </c>
      <c r="C17411" s="2">
        <f>HYPERLINK("https://cao.dolgi.msk.ru/account/1080148359/", 1080148359)</f>
        <v>1080148359</v>
      </c>
      <c r="D17411" t="s">
        <v>14797</v>
      </c>
      <c r="E17411">
        <v>-8652.02</v>
      </c>
      <c r="F17411">
        <v>-1.1299999999999999</v>
      </c>
      <c r="G17411" t="s">
        <v>12</v>
      </c>
      <c r="I17411" t="s">
        <v>2409</v>
      </c>
    </row>
    <row r="17412" spans="1:9" hidden="1" x14ac:dyDescent="0.25">
      <c r="A17412" t="s">
        <v>14587</v>
      </c>
      <c r="B17412" t="s">
        <v>3484</v>
      </c>
      <c r="C17412" s="2">
        <f>HYPERLINK("https://cao.dolgi.msk.ru/account/1080148367/", 1080148367)</f>
        <v>1080148367</v>
      </c>
      <c r="D17412" t="s">
        <v>14798</v>
      </c>
      <c r="E17412">
        <v>-4098.16</v>
      </c>
      <c r="F17412">
        <v>-1.21</v>
      </c>
      <c r="G17412" t="s">
        <v>12</v>
      </c>
      <c r="I17412" t="s">
        <v>2409</v>
      </c>
    </row>
    <row r="17413" spans="1:9" hidden="1" x14ac:dyDescent="0.25">
      <c r="A17413" t="s">
        <v>14587</v>
      </c>
      <c r="B17413" t="s">
        <v>3486</v>
      </c>
      <c r="C17413" s="2">
        <f>HYPERLINK("https://cao.dolgi.msk.ru/account/1080148375/", 1080148375)</f>
        <v>1080148375</v>
      </c>
      <c r="D17413" t="s">
        <v>14799</v>
      </c>
      <c r="E17413">
        <v>-2786.54</v>
      </c>
      <c r="F17413">
        <v>-1.07</v>
      </c>
      <c r="G17413" t="s">
        <v>12</v>
      </c>
      <c r="I17413" t="s">
        <v>2409</v>
      </c>
    </row>
    <row r="17414" spans="1:9" hidden="1" x14ac:dyDescent="0.25">
      <c r="A17414" t="s">
        <v>14587</v>
      </c>
      <c r="B17414" t="s">
        <v>3486</v>
      </c>
      <c r="C17414" s="2">
        <f>HYPERLINK("https://cao.dolgi.msk.ru/account/1089122657/", 1089122657)</f>
        <v>1089122657</v>
      </c>
      <c r="D17414" t="s">
        <v>14799</v>
      </c>
      <c r="E17414">
        <v>-5958.04</v>
      </c>
      <c r="F17414">
        <v>-1.07</v>
      </c>
      <c r="G17414" t="s">
        <v>12</v>
      </c>
      <c r="I17414" t="s">
        <v>2409</v>
      </c>
    </row>
    <row r="17415" spans="1:9" hidden="1" x14ac:dyDescent="0.25">
      <c r="A17415" t="s">
        <v>14587</v>
      </c>
      <c r="B17415" t="s">
        <v>3488</v>
      </c>
      <c r="C17415" s="2">
        <f>HYPERLINK("https://cao.dolgi.msk.ru/account/1080148383/", 1080148383)</f>
        <v>1080148383</v>
      </c>
      <c r="D17415" t="s">
        <v>14800</v>
      </c>
      <c r="E17415">
        <v>-13641.47</v>
      </c>
      <c r="F17415">
        <v>-1.06</v>
      </c>
      <c r="G17415" t="s">
        <v>12</v>
      </c>
      <c r="I17415" t="s">
        <v>2409</v>
      </c>
    </row>
    <row r="17416" spans="1:9" hidden="1" x14ac:dyDescent="0.25">
      <c r="A17416" t="s">
        <v>14587</v>
      </c>
      <c r="B17416" t="s">
        <v>1802</v>
      </c>
      <c r="C17416" s="2">
        <f>HYPERLINK("https://cao.dolgi.msk.ru/account/1080148391/", 1080148391)</f>
        <v>1080148391</v>
      </c>
      <c r="D17416" t="s">
        <v>14801</v>
      </c>
      <c r="E17416">
        <v>-8339.7199999999993</v>
      </c>
      <c r="F17416">
        <v>-1.1599999999999999</v>
      </c>
      <c r="G17416" t="s">
        <v>12</v>
      </c>
      <c r="I17416" t="s">
        <v>2409</v>
      </c>
    </row>
    <row r="17417" spans="1:9" hidden="1" x14ac:dyDescent="0.25">
      <c r="A17417" t="s">
        <v>14587</v>
      </c>
      <c r="B17417" t="s">
        <v>1804</v>
      </c>
      <c r="C17417" s="2">
        <f>HYPERLINK("https://cao.dolgi.msk.ru/account/1080148404/", 1080148404)</f>
        <v>1080148404</v>
      </c>
      <c r="D17417" t="s">
        <v>14802</v>
      </c>
      <c r="E17417">
        <v>0</v>
      </c>
      <c r="F17417">
        <v>0</v>
      </c>
      <c r="G17417" t="s">
        <v>12</v>
      </c>
      <c r="I17417" t="s">
        <v>2409</v>
      </c>
    </row>
    <row r="17418" spans="1:9" hidden="1" x14ac:dyDescent="0.25">
      <c r="A17418" t="s">
        <v>14587</v>
      </c>
      <c r="B17418" t="s">
        <v>1805</v>
      </c>
      <c r="C17418" s="2">
        <f>HYPERLINK("https://cao.dolgi.msk.ru/account/1080148412/", 1080148412)</f>
        <v>1080148412</v>
      </c>
      <c r="D17418" t="s">
        <v>14803</v>
      </c>
      <c r="E17418">
        <v>-6051.09</v>
      </c>
      <c r="F17418">
        <v>-1.17</v>
      </c>
      <c r="G17418" t="s">
        <v>12</v>
      </c>
      <c r="I17418" t="s">
        <v>2409</v>
      </c>
    </row>
    <row r="17419" spans="1:9" hidden="1" x14ac:dyDescent="0.25">
      <c r="A17419" t="s">
        <v>14587</v>
      </c>
      <c r="B17419" t="s">
        <v>1807</v>
      </c>
      <c r="C17419" s="2">
        <f>HYPERLINK("https://cao.dolgi.msk.ru/account/1080148439/", 1080148439)</f>
        <v>1080148439</v>
      </c>
      <c r="D17419" t="s">
        <v>14804</v>
      </c>
      <c r="E17419">
        <v>-8248.0300000000007</v>
      </c>
      <c r="F17419">
        <v>-1.47</v>
      </c>
      <c r="G17419" t="s">
        <v>12</v>
      </c>
      <c r="I17419" t="s">
        <v>2409</v>
      </c>
    </row>
    <row r="17420" spans="1:9" hidden="1" x14ac:dyDescent="0.25">
      <c r="A17420" t="s">
        <v>14587</v>
      </c>
      <c r="B17420" t="s">
        <v>3494</v>
      </c>
      <c r="C17420" s="2">
        <f>HYPERLINK("https://cao.dolgi.msk.ru/account/1080148447/", 1080148447)</f>
        <v>1080148447</v>
      </c>
      <c r="D17420" t="s">
        <v>14805</v>
      </c>
      <c r="E17420">
        <v>-11448.53</v>
      </c>
      <c r="F17420">
        <v>-1.28</v>
      </c>
      <c r="G17420" t="s">
        <v>12</v>
      </c>
      <c r="I17420" t="s">
        <v>2409</v>
      </c>
    </row>
    <row r="17421" spans="1:9" hidden="1" x14ac:dyDescent="0.25">
      <c r="A17421" t="s">
        <v>14587</v>
      </c>
      <c r="B17421" t="s">
        <v>3496</v>
      </c>
      <c r="C17421" s="2">
        <f>HYPERLINK("https://cao.dolgi.msk.ru/account/1080148455/", 1080148455)</f>
        <v>1080148455</v>
      </c>
      <c r="D17421" t="s">
        <v>15</v>
      </c>
      <c r="E17421">
        <v>0</v>
      </c>
      <c r="G17421" t="s">
        <v>14</v>
      </c>
      <c r="I17421" t="s">
        <v>2409</v>
      </c>
    </row>
    <row r="17422" spans="1:9" hidden="1" x14ac:dyDescent="0.25">
      <c r="A17422" t="s">
        <v>14806</v>
      </c>
      <c r="B17422" t="s">
        <v>10</v>
      </c>
      <c r="C17422" s="2">
        <f>HYPERLINK("https://cao.dolgi.msk.ru/account/1080149554/", 1080149554)</f>
        <v>1080149554</v>
      </c>
      <c r="E17422">
        <v>3607.02</v>
      </c>
      <c r="G17422" t="s">
        <v>12</v>
      </c>
    </row>
    <row r="17423" spans="1:9" hidden="1" x14ac:dyDescent="0.25">
      <c r="A17423" t="s">
        <v>14806</v>
      </c>
      <c r="B17423" t="s">
        <v>16</v>
      </c>
      <c r="C17423" s="2">
        <f>HYPERLINK("https://cao.dolgi.msk.ru/account/1080149562/", 1080149562)</f>
        <v>1080149562</v>
      </c>
      <c r="E17423">
        <v>808.93</v>
      </c>
      <c r="G17423" t="s">
        <v>12</v>
      </c>
    </row>
    <row r="17424" spans="1:9" hidden="1" x14ac:dyDescent="0.25">
      <c r="A17424" t="s">
        <v>14806</v>
      </c>
      <c r="B17424" t="s">
        <v>18</v>
      </c>
      <c r="C17424" s="2">
        <f>HYPERLINK("https://cao.dolgi.msk.ru/account/1080149589/", 1080149589)</f>
        <v>1080149589</v>
      </c>
      <c r="E17424">
        <v>2552.71</v>
      </c>
      <c r="G17424" t="s">
        <v>12</v>
      </c>
    </row>
    <row r="17425" spans="1:7" hidden="1" x14ac:dyDescent="0.25">
      <c r="A17425" t="s">
        <v>14806</v>
      </c>
      <c r="B17425" t="s">
        <v>20</v>
      </c>
      <c r="C17425" s="2">
        <f>HYPERLINK("https://cao.dolgi.msk.ru/account/1080167023/", 1080167023)</f>
        <v>1080167023</v>
      </c>
      <c r="E17425">
        <v>1513.85</v>
      </c>
      <c r="G17425" t="s">
        <v>12</v>
      </c>
    </row>
    <row r="17426" spans="1:7" hidden="1" x14ac:dyDescent="0.25">
      <c r="A17426" t="s">
        <v>14806</v>
      </c>
      <c r="B17426" t="s">
        <v>21</v>
      </c>
      <c r="C17426" s="2">
        <f>HYPERLINK("https://cao.dolgi.msk.ru/account/1080149597/", 1080149597)</f>
        <v>1080149597</v>
      </c>
      <c r="E17426">
        <v>695.69</v>
      </c>
      <c r="G17426" t="s">
        <v>12</v>
      </c>
    </row>
    <row r="17427" spans="1:7" hidden="1" x14ac:dyDescent="0.25">
      <c r="A17427" t="s">
        <v>14806</v>
      </c>
      <c r="B17427" t="s">
        <v>22</v>
      </c>
      <c r="C17427" s="2">
        <f>HYPERLINK("https://cao.dolgi.msk.ru/account/1080149618/", 1080149618)</f>
        <v>1080149618</v>
      </c>
      <c r="E17427">
        <v>4580.17</v>
      </c>
      <c r="G17427" t="s">
        <v>12</v>
      </c>
    </row>
    <row r="17428" spans="1:7" hidden="1" x14ac:dyDescent="0.25">
      <c r="A17428" t="s">
        <v>14806</v>
      </c>
      <c r="B17428" t="s">
        <v>23</v>
      </c>
      <c r="C17428" s="2">
        <f>HYPERLINK("https://cao.dolgi.msk.ru/account/1080149626/", 1080149626)</f>
        <v>1080149626</v>
      </c>
      <c r="E17428">
        <v>1422.48</v>
      </c>
      <c r="G17428" t="s">
        <v>12</v>
      </c>
    </row>
    <row r="17429" spans="1:7" hidden="1" x14ac:dyDescent="0.25">
      <c r="A17429" t="s">
        <v>14806</v>
      </c>
      <c r="B17429" t="s">
        <v>24</v>
      </c>
      <c r="C17429" s="2">
        <f>HYPERLINK("https://cao.dolgi.msk.ru/account/1080149634/", 1080149634)</f>
        <v>1080149634</v>
      </c>
      <c r="E17429">
        <v>136348.16</v>
      </c>
      <c r="G17429" t="s">
        <v>12</v>
      </c>
    </row>
    <row r="17430" spans="1:7" hidden="1" x14ac:dyDescent="0.25">
      <c r="A17430" t="s">
        <v>14806</v>
      </c>
      <c r="B17430" t="s">
        <v>27</v>
      </c>
      <c r="C17430" s="2">
        <f>HYPERLINK("https://cao.dolgi.msk.ru/account/1080149642/", 1080149642)</f>
        <v>1080149642</v>
      </c>
      <c r="E17430">
        <v>34929.15</v>
      </c>
      <c r="G17430" t="s">
        <v>12</v>
      </c>
    </row>
    <row r="17431" spans="1:7" hidden="1" x14ac:dyDescent="0.25">
      <c r="A17431" t="s">
        <v>14806</v>
      </c>
      <c r="B17431" t="s">
        <v>29</v>
      </c>
      <c r="C17431" s="2">
        <f>HYPERLINK("https://cao.dolgi.msk.ru/account/1080149669/", 1080149669)</f>
        <v>1080149669</v>
      </c>
      <c r="E17431">
        <v>-712.26</v>
      </c>
      <c r="G17431" t="s">
        <v>12</v>
      </c>
    </row>
    <row r="17432" spans="1:7" hidden="1" x14ac:dyDescent="0.25">
      <c r="A17432" t="s">
        <v>14806</v>
      </c>
      <c r="B17432" t="s">
        <v>31</v>
      </c>
      <c r="C17432" s="2">
        <f>HYPERLINK("https://cao.dolgi.msk.ru/account/1080149677/", 1080149677)</f>
        <v>1080149677</v>
      </c>
      <c r="E17432">
        <v>-2100.94</v>
      </c>
      <c r="G17432" t="s">
        <v>12</v>
      </c>
    </row>
    <row r="17433" spans="1:7" hidden="1" x14ac:dyDescent="0.25">
      <c r="A17433" t="s">
        <v>14806</v>
      </c>
      <c r="B17433" t="s">
        <v>33</v>
      </c>
      <c r="C17433" s="2">
        <f>HYPERLINK("https://cao.dolgi.msk.ru/account/1080149685/", 1080149685)</f>
        <v>1080149685</v>
      </c>
      <c r="E17433">
        <v>-602.94000000000005</v>
      </c>
      <c r="G17433" t="s">
        <v>12</v>
      </c>
    </row>
    <row r="17434" spans="1:7" hidden="1" x14ac:dyDescent="0.25">
      <c r="A17434" t="s">
        <v>14806</v>
      </c>
      <c r="B17434" t="s">
        <v>34</v>
      </c>
      <c r="C17434" s="2">
        <f>HYPERLINK("https://cao.dolgi.msk.ru/account/1080149693/", 1080149693)</f>
        <v>1080149693</v>
      </c>
      <c r="E17434">
        <v>10040.719999999999</v>
      </c>
      <c r="G17434" t="s">
        <v>12</v>
      </c>
    </row>
    <row r="17435" spans="1:7" hidden="1" x14ac:dyDescent="0.25">
      <c r="A17435" t="s">
        <v>14806</v>
      </c>
      <c r="B17435" t="s">
        <v>36</v>
      </c>
      <c r="C17435" s="2">
        <f>HYPERLINK("https://cao.dolgi.msk.ru/account/1080149706/", 1080149706)</f>
        <v>1080149706</v>
      </c>
      <c r="E17435">
        <v>2622.64</v>
      </c>
      <c r="G17435" t="s">
        <v>12</v>
      </c>
    </row>
    <row r="17436" spans="1:7" hidden="1" x14ac:dyDescent="0.25">
      <c r="A17436" t="s">
        <v>14806</v>
      </c>
      <c r="B17436" t="s">
        <v>38</v>
      </c>
      <c r="C17436" s="2">
        <f>HYPERLINK("https://cao.dolgi.msk.ru/account/1080149714/", 1080149714)</f>
        <v>1080149714</v>
      </c>
      <c r="E17436">
        <v>962.77</v>
      </c>
      <c r="G17436" t="s">
        <v>12</v>
      </c>
    </row>
    <row r="17437" spans="1:7" hidden="1" x14ac:dyDescent="0.25">
      <c r="A17437" t="s">
        <v>14806</v>
      </c>
      <c r="B17437" t="s">
        <v>39</v>
      </c>
      <c r="C17437" s="2">
        <f>HYPERLINK("https://cao.dolgi.msk.ru/account/1080149722/", 1080149722)</f>
        <v>1080149722</v>
      </c>
      <c r="E17437">
        <v>7623.47</v>
      </c>
      <c r="G17437" t="s">
        <v>12</v>
      </c>
    </row>
    <row r="17438" spans="1:7" hidden="1" x14ac:dyDescent="0.25">
      <c r="A17438" t="s">
        <v>14806</v>
      </c>
      <c r="B17438" t="s">
        <v>40</v>
      </c>
      <c r="C17438" s="2">
        <f>HYPERLINK("https://cao.dolgi.msk.ru/account/1080149749/", 1080149749)</f>
        <v>1080149749</v>
      </c>
      <c r="E17438">
        <v>542.29999999999995</v>
      </c>
      <c r="G17438" t="s">
        <v>12</v>
      </c>
    </row>
    <row r="17439" spans="1:7" hidden="1" x14ac:dyDescent="0.25">
      <c r="A17439" t="s">
        <v>14806</v>
      </c>
      <c r="B17439" t="s">
        <v>41</v>
      </c>
      <c r="C17439" s="2">
        <f>HYPERLINK("https://cao.dolgi.msk.ru/account/1080149757/", 1080149757)</f>
        <v>1080149757</v>
      </c>
      <c r="E17439">
        <v>59845.15</v>
      </c>
      <c r="G17439" t="s">
        <v>12</v>
      </c>
    </row>
    <row r="17440" spans="1:7" hidden="1" x14ac:dyDescent="0.25">
      <c r="A17440" t="s">
        <v>14806</v>
      </c>
      <c r="B17440" t="s">
        <v>42</v>
      </c>
      <c r="C17440" s="2">
        <f>HYPERLINK("https://cao.dolgi.msk.ru/account/1080149765/", 1080149765)</f>
        <v>1080149765</v>
      </c>
      <c r="E17440">
        <v>1374.07</v>
      </c>
      <c r="G17440" t="s">
        <v>12</v>
      </c>
    </row>
    <row r="17441" spans="1:7" hidden="1" x14ac:dyDescent="0.25">
      <c r="A17441" t="s">
        <v>14806</v>
      </c>
      <c r="B17441" t="s">
        <v>44</v>
      </c>
      <c r="C17441" s="2">
        <f>HYPERLINK("https://cao.dolgi.msk.ru/account/1080149773/", 1080149773)</f>
        <v>1080149773</v>
      </c>
      <c r="E17441">
        <v>4921.6000000000004</v>
      </c>
      <c r="G17441" t="s">
        <v>12</v>
      </c>
    </row>
    <row r="17442" spans="1:7" hidden="1" x14ac:dyDescent="0.25">
      <c r="A17442" t="s">
        <v>14806</v>
      </c>
      <c r="B17442" t="s">
        <v>66</v>
      </c>
      <c r="C17442" s="2">
        <f>HYPERLINK("https://cao.dolgi.msk.ru/account/1080149781/", 1080149781)</f>
        <v>1080149781</v>
      </c>
      <c r="E17442">
        <v>9863.2800000000007</v>
      </c>
      <c r="G17442" t="s">
        <v>12</v>
      </c>
    </row>
    <row r="17443" spans="1:7" hidden="1" x14ac:dyDescent="0.25">
      <c r="A17443" t="s">
        <v>14806</v>
      </c>
      <c r="B17443" t="s">
        <v>68</v>
      </c>
      <c r="C17443" s="2">
        <f>HYPERLINK("https://cao.dolgi.msk.ru/account/1080166936/", 1080166936)</f>
        <v>1080166936</v>
      </c>
      <c r="E17443">
        <v>5910.84</v>
      </c>
      <c r="G17443" t="s">
        <v>12</v>
      </c>
    </row>
    <row r="17444" spans="1:7" hidden="1" x14ac:dyDescent="0.25">
      <c r="A17444" t="s">
        <v>14806</v>
      </c>
      <c r="B17444" t="s">
        <v>70</v>
      </c>
      <c r="C17444" s="2">
        <f>HYPERLINK("https://cao.dolgi.msk.ru/account/1080149802/", 1080149802)</f>
        <v>1080149802</v>
      </c>
      <c r="E17444">
        <v>-5082.26</v>
      </c>
      <c r="G17444" t="s">
        <v>12</v>
      </c>
    </row>
    <row r="17445" spans="1:7" hidden="1" x14ac:dyDescent="0.25">
      <c r="A17445" t="s">
        <v>14806</v>
      </c>
      <c r="B17445" t="s">
        <v>72</v>
      </c>
      <c r="C17445" s="2">
        <f>HYPERLINK("https://cao.dolgi.msk.ru/account/1080149829/", 1080149829)</f>
        <v>1080149829</v>
      </c>
      <c r="E17445">
        <v>-864.57</v>
      </c>
      <c r="G17445" t="s">
        <v>12</v>
      </c>
    </row>
    <row r="17446" spans="1:7" hidden="1" x14ac:dyDescent="0.25">
      <c r="A17446" t="s">
        <v>14806</v>
      </c>
      <c r="B17446" t="s">
        <v>74</v>
      </c>
      <c r="C17446" s="2">
        <f>HYPERLINK("https://cao.dolgi.msk.ru/account/1080166178/", 1080166178)</f>
        <v>1080166178</v>
      </c>
      <c r="E17446">
        <v>9225.42</v>
      </c>
      <c r="G17446" t="s">
        <v>12</v>
      </c>
    </row>
    <row r="17447" spans="1:7" hidden="1" x14ac:dyDescent="0.25">
      <c r="A17447" t="s">
        <v>14806</v>
      </c>
      <c r="B17447" t="s">
        <v>76</v>
      </c>
      <c r="C17447" s="2">
        <f>HYPERLINK("https://cao.dolgi.msk.ru/account/1080149837/", 1080149837)</f>
        <v>1080149837</v>
      </c>
      <c r="E17447">
        <v>-6131.26</v>
      </c>
      <c r="G17447" t="s">
        <v>12</v>
      </c>
    </row>
    <row r="17448" spans="1:7" hidden="1" x14ac:dyDescent="0.25">
      <c r="A17448" t="s">
        <v>14806</v>
      </c>
      <c r="B17448" t="s">
        <v>78</v>
      </c>
      <c r="C17448" s="2">
        <f>HYPERLINK("https://cao.dolgi.msk.ru/account/1080149845/", 1080149845)</f>
        <v>1080149845</v>
      </c>
      <c r="E17448">
        <v>-28.14</v>
      </c>
      <c r="G17448" t="s">
        <v>12</v>
      </c>
    </row>
    <row r="17449" spans="1:7" hidden="1" x14ac:dyDescent="0.25">
      <c r="A17449" t="s">
        <v>14806</v>
      </c>
      <c r="B17449" t="s">
        <v>80</v>
      </c>
      <c r="C17449" s="2">
        <f>HYPERLINK("https://cao.dolgi.msk.ru/account/1080149853/", 1080149853)</f>
        <v>1080149853</v>
      </c>
      <c r="E17449">
        <v>-867.71</v>
      </c>
      <c r="G17449" t="s">
        <v>12</v>
      </c>
    </row>
    <row r="17450" spans="1:7" hidden="1" x14ac:dyDescent="0.25">
      <c r="A17450" t="s">
        <v>14806</v>
      </c>
      <c r="B17450" t="s">
        <v>82</v>
      </c>
      <c r="C17450" s="2">
        <f>HYPERLINK("https://cao.dolgi.msk.ru/account/1080149861/", 1080149861)</f>
        <v>1080149861</v>
      </c>
      <c r="G17450" t="s">
        <v>14</v>
      </c>
    </row>
    <row r="17451" spans="1:7" hidden="1" x14ac:dyDescent="0.25">
      <c r="A17451" t="s">
        <v>14806</v>
      </c>
      <c r="B17451" t="s">
        <v>82</v>
      </c>
      <c r="C17451" s="2">
        <f>HYPERLINK("https://cao.dolgi.msk.ru/account/1080149888/", 1080149888)</f>
        <v>1080149888</v>
      </c>
      <c r="E17451">
        <v>6001.5</v>
      </c>
      <c r="G17451" t="s">
        <v>12</v>
      </c>
    </row>
    <row r="17452" spans="1:7" hidden="1" x14ac:dyDescent="0.25">
      <c r="A17452" t="s">
        <v>14806</v>
      </c>
      <c r="B17452" t="s">
        <v>84</v>
      </c>
      <c r="C17452" s="2">
        <f>HYPERLINK("https://cao.dolgi.msk.ru/account/1080149896/", 1080149896)</f>
        <v>1080149896</v>
      </c>
      <c r="E17452">
        <v>2562.23</v>
      </c>
      <c r="G17452" t="s">
        <v>12</v>
      </c>
    </row>
    <row r="17453" spans="1:7" hidden="1" x14ac:dyDescent="0.25">
      <c r="A17453" t="s">
        <v>14806</v>
      </c>
      <c r="B17453" t="s">
        <v>86</v>
      </c>
      <c r="C17453" s="2">
        <f>HYPERLINK("https://cao.dolgi.msk.ru/account/1080149909/", 1080149909)</f>
        <v>1080149909</v>
      </c>
      <c r="G17453" t="s">
        <v>14</v>
      </c>
    </row>
    <row r="17454" spans="1:7" hidden="1" x14ac:dyDescent="0.25">
      <c r="A17454" t="s">
        <v>14806</v>
      </c>
      <c r="B17454" t="s">
        <v>86</v>
      </c>
      <c r="C17454" s="2">
        <f>HYPERLINK("https://cao.dolgi.msk.ru/account/1080149917/", 1080149917)</f>
        <v>1080149917</v>
      </c>
      <c r="E17454">
        <v>802.84</v>
      </c>
      <c r="G17454" t="s">
        <v>12</v>
      </c>
    </row>
    <row r="17455" spans="1:7" hidden="1" x14ac:dyDescent="0.25">
      <c r="A17455" t="s">
        <v>14806</v>
      </c>
      <c r="B17455" t="s">
        <v>88</v>
      </c>
      <c r="C17455" s="2">
        <f>HYPERLINK("https://cao.dolgi.msk.ru/account/1080149925/", 1080149925)</f>
        <v>1080149925</v>
      </c>
      <c r="E17455">
        <v>-233</v>
      </c>
      <c r="G17455" t="s">
        <v>12</v>
      </c>
    </row>
    <row r="17456" spans="1:7" hidden="1" x14ac:dyDescent="0.25">
      <c r="A17456" t="s">
        <v>14806</v>
      </c>
      <c r="B17456" t="s">
        <v>88</v>
      </c>
      <c r="C17456" s="2">
        <f>HYPERLINK("https://cao.dolgi.msk.ru/account/1080322564/", 1080322564)</f>
        <v>1080322564</v>
      </c>
      <c r="E17456">
        <v>-3136.07</v>
      </c>
      <c r="G17456" t="s">
        <v>14</v>
      </c>
    </row>
    <row r="17457" spans="1:7" hidden="1" x14ac:dyDescent="0.25">
      <c r="A17457" t="s">
        <v>14806</v>
      </c>
      <c r="B17457" t="s">
        <v>90</v>
      </c>
      <c r="C17457" s="2">
        <f>HYPERLINK("https://cao.dolgi.msk.ru/account/1080149933/", 1080149933)</f>
        <v>1080149933</v>
      </c>
      <c r="E17457">
        <v>1732.6</v>
      </c>
      <c r="G17457" t="s">
        <v>12</v>
      </c>
    </row>
    <row r="17458" spans="1:7" hidden="1" x14ac:dyDescent="0.25">
      <c r="A17458" t="s">
        <v>14806</v>
      </c>
      <c r="B17458" t="s">
        <v>92</v>
      </c>
      <c r="C17458" s="2">
        <f>HYPERLINK("https://cao.dolgi.msk.ru/account/1080149941/", 1080149941)</f>
        <v>1080149941</v>
      </c>
      <c r="E17458">
        <v>-228.87</v>
      </c>
      <c r="G17458" t="s">
        <v>12</v>
      </c>
    </row>
    <row r="17459" spans="1:7" hidden="1" x14ac:dyDescent="0.25">
      <c r="A17459" t="s">
        <v>14806</v>
      </c>
      <c r="B17459" t="s">
        <v>94</v>
      </c>
      <c r="C17459" s="2">
        <f>HYPERLINK("https://cao.dolgi.msk.ru/account/1080149968/", 1080149968)</f>
        <v>1080149968</v>
      </c>
      <c r="E17459">
        <v>2755</v>
      </c>
      <c r="G17459" t="s">
        <v>12</v>
      </c>
    </row>
    <row r="17460" spans="1:7" hidden="1" x14ac:dyDescent="0.25">
      <c r="A17460" t="s">
        <v>14806</v>
      </c>
      <c r="B17460" t="s">
        <v>96</v>
      </c>
      <c r="C17460" s="2">
        <f>HYPERLINK("https://cao.dolgi.msk.ru/account/1080149976/", 1080149976)</f>
        <v>1080149976</v>
      </c>
      <c r="E17460">
        <v>17837.22</v>
      </c>
      <c r="G17460" t="s">
        <v>12</v>
      </c>
    </row>
    <row r="17461" spans="1:7" hidden="1" x14ac:dyDescent="0.25">
      <c r="A17461" t="s">
        <v>14806</v>
      </c>
      <c r="B17461" t="s">
        <v>98</v>
      </c>
      <c r="C17461" s="2">
        <f>HYPERLINK("https://cao.dolgi.msk.ru/account/1080149984/", 1080149984)</f>
        <v>1080149984</v>
      </c>
      <c r="E17461">
        <v>-2566.14</v>
      </c>
      <c r="G17461" t="s">
        <v>12</v>
      </c>
    </row>
    <row r="17462" spans="1:7" hidden="1" x14ac:dyDescent="0.25">
      <c r="A17462" t="s">
        <v>14806</v>
      </c>
      <c r="B17462" t="s">
        <v>100</v>
      </c>
      <c r="C17462" s="2">
        <f>HYPERLINK("https://cao.dolgi.msk.ru/account/1080149992/", 1080149992)</f>
        <v>1080149992</v>
      </c>
      <c r="E17462">
        <v>-13385.71</v>
      </c>
      <c r="G17462" t="s">
        <v>12</v>
      </c>
    </row>
    <row r="17463" spans="1:7" hidden="1" x14ac:dyDescent="0.25">
      <c r="A17463" t="s">
        <v>14806</v>
      </c>
      <c r="B17463" t="s">
        <v>102</v>
      </c>
      <c r="C17463" s="2">
        <f>HYPERLINK("https://cao.dolgi.msk.ru/account/1080150002/", 1080150002)</f>
        <v>1080150002</v>
      </c>
      <c r="E17463">
        <v>-17537.02</v>
      </c>
      <c r="G17463" t="s">
        <v>12</v>
      </c>
    </row>
    <row r="17464" spans="1:7" hidden="1" x14ac:dyDescent="0.25">
      <c r="A17464" t="s">
        <v>14806</v>
      </c>
      <c r="B17464" t="s">
        <v>106</v>
      </c>
      <c r="C17464" s="2">
        <f>HYPERLINK("https://cao.dolgi.msk.ru/account/1080150037/", 1080150037)</f>
        <v>1080150037</v>
      </c>
      <c r="E17464">
        <v>7875.66</v>
      </c>
      <c r="G17464" t="s">
        <v>12</v>
      </c>
    </row>
    <row r="17465" spans="1:7" hidden="1" x14ac:dyDescent="0.25">
      <c r="A17465" t="s">
        <v>14806</v>
      </c>
      <c r="B17465" t="s">
        <v>108</v>
      </c>
      <c r="C17465" s="2">
        <f>HYPERLINK("https://cao.dolgi.msk.ru/account/1080166274/", 1080166274)</f>
        <v>1080166274</v>
      </c>
      <c r="G17465" t="s">
        <v>14</v>
      </c>
    </row>
    <row r="17466" spans="1:7" hidden="1" x14ac:dyDescent="0.25">
      <c r="A17466" t="s">
        <v>14806</v>
      </c>
      <c r="B17466" t="s">
        <v>108</v>
      </c>
      <c r="C17466" s="2">
        <f>HYPERLINK("https://cao.dolgi.msk.ru/account/1080166338/", 1080166338)</f>
        <v>1080166338</v>
      </c>
      <c r="E17466">
        <v>7.16</v>
      </c>
      <c r="G17466" t="s">
        <v>12</v>
      </c>
    </row>
    <row r="17467" spans="1:7" hidden="1" x14ac:dyDescent="0.25">
      <c r="A17467" t="s">
        <v>14806</v>
      </c>
      <c r="B17467" t="s">
        <v>110</v>
      </c>
      <c r="C17467" s="2">
        <f>HYPERLINK("https://cao.dolgi.msk.ru/account/1080150045/", 1080150045)</f>
        <v>1080150045</v>
      </c>
      <c r="E17467">
        <v>-45.22</v>
      </c>
      <c r="G17467" t="s">
        <v>12</v>
      </c>
    </row>
    <row r="17468" spans="1:7" hidden="1" x14ac:dyDescent="0.25">
      <c r="A17468" t="s">
        <v>14806</v>
      </c>
      <c r="B17468" t="s">
        <v>112</v>
      </c>
      <c r="C17468" s="2">
        <f>HYPERLINK("https://cao.dolgi.msk.ru/account/1080150053/", 1080150053)</f>
        <v>1080150053</v>
      </c>
      <c r="E17468">
        <v>5083.3999999999996</v>
      </c>
      <c r="G17468" t="s">
        <v>12</v>
      </c>
    </row>
    <row r="17469" spans="1:7" hidden="1" x14ac:dyDescent="0.25">
      <c r="A17469" t="s">
        <v>14806</v>
      </c>
      <c r="B17469" t="s">
        <v>114</v>
      </c>
      <c r="C17469" s="2">
        <f>HYPERLINK("https://cao.dolgi.msk.ru/account/1080167197/", 1080167197)</f>
        <v>1080167197</v>
      </c>
      <c r="E17469">
        <v>-4308.46</v>
      </c>
      <c r="G17469" t="s">
        <v>12</v>
      </c>
    </row>
    <row r="17470" spans="1:7" hidden="1" x14ac:dyDescent="0.25">
      <c r="A17470" t="s">
        <v>14806</v>
      </c>
      <c r="B17470" t="s">
        <v>116</v>
      </c>
      <c r="C17470" s="2">
        <f>HYPERLINK("https://cao.dolgi.msk.ru/account/1080150061/", 1080150061)</f>
        <v>1080150061</v>
      </c>
      <c r="E17470">
        <v>9387.76</v>
      </c>
      <c r="G17470" t="s">
        <v>12</v>
      </c>
    </row>
    <row r="17471" spans="1:7" hidden="1" x14ac:dyDescent="0.25">
      <c r="A17471" t="s">
        <v>14806</v>
      </c>
      <c r="B17471" t="s">
        <v>118</v>
      </c>
      <c r="C17471" s="2">
        <f>HYPERLINK("https://cao.dolgi.msk.ru/account/1080150088/", 1080150088)</f>
        <v>1080150088</v>
      </c>
      <c r="E17471">
        <v>4731.51</v>
      </c>
      <c r="G17471" t="s">
        <v>12</v>
      </c>
    </row>
    <row r="17472" spans="1:7" hidden="1" x14ac:dyDescent="0.25">
      <c r="A17472" t="s">
        <v>14806</v>
      </c>
      <c r="B17472" t="s">
        <v>120</v>
      </c>
      <c r="C17472" s="2">
        <f>HYPERLINK("https://cao.dolgi.msk.ru/account/1080150096/", 1080150096)</f>
        <v>1080150096</v>
      </c>
      <c r="E17472">
        <v>-3303.34</v>
      </c>
      <c r="G17472" t="s">
        <v>12</v>
      </c>
    </row>
    <row r="17473" spans="1:7" hidden="1" x14ac:dyDescent="0.25">
      <c r="A17473" t="s">
        <v>14806</v>
      </c>
      <c r="B17473" t="s">
        <v>122</v>
      </c>
      <c r="C17473" s="2">
        <f>HYPERLINK("https://cao.dolgi.msk.ru/account/1080150109/", 1080150109)</f>
        <v>1080150109</v>
      </c>
      <c r="E17473">
        <v>2173.0700000000002</v>
      </c>
      <c r="G17473" t="s">
        <v>12</v>
      </c>
    </row>
    <row r="17474" spans="1:7" hidden="1" x14ac:dyDescent="0.25">
      <c r="A17474" t="s">
        <v>14806</v>
      </c>
      <c r="B17474" t="s">
        <v>124</v>
      </c>
      <c r="C17474" s="2">
        <f>HYPERLINK("https://cao.dolgi.msk.ru/account/1080150117/", 1080150117)</f>
        <v>1080150117</v>
      </c>
      <c r="E17474">
        <v>59940.39</v>
      </c>
      <c r="G17474" t="s">
        <v>12</v>
      </c>
    </row>
    <row r="17475" spans="1:7" hidden="1" x14ac:dyDescent="0.25">
      <c r="A17475" t="s">
        <v>14806</v>
      </c>
      <c r="B17475" t="s">
        <v>126</v>
      </c>
      <c r="C17475" s="2">
        <f>HYPERLINK("https://cao.dolgi.msk.ru/account/1080150125/", 1080150125)</f>
        <v>1080150125</v>
      </c>
      <c r="E17475">
        <v>4649.74</v>
      </c>
      <c r="G17475" t="s">
        <v>12</v>
      </c>
    </row>
    <row r="17476" spans="1:7" hidden="1" x14ac:dyDescent="0.25">
      <c r="A17476" t="s">
        <v>14806</v>
      </c>
      <c r="B17476" t="s">
        <v>128</v>
      </c>
      <c r="C17476" s="2">
        <f>HYPERLINK("https://cao.dolgi.msk.ru/account/1080150133/", 1080150133)</f>
        <v>1080150133</v>
      </c>
      <c r="E17476">
        <v>1010.92</v>
      </c>
      <c r="G17476" t="s">
        <v>12</v>
      </c>
    </row>
    <row r="17477" spans="1:7" hidden="1" x14ac:dyDescent="0.25">
      <c r="A17477" t="s">
        <v>14806</v>
      </c>
      <c r="B17477" t="s">
        <v>130</v>
      </c>
      <c r="C17477" s="2">
        <f>HYPERLINK("https://cao.dolgi.msk.ru/account/1080168317/", 1080168317)</f>
        <v>1080168317</v>
      </c>
      <c r="E17477">
        <v>528.51</v>
      </c>
      <c r="G17477" t="s">
        <v>12</v>
      </c>
    </row>
    <row r="17478" spans="1:7" hidden="1" x14ac:dyDescent="0.25">
      <c r="A17478" t="s">
        <v>14806</v>
      </c>
      <c r="B17478" t="s">
        <v>132</v>
      </c>
      <c r="C17478" s="2">
        <f>HYPERLINK("https://cao.dolgi.msk.ru/account/1080150141/", 1080150141)</f>
        <v>1080150141</v>
      </c>
      <c r="E17478">
        <v>-2388.63</v>
      </c>
      <c r="G17478" t="s">
        <v>12</v>
      </c>
    </row>
    <row r="17479" spans="1:7" hidden="1" x14ac:dyDescent="0.25">
      <c r="A17479" t="s">
        <v>14806</v>
      </c>
      <c r="B17479" t="s">
        <v>133</v>
      </c>
      <c r="C17479" s="2">
        <f>HYPERLINK("https://cao.dolgi.msk.ru/account/1080150168/", 1080150168)</f>
        <v>1080150168</v>
      </c>
      <c r="E17479">
        <v>1635.62</v>
      </c>
      <c r="G17479" t="s">
        <v>12</v>
      </c>
    </row>
    <row r="17480" spans="1:7" hidden="1" x14ac:dyDescent="0.25">
      <c r="A17480" t="s">
        <v>14806</v>
      </c>
      <c r="B17480" t="s">
        <v>135</v>
      </c>
      <c r="C17480" s="2">
        <f>HYPERLINK("https://cao.dolgi.msk.ru/account/1080150176/", 1080150176)</f>
        <v>1080150176</v>
      </c>
      <c r="E17480">
        <v>216.97</v>
      </c>
      <c r="G17480" t="s">
        <v>12</v>
      </c>
    </row>
    <row r="17481" spans="1:7" hidden="1" x14ac:dyDescent="0.25">
      <c r="A17481" t="s">
        <v>14806</v>
      </c>
      <c r="B17481" t="s">
        <v>137</v>
      </c>
      <c r="C17481" s="2">
        <f>HYPERLINK("https://cao.dolgi.msk.ru/account/1080150184/", 1080150184)</f>
        <v>1080150184</v>
      </c>
      <c r="E17481">
        <v>3533.97</v>
      </c>
      <c r="G17481" t="s">
        <v>12</v>
      </c>
    </row>
    <row r="17482" spans="1:7" hidden="1" x14ac:dyDescent="0.25">
      <c r="A17482" t="s">
        <v>14806</v>
      </c>
      <c r="B17482" t="s">
        <v>139</v>
      </c>
      <c r="C17482" s="2">
        <f>HYPERLINK("https://cao.dolgi.msk.ru/account/1080150205/", 1080150205)</f>
        <v>1080150205</v>
      </c>
      <c r="E17482">
        <v>-16115.35</v>
      </c>
      <c r="G17482" t="s">
        <v>12</v>
      </c>
    </row>
    <row r="17483" spans="1:7" hidden="1" x14ac:dyDescent="0.25">
      <c r="A17483" t="s">
        <v>14806</v>
      </c>
      <c r="B17483" t="s">
        <v>141</v>
      </c>
      <c r="C17483" s="2">
        <f>HYPERLINK("https://cao.dolgi.msk.ru/account/1080150213/", 1080150213)</f>
        <v>1080150213</v>
      </c>
      <c r="E17483">
        <v>988.63</v>
      </c>
      <c r="G17483" t="s">
        <v>12</v>
      </c>
    </row>
    <row r="17484" spans="1:7" hidden="1" x14ac:dyDescent="0.25">
      <c r="A17484" t="s">
        <v>14806</v>
      </c>
      <c r="B17484" t="s">
        <v>145</v>
      </c>
      <c r="C17484" s="2">
        <f>HYPERLINK("https://cao.dolgi.msk.ru/account/1080150248/", 1080150248)</f>
        <v>1080150248</v>
      </c>
      <c r="G17484" t="s">
        <v>14</v>
      </c>
    </row>
    <row r="17485" spans="1:7" hidden="1" x14ac:dyDescent="0.25">
      <c r="A17485" t="s">
        <v>14806</v>
      </c>
      <c r="B17485" t="s">
        <v>147</v>
      </c>
      <c r="C17485" s="2">
        <f>HYPERLINK("https://cao.dolgi.msk.ru/account/1080166813/", 1080166813)</f>
        <v>1080166813</v>
      </c>
      <c r="E17485">
        <v>99.4</v>
      </c>
      <c r="G17485" t="s">
        <v>12</v>
      </c>
    </row>
    <row r="17486" spans="1:7" hidden="1" x14ac:dyDescent="0.25">
      <c r="A17486" t="s">
        <v>14806</v>
      </c>
      <c r="B17486" t="s">
        <v>149</v>
      </c>
      <c r="C17486" s="2">
        <f>HYPERLINK("https://cao.dolgi.msk.ru/account/1080150256/", 1080150256)</f>
        <v>1080150256</v>
      </c>
      <c r="E17486">
        <v>1214.26</v>
      </c>
      <c r="G17486" t="s">
        <v>12</v>
      </c>
    </row>
    <row r="17487" spans="1:7" hidden="1" x14ac:dyDescent="0.25">
      <c r="A17487" t="s">
        <v>14806</v>
      </c>
      <c r="B17487" t="s">
        <v>151</v>
      </c>
      <c r="C17487" s="2">
        <f>HYPERLINK("https://cao.dolgi.msk.ru/account/1080150299/", 1080150299)</f>
        <v>1080150299</v>
      </c>
      <c r="E17487">
        <v>-630.65</v>
      </c>
      <c r="G17487" t="s">
        <v>12</v>
      </c>
    </row>
    <row r="17488" spans="1:7" hidden="1" x14ac:dyDescent="0.25">
      <c r="A17488" t="s">
        <v>14806</v>
      </c>
      <c r="B17488" t="s">
        <v>153</v>
      </c>
      <c r="C17488" s="2">
        <f>HYPERLINK("https://cao.dolgi.msk.ru/account/1080150301/", 1080150301)</f>
        <v>1080150301</v>
      </c>
      <c r="E17488">
        <v>365.18</v>
      </c>
      <c r="G17488" t="s">
        <v>12</v>
      </c>
    </row>
    <row r="17489" spans="1:9" hidden="1" x14ac:dyDescent="0.25">
      <c r="A17489" t="s">
        <v>14807</v>
      </c>
      <c r="B17489" t="s">
        <v>10</v>
      </c>
      <c r="C17489" s="2">
        <f>HYPERLINK("https://cao.dolgi.msk.ru/account/1080217799/", 1080217799)</f>
        <v>1080217799</v>
      </c>
      <c r="D17489" t="s">
        <v>14808</v>
      </c>
      <c r="E17489">
        <v>-4055.86</v>
      </c>
      <c r="F17489">
        <v>-1.1599999999999999</v>
      </c>
      <c r="G17489" t="s">
        <v>12</v>
      </c>
      <c r="I17489" t="s">
        <v>1428</v>
      </c>
    </row>
    <row r="17490" spans="1:9" hidden="1" x14ac:dyDescent="0.25">
      <c r="A17490" t="s">
        <v>14807</v>
      </c>
      <c r="B17490" t="s">
        <v>16</v>
      </c>
      <c r="C17490" s="2">
        <f>HYPERLINK("https://cao.dolgi.msk.ru/account/1080217801/", 1080217801)</f>
        <v>1080217801</v>
      </c>
      <c r="D17490" t="s">
        <v>14809</v>
      </c>
      <c r="E17490">
        <v>77.599999999999994</v>
      </c>
      <c r="F17490">
        <v>0.01</v>
      </c>
      <c r="G17490" t="s">
        <v>12</v>
      </c>
      <c r="I17490" t="s">
        <v>1428</v>
      </c>
    </row>
    <row r="17491" spans="1:9" hidden="1" x14ac:dyDescent="0.25">
      <c r="A17491" t="s">
        <v>14807</v>
      </c>
      <c r="B17491" t="s">
        <v>18</v>
      </c>
      <c r="C17491" s="2">
        <f>HYPERLINK("https://cao.dolgi.msk.ru/account/1080217828/", 1080217828)</f>
        <v>1080217828</v>
      </c>
      <c r="D17491" t="s">
        <v>14810</v>
      </c>
      <c r="E17491">
        <v>-58.2</v>
      </c>
      <c r="F17491">
        <v>-0.01</v>
      </c>
      <c r="G17491" t="s">
        <v>12</v>
      </c>
      <c r="I17491" t="s">
        <v>1428</v>
      </c>
    </row>
    <row r="17492" spans="1:9" hidden="1" x14ac:dyDescent="0.25">
      <c r="A17492" t="s">
        <v>14807</v>
      </c>
      <c r="B17492" t="s">
        <v>20</v>
      </c>
      <c r="C17492" s="2">
        <f>HYPERLINK("https://cao.dolgi.msk.ru/account/1080217836/", 1080217836)</f>
        <v>1080217836</v>
      </c>
      <c r="D17492" t="s">
        <v>14811</v>
      </c>
      <c r="E17492">
        <v>-38.799999999999997</v>
      </c>
      <c r="F17492">
        <v>0</v>
      </c>
      <c r="G17492" t="s">
        <v>12</v>
      </c>
      <c r="I17492" t="s">
        <v>1428</v>
      </c>
    </row>
    <row r="17493" spans="1:9" hidden="1" x14ac:dyDescent="0.25">
      <c r="A17493" t="s">
        <v>14807</v>
      </c>
      <c r="B17493" t="s">
        <v>21</v>
      </c>
      <c r="C17493" s="2">
        <f>HYPERLINK("https://cao.dolgi.msk.ru/account/1080217844/", 1080217844)</f>
        <v>1080217844</v>
      </c>
      <c r="D17493" t="s">
        <v>14812</v>
      </c>
      <c r="E17493">
        <v>-8040.34</v>
      </c>
      <c r="F17493">
        <v>-1.34</v>
      </c>
      <c r="G17493" t="s">
        <v>12</v>
      </c>
      <c r="I17493" t="s">
        <v>1428</v>
      </c>
    </row>
    <row r="17494" spans="1:9" hidden="1" x14ac:dyDescent="0.25">
      <c r="A17494" t="s">
        <v>14807</v>
      </c>
      <c r="B17494" t="s">
        <v>22</v>
      </c>
      <c r="C17494" s="2">
        <f>HYPERLINK("https://cao.dolgi.msk.ru/account/1080217852/", 1080217852)</f>
        <v>1080217852</v>
      </c>
      <c r="D17494" t="s">
        <v>14813</v>
      </c>
      <c r="E17494">
        <v>0</v>
      </c>
      <c r="F17494">
        <v>0</v>
      </c>
      <c r="G17494" t="s">
        <v>12</v>
      </c>
      <c r="I17494" t="s">
        <v>1428</v>
      </c>
    </row>
    <row r="17495" spans="1:9" hidden="1" x14ac:dyDescent="0.25">
      <c r="A17495" t="s">
        <v>14807</v>
      </c>
      <c r="B17495" t="s">
        <v>23</v>
      </c>
      <c r="C17495" s="2">
        <f>HYPERLINK("https://cao.dolgi.msk.ru/account/1080217879/", 1080217879)</f>
        <v>1080217879</v>
      </c>
      <c r="D17495" t="s">
        <v>14814</v>
      </c>
      <c r="E17495">
        <v>-9590.25</v>
      </c>
      <c r="F17495">
        <v>-1</v>
      </c>
      <c r="G17495" t="s">
        <v>12</v>
      </c>
      <c r="I17495" t="s">
        <v>1428</v>
      </c>
    </row>
    <row r="17496" spans="1:9" hidden="1" x14ac:dyDescent="0.25">
      <c r="A17496" t="s">
        <v>14807</v>
      </c>
      <c r="B17496" t="s">
        <v>24</v>
      </c>
      <c r="C17496" s="2">
        <f>HYPERLINK("https://cao.dolgi.msk.ru/account/1080217887/", 1080217887)</f>
        <v>1080217887</v>
      </c>
      <c r="D17496" t="s">
        <v>14815</v>
      </c>
      <c r="E17496">
        <v>-5848.95</v>
      </c>
      <c r="F17496">
        <v>-1.23</v>
      </c>
      <c r="G17496" t="s">
        <v>12</v>
      </c>
      <c r="I17496" t="s">
        <v>1428</v>
      </c>
    </row>
    <row r="17497" spans="1:9" hidden="1" x14ac:dyDescent="0.25">
      <c r="A17497" t="s">
        <v>14807</v>
      </c>
      <c r="B17497" t="s">
        <v>27</v>
      </c>
      <c r="C17497" s="2">
        <f>HYPERLINK("https://cao.dolgi.msk.ru/account/1080217895/", 1080217895)</f>
        <v>1080217895</v>
      </c>
      <c r="D17497" t="s">
        <v>14816</v>
      </c>
      <c r="E17497">
        <v>-39.75</v>
      </c>
      <c r="F17497">
        <v>-0.01</v>
      </c>
      <c r="G17497" t="s">
        <v>12</v>
      </c>
      <c r="I17497" t="s">
        <v>1428</v>
      </c>
    </row>
    <row r="17498" spans="1:9" hidden="1" x14ac:dyDescent="0.25">
      <c r="A17498" t="s">
        <v>14807</v>
      </c>
      <c r="B17498" t="s">
        <v>29</v>
      </c>
      <c r="C17498" s="2">
        <f>HYPERLINK("https://cao.dolgi.msk.ru/account/1080217908/", 1080217908)</f>
        <v>1080217908</v>
      </c>
      <c r="D17498" t="s">
        <v>14817</v>
      </c>
      <c r="E17498">
        <v>-4967.6899999999996</v>
      </c>
      <c r="F17498">
        <v>-1.1000000000000001</v>
      </c>
      <c r="G17498" t="s">
        <v>12</v>
      </c>
      <c r="I17498" t="s">
        <v>1428</v>
      </c>
    </row>
    <row r="17499" spans="1:9" hidden="1" x14ac:dyDescent="0.25">
      <c r="A17499" t="s">
        <v>14807</v>
      </c>
      <c r="B17499" t="s">
        <v>29</v>
      </c>
      <c r="C17499" s="2">
        <f>HYPERLINK("https://cao.dolgi.msk.ru/account/1083318405/", 1083318405)</f>
        <v>1083318405</v>
      </c>
      <c r="D17499" t="s">
        <v>15</v>
      </c>
      <c r="E17499">
        <v>-1886.9</v>
      </c>
      <c r="F17499">
        <v>-1.07</v>
      </c>
      <c r="G17499" t="s">
        <v>12</v>
      </c>
      <c r="I17499" t="s">
        <v>1428</v>
      </c>
    </row>
    <row r="17500" spans="1:9" hidden="1" x14ac:dyDescent="0.25">
      <c r="A17500" t="s">
        <v>14807</v>
      </c>
      <c r="B17500" t="s">
        <v>31</v>
      </c>
      <c r="C17500" s="2">
        <f>HYPERLINK("https://cao.dolgi.msk.ru/account/1080217916/", 1080217916)</f>
        <v>1080217916</v>
      </c>
      <c r="D17500" t="s">
        <v>14818</v>
      </c>
      <c r="E17500">
        <v>-10970.58</v>
      </c>
      <c r="F17500">
        <v>-1.05</v>
      </c>
      <c r="G17500" t="s">
        <v>12</v>
      </c>
      <c r="I17500" t="s">
        <v>1428</v>
      </c>
    </row>
    <row r="17501" spans="1:9" hidden="1" x14ac:dyDescent="0.25">
      <c r="A17501" t="s">
        <v>14807</v>
      </c>
      <c r="B17501" t="s">
        <v>33</v>
      </c>
      <c r="C17501" s="2">
        <f>HYPERLINK("https://cao.dolgi.msk.ru/account/1080217924/", 1080217924)</f>
        <v>1080217924</v>
      </c>
      <c r="D17501" t="s">
        <v>14819</v>
      </c>
      <c r="E17501">
        <v>0</v>
      </c>
      <c r="F17501">
        <v>0</v>
      </c>
      <c r="G17501" t="s">
        <v>12</v>
      </c>
      <c r="I17501" t="s">
        <v>1428</v>
      </c>
    </row>
    <row r="17502" spans="1:9" hidden="1" x14ac:dyDescent="0.25">
      <c r="A17502" t="s">
        <v>14807</v>
      </c>
      <c r="B17502" t="s">
        <v>34</v>
      </c>
      <c r="C17502" s="2">
        <f>HYPERLINK("https://cao.dolgi.msk.ru/account/1080217932/", 1080217932)</f>
        <v>1080217932</v>
      </c>
      <c r="D17502" t="s">
        <v>14820</v>
      </c>
      <c r="E17502">
        <v>-8552.64</v>
      </c>
      <c r="F17502">
        <v>-1.1200000000000001</v>
      </c>
      <c r="G17502" t="s">
        <v>12</v>
      </c>
      <c r="I17502" t="s">
        <v>1428</v>
      </c>
    </row>
    <row r="17503" spans="1:9" hidden="1" x14ac:dyDescent="0.25">
      <c r="A17503" t="s">
        <v>14807</v>
      </c>
      <c r="B17503" t="s">
        <v>36</v>
      </c>
      <c r="C17503" s="2">
        <f>HYPERLINK("https://cao.dolgi.msk.ru/account/1080217959/", 1080217959)</f>
        <v>1080217959</v>
      </c>
      <c r="D17503" t="s">
        <v>14821</v>
      </c>
      <c r="E17503">
        <v>-8458.4</v>
      </c>
      <c r="F17503">
        <v>-0.96</v>
      </c>
      <c r="G17503" t="s">
        <v>12</v>
      </c>
      <c r="I17503" t="s">
        <v>1428</v>
      </c>
    </row>
    <row r="17504" spans="1:9" hidden="1" x14ac:dyDescent="0.25">
      <c r="A17504" t="s">
        <v>14807</v>
      </c>
      <c r="B17504" t="s">
        <v>38</v>
      </c>
      <c r="C17504" s="2">
        <f>HYPERLINK("https://cao.dolgi.msk.ru/account/1080217967/", 1080217967)</f>
        <v>1080217967</v>
      </c>
      <c r="D17504" t="s">
        <v>14822</v>
      </c>
      <c r="E17504">
        <v>-38.799999999999997</v>
      </c>
      <c r="F17504">
        <v>0</v>
      </c>
      <c r="G17504" t="s">
        <v>12</v>
      </c>
      <c r="I17504" t="s">
        <v>1428</v>
      </c>
    </row>
    <row r="17505" spans="1:9" hidden="1" x14ac:dyDescent="0.25">
      <c r="A17505" t="s">
        <v>14807</v>
      </c>
      <c r="B17505" t="s">
        <v>39</v>
      </c>
      <c r="C17505" s="2">
        <f>HYPERLINK("https://cao.dolgi.msk.ru/account/1080217975/", 1080217975)</f>
        <v>1080217975</v>
      </c>
      <c r="D17505" t="s">
        <v>14823</v>
      </c>
      <c r="E17505">
        <v>-9332.2099999999991</v>
      </c>
      <c r="F17505">
        <v>-1.38</v>
      </c>
      <c r="G17505" t="s">
        <v>12</v>
      </c>
      <c r="I17505" t="s">
        <v>1428</v>
      </c>
    </row>
    <row r="17506" spans="1:9" x14ac:dyDescent="0.25">
      <c r="A17506" t="s">
        <v>14807</v>
      </c>
      <c r="B17506" t="s">
        <v>40</v>
      </c>
      <c r="C17506" s="2">
        <f>HYPERLINK("https://cao.dolgi.msk.ru/account/1080217983/", 1080217983)</f>
        <v>1080217983</v>
      </c>
      <c r="D17506" t="s">
        <v>14824</v>
      </c>
      <c r="E17506">
        <v>11512.95</v>
      </c>
      <c r="F17506">
        <v>1.0900000000000001</v>
      </c>
      <c r="G17506" t="s">
        <v>12</v>
      </c>
      <c r="I17506" t="s">
        <v>1428</v>
      </c>
    </row>
    <row r="17507" spans="1:9" hidden="1" x14ac:dyDescent="0.25">
      <c r="A17507" t="s">
        <v>14807</v>
      </c>
      <c r="B17507" t="s">
        <v>41</v>
      </c>
      <c r="C17507" s="2">
        <f>HYPERLINK("https://cao.dolgi.msk.ru/account/1080217991/", 1080217991)</f>
        <v>1080217991</v>
      </c>
      <c r="D17507" t="s">
        <v>14825</v>
      </c>
      <c r="E17507">
        <v>-5888.34</v>
      </c>
      <c r="F17507">
        <v>-0.97</v>
      </c>
      <c r="G17507" t="s">
        <v>12</v>
      </c>
      <c r="I17507" t="s">
        <v>1428</v>
      </c>
    </row>
    <row r="17508" spans="1:9" hidden="1" x14ac:dyDescent="0.25">
      <c r="A17508" t="s">
        <v>14807</v>
      </c>
      <c r="B17508" t="s">
        <v>42</v>
      </c>
      <c r="C17508" s="2">
        <f>HYPERLINK("https://cao.dolgi.msk.ru/account/1080218003/", 1080218003)</f>
        <v>1080218003</v>
      </c>
      <c r="D17508" t="s">
        <v>14826</v>
      </c>
      <c r="E17508">
        <v>-11924.4</v>
      </c>
      <c r="F17508">
        <v>-1.06</v>
      </c>
      <c r="G17508" t="s">
        <v>12</v>
      </c>
      <c r="I17508" t="s">
        <v>1428</v>
      </c>
    </row>
    <row r="17509" spans="1:9" hidden="1" x14ac:dyDescent="0.25">
      <c r="A17509" t="s">
        <v>14807</v>
      </c>
      <c r="B17509" t="s">
        <v>44</v>
      </c>
      <c r="C17509" s="2">
        <f>HYPERLINK("https://cao.dolgi.msk.ru/account/1080218011/", 1080218011)</f>
        <v>1080218011</v>
      </c>
      <c r="D17509" t="s">
        <v>14827</v>
      </c>
      <c r="E17509">
        <v>-10215.94</v>
      </c>
      <c r="F17509">
        <v>-1.1499999999999999</v>
      </c>
      <c r="G17509" t="s">
        <v>12</v>
      </c>
      <c r="I17509" t="s">
        <v>1428</v>
      </c>
    </row>
    <row r="17510" spans="1:9" hidden="1" x14ac:dyDescent="0.25">
      <c r="A17510" t="s">
        <v>14807</v>
      </c>
      <c r="B17510" t="s">
        <v>66</v>
      </c>
      <c r="C17510" s="2">
        <f>HYPERLINK("https://cao.dolgi.msk.ru/account/1080218038/", 1080218038)</f>
        <v>1080218038</v>
      </c>
      <c r="D17510" t="s">
        <v>14828</v>
      </c>
      <c r="E17510">
        <v>-4279.71</v>
      </c>
      <c r="F17510">
        <v>-1.17</v>
      </c>
      <c r="G17510" t="s">
        <v>12</v>
      </c>
      <c r="I17510" t="s">
        <v>1428</v>
      </c>
    </row>
    <row r="17511" spans="1:9" hidden="1" x14ac:dyDescent="0.25">
      <c r="A17511" t="s">
        <v>14807</v>
      </c>
      <c r="B17511" t="s">
        <v>66</v>
      </c>
      <c r="C17511" s="2">
        <f>HYPERLINK("https://cao.dolgi.msk.ru/account/1083371169/", 1083371169)</f>
        <v>1083371169</v>
      </c>
      <c r="D17511" t="s">
        <v>15</v>
      </c>
      <c r="E17511">
        <v>-8507.57</v>
      </c>
      <c r="F17511">
        <v>-1.86</v>
      </c>
      <c r="G17511" t="s">
        <v>12</v>
      </c>
      <c r="I17511" t="s">
        <v>1428</v>
      </c>
    </row>
    <row r="17512" spans="1:9" hidden="1" x14ac:dyDescent="0.25">
      <c r="A17512" t="s">
        <v>14807</v>
      </c>
      <c r="B17512" t="s">
        <v>68</v>
      </c>
      <c r="C17512" s="2">
        <f>HYPERLINK("https://cao.dolgi.msk.ru/account/1080218046/", 1080218046)</f>
        <v>1080218046</v>
      </c>
      <c r="D17512" t="s">
        <v>14829</v>
      </c>
      <c r="E17512">
        <v>112.73</v>
      </c>
      <c r="F17512">
        <v>0.01</v>
      </c>
      <c r="G17512" t="s">
        <v>12</v>
      </c>
      <c r="I17512" t="s">
        <v>1428</v>
      </c>
    </row>
    <row r="17513" spans="1:9" hidden="1" x14ac:dyDescent="0.25">
      <c r="A17513" t="s">
        <v>14807</v>
      </c>
      <c r="B17513" t="s">
        <v>70</v>
      </c>
      <c r="C17513" s="2">
        <f>HYPERLINK("https://cao.dolgi.msk.ru/account/1080218054/", 1080218054)</f>
        <v>1080218054</v>
      </c>
      <c r="D17513" t="s">
        <v>14830</v>
      </c>
      <c r="E17513">
        <v>-575.84</v>
      </c>
      <c r="F17513">
        <v>-0.12</v>
      </c>
      <c r="G17513" t="s">
        <v>12</v>
      </c>
      <c r="I17513" t="s">
        <v>1428</v>
      </c>
    </row>
    <row r="17514" spans="1:9" hidden="1" x14ac:dyDescent="0.25">
      <c r="A17514" t="s">
        <v>14807</v>
      </c>
      <c r="B17514" t="s">
        <v>70</v>
      </c>
      <c r="C17514" s="2">
        <f>HYPERLINK("https://cao.dolgi.msk.ru/account/1083278044/", 1083278044)</f>
        <v>1083278044</v>
      </c>
      <c r="D17514" t="s">
        <v>15</v>
      </c>
      <c r="E17514">
        <v>4817.43</v>
      </c>
      <c r="F17514">
        <v>0.99</v>
      </c>
      <c r="G17514" t="s">
        <v>12</v>
      </c>
      <c r="I17514" t="s">
        <v>1428</v>
      </c>
    </row>
    <row r="17515" spans="1:9" hidden="1" x14ac:dyDescent="0.25">
      <c r="A17515" t="s">
        <v>14807</v>
      </c>
      <c r="B17515" t="s">
        <v>72</v>
      </c>
      <c r="C17515" s="2">
        <f>HYPERLINK("https://cao.dolgi.msk.ru/account/1080218062/", 1080218062)</f>
        <v>1080218062</v>
      </c>
      <c r="D17515" t="s">
        <v>14831</v>
      </c>
      <c r="E17515">
        <v>-12072.3</v>
      </c>
      <c r="F17515">
        <v>-1.26</v>
      </c>
      <c r="G17515" t="s">
        <v>12</v>
      </c>
      <c r="I17515" t="s">
        <v>1428</v>
      </c>
    </row>
    <row r="17516" spans="1:9" hidden="1" x14ac:dyDescent="0.25">
      <c r="A17516" t="s">
        <v>14807</v>
      </c>
      <c r="B17516" t="s">
        <v>74</v>
      </c>
      <c r="C17516" s="2">
        <f>HYPERLINK("https://cao.dolgi.msk.ru/account/1080218089/", 1080218089)</f>
        <v>1080218089</v>
      </c>
      <c r="D17516" t="s">
        <v>14832</v>
      </c>
      <c r="E17516">
        <v>-10866.53</v>
      </c>
      <c r="F17516">
        <v>-1.1000000000000001</v>
      </c>
      <c r="G17516" t="s">
        <v>12</v>
      </c>
      <c r="I17516" t="s">
        <v>1428</v>
      </c>
    </row>
    <row r="17517" spans="1:9" hidden="1" x14ac:dyDescent="0.25">
      <c r="A17517" t="s">
        <v>14807</v>
      </c>
      <c r="B17517" t="s">
        <v>76</v>
      </c>
      <c r="C17517" s="2">
        <f>HYPERLINK("https://cao.dolgi.msk.ru/account/1080218097/", 1080218097)</f>
        <v>1080218097</v>
      </c>
      <c r="D17517" t="s">
        <v>14833</v>
      </c>
      <c r="E17517">
        <v>1205.28</v>
      </c>
      <c r="F17517">
        <v>0.19</v>
      </c>
      <c r="G17517" t="s">
        <v>12</v>
      </c>
      <c r="I17517" t="s">
        <v>1428</v>
      </c>
    </row>
    <row r="17518" spans="1:9" hidden="1" x14ac:dyDescent="0.25">
      <c r="A17518" t="s">
        <v>14807</v>
      </c>
      <c r="B17518" t="s">
        <v>78</v>
      </c>
      <c r="C17518" s="2">
        <f>HYPERLINK("https://cao.dolgi.msk.ru/account/1080218118/", 1080218118)</f>
        <v>1080218118</v>
      </c>
      <c r="D17518" t="s">
        <v>14834</v>
      </c>
      <c r="E17518">
        <v>-9185.0300000000007</v>
      </c>
      <c r="F17518">
        <v>-1.1100000000000001</v>
      </c>
      <c r="G17518" t="s">
        <v>12</v>
      </c>
      <c r="I17518" t="s">
        <v>1428</v>
      </c>
    </row>
    <row r="17519" spans="1:9" hidden="1" x14ac:dyDescent="0.25">
      <c r="A17519" t="s">
        <v>14807</v>
      </c>
      <c r="B17519" t="s">
        <v>80</v>
      </c>
      <c r="C17519" s="2">
        <f>HYPERLINK("https://cao.dolgi.msk.ru/account/1080218126/", 1080218126)</f>
        <v>1080218126</v>
      </c>
      <c r="D17519" t="s">
        <v>14835</v>
      </c>
      <c r="E17519">
        <v>-9419.67</v>
      </c>
      <c r="F17519">
        <v>-1.1599999999999999</v>
      </c>
      <c r="G17519" t="s">
        <v>12</v>
      </c>
      <c r="I17519" t="s">
        <v>1428</v>
      </c>
    </row>
    <row r="17520" spans="1:9" hidden="1" x14ac:dyDescent="0.25">
      <c r="A17520" t="s">
        <v>14807</v>
      </c>
      <c r="B17520" t="s">
        <v>82</v>
      </c>
      <c r="C17520" s="2">
        <f>HYPERLINK("https://cao.dolgi.msk.ru/account/1080218134/", 1080218134)</f>
        <v>1080218134</v>
      </c>
      <c r="D17520" t="s">
        <v>14836</v>
      </c>
      <c r="E17520">
        <v>-8963.8700000000008</v>
      </c>
      <c r="F17520">
        <v>-1.28</v>
      </c>
      <c r="G17520" t="s">
        <v>12</v>
      </c>
      <c r="I17520" t="s">
        <v>1428</v>
      </c>
    </row>
    <row r="17521" spans="1:9" hidden="1" x14ac:dyDescent="0.25">
      <c r="A17521" t="s">
        <v>14807</v>
      </c>
      <c r="B17521" t="s">
        <v>84</v>
      </c>
      <c r="C17521" s="2">
        <f>HYPERLINK("https://cao.dolgi.msk.ru/account/1080218142/", 1080218142)</f>
        <v>1080218142</v>
      </c>
      <c r="D17521" t="s">
        <v>14837</v>
      </c>
      <c r="E17521">
        <v>-30810.85</v>
      </c>
      <c r="F17521">
        <v>-3.84</v>
      </c>
      <c r="G17521" t="s">
        <v>12</v>
      </c>
      <c r="I17521" t="s">
        <v>1428</v>
      </c>
    </row>
    <row r="17522" spans="1:9" hidden="1" x14ac:dyDescent="0.25">
      <c r="A17522" t="s">
        <v>14807</v>
      </c>
      <c r="B17522" t="s">
        <v>86</v>
      </c>
      <c r="C17522" s="2">
        <f>HYPERLINK("https://cao.dolgi.msk.ru/account/1080218169/", 1080218169)</f>
        <v>1080218169</v>
      </c>
      <c r="D17522" t="s">
        <v>14838</v>
      </c>
      <c r="E17522">
        <v>-28907.93</v>
      </c>
      <c r="F17522">
        <v>-2.2999999999999998</v>
      </c>
      <c r="G17522" t="s">
        <v>12</v>
      </c>
      <c r="I17522" t="s">
        <v>1428</v>
      </c>
    </row>
    <row r="17523" spans="1:9" hidden="1" x14ac:dyDescent="0.25">
      <c r="A17523" t="s">
        <v>14807</v>
      </c>
      <c r="B17523" t="s">
        <v>88</v>
      </c>
      <c r="C17523" s="2">
        <f>HYPERLINK("https://cao.dolgi.msk.ru/account/1080218177/", 1080218177)</f>
        <v>1080218177</v>
      </c>
      <c r="D17523" t="s">
        <v>14839</v>
      </c>
      <c r="E17523">
        <v>-125.08</v>
      </c>
      <c r="F17523">
        <v>-0.02</v>
      </c>
      <c r="G17523" t="s">
        <v>12</v>
      </c>
      <c r="I17523" t="s">
        <v>1428</v>
      </c>
    </row>
    <row r="17524" spans="1:9" hidden="1" x14ac:dyDescent="0.25">
      <c r="A17524" t="s">
        <v>14807</v>
      </c>
      <c r="B17524" t="s">
        <v>90</v>
      </c>
      <c r="C17524" s="2">
        <f>HYPERLINK("https://cao.dolgi.msk.ru/account/1080218185/", 1080218185)</f>
        <v>1080218185</v>
      </c>
      <c r="D17524" t="s">
        <v>14840</v>
      </c>
      <c r="E17524">
        <v>-16568.099999999999</v>
      </c>
      <c r="F17524">
        <v>-1.1000000000000001</v>
      </c>
      <c r="G17524" t="s">
        <v>12</v>
      </c>
      <c r="I17524" t="s">
        <v>1428</v>
      </c>
    </row>
    <row r="17525" spans="1:9" hidden="1" x14ac:dyDescent="0.25">
      <c r="A17525" t="s">
        <v>14807</v>
      </c>
      <c r="B17525" t="s">
        <v>92</v>
      </c>
      <c r="C17525" s="2">
        <f>HYPERLINK("https://cao.dolgi.msk.ru/account/1080218206/", 1080218206)</f>
        <v>1080218206</v>
      </c>
      <c r="D17525" t="s">
        <v>14841</v>
      </c>
      <c r="E17525">
        <v>-9767.68</v>
      </c>
      <c r="F17525">
        <v>-0.88</v>
      </c>
      <c r="G17525" t="s">
        <v>12</v>
      </c>
      <c r="I17525" t="s">
        <v>1428</v>
      </c>
    </row>
    <row r="17526" spans="1:9" hidden="1" x14ac:dyDescent="0.25">
      <c r="A17526" t="s">
        <v>14807</v>
      </c>
      <c r="B17526" t="s">
        <v>94</v>
      </c>
      <c r="C17526" s="2">
        <f>HYPERLINK("https://cao.dolgi.msk.ru/account/1080218214/", 1080218214)</f>
        <v>1080218214</v>
      </c>
      <c r="D17526" t="s">
        <v>14842</v>
      </c>
      <c r="E17526">
        <v>-13229.68</v>
      </c>
      <c r="F17526">
        <v>-1.3</v>
      </c>
      <c r="G17526" t="s">
        <v>12</v>
      </c>
      <c r="I17526" t="s">
        <v>1428</v>
      </c>
    </row>
    <row r="17527" spans="1:9" hidden="1" x14ac:dyDescent="0.25">
      <c r="A17527" t="s">
        <v>14807</v>
      </c>
      <c r="B17527" t="s">
        <v>96</v>
      </c>
      <c r="C17527" s="2">
        <f>HYPERLINK("https://cao.dolgi.msk.ru/account/1080218222/", 1080218222)</f>
        <v>1080218222</v>
      </c>
      <c r="D17527" t="s">
        <v>14843</v>
      </c>
      <c r="E17527">
        <v>-6709.8</v>
      </c>
      <c r="F17527">
        <v>-1.18</v>
      </c>
      <c r="G17527" t="s">
        <v>12</v>
      </c>
      <c r="I17527" t="s">
        <v>1428</v>
      </c>
    </row>
    <row r="17528" spans="1:9" hidden="1" x14ac:dyDescent="0.25">
      <c r="A17528" t="s">
        <v>14807</v>
      </c>
      <c r="B17528" t="s">
        <v>98</v>
      </c>
      <c r="C17528" s="2">
        <f>HYPERLINK("https://cao.dolgi.msk.ru/account/1080218249/", 1080218249)</f>
        <v>1080218249</v>
      </c>
      <c r="D17528" t="s">
        <v>14844</v>
      </c>
      <c r="E17528">
        <v>-13886.82</v>
      </c>
      <c r="F17528">
        <v>-1.62</v>
      </c>
      <c r="G17528" t="s">
        <v>12</v>
      </c>
      <c r="I17528" t="s">
        <v>1428</v>
      </c>
    </row>
    <row r="17529" spans="1:9" hidden="1" x14ac:dyDescent="0.25">
      <c r="A17529" t="s">
        <v>14807</v>
      </c>
      <c r="B17529" t="s">
        <v>100</v>
      </c>
      <c r="C17529" s="2">
        <f>HYPERLINK("https://cao.dolgi.msk.ru/account/1080218257/", 1080218257)</f>
        <v>1080218257</v>
      </c>
      <c r="D17529" t="s">
        <v>14845</v>
      </c>
      <c r="E17529">
        <v>102.11</v>
      </c>
      <c r="F17529">
        <v>0.01</v>
      </c>
      <c r="G17529" t="s">
        <v>12</v>
      </c>
      <c r="I17529" t="s">
        <v>1428</v>
      </c>
    </row>
    <row r="17530" spans="1:9" hidden="1" x14ac:dyDescent="0.25">
      <c r="A17530" t="s">
        <v>14807</v>
      </c>
      <c r="B17530" t="s">
        <v>102</v>
      </c>
      <c r="C17530" s="2">
        <f>HYPERLINK("https://cao.dolgi.msk.ru/account/1080218265/", 1080218265)</f>
        <v>1080218265</v>
      </c>
      <c r="D17530" t="s">
        <v>14846</v>
      </c>
      <c r="E17530">
        <v>-94.26</v>
      </c>
      <c r="F17530">
        <v>-0.01</v>
      </c>
      <c r="G17530" t="s">
        <v>12</v>
      </c>
      <c r="I17530" t="s">
        <v>1428</v>
      </c>
    </row>
    <row r="17531" spans="1:9" hidden="1" x14ac:dyDescent="0.25">
      <c r="A17531" t="s">
        <v>14807</v>
      </c>
      <c r="B17531" t="s">
        <v>104</v>
      </c>
      <c r="C17531" s="2">
        <f>HYPERLINK("https://cao.dolgi.msk.ru/account/1080218273/", 1080218273)</f>
        <v>1080218273</v>
      </c>
      <c r="D17531" t="s">
        <v>14847</v>
      </c>
      <c r="E17531">
        <v>-7766.17</v>
      </c>
      <c r="F17531">
        <v>-0.95</v>
      </c>
      <c r="G17531" t="s">
        <v>12</v>
      </c>
      <c r="I17531" t="s">
        <v>1428</v>
      </c>
    </row>
    <row r="17532" spans="1:9" hidden="1" x14ac:dyDescent="0.25">
      <c r="A17532" t="s">
        <v>14807</v>
      </c>
      <c r="B17532" t="s">
        <v>106</v>
      </c>
      <c r="C17532" s="2">
        <f>HYPERLINK("https://cao.dolgi.msk.ru/account/1080218281/", 1080218281)</f>
        <v>1080218281</v>
      </c>
      <c r="D17532" t="s">
        <v>14848</v>
      </c>
      <c r="E17532">
        <v>0</v>
      </c>
      <c r="F17532">
        <v>0</v>
      </c>
      <c r="G17532" t="s">
        <v>12</v>
      </c>
      <c r="I17532" t="s">
        <v>1428</v>
      </c>
    </row>
    <row r="17533" spans="1:9" hidden="1" x14ac:dyDescent="0.25">
      <c r="A17533" t="s">
        <v>14807</v>
      </c>
      <c r="B17533" t="s">
        <v>108</v>
      </c>
      <c r="C17533" s="2">
        <f>HYPERLINK("https://cao.dolgi.msk.ru/account/1080218302/", 1080218302)</f>
        <v>1080218302</v>
      </c>
      <c r="D17533" t="s">
        <v>14849</v>
      </c>
      <c r="E17533">
        <v>-7220.02</v>
      </c>
      <c r="F17533">
        <v>-1.1299999999999999</v>
      </c>
      <c r="G17533" t="s">
        <v>12</v>
      </c>
      <c r="I17533" t="s">
        <v>1428</v>
      </c>
    </row>
    <row r="17534" spans="1:9" hidden="1" x14ac:dyDescent="0.25">
      <c r="A17534" t="s">
        <v>14807</v>
      </c>
      <c r="B17534" t="s">
        <v>110</v>
      </c>
      <c r="C17534" s="2">
        <f>HYPERLINK("https://cao.dolgi.msk.ru/account/1080218329/", 1080218329)</f>
        <v>1080218329</v>
      </c>
      <c r="D17534" t="s">
        <v>14850</v>
      </c>
      <c r="E17534">
        <v>-9587.83</v>
      </c>
      <c r="F17534">
        <v>-1.47</v>
      </c>
      <c r="G17534" t="s">
        <v>12</v>
      </c>
      <c r="I17534" t="s">
        <v>1428</v>
      </c>
    </row>
    <row r="17535" spans="1:9" hidden="1" x14ac:dyDescent="0.25">
      <c r="A17535" t="s">
        <v>14807</v>
      </c>
      <c r="B17535" t="s">
        <v>112</v>
      </c>
      <c r="C17535" s="2">
        <f>HYPERLINK("https://cao.dolgi.msk.ru/account/1080218337/", 1080218337)</f>
        <v>1080218337</v>
      </c>
      <c r="D17535" t="s">
        <v>14851</v>
      </c>
      <c r="E17535">
        <v>-7062.57</v>
      </c>
      <c r="F17535">
        <v>-1.1499999999999999</v>
      </c>
      <c r="G17535" t="s">
        <v>12</v>
      </c>
      <c r="I17535" t="s">
        <v>1428</v>
      </c>
    </row>
    <row r="17536" spans="1:9" hidden="1" x14ac:dyDescent="0.25">
      <c r="A17536" t="s">
        <v>14807</v>
      </c>
      <c r="B17536" t="s">
        <v>114</v>
      </c>
      <c r="C17536" s="2">
        <f>HYPERLINK("https://cao.dolgi.msk.ru/account/1080218345/", 1080218345)</f>
        <v>1080218345</v>
      </c>
      <c r="D17536" t="s">
        <v>14852</v>
      </c>
      <c r="E17536">
        <v>8713.61</v>
      </c>
      <c r="F17536">
        <v>1</v>
      </c>
      <c r="G17536" t="s">
        <v>12</v>
      </c>
      <c r="I17536" t="s">
        <v>1428</v>
      </c>
    </row>
    <row r="17537" spans="1:9" hidden="1" x14ac:dyDescent="0.25">
      <c r="A17537" t="s">
        <v>14807</v>
      </c>
      <c r="B17537" t="s">
        <v>116</v>
      </c>
      <c r="C17537" s="2">
        <f>HYPERLINK("https://cao.dolgi.msk.ru/account/1080218353/", 1080218353)</f>
        <v>1080218353</v>
      </c>
      <c r="D17537" t="s">
        <v>14853</v>
      </c>
      <c r="E17537">
        <v>-2809.03</v>
      </c>
      <c r="F17537">
        <v>-0.31</v>
      </c>
      <c r="G17537" t="s">
        <v>12</v>
      </c>
      <c r="I17537" t="s">
        <v>1428</v>
      </c>
    </row>
    <row r="17538" spans="1:9" hidden="1" x14ac:dyDescent="0.25">
      <c r="A17538" t="s">
        <v>14807</v>
      </c>
      <c r="B17538" t="s">
        <v>116</v>
      </c>
      <c r="C17538" s="2">
        <f>HYPERLINK("https://cao.dolgi.msk.ru/account/1080218361/", 1080218361)</f>
        <v>1080218361</v>
      </c>
      <c r="D17538" t="s">
        <v>15</v>
      </c>
      <c r="G17538" t="s">
        <v>14</v>
      </c>
      <c r="I17538" t="s">
        <v>1428</v>
      </c>
    </row>
    <row r="17539" spans="1:9" hidden="1" x14ac:dyDescent="0.25">
      <c r="A17539" t="s">
        <v>14807</v>
      </c>
      <c r="B17539" t="s">
        <v>118</v>
      </c>
      <c r="C17539" s="2">
        <f>HYPERLINK("https://cao.dolgi.msk.ru/account/1080218388/", 1080218388)</f>
        <v>1080218388</v>
      </c>
      <c r="D17539" t="s">
        <v>14854</v>
      </c>
      <c r="E17539">
        <v>-9569.6</v>
      </c>
      <c r="F17539">
        <v>-1.0900000000000001</v>
      </c>
      <c r="G17539" t="s">
        <v>12</v>
      </c>
      <c r="I17539" t="s">
        <v>1428</v>
      </c>
    </row>
    <row r="17540" spans="1:9" hidden="1" x14ac:dyDescent="0.25">
      <c r="A17540" t="s">
        <v>14807</v>
      </c>
      <c r="B17540" t="s">
        <v>120</v>
      </c>
      <c r="C17540" s="2">
        <f>HYPERLINK("https://cao.dolgi.msk.ru/account/1080218396/", 1080218396)</f>
        <v>1080218396</v>
      </c>
      <c r="D17540" t="s">
        <v>14855</v>
      </c>
      <c r="E17540">
        <v>-8525.51</v>
      </c>
      <c r="F17540">
        <v>-1.1100000000000001</v>
      </c>
      <c r="G17540" t="s">
        <v>12</v>
      </c>
      <c r="I17540" t="s">
        <v>1428</v>
      </c>
    </row>
    <row r="17541" spans="1:9" hidden="1" x14ac:dyDescent="0.25">
      <c r="A17541" t="s">
        <v>14807</v>
      </c>
      <c r="B17541" t="s">
        <v>122</v>
      </c>
      <c r="C17541" s="2">
        <f>HYPERLINK("https://cao.dolgi.msk.ru/account/1080218409/", 1080218409)</f>
        <v>1080218409</v>
      </c>
      <c r="D17541" t="s">
        <v>14856</v>
      </c>
      <c r="E17541">
        <v>-11717.8</v>
      </c>
      <c r="F17541">
        <v>-1.1200000000000001</v>
      </c>
      <c r="G17541" t="s">
        <v>12</v>
      </c>
      <c r="I17541" t="s">
        <v>1428</v>
      </c>
    </row>
    <row r="17542" spans="1:9" hidden="1" x14ac:dyDescent="0.25">
      <c r="A17542" t="s">
        <v>14807</v>
      </c>
      <c r="B17542" t="s">
        <v>124</v>
      </c>
      <c r="C17542" s="2">
        <f>HYPERLINK("https://cao.dolgi.msk.ru/account/1080218417/", 1080218417)</f>
        <v>1080218417</v>
      </c>
      <c r="D17542" t="s">
        <v>14857</v>
      </c>
      <c r="E17542">
        <v>-8194.11</v>
      </c>
      <c r="F17542">
        <v>-1.06</v>
      </c>
      <c r="G17542" t="s">
        <v>12</v>
      </c>
      <c r="I17542" t="s">
        <v>1428</v>
      </c>
    </row>
    <row r="17543" spans="1:9" hidden="1" x14ac:dyDescent="0.25">
      <c r="A17543" t="s">
        <v>14807</v>
      </c>
      <c r="B17543" t="s">
        <v>126</v>
      </c>
      <c r="C17543" s="2">
        <f>HYPERLINK("https://cao.dolgi.msk.ru/account/1080218425/", 1080218425)</f>
        <v>1080218425</v>
      </c>
      <c r="D17543" t="s">
        <v>14858</v>
      </c>
      <c r="E17543">
        <v>-10621.6</v>
      </c>
      <c r="F17543">
        <v>-1.1399999999999999</v>
      </c>
      <c r="G17543" t="s">
        <v>12</v>
      </c>
      <c r="I17543" t="s">
        <v>1428</v>
      </c>
    </row>
    <row r="17544" spans="1:9" hidden="1" x14ac:dyDescent="0.25">
      <c r="A17544" t="s">
        <v>14807</v>
      </c>
      <c r="B17544" t="s">
        <v>128</v>
      </c>
      <c r="C17544" s="2">
        <f>HYPERLINK("https://cao.dolgi.msk.ru/account/1080218433/", 1080218433)</f>
        <v>1080218433</v>
      </c>
      <c r="D17544" t="s">
        <v>14859</v>
      </c>
      <c r="E17544">
        <v>20.58</v>
      </c>
      <c r="F17544">
        <v>0</v>
      </c>
      <c r="G17544" t="s">
        <v>12</v>
      </c>
      <c r="I17544" t="s">
        <v>1428</v>
      </c>
    </row>
    <row r="17545" spans="1:9" hidden="1" x14ac:dyDescent="0.25">
      <c r="A17545" t="s">
        <v>14807</v>
      </c>
      <c r="B17545" t="s">
        <v>130</v>
      </c>
      <c r="C17545" s="2">
        <f>HYPERLINK("https://cao.dolgi.msk.ru/account/1080218441/", 1080218441)</f>
        <v>1080218441</v>
      </c>
      <c r="D17545" t="s">
        <v>14860</v>
      </c>
      <c r="E17545">
        <v>-12656.13</v>
      </c>
      <c r="F17545">
        <v>-1.1200000000000001</v>
      </c>
      <c r="G17545" t="s">
        <v>12</v>
      </c>
      <c r="I17545" t="s">
        <v>1428</v>
      </c>
    </row>
    <row r="17546" spans="1:9" hidden="1" x14ac:dyDescent="0.25">
      <c r="A17546" t="s">
        <v>14807</v>
      </c>
      <c r="B17546" t="s">
        <v>132</v>
      </c>
      <c r="C17546" s="2">
        <f>HYPERLINK("https://cao.dolgi.msk.ru/account/1080218468/", 1080218468)</f>
        <v>1080218468</v>
      </c>
      <c r="D17546" t="s">
        <v>14861</v>
      </c>
      <c r="E17546">
        <v>-6859.44</v>
      </c>
      <c r="F17546">
        <v>-1.1200000000000001</v>
      </c>
      <c r="G17546" t="s">
        <v>12</v>
      </c>
      <c r="I17546" t="s">
        <v>1428</v>
      </c>
    </row>
    <row r="17547" spans="1:9" hidden="1" x14ac:dyDescent="0.25">
      <c r="A17547" t="s">
        <v>14807</v>
      </c>
      <c r="B17547" t="s">
        <v>133</v>
      </c>
      <c r="C17547" s="2">
        <f>HYPERLINK("https://cao.dolgi.msk.ru/account/1080218476/", 1080218476)</f>
        <v>1080218476</v>
      </c>
      <c r="D17547" t="s">
        <v>14862</v>
      </c>
      <c r="E17547">
        <v>-14361.35</v>
      </c>
      <c r="F17547">
        <v>-1.38</v>
      </c>
      <c r="G17547" t="s">
        <v>12</v>
      </c>
      <c r="I17547" t="s">
        <v>1428</v>
      </c>
    </row>
    <row r="17548" spans="1:9" hidden="1" x14ac:dyDescent="0.25">
      <c r="A17548" t="s">
        <v>14807</v>
      </c>
      <c r="B17548" t="s">
        <v>135</v>
      </c>
      <c r="C17548" s="2">
        <f>HYPERLINK("https://cao.dolgi.msk.ru/account/1080218484/", 1080218484)</f>
        <v>1080218484</v>
      </c>
      <c r="D17548" t="s">
        <v>14863</v>
      </c>
      <c r="E17548">
        <v>0</v>
      </c>
      <c r="F17548">
        <v>0</v>
      </c>
      <c r="G17548" t="s">
        <v>12</v>
      </c>
      <c r="I17548" t="s">
        <v>1428</v>
      </c>
    </row>
    <row r="17549" spans="1:9" x14ac:dyDescent="0.25">
      <c r="A17549" t="s">
        <v>14807</v>
      </c>
      <c r="B17549" t="s">
        <v>137</v>
      </c>
      <c r="C17549" s="2">
        <f>HYPERLINK("https://cao.dolgi.msk.ru/account/1080218492/", 1080218492)</f>
        <v>1080218492</v>
      </c>
      <c r="D17549" t="s">
        <v>14864</v>
      </c>
      <c r="E17549">
        <v>14255.51</v>
      </c>
      <c r="F17549">
        <v>3.43</v>
      </c>
      <c r="G17549" t="s">
        <v>12</v>
      </c>
      <c r="I17549" t="s">
        <v>1428</v>
      </c>
    </row>
    <row r="17550" spans="1:9" hidden="1" x14ac:dyDescent="0.25">
      <c r="A17550" t="s">
        <v>14807</v>
      </c>
      <c r="B17550" t="s">
        <v>137</v>
      </c>
      <c r="C17550" s="2">
        <f>HYPERLINK("https://cao.dolgi.msk.ru/account/1083389107/", 1083389107)</f>
        <v>1083389107</v>
      </c>
      <c r="D17550" t="s">
        <v>15</v>
      </c>
      <c r="E17550">
        <v>-1501.42</v>
      </c>
      <c r="F17550">
        <v>-1.08</v>
      </c>
      <c r="G17550" t="s">
        <v>12</v>
      </c>
      <c r="I17550" t="s">
        <v>1428</v>
      </c>
    </row>
    <row r="17551" spans="1:9" hidden="1" x14ac:dyDescent="0.25">
      <c r="A17551" t="s">
        <v>14807</v>
      </c>
      <c r="B17551" t="s">
        <v>139</v>
      </c>
      <c r="C17551" s="2">
        <f>HYPERLINK("https://cao.dolgi.msk.ru/account/1080218513/", 1080218513)</f>
        <v>1080218513</v>
      </c>
      <c r="D17551" t="s">
        <v>14865</v>
      </c>
      <c r="E17551">
        <v>-4677.0200000000004</v>
      </c>
      <c r="F17551">
        <v>-1.1299999999999999</v>
      </c>
      <c r="G17551" t="s">
        <v>12</v>
      </c>
      <c r="I17551" t="s">
        <v>1428</v>
      </c>
    </row>
    <row r="17552" spans="1:9" hidden="1" x14ac:dyDescent="0.25">
      <c r="A17552" t="s">
        <v>14807</v>
      </c>
      <c r="B17552" t="s">
        <v>139</v>
      </c>
      <c r="C17552" s="2">
        <f>HYPERLINK("https://cao.dolgi.msk.ru/account/1083272072/", 1083272072)</f>
        <v>1083272072</v>
      </c>
      <c r="D17552" t="s">
        <v>15</v>
      </c>
      <c r="E17552">
        <v>-2570.0500000000002</v>
      </c>
      <c r="F17552">
        <v>-1.47</v>
      </c>
      <c r="G17552" t="s">
        <v>12</v>
      </c>
      <c r="I17552" t="s">
        <v>1428</v>
      </c>
    </row>
    <row r="17553" spans="1:9" hidden="1" x14ac:dyDescent="0.25">
      <c r="A17553" t="s">
        <v>14807</v>
      </c>
      <c r="B17553" t="s">
        <v>141</v>
      </c>
      <c r="C17553" s="2">
        <f>HYPERLINK("https://cao.dolgi.msk.ru/account/1080218521/", 1080218521)</f>
        <v>1080218521</v>
      </c>
      <c r="D17553" t="s">
        <v>14866</v>
      </c>
      <c r="E17553">
        <v>-27.86</v>
      </c>
      <c r="F17553">
        <v>0</v>
      </c>
      <c r="G17553" t="s">
        <v>12</v>
      </c>
      <c r="I17553" t="s">
        <v>1428</v>
      </c>
    </row>
    <row r="17554" spans="1:9" hidden="1" x14ac:dyDescent="0.25">
      <c r="A17554" t="s">
        <v>14807</v>
      </c>
      <c r="B17554" t="s">
        <v>143</v>
      </c>
      <c r="C17554" s="2">
        <f>HYPERLINK("https://cao.dolgi.msk.ru/account/1080218548/", 1080218548)</f>
        <v>1080218548</v>
      </c>
      <c r="D17554" t="s">
        <v>14867</v>
      </c>
      <c r="E17554">
        <v>-14044.18</v>
      </c>
      <c r="F17554">
        <v>-1.02</v>
      </c>
      <c r="G17554" t="s">
        <v>12</v>
      </c>
      <c r="I17554" t="s">
        <v>1428</v>
      </c>
    </row>
    <row r="17555" spans="1:9" hidden="1" x14ac:dyDescent="0.25">
      <c r="A17555" t="s">
        <v>14807</v>
      </c>
      <c r="B17555" t="s">
        <v>145</v>
      </c>
      <c r="C17555" s="2">
        <f>HYPERLINK("https://cao.dolgi.msk.ru/account/1080218556/", 1080218556)</f>
        <v>1080218556</v>
      </c>
      <c r="D17555" t="s">
        <v>14868</v>
      </c>
      <c r="E17555">
        <v>684.58</v>
      </c>
      <c r="F17555">
        <v>0.09</v>
      </c>
      <c r="G17555" t="s">
        <v>12</v>
      </c>
      <c r="I17555" t="s">
        <v>1428</v>
      </c>
    </row>
    <row r="17556" spans="1:9" x14ac:dyDescent="0.25">
      <c r="A17556" t="s">
        <v>14807</v>
      </c>
      <c r="B17556" t="s">
        <v>147</v>
      </c>
      <c r="C17556" s="2">
        <f>HYPERLINK("https://cao.dolgi.msk.ru/account/1080218564/", 1080218564)</f>
        <v>1080218564</v>
      </c>
      <c r="D17556" t="s">
        <v>14869</v>
      </c>
      <c r="E17556">
        <v>143122.71</v>
      </c>
      <c r="F17556">
        <v>24.15</v>
      </c>
      <c r="G17556" t="s">
        <v>12</v>
      </c>
      <c r="H17556" t="s">
        <v>7</v>
      </c>
      <c r="I17556" t="s">
        <v>1428</v>
      </c>
    </row>
    <row r="17557" spans="1:9" hidden="1" x14ac:dyDescent="0.25">
      <c r="A17557" t="s">
        <v>14807</v>
      </c>
      <c r="B17557" t="s">
        <v>147</v>
      </c>
      <c r="C17557" s="2">
        <f>HYPERLINK("https://cao.dolgi.msk.ru/account/1080218572/", 1080218572)</f>
        <v>1080218572</v>
      </c>
      <c r="D17557" t="s">
        <v>14870</v>
      </c>
      <c r="E17557">
        <v>-6080.37</v>
      </c>
      <c r="F17557">
        <v>-1.1000000000000001</v>
      </c>
      <c r="G17557" t="s">
        <v>12</v>
      </c>
      <c r="H17557" t="s">
        <v>7</v>
      </c>
      <c r="I17557" t="s">
        <v>1428</v>
      </c>
    </row>
    <row r="17558" spans="1:9" hidden="1" x14ac:dyDescent="0.25">
      <c r="A17558" t="s">
        <v>14807</v>
      </c>
      <c r="B17558" t="s">
        <v>149</v>
      </c>
      <c r="C17558" s="2">
        <f>HYPERLINK("https://cao.dolgi.msk.ru/account/1080218599/", 1080218599)</f>
        <v>1080218599</v>
      </c>
      <c r="D17558" t="s">
        <v>14871</v>
      </c>
      <c r="E17558">
        <v>-45.42</v>
      </c>
      <c r="F17558">
        <v>0</v>
      </c>
      <c r="G17558" t="s">
        <v>12</v>
      </c>
      <c r="I17558" t="s">
        <v>1428</v>
      </c>
    </row>
    <row r="17559" spans="1:9" x14ac:dyDescent="0.25">
      <c r="A17559" t="s">
        <v>14807</v>
      </c>
      <c r="B17559" t="s">
        <v>151</v>
      </c>
      <c r="C17559" s="2">
        <f>HYPERLINK("https://cao.dolgi.msk.ru/account/1080218601/", 1080218601)</f>
        <v>1080218601</v>
      </c>
      <c r="D17559" t="s">
        <v>14872</v>
      </c>
      <c r="E17559">
        <v>13909.7</v>
      </c>
      <c r="F17559">
        <v>1.18</v>
      </c>
      <c r="G17559" t="s">
        <v>12</v>
      </c>
      <c r="I17559" t="s">
        <v>1428</v>
      </c>
    </row>
    <row r="17560" spans="1:9" hidden="1" x14ac:dyDescent="0.25">
      <c r="A17560" t="s">
        <v>14807</v>
      </c>
      <c r="B17560" t="s">
        <v>153</v>
      </c>
      <c r="C17560" s="2">
        <f>HYPERLINK("https://cao.dolgi.msk.ru/account/1080218628/", 1080218628)</f>
        <v>1080218628</v>
      </c>
      <c r="D17560" t="s">
        <v>14873</v>
      </c>
      <c r="E17560">
        <v>-9380.7800000000007</v>
      </c>
      <c r="F17560">
        <v>-1.04</v>
      </c>
      <c r="G17560" t="s">
        <v>12</v>
      </c>
      <c r="I17560" t="s">
        <v>1428</v>
      </c>
    </row>
    <row r="17561" spans="1:9" hidden="1" x14ac:dyDescent="0.25">
      <c r="A17561" t="s">
        <v>14807</v>
      </c>
      <c r="B17561" t="s">
        <v>155</v>
      </c>
      <c r="C17561" s="2">
        <f>HYPERLINK("https://cao.dolgi.msk.ru/account/1080218636/", 1080218636)</f>
        <v>1080218636</v>
      </c>
      <c r="D17561" t="s">
        <v>14874</v>
      </c>
      <c r="E17561">
        <v>-1157.8699999999999</v>
      </c>
      <c r="F17561">
        <v>-0.11</v>
      </c>
      <c r="G17561" t="s">
        <v>12</v>
      </c>
      <c r="I17561" t="s">
        <v>1428</v>
      </c>
    </row>
    <row r="17562" spans="1:9" hidden="1" x14ac:dyDescent="0.25">
      <c r="A17562" t="s">
        <v>14807</v>
      </c>
      <c r="B17562" t="s">
        <v>155</v>
      </c>
      <c r="C17562" s="2">
        <f>HYPERLINK("https://cao.dolgi.msk.ru/account/1089122913/", 1089122913)</f>
        <v>1089122913</v>
      </c>
      <c r="D17562" t="s">
        <v>15</v>
      </c>
      <c r="G17562" t="s">
        <v>14</v>
      </c>
      <c r="I17562" t="s">
        <v>1428</v>
      </c>
    </row>
    <row r="17563" spans="1:9" hidden="1" x14ac:dyDescent="0.25">
      <c r="A17563" t="s">
        <v>14807</v>
      </c>
      <c r="B17563" t="s">
        <v>157</v>
      </c>
      <c r="C17563" s="2">
        <f>HYPERLINK("https://cao.dolgi.msk.ru/account/1080218644/", 1080218644)</f>
        <v>1080218644</v>
      </c>
      <c r="D17563" t="s">
        <v>14875</v>
      </c>
      <c r="E17563">
        <v>-24428.080000000002</v>
      </c>
      <c r="F17563">
        <v>-2.46</v>
      </c>
      <c r="G17563" t="s">
        <v>12</v>
      </c>
      <c r="I17563" t="s">
        <v>1428</v>
      </c>
    </row>
    <row r="17564" spans="1:9" hidden="1" x14ac:dyDescent="0.25">
      <c r="A17564" t="s">
        <v>14807</v>
      </c>
      <c r="B17564" t="s">
        <v>159</v>
      </c>
      <c r="C17564" s="2">
        <f>HYPERLINK("https://cao.dolgi.msk.ru/account/1080218652/", 1080218652)</f>
        <v>1080218652</v>
      </c>
      <c r="D17564" t="s">
        <v>14876</v>
      </c>
      <c r="E17564">
        <v>-10799.78</v>
      </c>
      <c r="F17564">
        <v>-1.1200000000000001</v>
      </c>
      <c r="G17564" t="s">
        <v>12</v>
      </c>
      <c r="I17564" t="s">
        <v>1428</v>
      </c>
    </row>
    <row r="17565" spans="1:9" hidden="1" x14ac:dyDescent="0.25">
      <c r="A17565" t="s">
        <v>14807</v>
      </c>
      <c r="B17565" t="s">
        <v>161</v>
      </c>
      <c r="C17565" s="2">
        <f>HYPERLINK("https://cao.dolgi.msk.ru/account/1080218679/", 1080218679)</f>
        <v>1080218679</v>
      </c>
      <c r="D17565" t="s">
        <v>14877</v>
      </c>
      <c r="E17565">
        <v>-11330.75</v>
      </c>
      <c r="F17565">
        <v>-1.1299999999999999</v>
      </c>
      <c r="G17565" t="s">
        <v>12</v>
      </c>
      <c r="I17565" t="s">
        <v>1428</v>
      </c>
    </row>
    <row r="17566" spans="1:9" hidden="1" x14ac:dyDescent="0.25">
      <c r="A17566" t="s">
        <v>14807</v>
      </c>
      <c r="B17566" t="s">
        <v>163</v>
      </c>
      <c r="C17566" s="2">
        <f>HYPERLINK("https://cao.dolgi.msk.ru/account/1080218695/", 1080218695)</f>
        <v>1080218695</v>
      </c>
      <c r="D17566" t="s">
        <v>14878</v>
      </c>
      <c r="E17566">
        <v>-7177.62</v>
      </c>
      <c r="F17566">
        <v>-1.1000000000000001</v>
      </c>
      <c r="G17566" t="s">
        <v>12</v>
      </c>
      <c r="I17566" t="s">
        <v>1428</v>
      </c>
    </row>
    <row r="17567" spans="1:9" hidden="1" x14ac:dyDescent="0.25">
      <c r="A17567" t="s">
        <v>14807</v>
      </c>
      <c r="B17567" t="s">
        <v>571</v>
      </c>
      <c r="C17567" s="2">
        <f>HYPERLINK("https://cao.dolgi.msk.ru/account/1080218708/", 1080218708)</f>
        <v>1080218708</v>
      </c>
      <c r="D17567" t="s">
        <v>14879</v>
      </c>
      <c r="E17567">
        <v>-11746.14</v>
      </c>
      <c r="F17567">
        <v>-1.1299999999999999</v>
      </c>
      <c r="G17567" t="s">
        <v>12</v>
      </c>
      <c r="I17567" t="s">
        <v>1428</v>
      </c>
    </row>
    <row r="17568" spans="1:9" hidden="1" x14ac:dyDescent="0.25">
      <c r="A17568" t="s">
        <v>14807</v>
      </c>
      <c r="B17568" t="s">
        <v>682</v>
      </c>
      <c r="C17568" s="2">
        <f>HYPERLINK("https://cao.dolgi.msk.ru/account/1080218716/", 1080218716)</f>
        <v>1080218716</v>
      </c>
      <c r="D17568" t="s">
        <v>14880</v>
      </c>
      <c r="E17568">
        <v>9.56</v>
      </c>
      <c r="F17568">
        <v>0</v>
      </c>
      <c r="G17568" t="s">
        <v>12</v>
      </c>
      <c r="I17568" t="s">
        <v>1428</v>
      </c>
    </row>
    <row r="17569" spans="1:9" hidden="1" x14ac:dyDescent="0.25">
      <c r="A17569" t="s">
        <v>14807</v>
      </c>
      <c r="B17569" t="s">
        <v>578</v>
      </c>
      <c r="C17569" s="2">
        <f>HYPERLINK("https://cao.dolgi.msk.ru/account/1080218724/", 1080218724)</f>
        <v>1080218724</v>
      </c>
      <c r="D17569" t="s">
        <v>14881</v>
      </c>
      <c r="E17569">
        <v>0</v>
      </c>
      <c r="F17569">
        <v>0</v>
      </c>
      <c r="G17569" t="s">
        <v>12</v>
      </c>
      <c r="I17569" t="s">
        <v>1428</v>
      </c>
    </row>
    <row r="17570" spans="1:9" hidden="1" x14ac:dyDescent="0.25">
      <c r="A17570" t="s">
        <v>14807</v>
      </c>
      <c r="B17570" t="s">
        <v>580</v>
      </c>
      <c r="C17570" s="2">
        <f>HYPERLINK("https://cao.dolgi.msk.ru/account/1080218732/", 1080218732)</f>
        <v>1080218732</v>
      </c>
      <c r="D17570" t="s">
        <v>14882</v>
      </c>
      <c r="E17570">
        <v>-5535.74</v>
      </c>
      <c r="F17570">
        <v>-1.1100000000000001</v>
      </c>
      <c r="G17570" t="s">
        <v>12</v>
      </c>
      <c r="I17570" t="s">
        <v>1428</v>
      </c>
    </row>
    <row r="17571" spans="1:9" hidden="1" x14ac:dyDescent="0.25">
      <c r="A17571" t="s">
        <v>14807</v>
      </c>
      <c r="B17571" t="s">
        <v>686</v>
      </c>
      <c r="C17571" s="2">
        <f>HYPERLINK("https://cao.dolgi.msk.ru/account/1080218759/", 1080218759)</f>
        <v>1080218759</v>
      </c>
      <c r="D17571" t="s">
        <v>14883</v>
      </c>
      <c r="E17571">
        <v>-19107.25</v>
      </c>
      <c r="F17571">
        <v>-2.25</v>
      </c>
      <c r="G17571" t="s">
        <v>12</v>
      </c>
      <c r="I17571" t="s">
        <v>1428</v>
      </c>
    </row>
    <row r="17572" spans="1:9" hidden="1" x14ac:dyDescent="0.25">
      <c r="A17572" t="s">
        <v>14807</v>
      </c>
      <c r="B17572" t="s">
        <v>582</v>
      </c>
      <c r="C17572" s="2">
        <f>HYPERLINK("https://cao.dolgi.msk.ru/account/1080218767/", 1080218767)</f>
        <v>1080218767</v>
      </c>
      <c r="D17572" t="s">
        <v>14884</v>
      </c>
      <c r="E17572">
        <v>-5878.23</v>
      </c>
      <c r="F17572">
        <v>-1.1399999999999999</v>
      </c>
      <c r="G17572" t="s">
        <v>12</v>
      </c>
      <c r="I17572" t="s">
        <v>1428</v>
      </c>
    </row>
    <row r="17573" spans="1:9" hidden="1" x14ac:dyDescent="0.25">
      <c r="A17573" t="s">
        <v>14807</v>
      </c>
      <c r="B17573" t="s">
        <v>584</v>
      </c>
      <c r="C17573" s="2">
        <f>HYPERLINK("https://cao.dolgi.msk.ru/account/1080218775/", 1080218775)</f>
        <v>1080218775</v>
      </c>
      <c r="D17573" t="s">
        <v>14885</v>
      </c>
      <c r="E17573">
        <v>-12894.14</v>
      </c>
      <c r="F17573">
        <v>-1.88</v>
      </c>
      <c r="G17573" t="s">
        <v>12</v>
      </c>
      <c r="I17573" t="s">
        <v>1428</v>
      </c>
    </row>
    <row r="17574" spans="1:9" x14ac:dyDescent="0.25">
      <c r="A17574" t="s">
        <v>14807</v>
      </c>
      <c r="B17574" t="s">
        <v>586</v>
      </c>
      <c r="C17574" s="2">
        <f>HYPERLINK("https://cao.dolgi.msk.ru/account/1080218783/", 1080218783)</f>
        <v>1080218783</v>
      </c>
      <c r="D17574" t="s">
        <v>14886</v>
      </c>
      <c r="E17574">
        <v>7326.08</v>
      </c>
      <c r="F17574">
        <v>1.01</v>
      </c>
      <c r="G17574" t="s">
        <v>12</v>
      </c>
      <c r="I17574" t="s">
        <v>1428</v>
      </c>
    </row>
    <row r="17575" spans="1:9" hidden="1" x14ac:dyDescent="0.25">
      <c r="A17575" t="s">
        <v>14807</v>
      </c>
      <c r="B17575" t="s">
        <v>588</v>
      </c>
      <c r="C17575" s="2">
        <f>HYPERLINK("https://cao.dolgi.msk.ru/account/1080218791/", 1080218791)</f>
        <v>1080218791</v>
      </c>
      <c r="D17575" t="s">
        <v>15</v>
      </c>
      <c r="E17575">
        <v>-3477.66</v>
      </c>
      <c r="G17575" t="s">
        <v>14</v>
      </c>
      <c r="I17575" t="s">
        <v>1428</v>
      </c>
    </row>
    <row r="17576" spans="1:9" hidden="1" x14ac:dyDescent="0.25">
      <c r="A17576" t="s">
        <v>14807</v>
      </c>
      <c r="B17576" t="s">
        <v>590</v>
      </c>
      <c r="C17576" s="2">
        <f>HYPERLINK("https://cao.dolgi.msk.ru/account/1080218804/", 1080218804)</f>
        <v>1080218804</v>
      </c>
      <c r="D17576" t="s">
        <v>14887</v>
      </c>
      <c r="E17576">
        <v>-13129.21</v>
      </c>
      <c r="F17576">
        <v>-1</v>
      </c>
      <c r="G17576" t="s">
        <v>12</v>
      </c>
      <c r="I17576" t="s">
        <v>1428</v>
      </c>
    </row>
    <row r="17577" spans="1:9" hidden="1" x14ac:dyDescent="0.25">
      <c r="A17577" t="s">
        <v>14807</v>
      </c>
      <c r="B17577" t="s">
        <v>693</v>
      </c>
      <c r="C17577" s="2">
        <f>HYPERLINK("https://cao.dolgi.msk.ru/account/1080218812/", 1080218812)</f>
        <v>1080218812</v>
      </c>
      <c r="D17577" t="s">
        <v>14888</v>
      </c>
      <c r="E17577">
        <v>-7101.81</v>
      </c>
      <c r="F17577">
        <v>-1.03</v>
      </c>
      <c r="G17577" t="s">
        <v>12</v>
      </c>
      <c r="I17577" t="s">
        <v>1428</v>
      </c>
    </row>
    <row r="17578" spans="1:9" hidden="1" x14ac:dyDescent="0.25">
      <c r="A17578" t="s">
        <v>14807</v>
      </c>
      <c r="B17578" t="s">
        <v>694</v>
      </c>
      <c r="C17578" s="2">
        <f>HYPERLINK("https://cao.dolgi.msk.ru/account/1080320462/", 1080320462)</f>
        <v>1080320462</v>
      </c>
      <c r="D17578" t="s">
        <v>14889</v>
      </c>
      <c r="E17578">
        <v>-8414.7900000000009</v>
      </c>
      <c r="F17578">
        <v>-1.1100000000000001</v>
      </c>
      <c r="G17578" t="s">
        <v>12</v>
      </c>
      <c r="I17578" t="s">
        <v>1428</v>
      </c>
    </row>
    <row r="17579" spans="1:9" hidden="1" x14ac:dyDescent="0.25">
      <c r="A17579" t="s">
        <v>14807</v>
      </c>
      <c r="B17579" t="s">
        <v>696</v>
      </c>
      <c r="C17579" s="2">
        <f>HYPERLINK("https://cao.dolgi.msk.ru/account/1080218847/", 1080218847)</f>
        <v>1080218847</v>
      </c>
      <c r="D17579" t="s">
        <v>14890</v>
      </c>
      <c r="E17579">
        <v>-8358.81</v>
      </c>
      <c r="F17579">
        <v>-1.1200000000000001</v>
      </c>
      <c r="G17579" t="s">
        <v>12</v>
      </c>
      <c r="I17579" t="s">
        <v>1428</v>
      </c>
    </row>
    <row r="17580" spans="1:9" hidden="1" x14ac:dyDescent="0.25">
      <c r="A17580" t="s">
        <v>14807</v>
      </c>
      <c r="B17580" t="s">
        <v>696</v>
      </c>
      <c r="C17580" s="2">
        <f>HYPERLINK("https://cao.dolgi.msk.ru/account/1089126308/", 1089126308)</f>
        <v>1089126308</v>
      </c>
      <c r="D17580" t="s">
        <v>14891</v>
      </c>
      <c r="E17580">
        <v>-26.56</v>
      </c>
      <c r="G17580" t="s">
        <v>14</v>
      </c>
      <c r="I17580" t="s">
        <v>1428</v>
      </c>
    </row>
    <row r="17581" spans="1:9" hidden="1" x14ac:dyDescent="0.25">
      <c r="A17581" t="s">
        <v>14807</v>
      </c>
      <c r="B17581" t="s">
        <v>698</v>
      </c>
      <c r="C17581" s="2">
        <f>HYPERLINK("https://cao.dolgi.msk.ru/account/1080218855/", 1080218855)</f>
        <v>1080218855</v>
      </c>
      <c r="D17581" t="s">
        <v>14892</v>
      </c>
      <c r="E17581">
        <v>-71.37</v>
      </c>
      <c r="F17581">
        <v>-0.01</v>
      </c>
      <c r="G17581" t="s">
        <v>12</v>
      </c>
      <c r="I17581" t="s">
        <v>1428</v>
      </c>
    </row>
    <row r="17582" spans="1:9" hidden="1" x14ac:dyDescent="0.25">
      <c r="A17582" t="s">
        <v>14807</v>
      </c>
      <c r="B17582" t="s">
        <v>700</v>
      </c>
      <c r="C17582" s="2">
        <f>HYPERLINK("https://cao.dolgi.msk.ru/account/1080218871/", 1080218871)</f>
        <v>1080218871</v>
      </c>
      <c r="D17582" t="s">
        <v>15</v>
      </c>
      <c r="E17582">
        <v>-9759.2999999999993</v>
      </c>
      <c r="F17582">
        <v>-1.1299999999999999</v>
      </c>
      <c r="G17582" t="s">
        <v>12</v>
      </c>
      <c r="I17582" t="s">
        <v>1428</v>
      </c>
    </row>
    <row r="17583" spans="1:9" x14ac:dyDescent="0.25">
      <c r="A17583" t="s">
        <v>14807</v>
      </c>
      <c r="B17583" t="s">
        <v>702</v>
      </c>
      <c r="C17583" s="2">
        <f>HYPERLINK("https://cao.dolgi.msk.ru/account/1080218898/", 1080218898)</f>
        <v>1080218898</v>
      </c>
      <c r="D17583" t="s">
        <v>14893</v>
      </c>
      <c r="E17583">
        <v>7157.99</v>
      </c>
      <c r="F17583">
        <v>1.23</v>
      </c>
      <c r="G17583" t="s">
        <v>12</v>
      </c>
      <c r="I17583" t="s">
        <v>1428</v>
      </c>
    </row>
    <row r="17584" spans="1:9" hidden="1" x14ac:dyDescent="0.25">
      <c r="A17584" t="s">
        <v>14894</v>
      </c>
      <c r="B17584" t="s">
        <v>10</v>
      </c>
      <c r="C17584" s="2">
        <f>HYPERLINK("https://cao.dolgi.msk.ru/account/1080218927/", 1080218927)</f>
        <v>1080218927</v>
      </c>
      <c r="D17584" t="s">
        <v>1414</v>
      </c>
      <c r="E17584">
        <v>-14322.3</v>
      </c>
      <c r="F17584">
        <v>-1.03</v>
      </c>
      <c r="G17584" t="s">
        <v>12</v>
      </c>
      <c r="I17584" t="s">
        <v>1428</v>
      </c>
    </row>
    <row r="17585" spans="1:9" x14ac:dyDescent="0.25">
      <c r="A17585" t="s">
        <v>14894</v>
      </c>
      <c r="B17585" t="s">
        <v>16</v>
      </c>
      <c r="C17585" s="2">
        <f>HYPERLINK("https://cao.dolgi.msk.ru/account/1080218935/", 1080218935)</f>
        <v>1080218935</v>
      </c>
      <c r="D17585" t="s">
        <v>14895</v>
      </c>
      <c r="E17585">
        <v>11095.88</v>
      </c>
      <c r="F17585">
        <v>1.1100000000000001</v>
      </c>
      <c r="G17585" t="s">
        <v>12</v>
      </c>
      <c r="I17585" t="s">
        <v>1428</v>
      </c>
    </row>
    <row r="17586" spans="1:9" x14ac:dyDescent="0.25">
      <c r="A17586" t="s">
        <v>14894</v>
      </c>
      <c r="B17586" t="s">
        <v>16</v>
      </c>
      <c r="C17586" s="2">
        <f>HYPERLINK("https://cao.dolgi.msk.ru/account/1080218943/", 1080218943)</f>
        <v>1080218943</v>
      </c>
      <c r="D17586" t="s">
        <v>15</v>
      </c>
      <c r="E17586">
        <v>91151.12</v>
      </c>
      <c r="F17586">
        <v>61.91</v>
      </c>
      <c r="G17586" t="s">
        <v>12</v>
      </c>
      <c r="I17586" t="s">
        <v>1428</v>
      </c>
    </row>
    <row r="17587" spans="1:9" hidden="1" x14ac:dyDescent="0.25">
      <c r="A17587" t="s">
        <v>14894</v>
      </c>
      <c r="B17587" t="s">
        <v>18</v>
      </c>
      <c r="C17587" s="2">
        <f>HYPERLINK("https://cao.dolgi.msk.ru/account/1080218951/", 1080218951)</f>
        <v>1080218951</v>
      </c>
      <c r="D17587" t="s">
        <v>14896</v>
      </c>
      <c r="E17587">
        <v>-10392.450000000001</v>
      </c>
      <c r="F17587">
        <v>-0.99</v>
      </c>
      <c r="G17587" t="s">
        <v>12</v>
      </c>
      <c r="I17587" t="s">
        <v>1428</v>
      </c>
    </row>
    <row r="17588" spans="1:9" hidden="1" x14ac:dyDescent="0.25">
      <c r="A17588" t="s">
        <v>14894</v>
      </c>
      <c r="B17588" t="s">
        <v>20</v>
      </c>
      <c r="C17588" s="2">
        <f>HYPERLINK("https://cao.dolgi.msk.ru/account/1080218978/", 1080218978)</f>
        <v>1080218978</v>
      </c>
      <c r="D17588" t="s">
        <v>14897</v>
      </c>
      <c r="E17588">
        <v>-6460.58</v>
      </c>
      <c r="F17588">
        <v>-1.01</v>
      </c>
      <c r="G17588" t="s">
        <v>12</v>
      </c>
      <c r="I17588" t="s">
        <v>1428</v>
      </c>
    </row>
    <row r="17589" spans="1:9" hidden="1" x14ac:dyDescent="0.25">
      <c r="A17589" t="s">
        <v>14894</v>
      </c>
      <c r="B17589" t="s">
        <v>21</v>
      </c>
      <c r="C17589" s="2">
        <f>HYPERLINK("https://cao.dolgi.msk.ru/account/1080218919/", 1080218919)</f>
        <v>1080218919</v>
      </c>
      <c r="D17589" t="s">
        <v>14898</v>
      </c>
      <c r="E17589">
        <v>0</v>
      </c>
      <c r="F17589">
        <v>0</v>
      </c>
      <c r="G17589" t="s">
        <v>12</v>
      </c>
      <c r="I17589" t="s">
        <v>1428</v>
      </c>
    </row>
    <row r="17590" spans="1:9" hidden="1" x14ac:dyDescent="0.25">
      <c r="A17590" t="s">
        <v>14894</v>
      </c>
      <c r="B17590" t="s">
        <v>22</v>
      </c>
      <c r="C17590" s="2">
        <f>HYPERLINK("https://cao.dolgi.msk.ru/account/1080218986/", 1080218986)</f>
        <v>1080218986</v>
      </c>
      <c r="D17590" t="s">
        <v>14899</v>
      </c>
      <c r="E17590">
        <v>-19.399999999999999</v>
      </c>
      <c r="F17590">
        <v>0</v>
      </c>
      <c r="G17590" t="s">
        <v>12</v>
      </c>
      <c r="I17590" t="s">
        <v>1428</v>
      </c>
    </row>
    <row r="17591" spans="1:9" hidden="1" x14ac:dyDescent="0.25">
      <c r="A17591" t="s">
        <v>14894</v>
      </c>
      <c r="B17591" t="s">
        <v>23</v>
      </c>
      <c r="C17591" s="2">
        <f>HYPERLINK("https://cao.dolgi.msk.ru/account/1080218994/", 1080218994)</f>
        <v>1080218994</v>
      </c>
      <c r="D17591" t="s">
        <v>14900</v>
      </c>
      <c r="E17591">
        <v>-6875.63</v>
      </c>
      <c r="F17591">
        <v>-1.03</v>
      </c>
      <c r="G17591" t="s">
        <v>12</v>
      </c>
      <c r="I17591" t="s">
        <v>1428</v>
      </c>
    </row>
    <row r="17592" spans="1:9" hidden="1" x14ac:dyDescent="0.25">
      <c r="A17592" t="s">
        <v>14894</v>
      </c>
      <c r="B17592" t="s">
        <v>24</v>
      </c>
      <c r="C17592" s="2">
        <f>HYPERLINK("https://cao.dolgi.msk.ru/account/1080219006/", 1080219006)</f>
        <v>1080219006</v>
      </c>
      <c r="D17592" t="s">
        <v>14901</v>
      </c>
      <c r="E17592">
        <v>-1610.38</v>
      </c>
      <c r="F17592">
        <v>-0.23</v>
      </c>
      <c r="G17592" t="s">
        <v>12</v>
      </c>
      <c r="I17592" t="s">
        <v>1428</v>
      </c>
    </row>
    <row r="17593" spans="1:9" hidden="1" x14ac:dyDescent="0.25">
      <c r="A17593" t="s">
        <v>14894</v>
      </c>
      <c r="B17593" t="s">
        <v>27</v>
      </c>
      <c r="C17593" s="2">
        <f>HYPERLINK("https://cao.dolgi.msk.ru/account/1080219014/", 1080219014)</f>
        <v>1080219014</v>
      </c>
      <c r="D17593" t="s">
        <v>14902</v>
      </c>
      <c r="E17593">
        <v>-151.88999999999999</v>
      </c>
      <c r="F17593">
        <v>-0.02</v>
      </c>
      <c r="G17593" t="s">
        <v>12</v>
      </c>
      <c r="I17593" t="s">
        <v>1428</v>
      </c>
    </row>
    <row r="17594" spans="1:9" hidden="1" x14ac:dyDescent="0.25">
      <c r="A17594" t="s">
        <v>14894</v>
      </c>
      <c r="B17594" t="s">
        <v>29</v>
      </c>
      <c r="C17594" s="2">
        <f>HYPERLINK("https://cao.dolgi.msk.ru/account/1080219022/", 1080219022)</f>
        <v>1080219022</v>
      </c>
      <c r="D17594" t="s">
        <v>14903</v>
      </c>
      <c r="E17594">
        <v>-1177.56</v>
      </c>
      <c r="F17594">
        <v>-0.36</v>
      </c>
      <c r="G17594" t="s">
        <v>12</v>
      </c>
      <c r="I17594" t="s">
        <v>1428</v>
      </c>
    </row>
    <row r="17595" spans="1:9" hidden="1" x14ac:dyDescent="0.25">
      <c r="A17595" t="s">
        <v>14894</v>
      </c>
      <c r="B17595" t="s">
        <v>31</v>
      </c>
      <c r="C17595" s="2">
        <f>HYPERLINK("https://cao.dolgi.msk.ru/account/1080219049/", 1080219049)</f>
        <v>1080219049</v>
      </c>
      <c r="D17595" t="s">
        <v>14904</v>
      </c>
      <c r="E17595">
        <v>-1704.63</v>
      </c>
      <c r="F17595">
        <v>-0.32</v>
      </c>
      <c r="G17595" t="s">
        <v>12</v>
      </c>
      <c r="I17595" t="s">
        <v>1428</v>
      </c>
    </row>
    <row r="17596" spans="1:9" hidden="1" x14ac:dyDescent="0.25">
      <c r="A17596" t="s">
        <v>14894</v>
      </c>
      <c r="B17596" t="s">
        <v>33</v>
      </c>
      <c r="C17596" s="2">
        <f>HYPERLINK("https://cao.dolgi.msk.ru/account/1080219057/", 1080219057)</f>
        <v>1080219057</v>
      </c>
      <c r="D17596" t="s">
        <v>14905</v>
      </c>
      <c r="E17596">
        <v>-471.81</v>
      </c>
      <c r="F17596">
        <v>-0.05</v>
      </c>
      <c r="G17596" t="s">
        <v>12</v>
      </c>
      <c r="I17596" t="s">
        <v>1428</v>
      </c>
    </row>
    <row r="17597" spans="1:9" hidden="1" x14ac:dyDescent="0.25">
      <c r="A17597" t="s">
        <v>14894</v>
      </c>
      <c r="B17597" t="s">
        <v>34</v>
      </c>
      <c r="C17597" s="2">
        <f>HYPERLINK("https://cao.dolgi.msk.ru/account/1080219065/", 1080219065)</f>
        <v>1080219065</v>
      </c>
      <c r="D17597" t="s">
        <v>14906</v>
      </c>
      <c r="E17597">
        <v>-4652.8599999999997</v>
      </c>
      <c r="F17597">
        <v>-0.94</v>
      </c>
      <c r="G17597" t="s">
        <v>12</v>
      </c>
      <c r="I17597" t="s">
        <v>1428</v>
      </c>
    </row>
    <row r="17598" spans="1:9" hidden="1" x14ac:dyDescent="0.25">
      <c r="A17598" t="s">
        <v>14894</v>
      </c>
      <c r="B17598" t="s">
        <v>36</v>
      </c>
      <c r="C17598" s="2">
        <f>HYPERLINK("https://cao.dolgi.msk.ru/account/1080219073/", 1080219073)</f>
        <v>1080219073</v>
      </c>
      <c r="D17598" t="s">
        <v>14907</v>
      </c>
      <c r="E17598">
        <v>412.58</v>
      </c>
      <c r="F17598">
        <v>0.05</v>
      </c>
      <c r="G17598" t="s">
        <v>12</v>
      </c>
      <c r="I17598" t="s">
        <v>1428</v>
      </c>
    </row>
    <row r="17599" spans="1:9" hidden="1" x14ac:dyDescent="0.25">
      <c r="A17599" t="s">
        <v>14894</v>
      </c>
      <c r="B17599" t="s">
        <v>38</v>
      </c>
      <c r="C17599" s="2">
        <f>HYPERLINK("https://cao.dolgi.msk.ru/account/1080219081/", 1080219081)</f>
        <v>1080219081</v>
      </c>
      <c r="D17599" t="s">
        <v>14908</v>
      </c>
      <c r="E17599">
        <v>-9843.32</v>
      </c>
      <c r="F17599">
        <v>-0.94</v>
      </c>
      <c r="G17599" t="s">
        <v>12</v>
      </c>
      <c r="I17599" t="s">
        <v>1428</v>
      </c>
    </row>
    <row r="17600" spans="1:9" hidden="1" x14ac:dyDescent="0.25">
      <c r="A17600" t="s">
        <v>14894</v>
      </c>
      <c r="B17600" t="s">
        <v>40</v>
      </c>
      <c r="C17600" s="2">
        <f>HYPERLINK("https://cao.dolgi.msk.ru/account/1080219129/", 1080219129)</f>
        <v>1080219129</v>
      </c>
      <c r="D17600" t="s">
        <v>14909</v>
      </c>
      <c r="E17600">
        <v>-7105.58</v>
      </c>
      <c r="F17600">
        <v>-1.05</v>
      </c>
      <c r="G17600" t="s">
        <v>12</v>
      </c>
      <c r="I17600" t="s">
        <v>1428</v>
      </c>
    </row>
    <row r="17601" spans="1:9" hidden="1" x14ac:dyDescent="0.25">
      <c r="A17601" t="s">
        <v>14894</v>
      </c>
      <c r="B17601" t="s">
        <v>41</v>
      </c>
      <c r="C17601" s="2">
        <f>HYPERLINK("https://cao.dolgi.msk.ru/account/1080219137/", 1080219137)</f>
        <v>1080219137</v>
      </c>
      <c r="D17601" t="s">
        <v>14910</v>
      </c>
      <c r="E17601">
        <v>-833.97</v>
      </c>
      <c r="F17601">
        <v>-0.1</v>
      </c>
      <c r="G17601" t="s">
        <v>12</v>
      </c>
      <c r="I17601" t="s">
        <v>1428</v>
      </c>
    </row>
    <row r="17602" spans="1:9" hidden="1" x14ac:dyDescent="0.25">
      <c r="A17602" t="s">
        <v>14894</v>
      </c>
      <c r="B17602" t="s">
        <v>42</v>
      </c>
      <c r="C17602" s="2">
        <f>HYPERLINK("https://cao.dolgi.msk.ru/account/1080219145/", 1080219145)</f>
        <v>1080219145</v>
      </c>
      <c r="D17602" t="s">
        <v>14911</v>
      </c>
      <c r="E17602">
        <v>-635.65</v>
      </c>
      <c r="G17602" t="s">
        <v>14</v>
      </c>
      <c r="I17602" t="s">
        <v>1428</v>
      </c>
    </row>
    <row r="17603" spans="1:9" hidden="1" x14ac:dyDescent="0.25">
      <c r="A17603" t="s">
        <v>14894</v>
      </c>
      <c r="B17603" t="s">
        <v>42</v>
      </c>
      <c r="C17603" s="2">
        <f>HYPERLINK("https://cao.dolgi.msk.ru/account/1080324455/", 1080324455)</f>
        <v>1080324455</v>
      </c>
      <c r="D17603" t="s">
        <v>15</v>
      </c>
      <c r="G17603" t="s">
        <v>14</v>
      </c>
      <c r="I17603" t="s">
        <v>1428</v>
      </c>
    </row>
    <row r="17604" spans="1:9" hidden="1" x14ac:dyDescent="0.25">
      <c r="A17604" t="s">
        <v>14894</v>
      </c>
      <c r="B17604" t="s">
        <v>44</v>
      </c>
      <c r="C17604" s="2">
        <f>HYPERLINK("https://cao.dolgi.msk.ru/account/1080219153/", 1080219153)</f>
        <v>1080219153</v>
      </c>
      <c r="D17604" t="s">
        <v>14912</v>
      </c>
      <c r="E17604">
        <v>-11019.78</v>
      </c>
      <c r="F17604">
        <v>-1.02</v>
      </c>
      <c r="G17604" t="s">
        <v>12</v>
      </c>
      <c r="I17604" t="s">
        <v>1428</v>
      </c>
    </row>
    <row r="17605" spans="1:9" hidden="1" x14ac:dyDescent="0.25">
      <c r="A17605" t="s">
        <v>14894</v>
      </c>
      <c r="B17605" t="s">
        <v>66</v>
      </c>
      <c r="C17605" s="2">
        <f>HYPERLINK("https://cao.dolgi.msk.ru/account/1080219188/", 1080219188)</f>
        <v>1080219188</v>
      </c>
      <c r="D17605" t="s">
        <v>14913</v>
      </c>
      <c r="E17605">
        <v>-18244.11</v>
      </c>
      <c r="F17605">
        <v>-1.06</v>
      </c>
      <c r="G17605" t="s">
        <v>12</v>
      </c>
      <c r="I17605" t="s">
        <v>1428</v>
      </c>
    </row>
    <row r="17606" spans="1:9" hidden="1" x14ac:dyDescent="0.25">
      <c r="A17606" t="s">
        <v>14894</v>
      </c>
      <c r="B17606" t="s">
        <v>68</v>
      </c>
      <c r="C17606" s="2">
        <f>HYPERLINK("https://cao.dolgi.msk.ru/account/1080220613/", 1080220613)</f>
        <v>1080220613</v>
      </c>
      <c r="D17606" t="s">
        <v>14914</v>
      </c>
      <c r="E17606">
        <v>-7824.64</v>
      </c>
      <c r="F17606">
        <v>-1.03</v>
      </c>
      <c r="G17606" t="s">
        <v>12</v>
      </c>
      <c r="I17606" t="s">
        <v>1428</v>
      </c>
    </row>
    <row r="17607" spans="1:9" hidden="1" x14ac:dyDescent="0.25">
      <c r="A17607" t="s">
        <v>14894</v>
      </c>
      <c r="B17607" t="s">
        <v>72</v>
      </c>
      <c r="C17607" s="2">
        <f>HYPERLINK("https://cao.dolgi.msk.ru/account/1080219209/", 1080219209)</f>
        <v>1080219209</v>
      </c>
      <c r="D17607" t="s">
        <v>14915</v>
      </c>
      <c r="E17607">
        <v>-34.22</v>
      </c>
      <c r="F17607">
        <v>-0.01</v>
      </c>
      <c r="G17607" t="s">
        <v>12</v>
      </c>
      <c r="I17607" t="s">
        <v>1428</v>
      </c>
    </row>
    <row r="17608" spans="1:9" hidden="1" x14ac:dyDescent="0.25">
      <c r="A17608" t="s">
        <v>14894</v>
      </c>
      <c r="B17608" t="s">
        <v>74</v>
      </c>
      <c r="C17608" s="2">
        <f>HYPERLINK("https://cao.dolgi.msk.ru/account/1080219217/", 1080219217)</f>
        <v>1080219217</v>
      </c>
      <c r="D17608" t="s">
        <v>14916</v>
      </c>
      <c r="E17608">
        <v>-5440.14</v>
      </c>
      <c r="F17608">
        <v>-0.91</v>
      </c>
      <c r="G17608" t="s">
        <v>12</v>
      </c>
      <c r="I17608" t="s">
        <v>1428</v>
      </c>
    </row>
    <row r="17609" spans="1:9" hidden="1" x14ac:dyDescent="0.25">
      <c r="A17609" t="s">
        <v>14894</v>
      </c>
      <c r="B17609" t="s">
        <v>76</v>
      </c>
      <c r="C17609" s="2">
        <f>HYPERLINK("https://cao.dolgi.msk.ru/account/1080219225/", 1080219225)</f>
        <v>1080219225</v>
      </c>
      <c r="D17609" t="s">
        <v>14917</v>
      </c>
      <c r="E17609">
        <v>-7054.31</v>
      </c>
      <c r="F17609">
        <v>-1.06</v>
      </c>
      <c r="G17609" t="s">
        <v>12</v>
      </c>
      <c r="I17609" t="s">
        <v>1428</v>
      </c>
    </row>
    <row r="17610" spans="1:9" hidden="1" x14ac:dyDescent="0.25">
      <c r="A17610" t="s">
        <v>14894</v>
      </c>
      <c r="B17610" t="s">
        <v>78</v>
      </c>
      <c r="C17610" s="2">
        <f>HYPERLINK("https://cao.dolgi.msk.ru/account/1080219233/", 1080219233)</f>
        <v>1080219233</v>
      </c>
      <c r="D17610" t="s">
        <v>14918</v>
      </c>
      <c r="E17610">
        <v>-3834.06</v>
      </c>
      <c r="F17610">
        <v>-0.99</v>
      </c>
      <c r="G17610" t="s">
        <v>12</v>
      </c>
      <c r="I17610" t="s">
        <v>1428</v>
      </c>
    </row>
    <row r="17611" spans="1:9" hidden="1" x14ac:dyDescent="0.25">
      <c r="A17611" t="s">
        <v>14894</v>
      </c>
      <c r="B17611" t="s">
        <v>80</v>
      </c>
      <c r="C17611" s="2">
        <f>HYPERLINK("https://cao.dolgi.msk.ru/account/1080219241/", 1080219241)</f>
        <v>1080219241</v>
      </c>
      <c r="D17611" t="s">
        <v>14919</v>
      </c>
      <c r="E17611">
        <v>-7031.2</v>
      </c>
      <c r="F17611">
        <v>-1.08</v>
      </c>
      <c r="G17611" t="s">
        <v>12</v>
      </c>
      <c r="I17611" t="s">
        <v>1428</v>
      </c>
    </row>
    <row r="17612" spans="1:9" hidden="1" x14ac:dyDescent="0.25">
      <c r="A17612" t="s">
        <v>14894</v>
      </c>
      <c r="B17612" t="s">
        <v>82</v>
      </c>
      <c r="C17612" s="2">
        <f>HYPERLINK("https://cao.dolgi.msk.ru/account/1080219268/", 1080219268)</f>
        <v>1080219268</v>
      </c>
      <c r="D17612" t="s">
        <v>14920</v>
      </c>
      <c r="E17612">
        <v>-7539.28</v>
      </c>
      <c r="F17612">
        <v>-0.98</v>
      </c>
      <c r="G17612" t="s">
        <v>12</v>
      </c>
      <c r="I17612" t="s">
        <v>1428</v>
      </c>
    </row>
    <row r="17613" spans="1:9" hidden="1" x14ac:dyDescent="0.25">
      <c r="A17613" t="s">
        <v>14894</v>
      </c>
      <c r="B17613" t="s">
        <v>84</v>
      </c>
      <c r="C17613" s="2">
        <f>HYPERLINK("https://cao.dolgi.msk.ru/account/1080219276/", 1080219276)</f>
        <v>1080219276</v>
      </c>
      <c r="D17613" t="s">
        <v>14921</v>
      </c>
      <c r="E17613">
        <v>-4164.3500000000004</v>
      </c>
      <c r="F17613">
        <v>-0.98</v>
      </c>
      <c r="G17613" t="s">
        <v>12</v>
      </c>
      <c r="I17613" t="s">
        <v>1428</v>
      </c>
    </row>
    <row r="17614" spans="1:9" hidden="1" x14ac:dyDescent="0.25">
      <c r="A17614" t="s">
        <v>14894</v>
      </c>
      <c r="B17614" t="s">
        <v>86</v>
      </c>
      <c r="C17614" s="2">
        <f>HYPERLINK("https://cao.dolgi.msk.ru/account/1080219284/", 1080219284)</f>
        <v>1080219284</v>
      </c>
      <c r="D17614" t="s">
        <v>14922</v>
      </c>
      <c r="E17614">
        <v>-261.29000000000002</v>
      </c>
      <c r="F17614">
        <v>-0.04</v>
      </c>
      <c r="G17614" t="s">
        <v>12</v>
      </c>
      <c r="I17614" t="s">
        <v>1428</v>
      </c>
    </row>
    <row r="17615" spans="1:9" hidden="1" x14ac:dyDescent="0.25">
      <c r="A17615" t="s">
        <v>14894</v>
      </c>
      <c r="B17615" t="s">
        <v>88</v>
      </c>
      <c r="C17615" s="2">
        <f>HYPERLINK("https://cao.dolgi.msk.ru/account/1080219292/", 1080219292)</f>
        <v>1080219292</v>
      </c>
      <c r="D17615" t="s">
        <v>14923</v>
      </c>
      <c r="E17615">
        <v>-2095.4</v>
      </c>
      <c r="F17615">
        <v>-0.35</v>
      </c>
      <c r="G17615" t="s">
        <v>12</v>
      </c>
      <c r="I17615" t="s">
        <v>1428</v>
      </c>
    </row>
    <row r="17616" spans="1:9" hidden="1" x14ac:dyDescent="0.25">
      <c r="A17616" t="s">
        <v>14894</v>
      </c>
      <c r="B17616" t="s">
        <v>90</v>
      </c>
      <c r="C17616" s="2">
        <f>HYPERLINK("https://cao.dolgi.msk.ru/account/1080219305/", 1080219305)</f>
        <v>1080219305</v>
      </c>
      <c r="D17616" t="s">
        <v>14924</v>
      </c>
      <c r="E17616">
        <v>-3799.13</v>
      </c>
      <c r="F17616">
        <v>-1.3</v>
      </c>
      <c r="G17616" t="s">
        <v>12</v>
      </c>
      <c r="I17616" t="s">
        <v>1428</v>
      </c>
    </row>
    <row r="17617" spans="1:9" hidden="1" x14ac:dyDescent="0.25">
      <c r="A17617" t="s">
        <v>14894</v>
      </c>
      <c r="B17617" t="s">
        <v>92</v>
      </c>
      <c r="C17617" s="2">
        <f>HYPERLINK("https://cao.dolgi.msk.ru/account/1080219313/", 1080219313)</f>
        <v>1080219313</v>
      </c>
      <c r="D17617" t="s">
        <v>14925</v>
      </c>
      <c r="E17617">
        <v>-1871.14</v>
      </c>
      <c r="F17617">
        <v>-0.23</v>
      </c>
      <c r="G17617" t="s">
        <v>12</v>
      </c>
      <c r="I17617" t="s">
        <v>1428</v>
      </c>
    </row>
    <row r="17618" spans="1:9" hidden="1" x14ac:dyDescent="0.25">
      <c r="A17618" t="s">
        <v>14894</v>
      </c>
      <c r="B17618" t="s">
        <v>94</v>
      </c>
      <c r="C17618" s="2">
        <f>HYPERLINK("https://cao.dolgi.msk.ru/account/1080219321/", 1080219321)</f>
        <v>1080219321</v>
      </c>
      <c r="D17618" t="s">
        <v>14926</v>
      </c>
      <c r="E17618">
        <v>-6929.38</v>
      </c>
      <c r="F17618">
        <v>-1.02</v>
      </c>
      <c r="G17618" t="s">
        <v>12</v>
      </c>
      <c r="I17618" t="s">
        <v>1428</v>
      </c>
    </row>
    <row r="17619" spans="1:9" hidden="1" x14ac:dyDescent="0.25">
      <c r="A17619" t="s">
        <v>14894</v>
      </c>
      <c r="B17619" t="s">
        <v>96</v>
      </c>
      <c r="C17619" s="2">
        <f>HYPERLINK("https://cao.dolgi.msk.ru/account/1080219348/", 1080219348)</f>
        <v>1080219348</v>
      </c>
      <c r="D17619" t="s">
        <v>14927</v>
      </c>
      <c r="E17619">
        <v>-5187.41</v>
      </c>
      <c r="F17619">
        <v>-1.02</v>
      </c>
      <c r="G17619" t="s">
        <v>12</v>
      </c>
      <c r="I17619" t="s">
        <v>1428</v>
      </c>
    </row>
    <row r="17620" spans="1:9" hidden="1" x14ac:dyDescent="0.25">
      <c r="A17620" t="s">
        <v>14894</v>
      </c>
      <c r="B17620" t="s">
        <v>98</v>
      </c>
      <c r="C17620" s="2">
        <f>HYPERLINK("https://cao.dolgi.msk.ru/account/1080219356/", 1080219356)</f>
        <v>1080219356</v>
      </c>
      <c r="D17620" t="s">
        <v>14928</v>
      </c>
      <c r="E17620">
        <v>-9405.4599999999991</v>
      </c>
      <c r="F17620">
        <v>-1.1000000000000001</v>
      </c>
      <c r="G17620" t="s">
        <v>12</v>
      </c>
      <c r="I17620" t="s">
        <v>1428</v>
      </c>
    </row>
    <row r="17621" spans="1:9" hidden="1" x14ac:dyDescent="0.25">
      <c r="A17621" t="s">
        <v>14894</v>
      </c>
      <c r="B17621" t="s">
        <v>100</v>
      </c>
      <c r="C17621" s="2">
        <f>HYPERLINK("https://cao.dolgi.msk.ru/account/1080219364/", 1080219364)</f>
        <v>1080219364</v>
      </c>
      <c r="D17621" t="s">
        <v>14929</v>
      </c>
      <c r="E17621">
        <v>-5904.7</v>
      </c>
      <c r="F17621">
        <v>-1.03</v>
      </c>
      <c r="G17621" t="s">
        <v>12</v>
      </c>
      <c r="I17621" t="s">
        <v>1428</v>
      </c>
    </row>
    <row r="17622" spans="1:9" hidden="1" x14ac:dyDescent="0.25">
      <c r="A17622" t="s">
        <v>14894</v>
      </c>
      <c r="B17622" t="s">
        <v>102</v>
      </c>
      <c r="C17622" s="2">
        <f>HYPERLINK("https://cao.dolgi.msk.ru/account/1080219372/", 1080219372)</f>
        <v>1080219372</v>
      </c>
      <c r="D17622" t="s">
        <v>14930</v>
      </c>
      <c r="E17622">
        <v>-8058.62</v>
      </c>
      <c r="F17622">
        <v>-1.03</v>
      </c>
      <c r="G17622" t="s">
        <v>12</v>
      </c>
      <c r="I17622" t="s">
        <v>1428</v>
      </c>
    </row>
    <row r="17623" spans="1:9" x14ac:dyDescent="0.25">
      <c r="A17623" t="s">
        <v>14894</v>
      </c>
      <c r="B17623" t="s">
        <v>104</v>
      </c>
      <c r="C17623" s="2">
        <f>HYPERLINK("https://cao.dolgi.msk.ru/account/1080219399/", 1080219399)</f>
        <v>1080219399</v>
      </c>
      <c r="D17623" t="s">
        <v>15</v>
      </c>
      <c r="E17623">
        <v>229966.29</v>
      </c>
      <c r="F17623">
        <v>17.84</v>
      </c>
      <c r="G17623" t="s">
        <v>12</v>
      </c>
      <c r="I17623" t="s">
        <v>1428</v>
      </c>
    </row>
    <row r="17624" spans="1:9" hidden="1" x14ac:dyDescent="0.25">
      <c r="A17624" t="s">
        <v>14894</v>
      </c>
      <c r="B17624" t="s">
        <v>106</v>
      </c>
      <c r="C17624" s="2">
        <f>HYPERLINK("https://cao.dolgi.msk.ru/account/1080219401/", 1080219401)</f>
        <v>1080219401</v>
      </c>
      <c r="D17624" t="s">
        <v>14931</v>
      </c>
      <c r="E17624">
        <v>-8981.01</v>
      </c>
      <c r="F17624">
        <v>-1.03</v>
      </c>
      <c r="G17624" t="s">
        <v>12</v>
      </c>
      <c r="I17624" t="s">
        <v>1428</v>
      </c>
    </row>
    <row r="17625" spans="1:9" hidden="1" x14ac:dyDescent="0.25">
      <c r="A17625" t="s">
        <v>14894</v>
      </c>
      <c r="B17625" t="s">
        <v>14932</v>
      </c>
      <c r="C17625" s="2">
        <f>HYPERLINK("https://cao.dolgi.msk.ru/account/1080219428/", 1080219428)</f>
        <v>1080219428</v>
      </c>
      <c r="D17625" t="s">
        <v>14933</v>
      </c>
      <c r="E17625">
        <v>-13177.92</v>
      </c>
      <c r="F17625">
        <v>-1.03</v>
      </c>
      <c r="G17625" t="s">
        <v>12</v>
      </c>
      <c r="I17625" t="s">
        <v>1428</v>
      </c>
    </row>
    <row r="17626" spans="1:9" hidden="1" x14ac:dyDescent="0.25">
      <c r="A17626" t="s">
        <v>14894</v>
      </c>
      <c r="B17626" t="s">
        <v>112</v>
      </c>
      <c r="C17626" s="2">
        <f>HYPERLINK("https://cao.dolgi.msk.ru/account/1080219436/", 1080219436)</f>
        <v>1080219436</v>
      </c>
      <c r="D17626" t="s">
        <v>14934</v>
      </c>
      <c r="E17626">
        <v>154.18</v>
      </c>
      <c r="F17626">
        <v>0.02</v>
      </c>
      <c r="G17626" t="s">
        <v>12</v>
      </c>
      <c r="I17626" t="s">
        <v>1428</v>
      </c>
    </row>
    <row r="17627" spans="1:9" hidden="1" x14ac:dyDescent="0.25">
      <c r="A17627" t="s">
        <v>14894</v>
      </c>
      <c r="B17627" t="s">
        <v>114</v>
      </c>
      <c r="C17627" s="2">
        <f>HYPERLINK("https://cao.dolgi.msk.ru/account/1080219444/", 1080219444)</f>
        <v>1080219444</v>
      </c>
      <c r="D17627" t="s">
        <v>14935</v>
      </c>
      <c r="E17627">
        <v>-6807.23</v>
      </c>
      <c r="F17627">
        <v>-1.02</v>
      </c>
      <c r="G17627" t="s">
        <v>12</v>
      </c>
      <c r="I17627" t="s">
        <v>1428</v>
      </c>
    </row>
    <row r="17628" spans="1:9" hidden="1" x14ac:dyDescent="0.25">
      <c r="A17628" t="s">
        <v>14894</v>
      </c>
      <c r="B17628" t="s">
        <v>116</v>
      </c>
      <c r="C17628" s="2">
        <f>HYPERLINK("https://cao.dolgi.msk.ru/account/1080219452/", 1080219452)</f>
        <v>1080219452</v>
      </c>
      <c r="D17628" t="s">
        <v>14936</v>
      </c>
      <c r="E17628">
        <v>-8269.93</v>
      </c>
      <c r="F17628">
        <v>-1.01</v>
      </c>
      <c r="G17628" t="s">
        <v>12</v>
      </c>
      <c r="I17628" t="s">
        <v>1428</v>
      </c>
    </row>
    <row r="17629" spans="1:9" hidden="1" x14ac:dyDescent="0.25">
      <c r="A17629" t="s">
        <v>14894</v>
      </c>
      <c r="B17629" t="s">
        <v>118</v>
      </c>
      <c r="C17629" s="2">
        <f>HYPERLINK("https://cao.dolgi.msk.ru/account/1080219479/", 1080219479)</f>
        <v>1080219479</v>
      </c>
      <c r="D17629" t="s">
        <v>14937</v>
      </c>
      <c r="E17629">
        <v>-1976.4</v>
      </c>
      <c r="F17629">
        <v>-0.88</v>
      </c>
      <c r="G17629" t="s">
        <v>12</v>
      </c>
      <c r="I17629" t="s">
        <v>1428</v>
      </c>
    </row>
    <row r="17630" spans="1:9" hidden="1" x14ac:dyDescent="0.25">
      <c r="A17630" t="s">
        <v>14894</v>
      </c>
      <c r="B17630" t="s">
        <v>118</v>
      </c>
      <c r="C17630" s="2">
        <f>HYPERLINK("https://cao.dolgi.msk.ru/account/1089124011/", 1089124011)</f>
        <v>1089124011</v>
      </c>
      <c r="D17630" t="s">
        <v>14937</v>
      </c>
      <c r="E17630">
        <v>-1865.64</v>
      </c>
      <c r="F17630">
        <v>-0.43</v>
      </c>
      <c r="G17630" t="s">
        <v>12</v>
      </c>
      <c r="I17630" t="s">
        <v>1428</v>
      </c>
    </row>
    <row r="17631" spans="1:9" hidden="1" x14ac:dyDescent="0.25">
      <c r="A17631" t="s">
        <v>14894</v>
      </c>
      <c r="B17631" t="s">
        <v>120</v>
      </c>
      <c r="C17631" s="2">
        <f>HYPERLINK("https://cao.dolgi.msk.ru/account/1080219487/", 1080219487)</f>
        <v>1080219487</v>
      </c>
      <c r="D17631" t="s">
        <v>14938</v>
      </c>
      <c r="E17631">
        <v>-7124</v>
      </c>
      <c r="F17631">
        <v>-1.05</v>
      </c>
      <c r="G17631" t="s">
        <v>12</v>
      </c>
      <c r="I17631" t="s">
        <v>1428</v>
      </c>
    </row>
    <row r="17632" spans="1:9" hidden="1" x14ac:dyDescent="0.25">
      <c r="A17632" t="s">
        <v>14894</v>
      </c>
      <c r="B17632" t="s">
        <v>122</v>
      </c>
      <c r="C17632" s="2">
        <f>HYPERLINK("https://cao.dolgi.msk.ru/account/1080219495/", 1080219495)</f>
        <v>1080219495</v>
      </c>
      <c r="D17632" t="s">
        <v>14939</v>
      </c>
      <c r="E17632">
        <v>-9178.15</v>
      </c>
      <c r="F17632">
        <v>-1.02</v>
      </c>
      <c r="G17632" t="s">
        <v>12</v>
      </c>
      <c r="I17632" t="s">
        <v>1428</v>
      </c>
    </row>
    <row r="17633" spans="1:9" hidden="1" x14ac:dyDescent="0.25">
      <c r="A17633" t="s">
        <v>14894</v>
      </c>
      <c r="B17633" t="s">
        <v>124</v>
      </c>
      <c r="C17633" s="2">
        <f>HYPERLINK("https://cao.dolgi.msk.ru/account/1080219508/", 1080219508)</f>
        <v>1080219508</v>
      </c>
      <c r="D17633" t="s">
        <v>14940</v>
      </c>
      <c r="E17633">
        <v>4658.6899999999996</v>
      </c>
      <c r="F17633">
        <v>0.6</v>
      </c>
      <c r="G17633" t="s">
        <v>12</v>
      </c>
      <c r="I17633" t="s">
        <v>1428</v>
      </c>
    </row>
    <row r="17634" spans="1:9" hidden="1" x14ac:dyDescent="0.25">
      <c r="A17634" t="s">
        <v>14894</v>
      </c>
      <c r="B17634" t="s">
        <v>126</v>
      </c>
      <c r="C17634" s="2">
        <f>HYPERLINK("https://cao.dolgi.msk.ru/account/1080219516/", 1080219516)</f>
        <v>1080219516</v>
      </c>
      <c r="D17634" t="s">
        <v>14941</v>
      </c>
      <c r="E17634">
        <v>-10896.43</v>
      </c>
      <c r="F17634">
        <v>-1.01</v>
      </c>
      <c r="G17634" t="s">
        <v>12</v>
      </c>
      <c r="I17634" t="s">
        <v>1428</v>
      </c>
    </row>
    <row r="17635" spans="1:9" hidden="1" x14ac:dyDescent="0.25">
      <c r="A17635" t="s">
        <v>14894</v>
      </c>
      <c r="B17635" t="s">
        <v>128</v>
      </c>
      <c r="C17635" s="2">
        <f>HYPERLINK("https://cao.dolgi.msk.ru/account/1080219524/", 1080219524)</f>
        <v>1080219524</v>
      </c>
      <c r="D17635" t="s">
        <v>14942</v>
      </c>
      <c r="E17635">
        <v>-10503.04</v>
      </c>
      <c r="F17635">
        <v>-1.02</v>
      </c>
      <c r="G17635" t="s">
        <v>12</v>
      </c>
      <c r="I17635" t="s">
        <v>1428</v>
      </c>
    </row>
    <row r="17636" spans="1:9" hidden="1" x14ac:dyDescent="0.25">
      <c r="A17636" t="s">
        <v>14894</v>
      </c>
      <c r="B17636" t="s">
        <v>130</v>
      </c>
      <c r="C17636" s="2">
        <f>HYPERLINK("https://cao.dolgi.msk.ru/account/1080219532/", 1080219532)</f>
        <v>1080219532</v>
      </c>
      <c r="D17636" t="s">
        <v>14943</v>
      </c>
      <c r="E17636">
        <v>-6350.32</v>
      </c>
      <c r="F17636">
        <v>-1.02</v>
      </c>
      <c r="G17636" t="s">
        <v>12</v>
      </c>
      <c r="I17636" t="s">
        <v>1428</v>
      </c>
    </row>
    <row r="17637" spans="1:9" hidden="1" x14ac:dyDescent="0.25">
      <c r="A17637" t="s">
        <v>14894</v>
      </c>
      <c r="B17637" t="s">
        <v>132</v>
      </c>
      <c r="C17637" s="2">
        <f>HYPERLINK("https://cao.dolgi.msk.ru/account/1080219559/", 1080219559)</f>
        <v>1080219559</v>
      </c>
      <c r="D17637" t="s">
        <v>14944</v>
      </c>
      <c r="E17637">
        <v>-357.66</v>
      </c>
      <c r="F17637">
        <v>-7.0000000000000007E-2</v>
      </c>
      <c r="G17637" t="s">
        <v>12</v>
      </c>
      <c r="I17637" t="s">
        <v>1428</v>
      </c>
    </row>
    <row r="17638" spans="1:9" hidden="1" x14ac:dyDescent="0.25">
      <c r="A17638" t="s">
        <v>14894</v>
      </c>
      <c r="B17638" t="s">
        <v>133</v>
      </c>
      <c r="C17638" s="2">
        <f>HYPERLINK("https://cao.dolgi.msk.ru/account/1080219567/", 1080219567)</f>
        <v>1080219567</v>
      </c>
      <c r="D17638" t="s">
        <v>14945</v>
      </c>
      <c r="E17638">
        <v>-4406.07</v>
      </c>
      <c r="F17638">
        <v>-0.35</v>
      </c>
      <c r="G17638" t="s">
        <v>12</v>
      </c>
      <c r="I17638" t="s">
        <v>1428</v>
      </c>
    </row>
    <row r="17639" spans="1:9" hidden="1" x14ac:dyDescent="0.25">
      <c r="A17639" t="s">
        <v>14894</v>
      </c>
      <c r="B17639" t="s">
        <v>135</v>
      </c>
      <c r="C17639" s="2">
        <f>HYPERLINK("https://cao.dolgi.msk.ru/account/1080219575/", 1080219575)</f>
        <v>1080219575</v>
      </c>
      <c r="D17639" t="s">
        <v>14946</v>
      </c>
      <c r="E17639">
        <v>0</v>
      </c>
      <c r="F17639">
        <v>0</v>
      </c>
      <c r="G17639" t="s">
        <v>12</v>
      </c>
      <c r="I17639" t="s">
        <v>1428</v>
      </c>
    </row>
    <row r="17640" spans="1:9" hidden="1" x14ac:dyDescent="0.25">
      <c r="A17640" t="s">
        <v>14894</v>
      </c>
      <c r="B17640" t="s">
        <v>137</v>
      </c>
      <c r="C17640" s="2">
        <f>HYPERLINK("https://cao.dolgi.msk.ru/account/1080219583/", 1080219583)</f>
        <v>1080219583</v>
      </c>
      <c r="D17640" t="s">
        <v>14947</v>
      </c>
      <c r="E17640">
        <v>-6950.19</v>
      </c>
      <c r="F17640">
        <v>-0.94</v>
      </c>
      <c r="G17640" t="s">
        <v>12</v>
      </c>
      <c r="I17640" t="s">
        <v>1428</v>
      </c>
    </row>
    <row r="17641" spans="1:9" hidden="1" x14ac:dyDescent="0.25">
      <c r="A17641" t="s">
        <v>14894</v>
      </c>
      <c r="B17641" t="s">
        <v>139</v>
      </c>
      <c r="C17641" s="2">
        <f>HYPERLINK("https://cao.dolgi.msk.ru/account/1080219591/", 1080219591)</f>
        <v>1080219591</v>
      </c>
      <c r="D17641" t="s">
        <v>14948</v>
      </c>
      <c r="E17641">
        <v>-13486.42</v>
      </c>
      <c r="F17641">
        <v>-1.06</v>
      </c>
      <c r="G17641" t="s">
        <v>12</v>
      </c>
      <c r="I17641" t="s">
        <v>1428</v>
      </c>
    </row>
    <row r="17642" spans="1:9" x14ac:dyDescent="0.25">
      <c r="A17642" t="s">
        <v>14894</v>
      </c>
      <c r="B17642" t="s">
        <v>141</v>
      </c>
      <c r="C17642" s="2">
        <f>HYPERLINK("https://cao.dolgi.msk.ru/account/1080219604/", 1080219604)</f>
        <v>1080219604</v>
      </c>
      <c r="D17642" t="s">
        <v>14949</v>
      </c>
      <c r="E17642">
        <v>10269.14</v>
      </c>
      <c r="F17642">
        <v>2</v>
      </c>
      <c r="G17642" t="s">
        <v>12</v>
      </c>
      <c r="I17642" t="s">
        <v>1428</v>
      </c>
    </row>
    <row r="17643" spans="1:9" hidden="1" x14ac:dyDescent="0.25">
      <c r="A17643" t="s">
        <v>14894</v>
      </c>
      <c r="B17643" t="s">
        <v>143</v>
      </c>
      <c r="C17643" s="2">
        <f>HYPERLINK("https://cao.dolgi.msk.ru/account/1080219612/", 1080219612)</f>
        <v>1080219612</v>
      </c>
      <c r="D17643" t="s">
        <v>14950</v>
      </c>
      <c r="E17643">
        <v>19.91</v>
      </c>
      <c r="F17643">
        <v>0</v>
      </c>
      <c r="G17643" t="s">
        <v>12</v>
      </c>
      <c r="I17643" t="s">
        <v>1428</v>
      </c>
    </row>
    <row r="17644" spans="1:9" hidden="1" x14ac:dyDescent="0.25">
      <c r="A17644" t="s">
        <v>14894</v>
      </c>
      <c r="B17644" t="s">
        <v>145</v>
      </c>
      <c r="C17644" s="2">
        <f>HYPERLINK("https://cao.dolgi.msk.ru/account/1080219639/", 1080219639)</f>
        <v>1080219639</v>
      </c>
      <c r="D17644" t="s">
        <v>14951</v>
      </c>
      <c r="E17644">
        <v>-8474.68</v>
      </c>
      <c r="F17644">
        <v>-1.01</v>
      </c>
      <c r="G17644" t="s">
        <v>12</v>
      </c>
      <c r="I17644" t="s">
        <v>1428</v>
      </c>
    </row>
    <row r="17645" spans="1:9" hidden="1" x14ac:dyDescent="0.25">
      <c r="A17645" t="s">
        <v>14894</v>
      </c>
      <c r="B17645" t="s">
        <v>147</v>
      </c>
      <c r="C17645" s="2">
        <f>HYPERLINK("https://cao.dolgi.msk.ru/account/1080219647/", 1080219647)</f>
        <v>1080219647</v>
      </c>
      <c r="D17645" t="s">
        <v>14952</v>
      </c>
      <c r="E17645">
        <v>-5792.55</v>
      </c>
      <c r="F17645">
        <v>-0.95</v>
      </c>
      <c r="G17645" t="s">
        <v>12</v>
      </c>
      <c r="I17645" t="s">
        <v>1428</v>
      </c>
    </row>
    <row r="17646" spans="1:9" hidden="1" x14ac:dyDescent="0.25">
      <c r="A17646" t="s">
        <v>14894</v>
      </c>
      <c r="B17646" t="s">
        <v>149</v>
      </c>
      <c r="C17646" s="2">
        <f>HYPERLINK("https://cao.dolgi.msk.ru/account/1080219655/", 1080219655)</f>
        <v>1080219655</v>
      </c>
      <c r="D17646" t="s">
        <v>14953</v>
      </c>
      <c r="E17646">
        <v>-6628.36</v>
      </c>
      <c r="F17646">
        <v>-1.1399999999999999</v>
      </c>
      <c r="G17646" t="s">
        <v>12</v>
      </c>
      <c r="I17646" t="s">
        <v>1428</v>
      </c>
    </row>
    <row r="17647" spans="1:9" hidden="1" x14ac:dyDescent="0.25">
      <c r="A17647" t="s">
        <v>14894</v>
      </c>
      <c r="B17647" t="s">
        <v>151</v>
      </c>
      <c r="C17647" s="2">
        <f>HYPERLINK("https://cao.dolgi.msk.ru/account/1080219663/", 1080219663)</f>
        <v>1080219663</v>
      </c>
      <c r="D17647" t="s">
        <v>14954</v>
      </c>
      <c r="E17647">
        <v>-7864.54</v>
      </c>
      <c r="F17647">
        <v>-1.03</v>
      </c>
      <c r="G17647" t="s">
        <v>12</v>
      </c>
      <c r="I17647" t="s">
        <v>1428</v>
      </c>
    </row>
    <row r="17648" spans="1:9" hidden="1" x14ac:dyDescent="0.25">
      <c r="A17648" t="s">
        <v>14894</v>
      </c>
      <c r="B17648" t="s">
        <v>153</v>
      </c>
      <c r="C17648" s="2">
        <f>HYPERLINK("https://cao.dolgi.msk.ru/account/1080219671/", 1080219671)</f>
        <v>1080219671</v>
      </c>
      <c r="D17648" t="s">
        <v>14955</v>
      </c>
      <c r="E17648">
        <v>-5536.62</v>
      </c>
      <c r="F17648">
        <v>-1.01</v>
      </c>
      <c r="G17648" t="s">
        <v>12</v>
      </c>
      <c r="I17648" t="s">
        <v>1428</v>
      </c>
    </row>
    <row r="17649" spans="1:9" hidden="1" x14ac:dyDescent="0.25">
      <c r="A17649" t="s">
        <v>14894</v>
      </c>
      <c r="B17649" t="s">
        <v>155</v>
      </c>
      <c r="C17649" s="2">
        <f>HYPERLINK("https://cao.dolgi.msk.ru/account/1080219698/", 1080219698)</f>
        <v>1080219698</v>
      </c>
      <c r="D17649" t="s">
        <v>14956</v>
      </c>
      <c r="E17649">
        <v>-4507</v>
      </c>
      <c r="F17649">
        <v>-0.98</v>
      </c>
      <c r="G17649" t="s">
        <v>12</v>
      </c>
      <c r="I17649" t="s">
        <v>1428</v>
      </c>
    </row>
    <row r="17650" spans="1:9" hidden="1" x14ac:dyDescent="0.25">
      <c r="A17650" t="s">
        <v>14894</v>
      </c>
      <c r="B17650" t="s">
        <v>157</v>
      </c>
      <c r="C17650" s="2">
        <f>HYPERLINK("https://cao.dolgi.msk.ru/account/1080219719/", 1080219719)</f>
        <v>1080219719</v>
      </c>
      <c r="D17650" t="s">
        <v>14957</v>
      </c>
      <c r="E17650">
        <v>-8620.09</v>
      </c>
      <c r="F17650">
        <v>-1.1399999999999999</v>
      </c>
      <c r="G17650" t="s">
        <v>12</v>
      </c>
      <c r="I17650" t="s">
        <v>1428</v>
      </c>
    </row>
    <row r="17651" spans="1:9" hidden="1" x14ac:dyDescent="0.25">
      <c r="A17651" t="s">
        <v>14894</v>
      </c>
      <c r="B17651" t="s">
        <v>159</v>
      </c>
      <c r="C17651" s="2">
        <f>HYPERLINK("https://cao.dolgi.msk.ru/account/1080219727/", 1080219727)</f>
        <v>1080219727</v>
      </c>
      <c r="D17651" t="s">
        <v>14958</v>
      </c>
      <c r="E17651">
        <v>-2907.15</v>
      </c>
      <c r="F17651">
        <v>-1.02</v>
      </c>
      <c r="G17651" t="s">
        <v>12</v>
      </c>
      <c r="I17651" t="s">
        <v>1428</v>
      </c>
    </row>
    <row r="17652" spans="1:9" hidden="1" x14ac:dyDescent="0.25">
      <c r="A17652" t="s">
        <v>14894</v>
      </c>
      <c r="B17652" t="s">
        <v>161</v>
      </c>
      <c r="C17652" s="2">
        <f>HYPERLINK("https://cao.dolgi.msk.ru/account/1080219735/", 1080219735)</f>
        <v>1080219735</v>
      </c>
      <c r="D17652" t="s">
        <v>14959</v>
      </c>
      <c r="E17652">
        <v>8997.58</v>
      </c>
      <c r="F17652">
        <v>1</v>
      </c>
      <c r="G17652" t="s">
        <v>12</v>
      </c>
      <c r="I17652" t="s">
        <v>1428</v>
      </c>
    </row>
    <row r="17653" spans="1:9" hidden="1" x14ac:dyDescent="0.25">
      <c r="A17653" t="s">
        <v>14894</v>
      </c>
      <c r="B17653" t="s">
        <v>163</v>
      </c>
      <c r="C17653" s="2">
        <f>HYPERLINK("https://cao.dolgi.msk.ru/account/1080219743/", 1080219743)</f>
        <v>1080219743</v>
      </c>
      <c r="D17653" t="s">
        <v>14960</v>
      </c>
      <c r="E17653">
        <v>-4844.03</v>
      </c>
      <c r="F17653">
        <v>-0.95</v>
      </c>
      <c r="G17653" t="s">
        <v>12</v>
      </c>
      <c r="I17653" t="s">
        <v>1428</v>
      </c>
    </row>
    <row r="17654" spans="1:9" hidden="1" x14ac:dyDescent="0.25">
      <c r="A17654" t="s">
        <v>14894</v>
      </c>
      <c r="B17654" t="s">
        <v>682</v>
      </c>
      <c r="C17654" s="2">
        <f>HYPERLINK("https://cao.dolgi.msk.ru/account/1080219778/", 1080219778)</f>
        <v>1080219778</v>
      </c>
      <c r="D17654" t="s">
        <v>14961</v>
      </c>
      <c r="E17654">
        <v>-6412.57</v>
      </c>
      <c r="F17654">
        <v>-1.01</v>
      </c>
      <c r="G17654" t="s">
        <v>12</v>
      </c>
      <c r="I17654" t="s">
        <v>1428</v>
      </c>
    </row>
    <row r="17655" spans="1:9" hidden="1" x14ac:dyDescent="0.25">
      <c r="A17655" t="s">
        <v>14894</v>
      </c>
      <c r="B17655" t="s">
        <v>682</v>
      </c>
      <c r="C17655" s="2">
        <f>HYPERLINK("https://cao.dolgi.msk.ru/account/1083274035/", 1083274035)</f>
        <v>1083274035</v>
      </c>
      <c r="D17655" t="s">
        <v>14962</v>
      </c>
      <c r="E17655">
        <v>-42.04</v>
      </c>
      <c r="G17655" t="s">
        <v>14</v>
      </c>
      <c r="I17655" t="s">
        <v>1428</v>
      </c>
    </row>
    <row r="17656" spans="1:9" hidden="1" x14ac:dyDescent="0.25">
      <c r="A17656" t="s">
        <v>14894</v>
      </c>
      <c r="B17656" t="s">
        <v>578</v>
      </c>
      <c r="C17656" s="2">
        <f>HYPERLINK("https://cao.dolgi.msk.ru/account/1080219794/", 1080219794)</f>
        <v>1080219794</v>
      </c>
      <c r="D17656" t="s">
        <v>14963</v>
      </c>
      <c r="E17656">
        <v>-7351.24</v>
      </c>
      <c r="F17656">
        <v>-1.04</v>
      </c>
      <c r="G17656" t="s">
        <v>12</v>
      </c>
      <c r="I17656" t="s">
        <v>1428</v>
      </c>
    </row>
    <row r="17657" spans="1:9" hidden="1" x14ac:dyDescent="0.25">
      <c r="A17657" t="s">
        <v>14894</v>
      </c>
      <c r="B17657" t="s">
        <v>580</v>
      </c>
      <c r="C17657" s="2">
        <f>HYPERLINK("https://cao.dolgi.msk.ru/account/1080219786/", 1080219786)</f>
        <v>1080219786</v>
      </c>
      <c r="D17657" t="s">
        <v>14964</v>
      </c>
      <c r="E17657">
        <v>-10.56</v>
      </c>
      <c r="G17657" t="s">
        <v>12</v>
      </c>
      <c r="H17657" t="s">
        <v>7</v>
      </c>
      <c r="I17657" t="s">
        <v>1428</v>
      </c>
    </row>
    <row r="17658" spans="1:9" hidden="1" x14ac:dyDescent="0.25">
      <c r="A17658" t="s">
        <v>14894</v>
      </c>
      <c r="B17658" t="s">
        <v>580</v>
      </c>
      <c r="C17658" s="2">
        <f>HYPERLINK("https://cao.dolgi.msk.ru/account/1080219807/", 1080219807)</f>
        <v>1080219807</v>
      </c>
      <c r="D17658" t="s">
        <v>14965</v>
      </c>
      <c r="E17658">
        <v>-2354.5100000000002</v>
      </c>
      <c r="F17658">
        <v>-0.57999999999999996</v>
      </c>
      <c r="G17658" t="s">
        <v>12</v>
      </c>
      <c r="H17658" t="s">
        <v>7</v>
      </c>
      <c r="I17658" t="s">
        <v>1428</v>
      </c>
    </row>
    <row r="17659" spans="1:9" hidden="1" x14ac:dyDescent="0.25">
      <c r="A17659" t="s">
        <v>14894</v>
      </c>
      <c r="B17659" t="s">
        <v>686</v>
      </c>
      <c r="C17659" s="2">
        <f>HYPERLINK("https://cao.dolgi.msk.ru/account/1080219815/", 1080219815)</f>
        <v>1080219815</v>
      </c>
      <c r="D17659" t="s">
        <v>14966</v>
      </c>
      <c r="E17659">
        <v>-99.12</v>
      </c>
      <c r="F17659">
        <v>-0.01</v>
      </c>
      <c r="G17659" t="s">
        <v>12</v>
      </c>
      <c r="I17659" t="s">
        <v>1428</v>
      </c>
    </row>
    <row r="17660" spans="1:9" hidden="1" x14ac:dyDescent="0.25">
      <c r="A17660" t="s">
        <v>14894</v>
      </c>
      <c r="B17660" t="s">
        <v>582</v>
      </c>
      <c r="C17660" s="2">
        <f>HYPERLINK("https://cao.dolgi.msk.ru/account/1080220648/", 1080220648)</f>
        <v>1080220648</v>
      </c>
      <c r="D17660" t="s">
        <v>14967</v>
      </c>
      <c r="E17660">
        <v>-8808.41</v>
      </c>
      <c r="F17660">
        <v>-1.01</v>
      </c>
      <c r="G17660" t="s">
        <v>12</v>
      </c>
      <c r="I17660" t="s">
        <v>1428</v>
      </c>
    </row>
    <row r="17661" spans="1:9" hidden="1" x14ac:dyDescent="0.25">
      <c r="A17661" t="s">
        <v>14894</v>
      </c>
      <c r="B17661" t="s">
        <v>584</v>
      </c>
      <c r="C17661" s="2">
        <f>HYPERLINK("https://cao.dolgi.msk.ru/account/1080219823/", 1080219823)</f>
        <v>1080219823</v>
      </c>
      <c r="D17661" t="s">
        <v>14968</v>
      </c>
      <c r="E17661">
        <v>-6556.77</v>
      </c>
      <c r="F17661">
        <v>-1.04</v>
      </c>
      <c r="G17661" t="s">
        <v>12</v>
      </c>
      <c r="I17661" t="s">
        <v>1428</v>
      </c>
    </row>
    <row r="17662" spans="1:9" hidden="1" x14ac:dyDescent="0.25">
      <c r="A17662" t="s">
        <v>14894</v>
      </c>
      <c r="B17662" t="s">
        <v>586</v>
      </c>
      <c r="C17662" s="2">
        <f>HYPERLINK("https://cao.dolgi.msk.ru/account/1080219831/", 1080219831)</f>
        <v>1080219831</v>
      </c>
      <c r="D17662" t="s">
        <v>14969</v>
      </c>
      <c r="E17662">
        <v>-7042.36</v>
      </c>
      <c r="F17662">
        <v>-1.06</v>
      </c>
      <c r="G17662" t="s">
        <v>12</v>
      </c>
      <c r="I17662" t="s">
        <v>1428</v>
      </c>
    </row>
    <row r="17663" spans="1:9" hidden="1" x14ac:dyDescent="0.25">
      <c r="A17663" t="s">
        <v>14894</v>
      </c>
      <c r="B17663" t="s">
        <v>586</v>
      </c>
      <c r="C17663" s="2">
        <f>HYPERLINK("https://cao.dolgi.msk.ru/account/1083268858/", 1083268858)</f>
        <v>1083268858</v>
      </c>
      <c r="D17663" t="s">
        <v>15</v>
      </c>
      <c r="E17663">
        <v>0</v>
      </c>
      <c r="G17663" t="s">
        <v>14</v>
      </c>
      <c r="I17663" t="s">
        <v>1428</v>
      </c>
    </row>
    <row r="17664" spans="1:9" hidden="1" x14ac:dyDescent="0.25">
      <c r="A17664" t="s">
        <v>14894</v>
      </c>
      <c r="B17664" t="s">
        <v>588</v>
      </c>
      <c r="C17664" s="2">
        <f>HYPERLINK("https://cao.dolgi.msk.ru/account/1080219858/", 1080219858)</f>
        <v>1080219858</v>
      </c>
      <c r="D17664" t="s">
        <v>14970</v>
      </c>
      <c r="E17664">
        <v>0</v>
      </c>
      <c r="F17664">
        <v>0</v>
      </c>
      <c r="G17664" t="s">
        <v>12</v>
      </c>
      <c r="I17664" t="s">
        <v>1428</v>
      </c>
    </row>
    <row r="17665" spans="1:9" hidden="1" x14ac:dyDescent="0.25">
      <c r="A17665" t="s">
        <v>14894</v>
      </c>
      <c r="B17665" t="s">
        <v>590</v>
      </c>
      <c r="C17665" s="2">
        <f>HYPERLINK("https://cao.dolgi.msk.ru/account/1080219866/", 1080219866)</f>
        <v>1080219866</v>
      </c>
      <c r="D17665" t="s">
        <v>14971</v>
      </c>
      <c r="E17665">
        <v>-5392.95</v>
      </c>
      <c r="F17665">
        <v>-1.03</v>
      </c>
      <c r="G17665" t="s">
        <v>12</v>
      </c>
      <c r="I17665" t="s">
        <v>1428</v>
      </c>
    </row>
    <row r="17666" spans="1:9" hidden="1" x14ac:dyDescent="0.25">
      <c r="A17666" t="s">
        <v>14894</v>
      </c>
      <c r="B17666" t="s">
        <v>693</v>
      </c>
      <c r="C17666" s="2">
        <f>HYPERLINK("https://cao.dolgi.msk.ru/account/1080219874/", 1080219874)</f>
        <v>1080219874</v>
      </c>
      <c r="D17666" t="s">
        <v>14972</v>
      </c>
      <c r="E17666">
        <v>43.47</v>
      </c>
      <c r="F17666">
        <v>0</v>
      </c>
      <c r="G17666" t="s">
        <v>12</v>
      </c>
      <c r="I17666" t="s">
        <v>1428</v>
      </c>
    </row>
    <row r="17667" spans="1:9" hidden="1" x14ac:dyDescent="0.25">
      <c r="A17667" t="s">
        <v>14894</v>
      </c>
      <c r="B17667" t="s">
        <v>694</v>
      </c>
      <c r="C17667" s="2">
        <f>HYPERLINK("https://cao.dolgi.msk.ru/account/1080219882/", 1080219882)</f>
        <v>1080219882</v>
      </c>
      <c r="D17667" t="s">
        <v>14973</v>
      </c>
      <c r="E17667">
        <v>-7098.21</v>
      </c>
      <c r="F17667">
        <v>-1.07</v>
      </c>
      <c r="G17667" t="s">
        <v>12</v>
      </c>
      <c r="I17667" t="s">
        <v>1428</v>
      </c>
    </row>
    <row r="17668" spans="1:9" hidden="1" x14ac:dyDescent="0.25">
      <c r="A17668" t="s">
        <v>14894</v>
      </c>
      <c r="B17668" t="s">
        <v>696</v>
      </c>
      <c r="C17668" s="2">
        <f>HYPERLINK("https://cao.dolgi.msk.ru/account/1080219903/", 1080219903)</f>
        <v>1080219903</v>
      </c>
      <c r="D17668" t="s">
        <v>15</v>
      </c>
      <c r="E17668">
        <v>-10325.75</v>
      </c>
      <c r="F17668">
        <v>-1.3</v>
      </c>
      <c r="G17668" t="s">
        <v>12</v>
      </c>
      <c r="I17668" t="s">
        <v>1428</v>
      </c>
    </row>
    <row r="17669" spans="1:9" hidden="1" x14ac:dyDescent="0.25">
      <c r="A17669" t="s">
        <v>14894</v>
      </c>
      <c r="B17669" t="s">
        <v>698</v>
      </c>
      <c r="C17669" s="2">
        <f>HYPERLINK("https://cao.dolgi.msk.ru/account/1080219911/", 1080219911)</f>
        <v>1080219911</v>
      </c>
      <c r="D17669" t="s">
        <v>14974</v>
      </c>
      <c r="E17669">
        <v>0</v>
      </c>
      <c r="F17669">
        <v>0</v>
      </c>
      <c r="G17669" t="s">
        <v>12</v>
      </c>
      <c r="I17669" t="s">
        <v>1428</v>
      </c>
    </row>
    <row r="17670" spans="1:9" hidden="1" x14ac:dyDescent="0.25">
      <c r="A17670" t="s">
        <v>14894</v>
      </c>
      <c r="B17670" t="s">
        <v>700</v>
      </c>
      <c r="C17670" s="2">
        <f>HYPERLINK("https://cao.dolgi.msk.ru/account/1080219938/", 1080219938)</f>
        <v>1080219938</v>
      </c>
      <c r="D17670" t="s">
        <v>14975</v>
      </c>
      <c r="E17670">
        <v>0</v>
      </c>
      <c r="F17670">
        <v>0</v>
      </c>
      <c r="G17670" t="s">
        <v>12</v>
      </c>
      <c r="I17670" t="s">
        <v>1428</v>
      </c>
    </row>
    <row r="17671" spans="1:9" hidden="1" x14ac:dyDescent="0.25">
      <c r="A17671" t="s">
        <v>14894</v>
      </c>
      <c r="B17671" t="s">
        <v>702</v>
      </c>
      <c r="C17671" s="2">
        <f>HYPERLINK("https://cao.dolgi.msk.ru/account/1080219946/", 1080219946)</f>
        <v>1080219946</v>
      </c>
      <c r="D17671" t="s">
        <v>14976</v>
      </c>
      <c r="E17671">
        <v>-6827.35</v>
      </c>
      <c r="F17671">
        <v>-1.2</v>
      </c>
      <c r="G17671" t="s">
        <v>12</v>
      </c>
      <c r="I17671" t="s">
        <v>1428</v>
      </c>
    </row>
    <row r="17672" spans="1:9" x14ac:dyDescent="0.25">
      <c r="A17672" t="s">
        <v>14894</v>
      </c>
      <c r="B17672" t="s">
        <v>703</v>
      </c>
      <c r="C17672" s="2">
        <f>HYPERLINK("https://cao.dolgi.msk.ru/account/1080219954/", 1080219954)</f>
        <v>1080219954</v>
      </c>
      <c r="D17672" t="s">
        <v>14977</v>
      </c>
      <c r="E17672">
        <v>4920.7299999999996</v>
      </c>
      <c r="F17672">
        <v>1.03</v>
      </c>
      <c r="G17672" t="s">
        <v>12</v>
      </c>
      <c r="I17672" t="s">
        <v>1428</v>
      </c>
    </row>
    <row r="17673" spans="1:9" hidden="1" x14ac:dyDescent="0.25">
      <c r="A17673" t="s">
        <v>14894</v>
      </c>
      <c r="B17673" t="s">
        <v>705</v>
      </c>
      <c r="C17673" s="2">
        <f>HYPERLINK("https://cao.dolgi.msk.ru/account/1080219962/", 1080219962)</f>
        <v>1080219962</v>
      </c>
      <c r="D17673" t="s">
        <v>14978</v>
      </c>
      <c r="E17673">
        <v>-4801.8</v>
      </c>
      <c r="F17673">
        <v>-0.91</v>
      </c>
      <c r="G17673" t="s">
        <v>12</v>
      </c>
      <c r="I17673" t="s">
        <v>1428</v>
      </c>
    </row>
    <row r="17674" spans="1:9" hidden="1" x14ac:dyDescent="0.25">
      <c r="A17674" t="s">
        <v>14894</v>
      </c>
      <c r="B17674" t="s">
        <v>707</v>
      </c>
      <c r="C17674" s="2">
        <f>HYPERLINK("https://cao.dolgi.msk.ru/account/1080219989/", 1080219989)</f>
        <v>1080219989</v>
      </c>
      <c r="D17674" t="s">
        <v>14979</v>
      </c>
      <c r="E17674">
        <v>-5858.66</v>
      </c>
      <c r="F17674">
        <v>-1.04</v>
      </c>
      <c r="G17674" t="s">
        <v>12</v>
      </c>
      <c r="I17674" t="s">
        <v>1428</v>
      </c>
    </row>
    <row r="17675" spans="1:9" hidden="1" x14ac:dyDescent="0.25">
      <c r="A17675" t="s">
        <v>14894</v>
      </c>
      <c r="B17675" t="s">
        <v>709</v>
      </c>
      <c r="C17675" s="2">
        <f>HYPERLINK("https://cao.dolgi.msk.ru/account/1080219997/", 1080219997)</f>
        <v>1080219997</v>
      </c>
      <c r="D17675" t="s">
        <v>14980</v>
      </c>
      <c r="E17675">
        <v>204</v>
      </c>
      <c r="F17675">
        <v>0.03</v>
      </c>
      <c r="G17675" t="s">
        <v>12</v>
      </c>
      <c r="I17675" t="s">
        <v>1428</v>
      </c>
    </row>
    <row r="17676" spans="1:9" hidden="1" x14ac:dyDescent="0.25">
      <c r="A17676" t="s">
        <v>14894</v>
      </c>
      <c r="B17676" t="s">
        <v>711</v>
      </c>
      <c r="C17676" s="2">
        <f>HYPERLINK("https://cao.dolgi.msk.ru/account/1080218863/", 1080218863)</f>
        <v>1080218863</v>
      </c>
      <c r="D17676" t="s">
        <v>14981</v>
      </c>
      <c r="E17676">
        <v>-10904.99</v>
      </c>
      <c r="F17676">
        <v>-1.22</v>
      </c>
      <c r="G17676" t="s">
        <v>12</v>
      </c>
      <c r="I17676" t="s">
        <v>1428</v>
      </c>
    </row>
    <row r="17677" spans="1:9" hidden="1" x14ac:dyDescent="0.25">
      <c r="A17677" t="s">
        <v>14894</v>
      </c>
      <c r="B17677" t="s">
        <v>713</v>
      </c>
      <c r="C17677" s="2">
        <f>HYPERLINK("https://cao.dolgi.msk.ru/account/1080220007/", 1080220007)</f>
        <v>1080220007</v>
      </c>
      <c r="D17677" t="s">
        <v>14982</v>
      </c>
      <c r="E17677">
        <v>-9336.15</v>
      </c>
      <c r="F17677">
        <v>-0.99</v>
      </c>
      <c r="G17677" t="s">
        <v>12</v>
      </c>
      <c r="I17677" t="s">
        <v>1428</v>
      </c>
    </row>
    <row r="17678" spans="1:9" hidden="1" x14ac:dyDescent="0.25">
      <c r="A17678" t="s">
        <v>14894</v>
      </c>
      <c r="B17678" t="s">
        <v>528</v>
      </c>
      <c r="C17678" s="2">
        <f>HYPERLINK("https://cao.dolgi.msk.ru/account/1080220015/", 1080220015)</f>
        <v>1080220015</v>
      </c>
      <c r="D17678" t="s">
        <v>14983</v>
      </c>
      <c r="E17678">
        <v>-6603.14</v>
      </c>
      <c r="F17678">
        <v>-1.02</v>
      </c>
      <c r="G17678" t="s">
        <v>12</v>
      </c>
      <c r="I17678" t="s">
        <v>1428</v>
      </c>
    </row>
    <row r="17679" spans="1:9" hidden="1" x14ac:dyDescent="0.25">
      <c r="A17679" t="s">
        <v>14894</v>
      </c>
      <c r="B17679" t="s">
        <v>530</v>
      </c>
      <c r="C17679" s="2">
        <f>HYPERLINK("https://cao.dolgi.msk.ru/account/1080220023/", 1080220023)</f>
        <v>1080220023</v>
      </c>
      <c r="D17679" t="s">
        <v>14984</v>
      </c>
      <c r="E17679">
        <v>-6331.35</v>
      </c>
      <c r="F17679">
        <v>-1.45</v>
      </c>
      <c r="G17679" t="s">
        <v>12</v>
      </c>
      <c r="I17679" t="s">
        <v>1428</v>
      </c>
    </row>
    <row r="17680" spans="1:9" hidden="1" x14ac:dyDescent="0.25">
      <c r="A17680" t="s">
        <v>14894</v>
      </c>
      <c r="B17680" t="s">
        <v>532</v>
      </c>
      <c r="C17680" s="2">
        <f>HYPERLINK("https://cao.dolgi.msk.ru/account/1080220031/", 1080220031)</f>
        <v>1080220031</v>
      </c>
      <c r="D17680" t="s">
        <v>14985</v>
      </c>
      <c r="E17680">
        <v>-6134.62</v>
      </c>
      <c r="F17680">
        <v>-0.99</v>
      </c>
      <c r="G17680" t="s">
        <v>12</v>
      </c>
      <c r="I17680" t="s">
        <v>1428</v>
      </c>
    </row>
    <row r="17681" spans="1:9" hidden="1" x14ac:dyDescent="0.25">
      <c r="A17681" t="s">
        <v>14894</v>
      </c>
      <c r="B17681" t="s">
        <v>534</v>
      </c>
      <c r="C17681" s="2">
        <f>HYPERLINK("https://cao.dolgi.msk.ru/account/1080220058/", 1080220058)</f>
        <v>1080220058</v>
      </c>
      <c r="D17681" t="s">
        <v>14986</v>
      </c>
      <c r="E17681">
        <v>-3943.53</v>
      </c>
      <c r="F17681">
        <v>-1</v>
      </c>
      <c r="G17681" t="s">
        <v>12</v>
      </c>
      <c r="I17681" t="s">
        <v>1428</v>
      </c>
    </row>
    <row r="17682" spans="1:9" hidden="1" x14ac:dyDescent="0.25">
      <c r="A17682" t="s">
        <v>14894</v>
      </c>
      <c r="B17682" t="s">
        <v>536</v>
      </c>
      <c r="C17682" s="2">
        <f>HYPERLINK("https://cao.dolgi.msk.ru/account/1080220066/", 1080220066)</f>
        <v>1080220066</v>
      </c>
      <c r="D17682" t="s">
        <v>14987</v>
      </c>
      <c r="E17682">
        <v>-9841.15</v>
      </c>
      <c r="F17682">
        <v>-0.94</v>
      </c>
      <c r="G17682" t="s">
        <v>12</v>
      </c>
      <c r="I17682" t="s">
        <v>1428</v>
      </c>
    </row>
    <row r="17683" spans="1:9" x14ac:dyDescent="0.25">
      <c r="A17683" t="s">
        <v>14894</v>
      </c>
      <c r="B17683" t="s">
        <v>538</v>
      </c>
      <c r="C17683" s="2">
        <f>HYPERLINK("https://cao.dolgi.msk.ru/account/1080220074/", 1080220074)</f>
        <v>1080220074</v>
      </c>
      <c r="D17683" t="s">
        <v>14988</v>
      </c>
      <c r="E17683">
        <v>17094.490000000002</v>
      </c>
      <c r="F17683">
        <v>3.49</v>
      </c>
      <c r="G17683" t="s">
        <v>12</v>
      </c>
      <c r="I17683" t="s">
        <v>1428</v>
      </c>
    </row>
    <row r="17684" spans="1:9" hidden="1" x14ac:dyDescent="0.25">
      <c r="A17684" t="s">
        <v>14894</v>
      </c>
      <c r="B17684" t="s">
        <v>539</v>
      </c>
      <c r="C17684" s="2">
        <f>HYPERLINK("https://cao.dolgi.msk.ru/account/1080220082/", 1080220082)</f>
        <v>1080220082</v>
      </c>
      <c r="D17684" t="s">
        <v>14989</v>
      </c>
      <c r="E17684">
        <v>-5202.62</v>
      </c>
      <c r="F17684">
        <v>-1.02</v>
      </c>
      <c r="G17684" t="s">
        <v>12</v>
      </c>
      <c r="I17684" t="s">
        <v>1428</v>
      </c>
    </row>
    <row r="17685" spans="1:9" hidden="1" x14ac:dyDescent="0.25">
      <c r="A17685" t="s">
        <v>14894</v>
      </c>
      <c r="B17685" t="s">
        <v>541</v>
      </c>
      <c r="C17685" s="2">
        <f>HYPERLINK("https://cao.dolgi.msk.ru/account/1080220103/", 1080220103)</f>
        <v>1080220103</v>
      </c>
      <c r="D17685" t="s">
        <v>14990</v>
      </c>
      <c r="E17685">
        <v>-6585.44</v>
      </c>
      <c r="F17685">
        <v>-1.1100000000000001</v>
      </c>
      <c r="G17685" t="s">
        <v>12</v>
      </c>
      <c r="I17685" t="s">
        <v>1428</v>
      </c>
    </row>
    <row r="17686" spans="1:9" hidden="1" x14ac:dyDescent="0.25">
      <c r="A17686" t="s">
        <v>14894</v>
      </c>
      <c r="B17686" t="s">
        <v>543</v>
      </c>
      <c r="C17686" s="2">
        <f>HYPERLINK("https://cao.dolgi.msk.ru/account/1080220111/", 1080220111)</f>
        <v>1080220111</v>
      </c>
      <c r="D17686" t="s">
        <v>14991</v>
      </c>
      <c r="E17686">
        <v>-3961.31</v>
      </c>
      <c r="F17686">
        <v>-1.01</v>
      </c>
      <c r="G17686" t="s">
        <v>12</v>
      </c>
      <c r="I17686" t="s">
        <v>1428</v>
      </c>
    </row>
    <row r="17687" spans="1:9" hidden="1" x14ac:dyDescent="0.25">
      <c r="A17687" t="s">
        <v>14894</v>
      </c>
      <c r="B17687" t="s">
        <v>545</v>
      </c>
      <c r="C17687" s="2">
        <f>HYPERLINK("https://cao.dolgi.msk.ru/account/1080220138/", 1080220138)</f>
        <v>1080220138</v>
      </c>
      <c r="D17687" t="s">
        <v>14992</v>
      </c>
      <c r="E17687">
        <v>-3337.77</v>
      </c>
      <c r="F17687">
        <v>-0.95</v>
      </c>
      <c r="G17687" t="s">
        <v>12</v>
      </c>
      <c r="I17687" t="s">
        <v>1428</v>
      </c>
    </row>
    <row r="17688" spans="1:9" hidden="1" x14ac:dyDescent="0.25">
      <c r="A17688" t="s">
        <v>14894</v>
      </c>
      <c r="B17688" t="s">
        <v>546</v>
      </c>
      <c r="C17688" s="2">
        <f>HYPERLINK("https://cao.dolgi.msk.ru/account/1080220146/", 1080220146)</f>
        <v>1080220146</v>
      </c>
      <c r="D17688" t="s">
        <v>14993</v>
      </c>
      <c r="E17688">
        <v>-12212.66</v>
      </c>
      <c r="F17688">
        <v>-1.01</v>
      </c>
      <c r="G17688" t="s">
        <v>12</v>
      </c>
      <c r="I17688" t="s">
        <v>1428</v>
      </c>
    </row>
    <row r="17689" spans="1:9" hidden="1" x14ac:dyDescent="0.25">
      <c r="A17689" t="s">
        <v>14894</v>
      </c>
      <c r="B17689" t="s">
        <v>548</v>
      </c>
      <c r="C17689" s="2">
        <f>HYPERLINK("https://cao.dolgi.msk.ru/account/1080220154/", 1080220154)</f>
        <v>1080220154</v>
      </c>
      <c r="D17689" t="s">
        <v>14994</v>
      </c>
      <c r="E17689">
        <v>-4704.26</v>
      </c>
      <c r="F17689">
        <v>-1.06</v>
      </c>
      <c r="G17689" t="s">
        <v>12</v>
      </c>
      <c r="I17689" t="s">
        <v>1428</v>
      </c>
    </row>
    <row r="17690" spans="1:9" hidden="1" x14ac:dyDescent="0.25">
      <c r="A17690" t="s">
        <v>14894</v>
      </c>
      <c r="B17690" t="s">
        <v>727</v>
      </c>
      <c r="C17690" s="2">
        <f>HYPERLINK("https://cao.dolgi.msk.ru/account/1080220162/", 1080220162)</f>
        <v>1080220162</v>
      </c>
      <c r="D17690" t="s">
        <v>14995</v>
      </c>
      <c r="E17690">
        <v>-16843.669999999998</v>
      </c>
      <c r="F17690">
        <v>-1.03</v>
      </c>
      <c r="G17690" t="s">
        <v>12</v>
      </c>
      <c r="I17690" t="s">
        <v>1428</v>
      </c>
    </row>
    <row r="17691" spans="1:9" hidden="1" x14ac:dyDescent="0.25">
      <c r="A17691" t="s">
        <v>14894</v>
      </c>
      <c r="B17691" t="s">
        <v>551</v>
      </c>
      <c r="C17691" s="2">
        <f>HYPERLINK("https://cao.dolgi.msk.ru/account/1080220189/", 1080220189)</f>
        <v>1080220189</v>
      </c>
      <c r="D17691" t="s">
        <v>15</v>
      </c>
      <c r="G17691" t="s">
        <v>14</v>
      </c>
      <c r="I17691" t="s">
        <v>1428</v>
      </c>
    </row>
    <row r="17692" spans="1:9" hidden="1" x14ac:dyDescent="0.25">
      <c r="A17692" t="s">
        <v>14894</v>
      </c>
      <c r="B17692" t="s">
        <v>730</v>
      </c>
      <c r="C17692" s="2">
        <f>HYPERLINK("https://cao.dolgi.msk.ru/account/1080220197/", 1080220197)</f>
        <v>1080220197</v>
      </c>
      <c r="D17692" t="s">
        <v>14996</v>
      </c>
      <c r="E17692">
        <v>-10528.97</v>
      </c>
      <c r="F17692">
        <v>-1.1100000000000001</v>
      </c>
      <c r="G17692" t="s">
        <v>12</v>
      </c>
      <c r="I17692" t="s">
        <v>1428</v>
      </c>
    </row>
    <row r="17693" spans="1:9" hidden="1" x14ac:dyDescent="0.25">
      <c r="A17693" t="s">
        <v>14894</v>
      </c>
      <c r="B17693" t="s">
        <v>732</v>
      </c>
      <c r="C17693" s="2">
        <f>HYPERLINK("https://cao.dolgi.msk.ru/account/1080220218/", 1080220218)</f>
        <v>1080220218</v>
      </c>
      <c r="D17693" t="s">
        <v>14997</v>
      </c>
      <c r="E17693">
        <v>-8093.52</v>
      </c>
      <c r="F17693">
        <v>-1.07</v>
      </c>
      <c r="G17693" t="s">
        <v>12</v>
      </c>
      <c r="I17693" t="s">
        <v>1428</v>
      </c>
    </row>
    <row r="17694" spans="1:9" hidden="1" x14ac:dyDescent="0.25">
      <c r="A17694" t="s">
        <v>14894</v>
      </c>
      <c r="B17694" t="s">
        <v>553</v>
      </c>
      <c r="C17694" s="2">
        <f>HYPERLINK("https://cao.dolgi.msk.ru/account/1080220226/", 1080220226)</f>
        <v>1080220226</v>
      </c>
      <c r="D17694" t="s">
        <v>14998</v>
      </c>
      <c r="E17694">
        <v>-9657.8700000000008</v>
      </c>
      <c r="F17694">
        <v>-1.72</v>
      </c>
      <c r="G17694" t="s">
        <v>12</v>
      </c>
      <c r="I17694" t="s">
        <v>1428</v>
      </c>
    </row>
    <row r="17695" spans="1:9" x14ac:dyDescent="0.25">
      <c r="A17695" t="s">
        <v>14894</v>
      </c>
      <c r="B17695" t="s">
        <v>555</v>
      </c>
      <c r="C17695" s="2">
        <f>HYPERLINK("https://cao.dolgi.msk.ru/account/1080220234/", 1080220234)</f>
        <v>1080220234</v>
      </c>
      <c r="D17695" t="s">
        <v>14999</v>
      </c>
      <c r="E17695">
        <v>2745.07</v>
      </c>
      <c r="F17695">
        <v>1.01</v>
      </c>
      <c r="G17695" t="s">
        <v>12</v>
      </c>
      <c r="I17695" t="s">
        <v>1428</v>
      </c>
    </row>
    <row r="17696" spans="1:9" hidden="1" x14ac:dyDescent="0.25">
      <c r="A17696" t="s">
        <v>14894</v>
      </c>
      <c r="B17696" t="s">
        <v>555</v>
      </c>
      <c r="C17696" s="2">
        <f>HYPERLINK("https://cao.dolgi.msk.ru/account/1080323823/", 1080323823)</f>
        <v>1080323823</v>
      </c>
      <c r="D17696" t="s">
        <v>15000</v>
      </c>
      <c r="E17696">
        <v>1625.7</v>
      </c>
      <c r="F17696">
        <v>0.97</v>
      </c>
      <c r="G17696" t="s">
        <v>12</v>
      </c>
      <c r="I17696" t="s">
        <v>1428</v>
      </c>
    </row>
    <row r="17697" spans="1:9" hidden="1" x14ac:dyDescent="0.25">
      <c r="A17697" t="s">
        <v>14894</v>
      </c>
      <c r="B17697" t="s">
        <v>736</v>
      </c>
      <c r="C17697" s="2">
        <f>HYPERLINK("https://cao.dolgi.msk.ru/account/1080220242/", 1080220242)</f>
        <v>1080220242</v>
      </c>
      <c r="D17697" t="s">
        <v>15001</v>
      </c>
      <c r="E17697">
        <v>-5000.53</v>
      </c>
      <c r="F17697">
        <v>-1.03</v>
      </c>
      <c r="G17697" t="s">
        <v>12</v>
      </c>
      <c r="I17697" t="s">
        <v>1428</v>
      </c>
    </row>
    <row r="17698" spans="1:9" hidden="1" x14ac:dyDescent="0.25">
      <c r="A17698" t="s">
        <v>14894</v>
      </c>
      <c r="B17698" t="s">
        <v>738</v>
      </c>
      <c r="C17698" s="2">
        <f>HYPERLINK("https://cao.dolgi.msk.ru/account/1080220269/", 1080220269)</f>
        <v>1080220269</v>
      </c>
      <c r="D17698" t="s">
        <v>15002</v>
      </c>
      <c r="E17698">
        <v>-5696.32</v>
      </c>
      <c r="F17698">
        <v>-1.02</v>
      </c>
      <c r="G17698" t="s">
        <v>12</v>
      </c>
      <c r="I17698" t="s">
        <v>1428</v>
      </c>
    </row>
    <row r="17699" spans="1:9" hidden="1" x14ac:dyDescent="0.25">
      <c r="A17699" t="s">
        <v>14894</v>
      </c>
      <c r="B17699" t="s">
        <v>740</v>
      </c>
      <c r="C17699" s="2">
        <f>HYPERLINK("https://cao.dolgi.msk.ru/account/1080220277/", 1080220277)</f>
        <v>1080220277</v>
      </c>
      <c r="D17699" t="s">
        <v>15003</v>
      </c>
      <c r="E17699">
        <v>-5615.26</v>
      </c>
      <c r="F17699">
        <v>-1</v>
      </c>
      <c r="G17699" t="s">
        <v>12</v>
      </c>
      <c r="I17699" t="s">
        <v>1428</v>
      </c>
    </row>
    <row r="17700" spans="1:9" hidden="1" x14ac:dyDescent="0.25">
      <c r="A17700" t="s">
        <v>14894</v>
      </c>
      <c r="B17700" t="s">
        <v>742</v>
      </c>
      <c r="C17700" s="2">
        <f>HYPERLINK("https://cao.dolgi.msk.ru/account/1080220285/", 1080220285)</f>
        <v>1080220285</v>
      </c>
      <c r="D17700" t="s">
        <v>15004</v>
      </c>
      <c r="E17700">
        <v>2297.48</v>
      </c>
      <c r="F17700">
        <v>0.49</v>
      </c>
      <c r="G17700" t="s">
        <v>12</v>
      </c>
      <c r="I17700" t="s">
        <v>1428</v>
      </c>
    </row>
    <row r="17701" spans="1:9" hidden="1" x14ac:dyDescent="0.25">
      <c r="A17701" t="s">
        <v>14894</v>
      </c>
      <c r="B17701" t="s">
        <v>557</v>
      </c>
      <c r="C17701" s="2">
        <f>HYPERLINK("https://cao.dolgi.msk.ru/account/1080220293/", 1080220293)</f>
        <v>1080220293</v>
      </c>
      <c r="D17701" t="s">
        <v>15005</v>
      </c>
      <c r="E17701">
        <v>-3605.33</v>
      </c>
      <c r="F17701">
        <v>-1.01</v>
      </c>
      <c r="G17701" t="s">
        <v>12</v>
      </c>
      <c r="I17701" t="s">
        <v>1428</v>
      </c>
    </row>
    <row r="17702" spans="1:9" hidden="1" x14ac:dyDescent="0.25">
      <c r="A17702" t="s">
        <v>14894</v>
      </c>
      <c r="B17702" t="s">
        <v>558</v>
      </c>
      <c r="C17702" s="2">
        <f>HYPERLINK("https://cao.dolgi.msk.ru/account/1080220306/", 1080220306)</f>
        <v>1080220306</v>
      </c>
      <c r="D17702" t="s">
        <v>15006</v>
      </c>
      <c r="E17702">
        <v>-107.16</v>
      </c>
      <c r="F17702">
        <v>-0.01</v>
      </c>
      <c r="G17702" t="s">
        <v>12</v>
      </c>
      <c r="I17702" t="s">
        <v>1428</v>
      </c>
    </row>
    <row r="17703" spans="1:9" hidden="1" x14ac:dyDescent="0.25">
      <c r="A17703" t="s">
        <v>14894</v>
      </c>
      <c r="B17703" t="s">
        <v>746</v>
      </c>
      <c r="C17703" s="2">
        <f>HYPERLINK("https://cao.dolgi.msk.ru/account/1080220621/", 1080220621)</f>
        <v>1080220621</v>
      </c>
      <c r="D17703" t="s">
        <v>15007</v>
      </c>
      <c r="E17703">
        <v>-7228.71</v>
      </c>
      <c r="F17703">
        <v>-0.97</v>
      </c>
      <c r="G17703" t="s">
        <v>12</v>
      </c>
      <c r="I17703" t="s">
        <v>1428</v>
      </c>
    </row>
    <row r="17704" spans="1:9" hidden="1" x14ac:dyDescent="0.25">
      <c r="A17704" t="s">
        <v>14894</v>
      </c>
      <c r="B17704" t="s">
        <v>748</v>
      </c>
      <c r="C17704" s="2">
        <f>HYPERLINK("https://cao.dolgi.msk.ru/account/1080220314/", 1080220314)</f>
        <v>1080220314</v>
      </c>
      <c r="D17704" t="s">
        <v>15008</v>
      </c>
      <c r="E17704">
        <v>-8646.48</v>
      </c>
      <c r="F17704">
        <v>-1.03</v>
      </c>
      <c r="G17704" t="s">
        <v>12</v>
      </c>
      <c r="I17704" t="s">
        <v>1428</v>
      </c>
    </row>
    <row r="17705" spans="1:9" hidden="1" x14ac:dyDescent="0.25">
      <c r="A17705" t="s">
        <v>14894</v>
      </c>
      <c r="B17705" t="s">
        <v>750</v>
      </c>
      <c r="C17705" s="2">
        <f>HYPERLINK("https://cao.dolgi.msk.ru/account/1080220322/", 1080220322)</f>
        <v>1080220322</v>
      </c>
      <c r="D17705" t="s">
        <v>15009</v>
      </c>
      <c r="E17705">
        <v>-1699.93</v>
      </c>
      <c r="F17705">
        <v>-0.17</v>
      </c>
      <c r="G17705" t="s">
        <v>12</v>
      </c>
      <c r="I17705" t="s">
        <v>1428</v>
      </c>
    </row>
    <row r="17706" spans="1:9" hidden="1" x14ac:dyDescent="0.25">
      <c r="A17706" t="s">
        <v>14894</v>
      </c>
      <c r="B17706" t="s">
        <v>752</v>
      </c>
      <c r="C17706" s="2">
        <f>HYPERLINK("https://cao.dolgi.msk.ru/account/1080220349/", 1080220349)</f>
        <v>1080220349</v>
      </c>
      <c r="D17706" t="s">
        <v>15010</v>
      </c>
      <c r="E17706">
        <v>-320.24</v>
      </c>
      <c r="F17706">
        <v>-0.05</v>
      </c>
      <c r="G17706" t="s">
        <v>12</v>
      </c>
      <c r="I17706" t="s">
        <v>1428</v>
      </c>
    </row>
    <row r="17707" spans="1:9" hidden="1" x14ac:dyDescent="0.25">
      <c r="A17707" t="s">
        <v>14894</v>
      </c>
      <c r="B17707" t="s">
        <v>754</v>
      </c>
      <c r="C17707" s="2">
        <f>HYPERLINK("https://cao.dolgi.msk.ru/account/1080220357/", 1080220357)</f>
        <v>1080220357</v>
      </c>
      <c r="D17707" t="s">
        <v>15011</v>
      </c>
      <c r="E17707">
        <v>-5420.12</v>
      </c>
      <c r="F17707">
        <v>-0.96</v>
      </c>
      <c r="G17707" t="s">
        <v>12</v>
      </c>
      <c r="I17707" t="s">
        <v>1428</v>
      </c>
    </row>
    <row r="17708" spans="1:9" hidden="1" x14ac:dyDescent="0.25">
      <c r="A17708" t="s">
        <v>14894</v>
      </c>
      <c r="B17708" t="s">
        <v>756</v>
      </c>
      <c r="C17708" s="2">
        <f>HYPERLINK("https://cao.dolgi.msk.ru/account/1080220365/", 1080220365)</f>
        <v>1080220365</v>
      </c>
      <c r="D17708" t="s">
        <v>15012</v>
      </c>
      <c r="E17708">
        <v>-943.97</v>
      </c>
      <c r="F17708">
        <v>-0.09</v>
      </c>
      <c r="G17708" t="s">
        <v>12</v>
      </c>
      <c r="I17708" t="s">
        <v>1428</v>
      </c>
    </row>
    <row r="17709" spans="1:9" hidden="1" x14ac:dyDescent="0.25">
      <c r="A17709" t="s">
        <v>14894</v>
      </c>
      <c r="B17709" t="s">
        <v>758</v>
      </c>
      <c r="C17709" s="2">
        <f>HYPERLINK("https://cao.dolgi.msk.ru/account/1080220373/", 1080220373)</f>
        <v>1080220373</v>
      </c>
      <c r="D17709" t="s">
        <v>15013</v>
      </c>
      <c r="E17709">
        <v>-8429.77</v>
      </c>
      <c r="F17709">
        <v>-1.01</v>
      </c>
      <c r="G17709" t="s">
        <v>12</v>
      </c>
      <c r="I17709" t="s">
        <v>1428</v>
      </c>
    </row>
    <row r="17710" spans="1:9" hidden="1" x14ac:dyDescent="0.25">
      <c r="A17710" t="s">
        <v>14894</v>
      </c>
      <c r="B17710" t="s">
        <v>760</v>
      </c>
      <c r="C17710" s="2">
        <f>HYPERLINK("https://cao.dolgi.msk.ru/account/1080220381/", 1080220381)</f>
        <v>1080220381</v>
      </c>
      <c r="D17710" t="s">
        <v>15014</v>
      </c>
      <c r="E17710">
        <v>-3430.96</v>
      </c>
      <c r="F17710">
        <v>-0.86</v>
      </c>
      <c r="G17710" t="s">
        <v>12</v>
      </c>
      <c r="I17710" t="s">
        <v>1428</v>
      </c>
    </row>
    <row r="17711" spans="1:9" hidden="1" x14ac:dyDescent="0.25">
      <c r="A17711" t="s">
        <v>14894</v>
      </c>
      <c r="B17711" t="s">
        <v>762</v>
      </c>
      <c r="C17711" s="2">
        <f>HYPERLINK("https://cao.dolgi.msk.ru/account/1080220402/", 1080220402)</f>
        <v>1080220402</v>
      </c>
      <c r="D17711" t="s">
        <v>15015</v>
      </c>
      <c r="E17711">
        <v>-2381.62</v>
      </c>
      <c r="F17711">
        <v>-0.99</v>
      </c>
      <c r="G17711" t="s">
        <v>12</v>
      </c>
      <c r="I17711" t="s">
        <v>1428</v>
      </c>
    </row>
    <row r="17712" spans="1:9" hidden="1" x14ac:dyDescent="0.25">
      <c r="A17712" t="s">
        <v>14894</v>
      </c>
      <c r="B17712" t="s">
        <v>762</v>
      </c>
      <c r="C17712" s="2">
        <f>HYPERLINK("https://cao.dolgi.msk.ru/account/1083273171/", 1083273171)</f>
        <v>1083273171</v>
      </c>
      <c r="D17712" t="s">
        <v>15</v>
      </c>
      <c r="E17712">
        <v>-6694.09</v>
      </c>
      <c r="F17712">
        <v>-0.94</v>
      </c>
      <c r="G17712" t="s">
        <v>12</v>
      </c>
      <c r="I17712" t="s">
        <v>1428</v>
      </c>
    </row>
    <row r="17713" spans="1:9" x14ac:dyDescent="0.25">
      <c r="A17713" t="s">
        <v>14894</v>
      </c>
      <c r="B17713" t="s">
        <v>764</v>
      </c>
      <c r="C17713" s="2">
        <f>HYPERLINK("https://cao.dolgi.msk.ru/account/1080220429/", 1080220429)</f>
        <v>1080220429</v>
      </c>
      <c r="D17713" t="s">
        <v>15016</v>
      </c>
      <c r="E17713">
        <v>22956.81</v>
      </c>
      <c r="F17713">
        <v>2.08</v>
      </c>
      <c r="G17713" t="s">
        <v>12</v>
      </c>
      <c r="I17713" t="s">
        <v>1428</v>
      </c>
    </row>
    <row r="17714" spans="1:9" hidden="1" x14ac:dyDescent="0.25">
      <c r="A17714" t="s">
        <v>14894</v>
      </c>
      <c r="B17714" t="s">
        <v>766</v>
      </c>
      <c r="C17714" s="2">
        <f>HYPERLINK("https://cao.dolgi.msk.ru/account/1080220437/", 1080220437)</f>
        <v>1080220437</v>
      </c>
      <c r="D17714" t="s">
        <v>15017</v>
      </c>
      <c r="E17714">
        <v>-4785.07</v>
      </c>
      <c r="F17714">
        <v>-1.06</v>
      </c>
      <c r="G17714" t="s">
        <v>12</v>
      </c>
      <c r="I17714" t="s">
        <v>1428</v>
      </c>
    </row>
    <row r="17715" spans="1:9" x14ac:dyDescent="0.25">
      <c r="A17715" t="s">
        <v>14894</v>
      </c>
      <c r="B17715" t="s">
        <v>768</v>
      </c>
      <c r="C17715" s="2">
        <f>HYPERLINK("https://cao.dolgi.msk.ru/account/1080220445/", 1080220445)</f>
        <v>1080220445</v>
      </c>
      <c r="D17715" t="s">
        <v>15018</v>
      </c>
      <c r="E17715">
        <v>32255.53</v>
      </c>
      <c r="F17715">
        <v>1.98</v>
      </c>
      <c r="G17715" t="s">
        <v>12</v>
      </c>
      <c r="I17715" t="s">
        <v>1428</v>
      </c>
    </row>
    <row r="17716" spans="1:9" hidden="1" x14ac:dyDescent="0.25">
      <c r="A17716" t="s">
        <v>14894</v>
      </c>
      <c r="B17716" t="s">
        <v>770</v>
      </c>
      <c r="C17716" s="2">
        <f>HYPERLINK("https://cao.dolgi.msk.ru/account/1080220453/", 1080220453)</f>
        <v>1080220453</v>
      </c>
      <c r="D17716" t="s">
        <v>15019</v>
      </c>
      <c r="E17716">
        <v>-120.47</v>
      </c>
      <c r="F17716">
        <v>-0.03</v>
      </c>
      <c r="G17716" t="s">
        <v>12</v>
      </c>
      <c r="I17716" t="s">
        <v>1428</v>
      </c>
    </row>
    <row r="17717" spans="1:9" hidden="1" x14ac:dyDescent="0.25">
      <c r="A17717" t="s">
        <v>14894</v>
      </c>
      <c r="B17717" t="s">
        <v>772</v>
      </c>
      <c r="C17717" s="2">
        <f>HYPERLINK("https://cao.dolgi.msk.ru/account/1080220461/", 1080220461)</f>
        <v>1080220461</v>
      </c>
      <c r="D17717" t="s">
        <v>15020</v>
      </c>
      <c r="E17717">
        <v>-17535.16</v>
      </c>
      <c r="F17717">
        <v>-2.0299999999999998</v>
      </c>
      <c r="G17717" t="s">
        <v>12</v>
      </c>
      <c r="I17717" t="s">
        <v>1428</v>
      </c>
    </row>
    <row r="17718" spans="1:9" hidden="1" x14ac:dyDescent="0.25">
      <c r="A17718" t="s">
        <v>14894</v>
      </c>
      <c r="B17718" t="s">
        <v>774</v>
      </c>
      <c r="C17718" s="2">
        <f>HYPERLINK("https://cao.dolgi.msk.ru/account/1080220488/", 1080220488)</f>
        <v>1080220488</v>
      </c>
      <c r="D17718" t="s">
        <v>15021</v>
      </c>
      <c r="E17718">
        <v>-6930.91</v>
      </c>
      <c r="F17718">
        <v>-1.0900000000000001</v>
      </c>
      <c r="G17718" t="s">
        <v>12</v>
      </c>
      <c r="I17718" t="s">
        <v>1428</v>
      </c>
    </row>
    <row r="17719" spans="1:9" hidden="1" x14ac:dyDescent="0.25">
      <c r="A17719" t="s">
        <v>14894</v>
      </c>
      <c r="B17719" t="s">
        <v>776</v>
      </c>
      <c r="C17719" s="2">
        <f>HYPERLINK("https://cao.dolgi.msk.ru/account/1080220496/", 1080220496)</f>
        <v>1080220496</v>
      </c>
      <c r="D17719" t="s">
        <v>15022</v>
      </c>
      <c r="E17719">
        <v>116.4</v>
      </c>
      <c r="F17719">
        <v>0.01</v>
      </c>
      <c r="G17719" t="s">
        <v>12</v>
      </c>
      <c r="I17719" t="s">
        <v>1428</v>
      </c>
    </row>
    <row r="17720" spans="1:9" hidden="1" x14ac:dyDescent="0.25">
      <c r="A17720" t="s">
        <v>14894</v>
      </c>
      <c r="B17720" t="s">
        <v>778</v>
      </c>
      <c r="C17720" s="2">
        <f>HYPERLINK("https://cao.dolgi.msk.ru/account/1080220509/", 1080220509)</f>
        <v>1080220509</v>
      </c>
      <c r="D17720" t="s">
        <v>15023</v>
      </c>
      <c r="E17720">
        <v>-8960.0300000000007</v>
      </c>
      <c r="F17720">
        <v>-1.04</v>
      </c>
      <c r="G17720" t="s">
        <v>12</v>
      </c>
      <c r="I17720" t="s">
        <v>1428</v>
      </c>
    </row>
    <row r="17721" spans="1:9" hidden="1" x14ac:dyDescent="0.25">
      <c r="A17721" t="s">
        <v>14894</v>
      </c>
      <c r="B17721" t="s">
        <v>780</v>
      </c>
      <c r="C17721" s="2">
        <f>HYPERLINK("https://cao.dolgi.msk.ru/account/1080220517/", 1080220517)</f>
        <v>1080220517</v>
      </c>
      <c r="D17721" t="s">
        <v>15024</v>
      </c>
      <c r="E17721">
        <v>-461.96</v>
      </c>
      <c r="F17721">
        <v>-0.05</v>
      </c>
      <c r="G17721" t="s">
        <v>12</v>
      </c>
      <c r="I17721" t="s">
        <v>1428</v>
      </c>
    </row>
    <row r="17722" spans="1:9" hidden="1" x14ac:dyDescent="0.25">
      <c r="A17722" t="s">
        <v>14894</v>
      </c>
      <c r="B17722" t="s">
        <v>781</v>
      </c>
      <c r="C17722" s="2">
        <f>HYPERLINK("https://cao.dolgi.msk.ru/account/1080220533/", 1080220533)</f>
        <v>1080220533</v>
      </c>
      <c r="D17722" t="s">
        <v>15025</v>
      </c>
      <c r="E17722">
        <v>-3090.25</v>
      </c>
      <c r="F17722">
        <v>-1.03</v>
      </c>
      <c r="G17722" t="s">
        <v>12</v>
      </c>
      <c r="I17722" t="s">
        <v>1428</v>
      </c>
    </row>
    <row r="17723" spans="1:9" hidden="1" x14ac:dyDescent="0.25">
      <c r="A17723" t="s">
        <v>14894</v>
      </c>
      <c r="B17723" t="s">
        <v>782</v>
      </c>
      <c r="C17723" s="2">
        <f>HYPERLINK("https://cao.dolgi.msk.ru/account/1080220541/", 1080220541)</f>
        <v>1080220541</v>
      </c>
      <c r="D17723" t="s">
        <v>15026</v>
      </c>
      <c r="E17723">
        <v>416.57</v>
      </c>
      <c r="F17723">
        <v>0.09</v>
      </c>
      <c r="G17723" t="s">
        <v>12</v>
      </c>
      <c r="I17723" t="s">
        <v>1428</v>
      </c>
    </row>
    <row r="17724" spans="1:9" hidden="1" x14ac:dyDescent="0.25">
      <c r="A17724" t="s">
        <v>14894</v>
      </c>
      <c r="B17724" t="s">
        <v>784</v>
      </c>
      <c r="C17724" s="2">
        <f>HYPERLINK("https://cao.dolgi.msk.ru/account/1080220568/", 1080220568)</f>
        <v>1080220568</v>
      </c>
      <c r="D17724" t="s">
        <v>15027</v>
      </c>
      <c r="E17724">
        <v>-6237.18</v>
      </c>
      <c r="F17724">
        <v>-1.02</v>
      </c>
      <c r="G17724" t="s">
        <v>12</v>
      </c>
      <c r="I17724" t="s">
        <v>1428</v>
      </c>
    </row>
    <row r="17725" spans="1:9" hidden="1" x14ac:dyDescent="0.25">
      <c r="A17725" t="s">
        <v>14894</v>
      </c>
      <c r="B17725" t="s">
        <v>786</v>
      </c>
      <c r="C17725" s="2">
        <f>HYPERLINK("https://cao.dolgi.msk.ru/account/1080220576/", 1080220576)</f>
        <v>1080220576</v>
      </c>
      <c r="D17725" t="s">
        <v>15028</v>
      </c>
      <c r="E17725">
        <v>-1499.54</v>
      </c>
      <c r="F17725">
        <v>-0.28999999999999998</v>
      </c>
      <c r="G17725" t="s">
        <v>12</v>
      </c>
      <c r="I17725" t="s">
        <v>1428</v>
      </c>
    </row>
    <row r="17726" spans="1:9" hidden="1" x14ac:dyDescent="0.25">
      <c r="A17726" t="s">
        <v>14894</v>
      </c>
      <c r="B17726" t="s">
        <v>788</v>
      </c>
      <c r="C17726" s="2">
        <f>HYPERLINK("https://cao.dolgi.msk.ru/account/1080220584/", 1080220584)</f>
        <v>1080220584</v>
      </c>
      <c r="D17726" t="s">
        <v>15029</v>
      </c>
      <c r="E17726">
        <v>0</v>
      </c>
      <c r="F17726">
        <v>0</v>
      </c>
      <c r="G17726" t="s">
        <v>12</v>
      </c>
      <c r="I17726" t="s">
        <v>1428</v>
      </c>
    </row>
    <row r="17727" spans="1:9" hidden="1" x14ac:dyDescent="0.25">
      <c r="A17727" t="s">
        <v>14894</v>
      </c>
      <c r="B17727" t="s">
        <v>789</v>
      </c>
      <c r="C17727" s="2">
        <f>HYPERLINK("https://cao.dolgi.msk.ru/account/1080220592/", 1080220592)</f>
        <v>1080220592</v>
      </c>
      <c r="D17727" t="s">
        <v>15030</v>
      </c>
      <c r="E17727">
        <v>-265.8</v>
      </c>
      <c r="F17727">
        <v>-0.03</v>
      </c>
      <c r="G17727" t="s">
        <v>12</v>
      </c>
      <c r="I17727" t="s">
        <v>1428</v>
      </c>
    </row>
    <row r="17728" spans="1:9" hidden="1" x14ac:dyDescent="0.25">
      <c r="A17728" t="s">
        <v>14894</v>
      </c>
      <c r="B17728" t="s">
        <v>790</v>
      </c>
      <c r="C17728" s="2">
        <f>HYPERLINK("https://cao.dolgi.msk.ru/account/1080220605/", 1080220605)</f>
        <v>1080220605</v>
      </c>
      <c r="D17728" t="s">
        <v>15031</v>
      </c>
      <c r="E17728">
        <v>-12526.24</v>
      </c>
      <c r="F17728">
        <v>-1.1299999999999999</v>
      </c>
      <c r="G17728" t="s">
        <v>12</v>
      </c>
      <c r="I17728" t="s">
        <v>1428</v>
      </c>
    </row>
    <row r="17729" spans="1:9" hidden="1" x14ac:dyDescent="0.25">
      <c r="A17729" t="s">
        <v>15032</v>
      </c>
      <c r="B17729" t="s">
        <v>10</v>
      </c>
      <c r="C17729" s="2">
        <f>HYPERLINK("https://cao.dolgi.msk.ru/account/1080220656/", 1080220656)</f>
        <v>1080220656</v>
      </c>
      <c r="D17729" t="s">
        <v>15033</v>
      </c>
      <c r="E17729">
        <v>-8192.7000000000007</v>
      </c>
      <c r="F17729">
        <v>-1.1000000000000001</v>
      </c>
      <c r="G17729" t="s">
        <v>12</v>
      </c>
      <c r="I17729" t="s">
        <v>1428</v>
      </c>
    </row>
    <row r="17730" spans="1:9" hidden="1" x14ac:dyDescent="0.25">
      <c r="A17730" t="s">
        <v>15032</v>
      </c>
      <c r="B17730" t="s">
        <v>16</v>
      </c>
      <c r="C17730" s="2">
        <f>HYPERLINK("https://cao.dolgi.msk.ru/account/1080220664/", 1080220664)</f>
        <v>1080220664</v>
      </c>
      <c r="D17730" t="s">
        <v>15034</v>
      </c>
      <c r="E17730">
        <v>-21682.42</v>
      </c>
      <c r="F17730">
        <v>-3.2</v>
      </c>
      <c r="G17730" t="s">
        <v>12</v>
      </c>
      <c r="I17730" t="s">
        <v>1428</v>
      </c>
    </row>
    <row r="17731" spans="1:9" hidden="1" x14ac:dyDescent="0.25">
      <c r="A17731" t="s">
        <v>15032</v>
      </c>
      <c r="B17731" t="s">
        <v>18</v>
      </c>
      <c r="C17731" s="2">
        <f>HYPERLINK("https://cao.dolgi.msk.ru/account/1080220672/", 1080220672)</f>
        <v>1080220672</v>
      </c>
      <c r="D17731" t="s">
        <v>15035</v>
      </c>
      <c r="E17731">
        <v>-9862.24</v>
      </c>
      <c r="F17731">
        <v>-0.95</v>
      </c>
      <c r="G17731" t="s">
        <v>12</v>
      </c>
      <c r="I17731" t="s">
        <v>1428</v>
      </c>
    </row>
    <row r="17732" spans="1:9" hidden="1" x14ac:dyDescent="0.25">
      <c r="A17732" t="s">
        <v>15032</v>
      </c>
      <c r="B17732" t="s">
        <v>20</v>
      </c>
      <c r="C17732" s="2">
        <f>HYPERLINK("https://cao.dolgi.msk.ru/account/1080220699/", 1080220699)</f>
        <v>1080220699</v>
      </c>
      <c r="D17732" t="s">
        <v>15036</v>
      </c>
      <c r="E17732">
        <v>-4114.83</v>
      </c>
      <c r="F17732">
        <v>-1.07</v>
      </c>
      <c r="G17732" t="s">
        <v>12</v>
      </c>
      <c r="I17732" t="s">
        <v>1428</v>
      </c>
    </row>
    <row r="17733" spans="1:9" hidden="1" x14ac:dyDescent="0.25">
      <c r="A17733" t="s">
        <v>15032</v>
      </c>
      <c r="B17733" t="s">
        <v>21</v>
      </c>
      <c r="C17733" s="2">
        <f>HYPERLINK("https://cao.dolgi.msk.ru/account/1080220701/", 1080220701)</f>
        <v>1080220701</v>
      </c>
      <c r="D17733" t="s">
        <v>15037</v>
      </c>
      <c r="E17733">
        <v>-3178.22</v>
      </c>
      <c r="F17733">
        <v>-0.93</v>
      </c>
      <c r="G17733" t="s">
        <v>12</v>
      </c>
      <c r="I17733" t="s">
        <v>1428</v>
      </c>
    </row>
    <row r="17734" spans="1:9" hidden="1" x14ac:dyDescent="0.25">
      <c r="A17734" t="s">
        <v>15032</v>
      </c>
      <c r="B17734" t="s">
        <v>22</v>
      </c>
      <c r="C17734" s="2">
        <f>HYPERLINK("https://cao.dolgi.msk.ru/account/1080220728/", 1080220728)</f>
        <v>1080220728</v>
      </c>
      <c r="D17734" t="s">
        <v>15038</v>
      </c>
      <c r="E17734">
        <v>62.09</v>
      </c>
      <c r="F17734">
        <v>0.01</v>
      </c>
      <c r="G17734" t="s">
        <v>12</v>
      </c>
      <c r="I17734" t="s">
        <v>1428</v>
      </c>
    </row>
    <row r="17735" spans="1:9" hidden="1" x14ac:dyDescent="0.25">
      <c r="A17735" t="s">
        <v>15032</v>
      </c>
      <c r="B17735" t="s">
        <v>23</v>
      </c>
      <c r="C17735" s="2">
        <f>HYPERLINK("https://cao.dolgi.msk.ru/account/1080220736/", 1080220736)</f>
        <v>1080220736</v>
      </c>
      <c r="D17735" t="s">
        <v>15039</v>
      </c>
      <c r="E17735">
        <v>-8301.06</v>
      </c>
      <c r="F17735">
        <v>-1.03</v>
      </c>
      <c r="G17735" t="s">
        <v>12</v>
      </c>
      <c r="I17735" t="s">
        <v>1428</v>
      </c>
    </row>
    <row r="17736" spans="1:9" hidden="1" x14ac:dyDescent="0.25">
      <c r="A17736" t="s">
        <v>15032</v>
      </c>
      <c r="B17736" t="s">
        <v>24</v>
      </c>
      <c r="C17736" s="2">
        <f>HYPERLINK("https://cao.dolgi.msk.ru/account/1080220744/", 1080220744)</f>
        <v>1080220744</v>
      </c>
      <c r="D17736" t="s">
        <v>15040</v>
      </c>
      <c r="E17736">
        <v>-6819.97</v>
      </c>
      <c r="F17736">
        <v>-0.88</v>
      </c>
      <c r="G17736" t="s">
        <v>12</v>
      </c>
      <c r="I17736" t="s">
        <v>1428</v>
      </c>
    </row>
    <row r="17737" spans="1:9" hidden="1" x14ac:dyDescent="0.25">
      <c r="A17737" t="s">
        <v>15032</v>
      </c>
      <c r="B17737" t="s">
        <v>27</v>
      </c>
      <c r="C17737" s="2">
        <f>HYPERLINK("https://cao.dolgi.msk.ru/account/1080220752/", 1080220752)</f>
        <v>1080220752</v>
      </c>
      <c r="D17737" t="s">
        <v>15041</v>
      </c>
      <c r="E17737">
        <v>-18228.84</v>
      </c>
      <c r="F17737">
        <v>-2.0699999999999998</v>
      </c>
      <c r="G17737" t="s">
        <v>12</v>
      </c>
      <c r="I17737" t="s">
        <v>1428</v>
      </c>
    </row>
    <row r="17738" spans="1:9" hidden="1" x14ac:dyDescent="0.25">
      <c r="A17738" t="s">
        <v>15032</v>
      </c>
      <c r="B17738" t="s">
        <v>29</v>
      </c>
      <c r="C17738" s="2">
        <f>HYPERLINK("https://cao.dolgi.msk.ru/account/1080220779/", 1080220779)</f>
        <v>1080220779</v>
      </c>
      <c r="D17738" t="s">
        <v>15042</v>
      </c>
      <c r="E17738">
        <v>-6709.75</v>
      </c>
      <c r="F17738">
        <v>-1.04</v>
      </c>
      <c r="G17738" t="s">
        <v>12</v>
      </c>
      <c r="I17738" t="s">
        <v>1428</v>
      </c>
    </row>
    <row r="17739" spans="1:9" hidden="1" x14ac:dyDescent="0.25">
      <c r="A17739" t="s">
        <v>15032</v>
      </c>
      <c r="B17739" t="s">
        <v>31</v>
      </c>
      <c r="C17739" s="2">
        <f>HYPERLINK("https://cao.dolgi.msk.ru/account/1080220787/", 1080220787)</f>
        <v>1080220787</v>
      </c>
      <c r="D17739" t="s">
        <v>15043</v>
      </c>
      <c r="E17739">
        <v>21.12</v>
      </c>
      <c r="F17739">
        <v>0</v>
      </c>
      <c r="G17739" t="s">
        <v>12</v>
      </c>
      <c r="I17739" t="s">
        <v>1428</v>
      </c>
    </row>
    <row r="17740" spans="1:9" hidden="1" x14ac:dyDescent="0.25">
      <c r="A17740" t="s">
        <v>15032</v>
      </c>
      <c r="B17740" t="s">
        <v>33</v>
      </c>
      <c r="C17740" s="2">
        <f>HYPERLINK("https://cao.dolgi.msk.ru/account/1080220795/", 1080220795)</f>
        <v>1080220795</v>
      </c>
      <c r="D17740" t="s">
        <v>15044</v>
      </c>
      <c r="E17740">
        <v>-960.41</v>
      </c>
      <c r="F17740">
        <v>-0.12</v>
      </c>
      <c r="G17740" t="s">
        <v>12</v>
      </c>
      <c r="I17740" t="s">
        <v>1428</v>
      </c>
    </row>
    <row r="17741" spans="1:9" hidden="1" x14ac:dyDescent="0.25">
      <c r="A17741" t="s">
        <v>15032</v>
      </c>
      <c r="B17741" t="s">
        <v>33</v>
      </c>
      <c r="C17741" s="2">
        <f>HYPERLINK("https://cao.dolgi.msk.ru/account/1080220808/", 1080220808)</f>
        <v>1080220808</v>
      </c>
      <c r="D17741" t="s">
        <v>15044</v>
      </c>
      <c r="E17741">
        <v>-2408.5</v>
      </c>
      <c r="G17741" t="s">
        <v>12</v>
      </c>
      <c r="I17741" t="s">
        <v>1428</v>
      </c>
    </row>
    <row r="17742" spans="1:9" hidden="1" x14ac:dyDescent="0.25">
      <c r="A17742" t="s">
        <v>15032</v>
      </c>
      <c r="B17742" t="s">
        <v>34</v>
      </c>
      <c r="C17742" s="2">
        <f>HYPERLINK("https://cao.dolgi.msk.ru/account/1080220816/", 1080220816)</f>
        <v>1080220816</v>
      </c>
      <c r="D17742" t="s">
        <v>15045</v>
      </c>
      <c r="E17742">
        <v>-7567.76</v>
      </c>
      <c r="F17742">
        <v>-1.02</v>
      </c>
      <c r="G17742" t="s">
        <v>12</v>
      </c>
      <c r="I17742" t="s">
        <v>1428</v>
      </c>
    </row>
    <row r="17743" spans="1:9" hidden="1" x14ac:dyDescent="0.25">
      <c r="A17743" t="s">
        <v>15032</v>
      </c>
      <c r="B17743" t="s">
        <v>36</v>
      </c>
      <c r="C17743" s="2">
        <f>HYPERLINK("https://cao.dolgi.msk.ru/account/1080220824/", 1080220824)</f>
        <v>1080220824</v>
      </c>
      <c r="D17743" t="s">
        <v>15046</v>
      </c>
      <c r="E17743">
        <v>-4715.3</v>
      </c>
      <c r="F17743">
        <v>-1.03</v>
      </c>
      <c r="G17743" t="s">
        <v>12</v>
      </c>
      <c r="I17743" t="s">
        <v>1428</v>
      </c>
    </row>
    <row r="17744" spans="1:9" hidden="1" x14ac:dyDescent="0.25">
      <c r="A17744" t="s">
        <v>15032</v>
      </c>
      <c r="B17744" t="s">
        <v>38</v>
      </c>
      <c r="C17744" s="2">
        <f>HYPERLINK("https://cao.dolgi.msk.ru/account/1080220832/", 1080220832)</f>
        <v>1080220832</v>
      </c>
      <c r="D17744" t="s">
        <v>15047</v>
      </c>
      <c r="E17744">
        <v>-8309.52</v>
      </c>
      <c r="F17744">
        <v>-1.06</v>
      </c>
      <c r="G17744" t="s">
        <v>12</v>
      </c>
      <c r="I17744" t="s">
        <v>1428</v>
      </c>
    </row>
    <row r="17745" spans="1:9" hidden="1" x14ac:dyDescent="0.25">
      <c r="A17745" t="s">
        <v>15032</v>
      </c>
      <c r="B17745" t="s">
        <v>39</v>
      </c>
      <c r="C17745" s="2">
        <f>HYPERLINK("https://cao.dolgi.msk.ru/account/1080220859/", 1080220859)</f>
        <v>1080220859</v>
      </c>
      <c r="D17745" t="s">
        <v>15048</v>
      </c>
      <c r="E17745">
        <v>-60539.6</v>
      </c>
      <c r="F17745">
        <v>-11.57</v>
      </c>
      <c r="G17745" t="s">
        <v>12</v>
      </c>
      <c r="I17745" t="s">
        <v>1428</v>
      </c>
    </row>
    <row r="17746" spans="1:9" hidden="1" x14ac:dyDescent="0.25">
      <c r="A17746" t="s">
        <v>15032</v>
      </c>
      <c r="B17746" t="s">
        <v>40</v>
      </c>
      <c r="C17746" s="2">
        <f>HYPERLINK("https://cao.dolgi.msk.ru/account/1080220867/", 1080220867)</f>
        <v>1080220867</v>
      </c>
      <c r="D17746" t="s">
        <v>15049</v>
      </c>
      <c r="E17746">
        <v>-5814.24</v>
      </c>
      <c r="F17746">
        <v>-1.06</v>
      </c>
      <c r="G17746" t="s">
        <v>12</v>
      </c>
      <c r="I17746" t="s">
        <v>1428</v>
      </c>
    </row>
    <row r="17747" spans="1:9" hidden="1" x14ac:dyDescent="0.25">
      <c r="A17747" t="s">
        <v>15032</v>
      </c>
      <c r="B17747" t="s">
        <v>41</v>
      </c>
      <c r="C17747" s="2">
        <f>HYPERLINK("https://cao.dolgi.msk.ru/account/1080220875/", 1080220875)</f>
        <v>1080220875</v>
      </c>
      <c r="D17747" t="s">
        <v>15050</v>
      </c>
      <c r="E17747">
        <v>0</v>
      </c>
      <c r="F17747">
        <v>0</v>
      </c>
      <c r="G17747" t="s">
        <v>12</v>
      </c>
      <c r="I17747" t="s">
        <v>1428</v>
      </c>
    </row>
    <row r="17748" spans="1:9" hidden="1" x14ac:dyDescent="0.25">
      <c r="A17748" t="s">
        <v>15032</v>
      </c>
      <c r="B17748" t="s">
        <v>41</v>
      </c>
      <c r="C17748" s="2">
        <f>HYPERLINK("https://cao.dolgi.msk.ru/account/1083321874/", 1083321874)</f>
        <v>1083321874</v>
      </c>
      <c r="D17748" t="s">
        <v>15</v>
      </c>
      <c r="E17748">
        <v>-670.65</v>
      </c>
      <c r="G17748" t="s">
        <v>14</v>
      </c>
      <c r="I17748" t="s">
        <v>1428</v>
      </c>
    </row>
    <row r="17749" spans="1:9" hidden="1" x14ac:dyDescent="0.25">
      <c r="A17749" t="s">
        <v>15032</v>
      </c>
      <c r="B17749" t="s">
        <v>42</v>
      </c>
      <c r="C17749" s="2">
        <f>HYPERLINK("https://cao.dolgi.msk.ru/account/1080220883/", 1080220883)</f>
        <v>1080220883</v>
      </c>
      <c r="D17749" t="s">
        <v>15051</v>
      </c>
      <c r="E17749">
        <v>-38.799999999999997</v>
      </c>
      <c r="F17749">
        <v>-0.01</v>
      </c>
      <c r="G17749" t="s">
        <v>12</v>
      </c>
      <c r="I17749" t="s">
        <v>1428</v>
      </c>
    </row>
    <row r="17750" spans="1:9" hidden="1" x14ac:dyDescent="0.25">
      <c r="A17750" t="s">
        <v>15032</v>
      </c>
      <c r="B17750" t="s">
        <v>44</v>
      </c>
      <c r="C17750" s="2">
        <f>HYPERLINK("https://cao.dolgi.msk.ru/account/1080220891/", 1080220891)</f>
        <v>1080220891</v>
      </c>
      <c r="D17750" t="s">
        <v>15052</v>
      </c>
      <c r="E17750">
        <v>-10947.45</v>
      </c>
      <c r="F17750">
        <v>-2.3199999999999998</v>
      </c>
      <c r="G17750" t="s">
        <v>12</v>
      </c>
      <c r="I17750" t="s">
        <v>1428</v>
      </c>
    </row>
    <row r="17751" spans="1:9" hidden="1" x14ac:dyDescent="0.25">
      <c r="A17751" t="s">
        <v>15032</v>
      </c>
      <c r="B17751" t="s">
        <v>66</v>
      </c>
      <c r="C17751" s="2">
        <f>HYPERLINK("https://cao.dolgi.msk.ru/account/1080220904/", 1080220904)</f>
        <v>1080220904</v>
      </c>
      <c r="D17751" t="s">
        <v>15053</v>
      </c>
      <c r="E17751">
        <v>-9151.56</v>
      </c>
      <c r="F17751">
        <v>-1.03</v>
      </c>
      <c r="G17751" t="s">
        <v>12</v>
      </c>
      <c r="I17751" t="s">
        <v>1428</v>
      </c>
    </row>
    <row r="17752" spans="1:9" hidden="1" x14ac:dyDescent="0.25">
      <c r="A17752" t="s">
        <v>15032</v>
      </c>
      <c r="B17752" t="s">
        <v>68</v>
      </c>
      <c r="C17752" s="2">
        <f>HYPERLINK("https://cao.dolgi.msk.ru/account/1080220912/", 1080220912)</f>
        <v>1080220912</v>
      </c>
      <c r="D17752" t="s">
        <v>15054</v>
      </c>
      <c r="E17752">
        <v>-5010.51</v>
      </c>
      <c r="F17752">
        <v>-0.94</v>
      </c>
      <c r="G17752" t="s">
        <v>12</v>
      </c>
      <c r="I17752" t="s">
        <v>1428</v>
      </c>
    </row>
    <row r="17753" spans="1:9" hidden="1" x14ac:dyDescent="0.25">
      <c r="A17753" t="s">
        <v>15032</v>
      </c>
      <c r="B17753" t="s">
        <v>70</v>
      </c>
      <c r="C17753" s="2">
        <f>HYPERLINK("https://cao.dolgi.msk.ru/account/1080220939/", 1080220939)</f>
        <v>1080220939</v>
      </c>
      <c r="D17753" t="s">
        <v>15055</v>
      </c>
      <c r="E17753">
        <v>132.1</v>
      </c>
      <c r="F17753">
        <v>0.03</v>
      </c>
      <c r="G17753" t="s">
        <v>12</v>
      </c>
      <c r="I17753" t="s">
        <v>1428</v>
      </c>
    </row>
    <row r="17754" spans="1:9" hidden="1" x14ac:dyDescent="0.25">
      <c r="A17754" t="s">
        <v>15032</v>
      </c>
      <c r="B17754" t="s">
        <v>72</v>
      </c>
      <c r="C17754" s="2">
        <f>HYPERLINK("https://cao.dolgi.msk.ru/account/1080220947/", 1080220947)</f>
        <v>1080220947</v>
      </c>
      <c r="D17754" t="s">
        <v>15056</v>
      </c>
      <c r="E17754">
        <v>-6754.99</v>
      </c>
      <c r="F17754">
        <v>-1.02</v>
      </c>
      <c r="G17754" t="s">
        <v>12</v>
      </c>
      <c r="I17754" t="s">
        <v>1428</v>
      </c>
    </row>
    <row r="17755" spans="1:9" hidden="1" x14ac:dyDescent="0.25">
      <c r="A17755" t="s">
        <v>15032</v>
      </c>
      <c r="B17755" t="s">
        <v>74</v>
      </c>
      <c r="C17755" s="2">
        <f>HYPERLINK("https://cao.dolgi.msk.ru/account/1080220955/", 1080220955)</f>
        <v>1080220955</v>
      </c>
      <c r="D17755" t="s">
        <v>15057</v>
      </c>
      <c r="E17755">
        <v>-8233.07</v>
      </c>
      <c r="F17755">
        <v>-1.24</v>
      </c>
      <c r="G17755" t="s">
        <v>12</v>
      </c>
      <c r="I17755" t="s">
        <v>1428</v>
      </c>
    </row>
    <row r="17756" spans="1:9" hidden="1" x14ac:dyDescent="0.25">
      <c r="A17756" t="s">
        <v>15032</v>
      </c>
      <c r="B17756" t="s">
        <v>76</v>
      </c>
      <c r="C17756" s="2">
        <f>HYPERLINK("https://cao.dolgi.msk.ru/account/1080220963/", 1080220963)</f>
        <v>1080220963</v>
      </c>
      <c r="D17756" t="s">
        <v>15058</v>
      </c>
      <c r="E17756">
        <v>-1757.37</v>
      </c>
      <c r="F17756">
        <v>-1.02</v>
      </c>
      <c r="G17756" t="s">
        <v>12</v>
      </c>
      <c r="I17756" t="s">
        <v>1428</v>
      </c>
    </row>
    <row r="17757" spans="1:9" hidden="1" x14ac:dyDescent="0.25">
      <c r="A17757" t="s">
        <v>15032</v>
      </c>
      <c r="B17757" t="s">
        <v>76</v>
      </c>
      <c r="C17757" s="2">
        <f>HYPERLINK("https://cao.dolgi.msk.ru/account/1083274465/", 1083274465)</f>
        <v>1083274465</v>
      </c>
      <c r="D17757" t="s">
        <v>15</v>
      </c>
      <c r="E17757">
        <v>-3595.65</v>
      </c>
      <c r="F17757">
        <v>-0.97</v>
      </c>
      <c r="G17757" t="s">
        <v>12</v>
      </c>
      <c r="I17757" t="s">
        <v>1428</v>
      </c>
    </row>
    <row r="17758" spans="1:9" hidden="1" x14ac:dyDescent="0.25">
      <c r="A17758" t="s">
        <v>15032</v>
      </c>
      <c r="B17758" t="s">
        <v>78</v>
      </c>
      <c r="C17758" s="2">
        <f>HYPERLINK("https://cao.dolgi.msk.ru/account/1080220971/", 1080220971)</f>
        <v>1080220971</v>
      </c>
      <c r="D17758" t="s">
        <v>15</v>
      </c>
      <c r="E17758">
        <v>-17832.8</v>
      </c>
      <c r="F17758">
        <v>-3.15</v>
      </c>
      <c r="G17758" t="s">
        <v>12</v>
      </c>
      <c r="I17758" t="s">
        <v>1428</v>
      </c>
    </row>
    <row r="17759" spans="1:9" hidden="1" x14ac:dyDescent="0.25">
      <c r="A17759" t="s">
        <v>15032</v>
      </c>
      <c r="B17759" t="s">
        <v>80</v>
      </c>
      <c r="C17759" s="2">
        <f>HYPERLINK("https://cao.dolgi.msk.ru/account/1080220998/", 1080220998)</f>
        <v>1080220998</v>
      </c>
      <c r="D17759" t="s">
        <v>15059</v>
      </c>
      <c r="E17759">
        <v>-5566.11</v>
      </c>
      <c r="F17759">
        <v>-1.0900000000000001</v>
      </c>
      <c r="G17759" t="s">
        <v>12</v>
      </c>
      <c r="I17759" t="s">
        <v>1428</v>
      </c>
    </row>
    <row r="17760" spans="1:9" hidden="1" x14ac:dyDescent="0.25">
      <c r="A17760" t="s">
        <v>15032</v>
      </c>
      <c r="B17760" t="s">
        <v>82</v>
      </c>
      <c r="C17760" s="2">
        <f>HYPERLINK("https://cao.dolgi.msk.ru/account/1080221018/", 1080221018)</f>
        <v>1080221018</v>
      </c>
      <c r="D17760" t="s">
        <v>15060</v>
      </c>
      <c r="E17760">
        <v>-4654.6400000000003</v>
      </c>
      <c r="F17760">
        <v>-1.06</v>
      </c>
      <c r="G17760" t="s">
        <v>12</v>
      </c>
      <c r="I17760" t="s">
        <v>1428</v>
      </c>
    </row>
    <row r="17761" spans="1:9" hidden="1" x14ac:dyDescent="0.25">
      <c r="A17761" t="s">
        <v>15032</v>
      </c>
      <c r="B17761" t="s">
        <v>84</v>
      </c>
      <c r="C17761" s="2">
        <f>HYPERLINK("https://cao.dolgi.msk.ru/account/1080221026/", 1080221026)</f>
        <v>1080221026</v>
      </c>
      <c r="D17761" t="s">
        <v>15</v>
      </c>
      <c r="E17761">
        <v>-6265.19</v>
      </c>
      <c r="F17761">
        <v>-1.03</v>
      </c>
      <c r="G17761" t="s">
        <v>12</v>
      </c>
      <c r="I17761" t="s">
        <v>1428</v>
      </c>
    </row>
    <row r="17762" spans="1:9" hidden="1" x14ac:dyDescent="0.25">
      <c r="A17762" t="s">
        <v>15032</v>
      </c>
      <c r="B17762" t="s">
        <v>86</v>
      </c>
      <c r="C17762" s="2">
        <f>HYPERLINK("https://cao.dolgi.msk.ru/account/1080221034/", 1080221034)</f>
        <v>1080221034</v>
      </c>
      <c r="D17762" t="s">
        <v>15061</v>
      </c>
      <c r="E17762">
        <v>-5285.53</v>
      </c>
      <c r="F17762">
        <v>-0.99</v>
      </c>
      <c r="G17762" t="s">
        <v>12</v>
      </c>
      <c r="I17762" t="s">
        <v>1428</v>
      </c>
    </row>
    <row r="17763" spans="1:9" hidden="1" x14ac:dyDescent="0.25">
      <c r="A17763" t="s">
        <v>15032</v>
      </c>
      <c r="B17763" t="s">
        <v>88</v>
      </c>
      <c r="C17763" s="2">
        <f>HYPERLINK("https://cao.dolgi.msk.ru/account/1080221042/", 1080221042)</f>
        <v>1080221042</v>
      </c>
      <c r="D17763" t="s">
        <v>15062</v>
      </c>
      <c r="E17763">
        <v>-6794.75</v>
      </c>
      <c r="F17763">
        <v>-1.04</v>
      </c>
      <c r="G17763" t="s">
        <v>12</v>
      </c>
      <c r="I17763" t="s">
        <v>1428</v>
      </c>
    </row>
    <row r="17764" spans="1:9" hidden="1" x14ac:dyDescent="0.25">
      <c r="A17764" t="s">
        <v>15032</v>
      </c>
      <c r="B17764" t="s">
        <v>90</v>
      </c>
      <c r="C17764" s="2">
        <f>HYPERLINK("https://cao.dolgi.msk.ru/account/1080221069/", 1080221069)</f>
        <v>1080221069</v>
      </c>
      <c r="D17764" t="s">
        <v>15063</v>
      </c>
      <c r="E17764">
        <v>138.91999999999999</v>
      </c>
      <c r="G17764" t="s">
        <v>14</v>
      </c>
      <c r="I17764" t="s">
        <v>1428</v>
      </c>
    </row>
    <row r="17765" spans="1:9" hidden="1" x14ac:dyDescent="0.25">
      <c r="A17765" t="s">
        <v>15032</v>
      </c>
      <c r="B17765" t="s">
        <v>90</v>
      </c>
      <c r="C17765" s="2">
        <f>HYPERLINK("https://cao.dolgi.msk.ru/account/1080222395/", 1080222395)</f>
        <v>1080222395</v>
      </c>
      <c r="D17765" t="s">
        <v>15063</v>
      </c>
      <c r="E17765">
        <v>0</v>
      </c>
      <c r="F17765">
        <v>0</v>
      </c>
      <c r="G17765" t="s">
        <v>12</v>
      </c>
      <c r="I17765" t="s">
        <v>1428</v>
      </c>
    </row>
    <row r="17766" spans="1:9" hidden="1" x14ac:dyDescent="0.25">
      <c r="A17766" t="s">
        <v>15032</v>
      </c>
      <c r="B17766" t="s">
        <v>92</v>
      </c>
      <c r="C17766" s="2">
        <f>HYPERLINK("https://cao.dolgi.msk.ru/account/1080221077/", 1080221077)</f>
        <v>1080221077</v>
      </c>
      <c r="D17766" t="s">
        <v>15064</v>
      </c>
      <c r="E17766">
        <v>-112.32</v>
      </c>
      <c r="F17766">
        <v>-0.02</v>
      </c>
      <c r="G17766" t="s">
        <v>12</v>
      </c>
      <c r="I17766" t="s">
        <v>1428</v>
      </c>
    </row>
    <row r="17767" spans="1:9" hidden="1" x14ac:dyDescent="0.25">
      <c r="A17767" t="s">
        <v>15032</v>
      </c>
      <c r="B17767" t="s">
        <v>94</v>
      </c>
      <c r="C17767" s="2">
        <f>HYPERLINK("https://cao.dolgi.msk.ru/account/1080221085/", 1080221085)</f>
        <v>1080221085</v>
      </c>
      <c r="D17767" t="s">
        <v>15065</v>
      </c>
      <c r="E17767">
        <v>-5965.6</v>
      </c>
      <c r="F17767">
        <v>-1.06</v>
      </c>
      <c r="G17767" t="s">
        <v>12</v>
      </c>
      <c r="I17767" t="s">
        <v>1428</v>
      </c>
    </row>
    <row r="17768" spans="1:9" hidden="1" x14ac:dyDescent="0.25">
      <c r="A17768" t="s">
        <v>15032</v>
      </c>
      <c r="B17768" t="s">
        <v>96</v>
      </c>
      <c r="C17768" s="2">
        <f>HYPERLINK("https://cao.dolgi.msk.ru/account/1080221093/", 1080221093)</f>
        <v>1080221093</v>
      </c>
      <c r="D17768" t="s">
        <v>15066</v>
      </c>
      <c r="E17768">
        <v>-4829.84</v>
      </c>
      <c r="F17768">
        <v>-0.79</v>
      </c>
      <c r="G17768" t="s">
        <v>12</v>
      </c>
      <c r="I17768" t="s">
        <v>1428</v>
      </c>
    </row>
    <row r="17769" spans="1:9" hidden="1" x14ac:dyDescent="0.25">
      <c r="A17769" t="s">
        <v>15032</v>
      </c>
      <c r="B17769" t="s">
        <v>98</v>
      </c>
      <c r="C17769" s="2">
        <f>HYPERLINK("https://cao.dolgi.msk.ru/account/1080222387/", 1080222387)</f>
        <v>1080222387</v>
      </c>
      <c r="D17769" t="s">
        <v>15067</v>
      </c>
      <c r="E17769">
        <v>-1969.04</v>
      </c>
      <c r="F17769">
        <v>-0.39</v>
      </c>
      <c r="G17769" t="s">
        <v>12</v>
      </c>
      <c r="I17769" t="s">
        <v>1428</v>
      </c>
    </row>
    <row r="17770" spans="1:9" hidden="1" x14ac:dyDescent="0.25">
      <c r="A17770" t="s">
        <v>15032</v>
      </c>
      <c r="B17770" t="s">
        <v>100</v>
      </c>
      <c r="C17770" s="2">
        <f>HYPERLINK("https://cao.dolgi.msk.ru/account/1080221106/", 1080221106)</f>
        <v>1080221106</v>
      </c>
      <c r="D17770" t="s">
        <v>15068</v>
      </c>
      <c r="E17770">
        <v>-5969.64</v>
      </c>
      <c r="F17770">
        <v>-1.1399999999999999</v>
      </c>
      <c r="G17770" t="s">
        <v>12</v>
      </c>
      <c r="I17770" t="s">
        <v>1428</v>
      </c>
    </row>
    <row r="17771" spans="1:9" hidden="1" x14ac:dyDescent="0.25">
      <c r="A17771" t="s">
        <v>15032</v>
      </c>
      <c r="B17771" t="s">
        <v>102</v>
      </c>
      <c r="C17771" s="2">
        <f>HYPERLINK("https://cao.dolgi.msk.ru/account/1080221114/", 1080221114)</f>
        <v>1080221114</v>
      </c>
      <c r="D17771" t="s">
        <v>15069</v>
      </c>
      <c r="E17771">
        <v>0</v>
      </c>
      <c r="F17771">
        <v>0</v>
      </c>
      <c r="G17771" t="s">
        <v>12</v>
      </c>
      <c r="I17771" t="s">
        <v>1428</v>
      </c>
    </row>
    <row r="17772" spans="1:9" hidden="1" x14ac:dyDescent="0.25">
      <c r="A17772" t="s">
        <v>15032</v>
      </c>
      <c r="B17772" t="s">
        <v>104</v>
      </c>
      <c r="C17772" s="2">
        <f>HYPERLINK("https://cao.dolgi.msk.ru/account/1080221122/", 1080221122)</f>
        <v>1080221122</v>
      </c>
      <c r="D17772" t="s">
        <v>15070</v>
      </c>
      <c r="E17772">
        <v>-5044.53</v>
      </c>
      <c r="F17772">
        <v>-0.88</v>
      </c>
      <c r="G17772" t="s">
        <v>12</v>
      </c>
      <c r="I17772" t="s">
        <v>1428</v>
      </c>
    </row>
    <row r="17773" spans="1:9" hidden="1" x14ac:dyDescent="0.25">
      <c r="A17773" t="s">
        <v>15032</v>
      </c>
      <c r="B17773" t="s">
        <v>106</v>
      </c>
      <c r="C17773" s="2">
        <f>HYPERLINK("https://cao.dolgi.msk.ru/account/1080221149/", 1080221149)</f>
        <v>1080221149</v>
      </c>
      <c r="D17773" t="s">
        <v>15071</v>
      </c>
      <c r="E17773">
        <v>-3.69</v>
      </c>
      <c r="F17773">
        <v>0</v>
      </c>
      <c r="G17773" t="s">
        <v>12</v>
      </c>
      <c r="I17773" t="s">
        <v>1428</v>
      </c>
    </row>
    <row r="17774" spans="1:9" hidden="1" x14ac:dyDescent="0.25">
      <c r="A17774" t="s">
        <v>15032</v>
      </c>
      <c r="B17774" t="s">
        <v>108</v>
      </c>
      <c r="C17774" s="2">
        <f>HYPERLINK("https://cao.dolgi.msk.ru/account/1080221157/", 1080221157)</f>
        <v>1080221157</v>
      </c>
      <c r="D17774" t="s">
        <v>15072</v>
      </c>
      <c r="E17774">
        <v>-7959.83</v>
      </c>
      <c r="F17774">
        <v>-1.05</v>
      </c>
      <c r="G17774" t="s">
        <v>12</v>
      </c>
      <c r="I17774" t="s">
        <v>1428</v>
      </c>
    </row>
    <row r="17775" spans="1:9" hidden="1" x14ac:dyDescent="0.25">
      <c r="A17775" t="s">
        <v>15032</v>
      </c>
      <c r="B17775" t="s">
        <v>110</v>
      </c>
      <c r="C17775" s="2">
        <f>HYPERLINK("https://cao.dolgi.msk.ru/account/1080221165/", 1080221165)</f>
        <v>1080221165</v>
      </c>
      <c r="D17775" t="s">
        <v>15073</v>
      </c>
      <c r="E17775">
        <v>-9422.1299999999992</v>
      </c>
      <c r="F17775">
        <v>-1.04</v>
      </c>
      <c r="G17775" t="s">
        <v>12</v>
      </c>
      <c r="I17775" t="s">
        <v>1428</v>
      </c>
    </row>
    <row r="17776" spans="1:9" hidden="1" x14ac:dyDescent="0.25">
      <c r="A17776" t="s">
        <v>15032</v>
      </c>
      <c r="B17776" t="s">
        <v>112</v>
      </c>
      <c r="C17776" s="2">
        <f>HYPERLINK("https://cao.dolgi.msk.ru/account/1080221173/", 1080221173)</f>
        <v>1080221173</v>
      </c>
      <c r="D17776" t="s">
        <v>15074</v>
      </c>
      <c r="E17776">
        <v>-10831.35</v>
      </c>
      <c r="F17776">
        <v>-1.03</v>
      </c>
      <c r="G17776" t="s">
        <v>12</v>
      </c>
      <c r="I17776" t="s">
        <v>1428</v>
      </c>
    </row>
    <row r="17777" spans="1:9" hidden="1" x14ac:dyDescent="0.25">
      <c r="A17777" t="s">
        <v>15032</v>
      </c>
      <c r="B17777" t="s">
        <v>114</v>
      </c>
      <c r="C17777" s="2">
        <f>HYPERLINK("https://cao.dolgi.msk.ru/account/1080221181/", 1080221181)</f>
        <v>1080221181</v>
      </c>
      <c r="D17777" t="s">
        <v>15075</v>
      </c>
      <c r="E17777">
        <v>0</v>
      </c>
      <c r="F17777">
        <v>0</v>
      </c>
      <c r="G17777" t="s">
        <v>12</v>
      </c>
      <c r="I17777" t="s">
        <v>1428</v>
      </c>
    </row>
    <row r="17778" spans="1:9" hidden="1" x14ac:dyDescent="0.25">
      <c r="A17778" t="s">
        <v>15032</v>
      </c>
      <c r="B17778" t="s">
        <v>116</v>
      </c>
      <c r="C17778" s="2">
        <f>HYPERLINK("https://cao.dolgi.msk.ru/account/1080221229/", 1080221229)</f>
        <v>1080221229</v>
      </c>
      <c r="D17778" t="s">
        <v>15076</v>
      </c>
      <c r="E17778">
        <v>-11285.8</v>
      </c>
      <c r="F17778">
        <v>-1.01</v>
      </c>
      <c r="G17778" t="s">
        <v>12</v>
      </c>
      <c r="I17778" t="s">
        <v>1428</v>
      </c>
    </row>
    <row r="17779" spans="1:9" hidden="1" x14ac:dyDescent="0.25">
      <c r="A17779" t="s">
        <v>15032</v>
      </c>
      <c r="B17779" t="s">
        <v>118</v>
      </c>
      <c r="C17779" s="2">
        <f>HYPERLINK("https://cao.dolgi.msk.ru/account/1080221237/", 1080221237)</f>
        <v>1080221237</v>
      </c>
      <c r="D17779" t="s">
        <v>15</v>
      </c>
      <c r="G17779" t="s">
        <v>14</v>
      </c>
      <c r="I17779" t="s">
        <v>1428</v>
      </c>
    </row>
    <row r="17780" spans="1:9" hidden="1" x14ac:dyDescent="0.25">
      <c r="A17780" t="s">
        <v>15032</v>
      </c>
      <c r="B17780" t="s">
        <v>118</v>
      </c>
      <c r="C17780" s="2">
        <f>HYPERLINK("https://cao.dolgi.msk.ru/account/1080221245/", 1080221245)</f>
        <v>1080221245</v>
      </c>
      <c r="D17780" t="s">
        <v>15</v>
      </c>
      <c r="G17780" t="s">
        <v>14</v>
      </c>
      <c r="I17780" t="s">
        <v>1428</v>
      </c>
    </row>
    <row r="17781" spans="1:9" hidden="1" x14ac:dyDescent="0.25">
      <c r="A17781" t="s">
        <v>15032</v>
      </c>
      <c r="B17781" t="s">
        <v>120</v>
      </c>
      <c r="C17781" s="2">
        <f>HYPERLINK("https://cao.dolgi.msk.ru/account/1080221253/", 1080221253)</f>
        <v>1080221253</v>
      </c>
      <c r="D17781" t="s">
        <v>15077</v>
      </c>
      <c r="E17781">
        <v>-13866.32</v>
      </c>
      <c r="F17781">
        <v>-1.04</v>
      </c>
      <c r="G17781" t="s">
        <v>12</v>
      </c>
      <c r="I17781" t="s">
        <v>1428</v>
      </c>
    </row>
    <row r="17782" spans="1:9" x14ac:dyDescent="0.25">
      <c r="A17782" t="s">
        <v>15032</v>
      </c>
      <c r="B17782" t="s">
        <v>122</v>
      </c>
      <c r="C17782" s="2">
        <f>HYPERLINK("https://cao.dolgi.msk.ru/account/1080221261/", 1080221261)</f>
        <v>1080221261</v>
      </c>
      <c r="D17782" t="s">
        <v>15078</v>
      </c>
      <c r="E17782">
        <v>14628.96</v>
      </c>
      <c r="F17782">
        <v>1.57</v>
      </c>
      <c r="G17782" t="s">
        <v>12</v>
      </c>
      <c r="I17782" t="s">
        <v>1428</v>
      </c>
    </row>
    <row r="17783" spans="1:9" hidden="1" x14ac:dyDescent="0.25">
      <c r="A17783" t="s">
        <v>15032</v>
      </c>
      <c r="B17783" t="s">
        <v>124</v>
      </c>
      <c r="C17783" s="2">
        <f>HYPERLINK("https://cao.dolgi.msk.ru/account/1080221499/", 1080221499)</f>
        <v>1080221499</v>
      </c>
      <c r="D17783" t="s">
        <v>15079</v>
      </c>
      <c r="E17783">
        <v>-6104.09</v>
      </c>
      <c r="F17783">
        <v>-1.0900000000000001</v>
      </c>
      <c r="G17783" t="s">
        <v>12</v>
      </c>
      <c r="I17783" t="s">
        <v>1428</v>
      </c>
    </row>
    <row r="17784" spans="1:9" hidden="1" x14ac:dyDescent="0.25">
      <c r="A17784" t="s">
        <v>15032</v>
      </c>
      <c r="B17784" t="s">
        <v>126</v>
      </c>
      <c r="C17784" s="2">
        <f>HYPERLINK("https://cao.dolgi.msk.ru/account/1080221288/", 1080221288)</f>
        <v>1080221288</v>
      </c>
      <c r="D17784" t="s">
        <v>15</v>
      </c>
      <c r="E17784">
        <v>-7007.76</v>
      </c>
      <c r="F17784">
        <v>-1.1100000000000001</v>
      </c>
      <c r="G17784" t="s">
        <v>12</v>
      </c>
      <c r="I17784" t="s">
        <v>1428</v>
      </c>
    </row>
    <row r="17785" spans="1:9" hidden="1" x14ac:dyDescent="0.25">
      <c r="A17785" t="s">
        <v>15032</v>
      </c>
      <c r="B17785" t="s">
        <v>128</v>
      </c>
      <c r="C17785" s="2">
        <f>HYPERLINK("https://cao.dolgi.msk.ru/account/1080221296/", 1080221296)</f>
        <v>1080221296</v>
      </c>
      <c r="D17785" t="s">
        <v>15080</v>
      </c>
      <c r="E17785">
        <v>-6461.44</v>
      </c>
      <c r="F17785">
        <v>-1.04</v>
      </c>
      <c r="G17785" t="s">
        <v>12</v>
      </c>
      <c r="I17785" t="s">
        <v>1428</v>
      </c>
    </row>
    <row r="17786" spans="1:9" hidden="1" x14ac:dyDescent="0.25">
      <c r="A17786" t="s">
        <v>15032</v>
      </c>
      <c r="B17786" t="s">
        <v>130</v>
      </c>
      <c r="C17786" s="2">
        <f>HYPERLINK("https://cao.dolgi.msk.ru/account/1080221309/", 1080221309)</f>
        <v>1080221309</v>
      </c>
      <c r="D17786" t="s">
        <v>15081</v>
      </c>
      <c r="E17786">
        <v>-7386.01</v>
      </c>
      <c r="F17786">
        <v>-1.02</v>
      </c>
      <c r="G17786" t="s">
        <v>12</v>
      </c>
      <c r="I17786" t="s">
        <v>1428</v>
      </c>
    </row>
    <row r="17787" spans="1:9" hidden="1" x14ac:dyDescent="0.25">
      <c r="A17787" t="s">
        <v>15032</v>
      </c>
      <c r="B17787" t="s">
        <v>132</v>
      </c>
      <c r="C17787" s="2">
        <f>HYPERLINK("https://cao.dolgi.msk.ru/account/1080221317/", 1080221317)</f>
        <v>1080221317</v>
      </c>
      <c r="D17787" t="s">
        <v>15082</v>
      </c>
      <c r="E17787">
        <v>-5201.8599999999997</v>
      </c>
      <c r="F17787">
        <v>-1.1399999999999999</v>
      </c>
      <c r="G17787" t="s">
        <v>12</v>
      </c>
      <c r="I17787" t="s">
        <v>1428</v>
      </c>
    </row>
    <row r="17788" spans="1:9" hidden="1" x14ac:dyDescent="0.25">
      <c r="A17788" t="s">
        <v>15032</v>
      </c>
      <c r="B17788" t="s">
        <v>135</v>
      </c>
      <c r="C17788" s="2">
        <f>HYPERLINK("https://cao.dolgi.msk.ru/account/1080221333/", 1080221333)</f>
        <v>1080221333</v>
      </c>
      <c r="D17788" t="s">
        <v>15083</v>
      </c>
      <c r="E17788">
        <v>-4070.74</v>
      </c>
      <c r="F17788">
        <v>-1.21</v>
      </c>
      <c r="G17788" t="s">
        <v>12</v>
      </c>
      <c r="I17788" t="s">
        <v>1428</v>
      </c>
    </row>
    <row r="17789" spans="1:9" hidden="1" x14ac:dyDescent="0.25">
      <c r="A17789" t="s">
        <v>15032</v>
      </c>
      <c r="B17789" t="s">
        <v>137</v>
      </c>
      <c r="C17789" s="2">
        <f>HYPERLINK("https://cao.dolgi.msk.ru/account/1080221341/", 1080221341)</f>
        <v>1080221341</v>
      </c>
      <c r="D17789" t="s">
        <v>15084</v>
      </c>
      <c r="E17789">
        <v>29.06</v>
      </c>
      <c r="F17789">
        <v>0</v>
      </c>
      <c r="G17789" t="s">
        <v>12</v>
      </c>
      <c r="I17789" t="s">
        <v>1428</v>
      </c>
    </row>
    <row r="17790" spans="1:9" hidden="1" x14ac:dyDescent="0.25">
      <c r="A17790" t="s">
        <v>15032</v>
      </c>
      <c r="B17790" t="s">
        <v>139</v>
      </c>
      <c r="C17790" s="2">
        <f>HYPERLINK("https://cao.dolgi.msk.ru/account/1080221368/", 1080221368)</f>
        <v>1080221368</v>
      </c>
      <c r="D17790" t="s">
        <v>15085</v>
      </c>
      <c r="E17790">
        <v>-3032.26</v>
      </c>
      <c r="F17790">
        <v>-0.39</v>
      </c>
      <c r="G17790" t="s">
        <v>12</v>
      </c>
      <c r="I17790" t="s">
        <v>1428</v>
      </c>
    </row>
    <row r="17791" spans="1:9" hidden="1" x14ac:dyDescent="0.25">
      <c r="A17791" t="s">
        <v>15032</v>
      </c>
      <c r="B17791" t="s">
        <v>141</v>
      </c>
      <c r="C17791" s="2">
        <f>HYPERLINK("https://cao.dolgi.msk.ru/account/1080221376/", 1080221376)</f>
        <v>1080221376</v>
      </c>
      <c r="D17791" t="s">
        <v>15086</v>
      </c>
      <c r="E17791">
        <v>-4970.22</v>
      </c>
      <c r="F17791">
        <v>-1.03</v>
      </c>
      <c r="G17791" t="s">
        <v>12</v>
      </c>
      <c r="I17791" t="s">
        <v>1428</v>
      </c>
    </row>
    <row r="17792" spans="1:9" x14ac:dyDescent="0.25">
      <c r="A17792" t="s">
        <v>15032</v>
      </c>
      <c r="B17792" t="s">
        <v>141</v>
      </c>
      <c r="C17792" s="2">
        <f>HYPERLINK("https://cao.dolgi.msk.ru/account/1089130155/", 1089130155)</f>
        <v>1089130155</v>
      </c>
      <c r="D17792" t="s">
        <v>15087</v>
      </c>
      <c r="E17792">
        <v>9211.19</v>
      </c>
      <c r="F17792">
        <v>1.21</v>
      </c>
      <c r="G17792" t="s">
        <v>12</v>
      </c>
      <c r="I17792" t="s">
        <v>1428</v>
      </c>
    </row>
    <row r="17793" spans="1:9" hidden="1" x14ac:dyDescent="0.25">
      <c r="A17793" t="s">
        <v>15032</v>
      </c>
      <c r="B17793" t="s">
        <v>143</v>
      </c>
      <c r="C17793" s="2">
        <f>HYPERLINK("https://cao.dolgi.msk.ru/account/1080221384/", 1080221384)</f>
        <v>1080221384</v>
      </c>
      <c r="D17793" t="s">
        <v>15088</v>
      </c>
      <c r="E17793">
        <v>-5573.52</v>
      </c>
      <c r="F17793">
        <v>-1.06</v>
      </c>
      <c r="G17793" t="s">
        <v>12</v>
      </c>
      <c r="I17793" t="s">
        <v>1428</v>
      </c>
    </row>
    <row r="17794" spans="1:9" hidden="1" x14ac:dyDescent="0.25">
      <c r="A17794" t="s">
        <v>15032</v>
      </c>
      <c r="B17794" t="s">
        <v>145</v>
      </c>
      <c r="C17794" s="2">
        <f>HYPERLINK("https://cao.dolgi.msk.ru/account/1080221392/", 1080221392)</f>
        <v>1080221392</v>
      </c>
      <c r="D17794" t="s">
        <v>15089</v>
      </c>
      <c r="E17794">
        <v>-106.45</v>
      </c>
      <c r="F17794">
        <v>-0.01</v>
      </c>
      <c r="G17794" t="s">
        <v>12</v>
      </c>
      <c r="I17794" t="s">
        <v>1428</v>
      </c>
    </row>
    <row r="17795" spans="1:9" hidden="1" x14ac:dyDescent="0.25">
      <c r="A17795" t="s">
        <v>15032</v>
      </c>
      <c r="B17795" t="s">
        <v>147</v>
      </c>
      <c r="C17795" s="2">
        <f>HYPERLINK("https://cao.dolgi.msk.ru/account/1080221405/", 1080221405)</f>
        <v>1080221405</v>
      </c>
      <c r="D17795" t="s">
        <v>15090</v>
      </c>
      <c r="E17795">
        <v>6506.73</v>
      </c>
      <c r="F17795">
        <v>0.97</v>
      </c>
      <c r="G17795" t="s">
        <v>12</v>
      </c>
      <c r="I17795" t="s">
        <v>1428</v>
      </c>
    </row>
    <row r="17796" spans="1:9" hidden="1" x14ac:dyDescent="0.25">
      <c r="A17796" t="s">
        <v>15032</v>
      </c>
      <c r="B17796" t="s">
        <v>149</v>
      </c>
      <c r="C17796" s="2">
        <f>HYPERLINK("https://cao.dolgi.msk.ru/account/1080221413/", 1080221413)</f>
        <v>1080221413</v>
      </c>
      <c r="D17796" t="s">
        <v>15091</v>
      </c>
      <c r="E17796">
        <v>147.62</v>
      </c>
      <c r="F17796">
        <v>0.02</v>
      </c>
      <c r="G17796" t="s">
        <v>12</v>
      </c>
      <c r="I17796" t="s">
        <v>1428</v>
      </c>
    </row>
    <row r="17797" spans="1:9" hidden="1" x14ac:dyDescent="0.25">
      <c r="A17797" t="s">
        <v>15032</v>
      </c>
      <c r="B17797" t="s">
        <v>151</v>
      </c>
      <c r="C17797" s="2">
        <f>HYPERLINK("https://cao.dolgi.msk.ru/account/1080221421/", 1080221421)</f>
        <v>1080221421</v>
      </c>
      <c r="D17797" t="s">
        <v>15092</v>
      </c>
      <c r="E17797">
        <v>-15.61</v>
      </c>
      <c r="F17797">
        <v>0</v>
      </c>
      <c r="G17797" t="s">
        <v>12</v>
      </c>
      <c r="I17797" t="s">
        <v>1428</v>
      </c>
    </row>
    <row r="17798" spans="1:9" hidden="1" x14ac:dyDescent="0.25">
      <c r="A17798" t="s">
        <v>15032</v>
      </c>
      <c r="B17798" t="s">
        <v>153</v>
      </c>
      <c r="C17798" s="2">
        <f>HYPERLINK("https://cao.dolgi.msk.ru/account/1080221448/", 1080221448)</f>
        <v>1080221448</v>
      </c>
      <c r="D17798" t="s">
        <v>15093</v>
      </c>
      <c r="E17798">
        <v>-6997.64</v>
      </c>
      <c r="F17798">
        <v>-1.02</v>
      </c>
      <c r="G17798" t="s">
        <v>12</v>
      </c>
      <c r="I17798" t="s">
        <v>1428</v>
      </c>
    </row>
    <row r="17799" spans="1:9" hidden="1" x14ac:dyDescent="0.25">
      <c r="A17799" t="s">
        <v>15032</v>
      </c>
      <c r="B17799" t="s">
        <v>155</v>
      </c>
      <c r="C17799" s="2">
        <f>HYPERLINK("https://cao.dolgi.msk.ru/account/1080221456/", 1080221456)</f>
        <v>1080221456</v>
      </c>
      <c r="D17799" t="s">
        <v>15094</v>
      </c>
      <c r="E17799">
        <v>-8190.27</v>
      </c>
      <c r="F17799">
        <v>-1.02</v>
      </c>
      <c r="G17799" t="s">
        <v>12</v>
      </c>
      <c r="I17799" t="s">
        <v>1428</v>
      </c>
    </row>
    <row r="17800" spans="1:9" hidden="1" x14ac:dyDescent="0.25">
      <c r="A17800" t="s">
        <v>15032</v>
      </c>
      <c r="B17800" t="s">
        <v>157</v>
      </c>
      <c r="C17800" s="2">
        <f>HYPERLINK("https://cao.dolgi.msk.ru/account/1080221464/", 1080221464)</f>
        <v>1080221464</v>
      </c>
      <c r="D17800" t="s">
        <v>15095</v>
      </c>
      <c r="E17800">
        <v>18.670000000000002</v>
      </c>
      <c r="F17800">
        <v>0</v>
      </c>
      <c r="G17800" t="s">
        <v>12</v>
      </c>
      <c r="I17800" t="s">
        <v>1428</v>
      </c>
    </row>
    <row r="17801" spans="1:9" x14ac:dyDescent="0.25">
      <c r="A17801" t="s">
        <v>15032</v>
      </c>
      <c r="B17801" t="s">
        <v>159</v>
      </c>
      <c r="C17801" s="2">
        <f>HYPERLINK("https://cao.dolgi.msk.ru/account/1080221501/", 1080221501)</f>
        <v>1080221501</v>
      </c>
      <c r="D17801" t="s">
        <v>15096</v>
      </c>
      <c r="E17801">
        <v>10970.87</v>
      </c>
      <c r="F17801">
        <v>1.96</v>
      </c>
      <c r="G17801" t="s">
        <v>12</v>
      </c>
      <c r="I17801" t="s">
        <v>1428</v>
      </c>
    </row>
    <row r="17802" spans="1:9" hidden="1" x14ac:dyDescent="0.25">
      <c r="A17802" t="s">
        <v>15032</v>
      </c>
      <c r="B17802" t="s">
        <v>161</v>
      </c>
      <c r="C17802" s="2">
        <f>HYPERLINK("https://cao.dolgi.msk.ru/account/1080221472/", 1080221472)</f>
        <v>1080221472</v>
      </c>
      <c r="D17802" t="s">
        <v>15097</v>
      </c>
      <c r="E17802">
        <v>-3829.22</v>
      </c>
      <c r="F17802">
        <v>-1.06</v>
      </c>
      <c r="G17802" t="s">
        <v>12</v>
      </c>
      <c r="I17802" t="s">
        <v>1428</v>
      </c>
    </row>
    <row r="17803" spans="1:9" x14ac:dyDescent="0.25">
      <c r="A17803" t="s">
        <v>15032</v>
      </c>
      <c r="B17803" t="s">
        <v>571</v>
      </c>
      <c r="C17803" s="2">
        <f>HYPERLINK("https://cao.dolgi.msk.ru/account/1080221528/", 1080221528)</f>
        <v>1080221528</v>
      </c>
      <c r="D17803" t="s">
        <v>15098</v>
      </c>
      <c r="E17803">
        <v>12958.17</v>
      </c>
      <c r="F17803">
        <v>2.36</v>
      </c>
      <c r="G17803" t="s">
        <v>12</v>
      </c>
      <c r="I17803" t="s">
        <v>1428</v>
      </c>
    </row>
    <row r="17804" spans="1:9" hidden="1" x14ac:dyDescent="0.25">
      <c r="A17804" t="s">
        <v>15032</v>
      </c>
      <c r="B17804" t="s">
        <v>682</v>
      </c>
      <c r="C17804" s="2">
        <f>HYPERLINK("https://cao.dolgi.msk.ru/account/1080221536/", 1080221536)</f>
        <v>1080221536</v>
      </c>
      <c r="D17804" t="s">
        <v>15099</v>
      </c>
      <c r="E17804">
        <v>-8027.65</v>
      </c>
      <c r="F17804">
        <v>-0.85</v>
      </c>
      <c r="G17804" t="s">
        <v>12</v>
      </c>
      <c r="I17804" t="s">
        <v>1428</v>
      </c>
    </row>
    <row r="17805" spans="1:9" hidden="1" x14ac:dyDescent="0.25">
      <c r="A17805" t="s">
        <v>15032</v>
      </c>
      <c r="B17805" t="s">
        <v>578</v>
      </c>
      <c r="C17805" s="2">
        <f>HYPERLINK("https://cao.dolgi.msk.ru/account/1080221544/", 1080221544)</f>
        <v>1080221544</v>
      </c>
      <c r="D17805" t="s">
        <v>15100</v>
      </c>
      <c r="E17805">
        <v>-7910.48</v>
      </c>
      <c r="F17805">
        <v>-1.1000000000000001</v>
      </c>
      <c r="G17805" t="s">
        <v>12</v>
      </c>
      <c r="I17805" t="s">
        <v>1428</v>
      </c>
    </row>
    <row r="17806" spans="1:9" hidden="1" x14ac:dyDescent="0.25">
      <c r="A17806" t="s">
        <v>15032</v>
      </c>
      <c r="B17806" t="s">
        <v>580</v>
      </c>
      <c r="C17806" s="2">
        <f>HYPERLINK("https://cao.dolgi.msk.ru/account/1080221552/", 1080221552)</f>
        <v>1080221552</v>
      </c>
      <c r="D17806" t="s">
        <v>15101</v>
      </c>
      <c r="E17806">
        <v>-10134.31</v>
      </c>
      <c r="F17806">
        <v>-1.04</v>
      </c>
      <c r="G17806" t="s">
        <v>12</v>
      </c>
      <c r="I17806" t="s">
        <v>1428</v>
      </c>
    </row>
    <row r="17807" spans="1:9" hidden="1" x14ac:dyDescent="0.25">
      <c r="A17807" t="s">
        <v>15032</v>
      </c>
      <c r="B17807" t="s">
        <v>686</v>
      </c>
      <c r="C17807" s="2">
        <f>HYPERLINK("https://cao.dolgi.msk.ru/account/1080221579/", 1080221579)</f>
        <v>1080221579</v>
      </c>
      <c r="D17807" t="s">
        <v>15102</v>
      </c>
      <c r="E17807">
        <v>-9285.2999999999993</v>
      </c>
      <c r="F17807">
        <v>-1.05</v>
      </c>
      <c r="G17807" t="s">
        <v>12</v>
      </c>
      <c r="I17807" t="s">
        <v>1428</v>
      </c>
    </row>
    <row r="17808" spans="1:9" hidden="1" x14ac:dyDescent="0.25">
      <c r="A17808" t="s">
        <v>15032</v>
      </c>
      <c r="B17808" t="s">
        <v>582</v>
      </c>
      <c r="C17808" s="2">
        <f>HYPERLINK("https://cao.dolgi.msk.ru/account/1080221587/", 1080221587)</f>
        <v>1080221587</v>
      </c>
      <c r="D17808" t="s">
        <v>15103</v>
      </c>
      <c r="E17808">
        <v>-5952.66</v>
      </c>
      <c r="F17808">
        <v>-1.04</v>
      </c>
      <c r="G17808" t="s">
        <v>12</v>
      </c>
      <c r="I17808" t="s">
        <v>1428</v>
      </c>
    </row>
    <row r="17809" spans="1:9" hidden="1" x14ac:dyDescent="0.25">
      <c r="A17809" t="s">
        <v>15032</v>
      </c>
      <c r="B17809" t="s">
        <v>584</v>
      </c>
      <c r="C17809" s="2">
        <f>HYPERLINK("https://cao.dolgi.msk.ru/account/1080221595/", 1080221595)</f>
        <v>1080221595</v>
      </c>
      <c r="D17809" t="s">
        <v>62</v>
      </c>
      <c r="E17809">
        <v>-6661.26</v>
      </c>
      <c r="F17809">
        <v>-1.06</v>
      </c>
      <c r="G17809" t="s">
        <v>12</v>
      </c>
      <c r="I17809" t="s">
        <v>1428</v>
      </c>
    </row>
    <row r="17810" spans="1:9" hidden="1" x14ac:dyDescent="0.25">
      <c r="A17810" t="s">
        <v>15032</v>
      </c>
      <c r="B17810" t="s">
        <v>586</v>
      </c>
      <c r="C17810" s="2">
        <f>HYPERLINK("https://cao.dolgi.msk.ru/account/1080221608/", 1080221608)</f>
        <v>1080221608</v>
      </c>
      <c r="D17810" t="s">
        <v>15104</v>
      </c>
      <c r="E17810">
        <v>-14741.38</v>
      </c>
      <c r="F17810">
        <v>-1.04</v>
      </c>
      <c r="G17810" t="s">
        <v>12</v>
      </c>
      <c r="I17810" t="s">
        <v>1428</v>
      </c>
    </row>
    <row r="17811" spans="1:9" hidden="1" x14ac:dyDescent="0.25">
      <c r="A17811" t="s">
        <v>15032</v>
      </c>
      <c r="B17811" t="s">
        <v>588</v>
      </c>
      <c r="C17811" s="2">
        <f>HYPERLINK("https://cao.dolgi.msk.ru/account/1080221616/", 1080221616)</f>
        <v>1080221616</v>
      </c>
      <c r="D17811" t="s">
        <v>15105</v>
      </c>
      <c r="E17811">
        <v>-5222.6400000000003</v>
      </c>
      <c r="F17811">
        <v>-1.17</v>
      </c>
      <c r="G17811" t="s">
        <v>12</v>
      </c>
      <c r="I17811" t="s">
        <v>1428</v>
      </c>
    </row>
    <row r="17812" spans="1:9" hidden="1" x14ac:dyDescent="0.25">
      <c r="A17812" t="s">
        <v>15032</v>
      </c>
      <c r="B17812" t="s">
        <v>590</v>
      </c>
      <c r="C17812" s="2">
        <f>HYPERLINK("https://cao.dolgi.msk.ru/account/1080221624/", 1080221624)</f>
        <v>1080221624</v>
      </c>
      <c r="D17812" t="s">
        <v>15106</v>
      </c>
      <c r="E17812">
        <v>19.399999999999999</v>
      </c>
      <c r="F17812">
        <v>0</v>
      </c>
      <c r="G17812" t="s">
        <v>12</v>
      </c>
      <c r="I17812" t="s">
        <v>1428</v>
      </c>
    </row>
    <row r="17813" spans="1:9" hidden="1" x14ac:dyDescent="0.25">
      <c r="A17813" t="s">
        <v>15032</v>
      </c>
      <c r="B17813" t="s">
        <v>693</v>
      </c>
      <c r="C17813" s="2">
        <f>HYPERLINK("https://cao.dolgi.msk.ru/account/1080221632/", 1080221632)</f>
        <v>1080221632</v>
      </c>
      <c r="D17813" t="s">
        <v>15107</v>
      </c>
      <c r="E17813">
        <v>-7474.35</v>
      </c>
      <c r="F17813">
        <v>-1.04</v>
      </c>
      <c r="G17813" t="s">
        <v>12</v>
      </c>
      <c r="I17813" t="s">
        <v>1428</v>
      </c>
    </row>
    <row r="17814" spans="1:9" hidden="1" x14ac:dyDescent="0.25">
      <c r="A17814" t="s">
        <v>15032</v>
      </c>
      <c r="B17814" t="s">
        <v>694</v>
      </c>
      <c r="C17814" s="2">
        <f>HYPERLINK("https://cao.dolgi.msk.ru/account/1080221659/", 1080221659)</f>
        <v>1080221659</v>
      </c>
      <c r="D17814" t="s">
        <v>15108</v>
      </c>
      <c r="E17814">
        <v>719.13</v>
      </c>
      <c r="F17814">
        <v>0.09</v>
      </c>
      <c r="G17814" t="s">
        <v>12</v>
      </c>
      <c r="I17814" t="s">
        <v>1428</v>
      </c>
    </row>
    <row r="17815" spans="1:9" hidden="1" x14ac:dyDescent="0.25">
      <c r="A17815" t="s">
        <v>15032</v>
      </c>
      <c r="B17815" t="s">
        <v>696</v>
      </c>
      <c r="C17815" s="2">
        <f>HYPERLINK("https://cao.dolgi.msk.ru/account/1080221667/", 1080221667)</f>
        <v>1080221667</v>
      </c>
      <c r="D17815" t="s">
        <v>15109</v>
      </c>
      <c r="E17815">
        <v>-5558.7</v>
      </c>
      <c r="F17815">
        <v>-0.74</v>
      </c>
      <c r="G17815" t="s">
        <v>12</v>
      </c>
      <c r="I17815" t="s">
        <v>1428</v>
      </c>
    </row>
    <row r="17816" spans="1:9" hidden="1" x14ac:dyDescent="0.25">
      <c r="A17816" t="s">
        <v>15032</v>
      </c>
      <c r="B17816" t="s">
        <v>696</v>
      </c>
      <c r="C17816" s="2">
        <f>HYPERLINK("https://cao.dolgi.msk.ru/account/1080326186/", 1080326186)</f>
        <v>1080326186</v>
      </c>
      <c r="D17816" t="s">
        <v>15109</v>
      </c>
      <c r="E17816">
        <v>0</v>
      </c>
      <c r="G17816" t="s">
        <v>14</v>
      </c>
      <c r="I17816" t="s">
        <v>1428</v>
      </c>
    </row>
    <row r="17817" spans="1:9" hidden="1" x14ac:dyDescent="0.25">
      <c r="A17817" t="s">
        <v>15032</v>
      </c>
      <c r="B17817" t="s">
        <v>15110</v>
      </c>
      <c r="C17817" s="2">
        <f>HYPERLINK("https://cao.dolgi.msk.ru/account/1080221675/", 1080221675)</f>
        <v>1080221675</v>
      </c>
      <c r="D17817" t="s">
        <v>15111</v>
      </c>
      <c r="E17817">
        <v>-20698.439999999999</v>
      </c>
      <c r="F17817">
        <v>-1.04</v>
      </c>
      <c r="G17817" t="s">
        <v>12</v>
      </c>
      <c r="I17817" t="s">
        <v>1428</v>
      </c>
    </row>
    <row r="17818" spans="1:9" hidden="1" x14ac:dyDescent="0.25">
      <c r="A17818" t="s">
        <v>15032</v>
      </c>
      <c r="B17818" t="s">
        <v>702</v>
      </c>
      <c r="C17818" s="2">
        <f>HYPERLINK("https://cao.dolgi.msk.ru/account/1080221683/", 1080221683)</f>
        <v>1080221683</v>
      </c>
      <c r="D17818" t="s">
        <v>15112</v>
      </c>
      <c r="E17818">
        <v>-40143.72</v>
      </c>
      <c r="F17818">
        <v>-11.32</v>
      </c>
      <c r="G17818" t="s">
        <v>12</v>
      </c>
      <c r="I17818" t="s">
        <v>1428</v>
      </c>
    </row>
    <row r="17819" spans="1:9" hidden="1" x14ac:dyDescent="0.25">
      <c r="A17819" t="s">
        <v>15032</v>
      </c>
      <c r="B17819" t="s">
        <v>703</v>
      </c>
      <c r="C17819" s="2">
        <f>HYPERLINK("https://cao.dolgi.msk.ru/account/1080221691/", 1080221691)</f>
        <v>1080221691</v>
      </c>
      <c r="D17819" t="s">
        <v>15113</v>
      </c>
      <c r="E17819">
        <v>884.57</v>
      </c>
      <c r="F17819">
        <v>0.09</v>
      </c>
      <c r="G17819" t="s">
        <v>12</v>
      </c>
      <c r="I17819" t="s">
        <v>1428</v>
      </c>
    </row>
    <row r="17820" spans="1:9" hidden="1" x14ac:dyDescent="0.25">
      <c r="A17820" t="s">
        <v>15032</v>
      </c>
      <c r="B17820" t="s">
        <v>705</v>
      </c>
      <c r="C17820" s="2">
        <f>HYPERLINK("https://cao.dolgi.msk.ru/account/1080221704/", 1080221704)</f>
        <v>1080221704</v>
      </c>
      <c r="D17820" t="s">
        <v>15114</v>
      </c>
      <c r="E17820">
        <v>-4633.8900000000003</v>
      </c>
      <c r="F17820">
        <v>-0.88</v>
      </c>
      <c r="G17820" t="s">
        <v>12</v>
      </c>
      <c r="I17820" t="s">
        <v>1428</v>
      </c>
    </row>
    <row r="17821" spans="1:9" hidden="1" x14ac:dyDescent="0.25">
      <c r="A17821" t="s">
        <v>15032</v>
      </c>
      <c r="B17821" t="s">
        <v>707</v>
      </c>
      <c r="C17821" s="2">
        <f>HYPERLINK("https://cao.dolgi.msk.ru/account/1080221712/", 1080221712)</f>
        <v>1080221712</v>
      </c>
      <c r="D17821" t="s">
        <v>15115</v>
      </c>
      <c r="E17821">
        <v>-3158.03</v>
      </c>
      <c r="F17821">
        <v>-1.08</v>
      </c>
      <c r="G17821" t="s">
        <v>12</v>
      </c>
      <c r="I17821" t="s">
        <v>1428</v>
      </c>
    </row>
    <row r="17822" spans="1:9" hidden="1" x14ac:dyDescent="0.25">
      <c r="A17822" t="s">
        <v>15032</v>
      </c>
      <c r="B17822" t="s">
        <v>709</v>
      </c>
      <c r="C17822" s="2">
        <f>HYPERLINK("https://cao.dolgi.msk.ru/account/1080221739/", 1080221739)</f>
        <v>1080221739</v>
      </c>
      <c r="D17822" t="s">
        <v>15116</v>
      </c>
      <c r="E17822">
        <v>0</v>
      </c>
      <c r="F17822">
        <v>0</v>
      </c>
      <c r="G17822" t="s">
        <v>12</v>
      </c>
      <c r="I17822" t="s">
        <v>1428</v>
      </c>
    </row>
    <row r="17823" spans="1:9" hidden="1" x14ac:dyDescent="0.25">
      <c r="A17823" t="s">
        <v>15032</v>
      </c>
      <c r="B17823" t="s">
        <v>711</v>
      </c>
      <c r="C17823" s="2">
        <f>HYPERLINK("https://cao.dolgi.msk.ru/account/1080221747/", 1080221747)</f>
        <v>1080221747</v>
      </c>
      <c r="D17823" t="s">
        <v>15117</v>
      </c>
      <c r="E17823">
        <v>-8005.92</v>
      </c>
      <c r="F17823">
        <v>-1.01</v>
      </c>
      <c r="G17823" t="s">
        <v>12</v>
      </c>
      <c r="I17823" t="s">
        <v>1428</v>
      </c>
    </row>
    <row r="17824" spans="1:9" hidden="1" x14ac:dyDescent="0.25">
      <c r="A17824" t="s">
        <v>15032</v>
      </c>
      <c r="B17824" t="s">
        <v>713</v>
      </c>
      <c r="C17824" s="2">
        <f>HYPERLINK("https://cao.dolgi.msk.ru/account/1080221755/", 1080221755)</f>
        <v>1080221755</v>
      </c>
      <c r="D17824" t="s">
        <v>15118</v>
      </c>
      <c r="E17824">
        <v>-7940.65</v>
      </c>
      <c r="F17824">
        <v>-1.06</v>
      </c>
      <c r="G17824" t="s">
        <v>12</v>
      </c>
      <c r="I17824" t="s">
        <v>1428</v>
      </c>
    </row>
    <row r="17825" spans="1:9" hidden="1" x14ac:dyDescent="0.25">
      <c r="A17825" t="s">
        <v>15032</v>
      </c>
      <c r="B17825" t="s">
        <v>528</v>
      </c>
      <c r="C17825" s="2">
        <f>HYPERLINK("https://cao.dolgi.msk.ru/account/1080221763/", 1080221763)</f>
        <v>1080221763</v>
      </c>
      <c r="D17825" t="s">
        <v>15119</v>
      </c>
      <c r="E17825">
        <v>-6098.85</v>
      </c>
      <c r="F17825">
        <v>-1.02</v>
      </c>
      <c r="G17825" t="s">
        <v>12</v>
      </c>
      <c r="I17825" t="s">
        <v>1428</v>
      </c>
    </row>
    <row r="17826" spans="1:9" hidden="1" x14ac:dyDescent="0.25">
      <c r="A17826" t="s">
        <v>15032</v>
      </c>
      <c r="B17826" t="s">
        <v>530</v>
      </c>
      <c r="C17826" s="2">
        <f>HYPERLINK("https://cao.dolgi.msk.ru/account/1080221771/", 1080221771)</f>
        <v>1080221771</v>
      </c>
      <c r="D17826" t="s">
        <v>15120</v>
      </c>
      <c r="E17826">
        <v>0</v>
      </c>
      <c r="F17826">
        <v>0</v>
      </c>
      <c r="G17826" t="s">
        <v>12</v>
      </c>
      <c r="I17826" t="s">
        <v>1428</v>
      </c>
    </row>
    <row r="17827" spans="1:9" hidden="1" x14ac:dyDescent="0.25">
      <c r="A17827" t="s">
        <v>15032</v>
      </c>
      <c r="B17827" t="s">
        <v>532</v>
      </c>
      <c r="C17827" s="2">
        <f>HYPERLINK("https://cao.dolgi.msk.ru/account/1080221798/", 1080221798)</f>
        <v>1080221798</v>
      </c>
      <c r="D17827" t="s">
        <v>15121</v>
      </c>
      <c r="E17827">
        <v>-20815.099999999999</v>
      </c>
      <c r="F17827">
        <v>-3.15</v>
      </c>
      <c r="G17827" t="s">
        <v>12</v>
      </c>
      <c r="I17827" t="s">
        <v>1428</v>
      </c>
    </row>
    <row r="17828" spans="1:9" hidden="1" x14ac:dyDescent="0.25">
      <c r="A17828" t="s">
        <v>15032</v>
      </c>
      <c r="B17828" t="s">
        <v>534</v>
      </c>
      <c r="C17828" s="2">
        <f>HYPERLINK("https://cao.dolgi.msk.ru/account/1080221819/", 1080221819)</f>
        <v>1080221819</v>
      </c>
      <c r="D17828" t="s">
        <v>15122</v>
      </c>
      <c r="E17828">
        <v>-5181.55</v>
      </c>
      <c r="F17828">
        <v>-1.06</v>
      </c>
      <c r="G17828" t="s">
        <v>12</v>
      </c>
      <c r="I17828" t="s">
        <v>1428</v>
      </c>
    </row>
    <row r="17829" spans="1:9" hidden="1" x14ac:dyDescent="0.25">
      <c r="A17829" t="s">
        <v>15032</v>
      </c>
      <c r="B17829" t="s">
        <v>536</v>
      </c>
      <c r="C17829" s="2">
        <f>HYPERLINK("https://cao.dolgi.msk.ru/account/1080221827/", 1080221827)</f>
        <v>1080221827</v>
      </c>
      <c r="D17829" t="s">
        <v>15123</v>
      </c>
      <c r="E17829">
        <v>17.34</v>
      </c>
      <c r="F17829">
        <v>0</v>
      </c>
      <c r="G17829" t="s">
        <v>12</v>
      </c>
      <c r="I17829" t="s">
        <v>1428</v>
      </c>
    </row>
    <row r="17830" spans="1:9" hidden="1" x14ac:dyDescent="0.25">
      <c r="A17830" t="s">
        <v>15032</v>
      </c>
      <c r="B17830" t="s">
        <v>538</v>
      </c>
      <c r="C17830" s="2">
        <f>HYPERLINK("https://cao.dolgi.msk.ru/account/1080221835/", 1080221835)</f>
        <v>1080221835</v>
      </c>
      <c r="D17830" t="s">
        <v>15124</v>
      </c>
      <c r="E17830">
        <v>-3982.45</v>
      </c>
      <c r="F17830">
        <v>-1.08</v>
      </c>
      <c r="G17830" t="s">
        <v>12</v>
      </c>
      <c r="I17830" t="s">
        <v>1428</v>
      </c>
    </row>
    <row r="17831" spans="1:9" hidden="1" x14ac:dyDescent="0.25">
      <c r="A17831" t="s">
        <v>15032</v>
      </c>
      <c r="B17831" t="s">
        <v>539</v>
      </c>
      <c r="C17831" s="2">
        <f>HYPERLINK("https://cao.dolgi.msk.ru/account/1080221843/", 1080221843)</f>
        <v>1080221843</v>
      </c>
      <c r="D17831" t="s">
        <v>15125</v>
      </c>
      <c r="E17831">
        <v>333.8</v>
      </c>
      <c r="F17831">
        <v>0.05</v>
      </c>
      <c r="G17831" t="s">
        <v>12</v>
      </c>
      <c r="I17831" t="s">
        <v>1428</v>
      </c>
    </row>
    <row r="17832" spans="1:9" hidden="1" x14ac:dyDescent="0.25">
      <c r="A17832" t="s">
        <v>15032</v>
      </c>
      <c r="B17832" t="s">
        <v>541</v>
      </c>
      <c r="C17832" s="2">
        <f>HYPERLINK("https://cao.dolgi.msk.ru/account/1080221851/", 1080221851)</f>
        <v>1080221851</v>
      </c>
      <c r="D17832" t="s">
        <v>15126</v>
      </c>
      <c r="E17832">
        <v>-44085.66</v>
      </c>
      <c r="F17832">
        <v>-3.08</v>
      </c>
      <c r="G17832" t="s">
        <v>12</v>
      </c>
      <c r="I17832" t="s">
        <v>1428</v>
      </c>
    </row>
    <row r="17833" spans="1:9" hidden="1" x14ac:dyDescent="0.25">
      <c r="A17833" t="s">
        <v>15032</v>
      </c>
      <c r="B17833" t="s">
        <v>543</v>
      </c>
      <c r="C17833" s="2">
        <f>HYPERLINK("https://cao.dolgi.msk.ru/account/1080221878/", 1080221878)</f>
        <v>1080221878</v>
      </c>
      <c r="D17833" t="s">
        <v>15127</v>
      </c>
      <c r="E17833">
        <v>-2730.19</v>
      </c>
      <c r="F17833">
        <v>-0.44</v>
      </c>
      <c r="G17833" t="s">
        <v>12</v>
      </c>
      <c r="I17833" t="s">
        <v>1428</v>
      </c>
    </row>
    <row r="17834" spans="1:9" hidden="1" x14ac:dyDescent="0.25">
      <c r="A17834" t="s">
        <v>15032</v>
      </c>
      <c r="B17834" t="s">
        <v>545</v>
      </c>
      <c r="C17834" s="2">
        <f>HYPERLINK("https://cao.dolgi.msk.ru/account/1080221886/", 1080221886)</f>
        <v>1080221886</v>
      </c>
      <c r="D17834" t="s">
        <v>15128</v>
      </c>
      <c r="E17834">
        <v>-6670.12</v>
      </c>
      <c r="F17834">
        <v>-1.03</v>
      </c>
      <c r="G17834" t="s">
        <v>12</v>
      </c>
      <c r="I17834" t="s">
        <v>1428</v>
      </c>
    </row>
    <row r="17835" spans="1:9" hidden="1" x14ac:dyDescent="0.25">
      <c r="A17835" t="s">
        <v>15032</v>
      </c>
      <c r="B17835" t="s">
        <v>546</v>
      </c>
      <c r="C17835" s="2">
        <f>HYPERLINK("https://cao.dolgi.msk.ru/account/1080221894/", 1080221894)</f>
        <v>1080221894</v>
      </c>
      <c r="D17835" t="s">
        <v>15129</v>
      </c>
      <c r="E17835">
        <v>-9929.4699999999993</v>
      </c>
      <c r="F17835">
        <v>-0.96</v>
      </c>
      <c r="G17835" t="s">
        <v>12</v>
      </c>
      <c r="I17835" t="s">
        <v>1428</v>
      </c>
    </row>
    <row r="17836" spans="1:9" hidden="1" x14ac:dyDescent="0.25">
      <c r="A17836" t="s">
        <v>15032</v>
      </c>
      <c r="B17836" t="s">
        <v>548</v>
      </c>
      <c r="C17836" s="2">
        <f>HYPERLINK("https://cao.dolgi.msk.ru/account/1080221907/", 1080221907)</f>
        <v>1080221907</v>
      </c>
      <c r="D17836" t="s">
        <v>15130</v>
      </c>
      <c r="E17836">
        <v>-3439.46</v>
      </c>
      <c r="F17836">
        <v>-1.29</v>
      </c>
      <c r="G17836" t="s">
        <v>12</v>
      </c>
      <c r="I17836" t="s">
        <v>1428</v>
      </c>
    </row>
    <row r="17837" spans="1:9" hidden="1" x14ac:dyDescent="0.25">
      <c r="A17837" t="s">
        <v>15032</v>
      </c>
      <c r="B17837" t="s">
        <v>727</v>
      </c>
      <c r="C17837" s="2">
        <f>HYPERLINK("https://cao.dolgi.msk.ru/account/1080221915/", 1080221915)</f>
        <v>1080221915</v>
      </c>
      <c r="D17837" t="s">
        <v>15131</v>
      </c>
      <c r="E17837">
        <v>-6036.24</v>
      </c>
      <c r="F17837">
        <v>-1.03</v>
      </c>
      <c r="G17837" t="s">
        <v>12</v>
      </c>
      <c r="I17837" t="s">
        <v>1428</v>
      </c>
    </row>
    <row r="17838" spans="1:9" hidden="1" x14ac:dyDescent="0.25">
      <c r="A17838" t="s">
        <v>15032</v>
      </c>
      <c r="B17838" t="s">
        <v>551</v>
      </c>
      <c r="C17838" s="2">
        <f>HYPERLINK("https://cao.dolgi.msk.ru/account/1080221923/", 1080221923)</f>
        <v>1080221923</v>
      </c>
      <c r="D17838" t="s">
        <v>15</v>
      </c>
      <c r="G17838" t="s">
        <v>14</v>
      </c>
      <c r="I17838" t="s">
        <v>1428</v>
      </c>
    </row>
    <row r="17839" spans="1:9" x14ac:dyDescent="0.25">
      <c r="A17839" t="s">
        <v>15032</v>
      </c>
      <c r="B17839" t="s">
        <v>551</v>
      </c>
      <c r="C17839" s="2">
        <f>HYPERLINK("https://cao.dolgi.msk.ru/account/1080221931/", 1080221931)</f>
        <v>1080221931</v>
      </c>
      <c r="D17839" t="s">
        <v>15132</v>
      </c>
      <c r="E17839">
        <v>21665.77</v>
      </c>
      <c r="F17839">
        <v>2.2000000000000002</v>
      </c>
      <c r="G17839" t="s">
        <v>12</v>
      </c>
      <c r="I17839" t="s">
        <v>1428</v>
      </c>
    </row>
    <row r="17840" spans="1:9" hidden="1" x14ac:dyDescent="0.25">
      <c r="A17840" t="s">
        <v>15032</v>
      </c>
      <c r="B17840" t="s">
        <v>730</v>
      </c>
      <c r="C17840" s="2">
        <f>HYPERLINK("https://cao.dolgi.msk.ru/account/1080221958/", 1080221958)</f>
        <v>1080221958</v>
      </c>
      <c r="D17840" t="s">
        <v>15133</v>
      </c>
      <c r="E17840">
        <v>-62874.03</v>
      </c>
      <c r="F17840">
        <v>-17.25</v>
      </c>
      <c r="G17840" t="s">
        <v>12</v>
      </c>
      <c r="I17840" t="s">
        <v>1428</v>
      </c>
    </row>
    <row r="17841" spans="1:9" hidden="1" x14ac:dyDescent="0.25">
      <c r="A17841" t="s">
        <v>15032</v>
      </c>
      <c r="B17841" t="s">
        <v>732</v>
      </c>
      <c r="C17841" s="2">
        <f>HYPERLINK("https://cao.dolgi.msk.ru/account/1080221966/", 1080221966)</f>
        <v>1080221966</v>
      </c>
      <c r="D17841" t="s">
        <v>15134</v>
      </c>
      <c r="E17841">
        <v>-2754.64</v>
      </c>
      <c r="F17841">
        <v>-0.17</v>
      </c>
      <c r="G17841" t="s">
        <v>12</v>
      </c>
      <c r="I17841" t="s">
        <v>1428</v>
      </c>
    </row>
    <row r="17842" spans="1:9" hidden="1" x14ac:dyDescent="0.25">
      <c r="A17842" t="s">
        <v>15032</v>
      </c>
      <c r="B17842" t="s">
        <v>553</v>
      </c>
      <c r="C17842" s="2">
        <f>HYPERLINK("https://cao.dolgi.msk.ru/account/1080221974/", 1080221974)</f>
        <v>1080221974</v>
      </c>
      <c r="D17842" t="s">
        <v>15135</v>
      </c>
      <c r="E17842">
        <v>-30679.040000000001</v>
      </c>
      <c r="G17842" t="s">
        <v>14</v>
      </c>
      <c r="I17842" t="s">
        <v>1428</v>
      </c>
    </row>
    <row r="17843" spans="1:9" hidden="1" x14ac:dyDescent="0.25">
      <c r="A17843" t="s">
        <v>15032</v>
      </c>
      <c r="B17843" t="s">
        <v>555</v>
      </c>
      <c r="C17843" s="2">
        <f>HYPERLINK("https://cao.dolgi.msk.ru/account/1080221982/", 1080221982)</f>
        <v>1080221982</v>
      </c>
      <c r="D17843" t="s">
        <v>15136</v>
      </c>
      <c r="E17843">
        <v>-6458.29</v>
      </c>
      <c r="F17843">
        <v>-1.0900000000000001</v>
      </c>
      <c r="G17843" t="s">
        <v>12</v>
      </c>
      <c r="I17843" t="s">
        <v>1428</v>
      </c>
    </row>
    <row r="17844" spans="1:9" hidden="1" x14ac:dyDescent="0.25">
      <c r="A17844" t="s">
        <v>15032</v>
      </c>
      <c r="B17844" t="s">
        <v>736</v>
      </c>
      <c r="C17844" s="2">
        <f>HYPERLINK("https://cao.dolgi.msk.ru/account/1080222002/", 1080222002)</f>
        <v>1080222002</v>
      </c>
      <c r="D17844" t="s">
        <v>15137</v>
      </c>
      <c r="E17844">
        <v>-7259.7</v>
      </c>
      <c r="F17844">
        <v>-1.02</v>
      </c>
      <c r="G17844" t="s">
        <v>12</v>
      </c>
      <c r="I17844" t="s">
        <v>1428</v>
      </c>
    </row>
    <row r="17845" spans="1:9" hidden="1" x14ac:dyDescent="0.25">
      <c r="A17845" t="s">
        <v>15032</v>
      </c>
      <c r="B17845" t="s">
        <v>738</v>
      </c>
      <c r="C17845" s="2">
        <f>HYPERLINK("https://cao.dolgi.msk.ru/account/1080222029/", 1080222029)</f>
        <v>1080222029</v>
      </c>
      <c r="D17845" t="s">
        <v>15138</v>
      </c>
      <c r="E17845">
        <v>-4735.18</v>
      </c>
      <c r="F17845">
        <v>-1.08</v>
      </c>
      <c r="G17845" t="s">
        <v>12</v>
      </c>
      <c r="I17845" t="s">
        <v>1428</v>
      </c>
    </row>
    <row r="17846" spans="1:9" hidden="1" x14ac:dyDescent="0.25">
      <c r="A17846" t="s">
        <v>15032</v>
      </c>
      <c r="B17846" t="s">
        <v>740</v>
      </c>
      <c r="C17846" s="2">
        <f>HYPERLINK("https://cao.dolgi.msk.ru/account/1080222037/", 1080222037)</f>
        <v>1080222037</v>
      </c>
      <c r="D17846" t="s">
        <v>15139</v>
      </c>
      <c r="E17846">
        <v>-74.05</v>
      </c>
      <c r="F17846">
        <v>-0.01</v>
      </c>
      <c r="G17846" t="s">
        <v>12</v>
      </c>
      <c r="I17846" t="s">
        <v>1428</v>
      </c>
    </row>
    <row r="17847" spans="1:9" hidden="1" x14ac:dyDescent="0.25">
      <c r="A17847" t="s">
        <v>15032</v>
      </c>
      <c r="B17847" t="s">
        <v>742</v>
      </c>
      <c r="C17847" s="2">
        <f>HYPERLINK("https://cao.dolgi.msk.ru/account/1080222045/", 1080222045)</f>
        <v>1080222045</v>
      </c>
      <c r="D17847" t="s">
        <v>15140</v>
      </c>
      <c r="E17847">
        <v>-6605.21</v>
      </c>
      <c r="F17847">
        <v>-1.05</v>
      </c>
      <c r="G17847" t="s">
        <v>12</v>
      </c>
      <c r="I17847" t="s">
        <v>1428</v>
      </c>
    </row>
    <row r="17848" spans="1:9" hidden="1" x14ac:dyDescent="0.25">
      <c r="A17848" t="s">
        <v>15032</v>
      </c>
      <c r="B17848" t="s">
        <v>557</v>
      </c>
      <c r="C17848" s="2">
        <f>HYPERLINK("https://cao.dolgi.msk.ru/account/1080222053/", 1080222053)</f>
        <v>1080222053</v>
      </c>
      <c r="D17848" t="s">
        <v>15141</v>
      </c>
      <c r="E17848">
        <v>-9061.4599999999991</v>
      </c>
      <c r="F17848">
        <v>-1.1100000000000001</v>
      </c>
      <c r="G17848" t="s">
        <v>12</v>
      </c>
      <c r="I17848" t="s">
        <v>1428</v>
      </c>
    </row>
    <row r="17849" spans="1:9" hidden="1" x14ac:dyDescent="0.25">
      <c r="A17849" t="s">
        <v>15032</v>
      </c>
      <c r="B17849" t="s">
        <v>558</v>
      </c>
      <c r="C17849" s="2">
        <f>HYPERLINK("https://cao.dolgi.msk.ru/account/1080222061/", 1080222061)</f>
        <v>1080222061</v>
      </c>
      <c r="D17849" t="s">
        <v>15142</v>
      </c>
      <c r="E17849">
        <v>-8144.89</v>
      </c>
      <c r="F17849">
        <v>-1.04</v>
      </c>
      <c r="G17849" t="s">
        <v>12</v>
      </c>
      <c r="I17849" t="s">
        <v>1428</v>
      </c>
    </row>
    <row r="17850" spans="1:9" hidden="1" x14ac:dyDescent="0.25">
      <c r="A17850" t="s">
        <v>15032</v>
      </c>
      <c r="B17850" t="s">
        <v>746</v>
      </c>
      <c r="C17850" s="2">
        <f>HYPERLINK("https://cao.dolgi.msk.ru/account/1080222088/", 1080222088)</f>
        <v>1080222088</v>
      </c>
      <c r="D17850" t="s">
        <v>15143</v>
      </c>
      <c r="E17850">
        <v>-13034.62</v>
      </c>
      <c r="F17850">
        <v>-1.03</v>
      </c>
      <c r="G17850" t="s">
        <v>12</v>
      </c>
      <c r="I17850" t="s">
        <v>1428</v>
      </c>
    </row>
    <row r="17851" spans="1:9" hidden="1" x14ac:dyDescent="0.25">
      <c r="A17851" t="s">
        <v>15032</v>
      </c>
      <c r="B17851" t="s">
        <v>748</v>
      </c>
      <c r="C17851" s="2">
        <f>HYPERLINK("https://cao.dolgi.msk.ru/account/1080222096/", 1080222096)</f>
        <v>1080222096</v>
      </c>
      <c r="D17851" t="s">
        <v>15144</v>
      </c>
      <c r="E17851">
        <v>-1329.88</v>
      </c>
      <c r="F17851">
        <v>-0.19</v>
      </c>
      <c r="G17851" t="s">
        <v>12</v>
      </c>
      <c r="I17851" t="s">
        <v>1428</v>
      </c>
    </row>
    <row r="17852" spans="1:9" hidden="1" x14ac:dyDescent="0.25">
      <c r="A17852" t="s">
        <v>15032</v>
      </c>
      <c r="B17852" t="s">
        <v>750</v>
      </c>
      <c r="C17852" s="2">
        <f>HYPERLINK("https://cao.dolgi.msk.ru/account/1080222109/", 1080222109)</f>
        <v>1080222109</v>
      </c>
      <c r="D17852" t="s">
        <v>15145</v>
      </c>
      <c r="E17852">
        <v>492.25</v>
      </c>
      <c r="F17852">
        <v>0.04</v>
      </c>
      <c r="G17852" t="s">
        <v>12</v>
      </c>
      <c r="I17852" t="s">
        <v>1428</v>
      </c>
    </row>
    <row r="17853" spans="1:9" hidden="1" x14ac:dyDescent="0.25">
      <c r="A17853" t="s">
        <v>15032</v>
      </c>
      <c r="B17853" t="s">
        <v>752</v>
      </c>
      <c r="C17853" s="2">
        <f>HYPERLINK("https://cao.dolgi.msk.ru/account/1080222117/", 1080222117)</f>
        <v>1080222117</v>
      </c>
      <c r="D17853" t="s">
        <v>15146</v>
      </c>
      <c r="E17853">
        <v>-6465.06</v>
      </c>
      <c r="F17853">
        <v>-1.0900000000000001</v>
      </c>
      <c r="G17853" t="s">
        <v>12</v>
      </c>
      <c r="I17853" t="s">
        <v>1428</v>
      </c>
    </row>
    <row r="17854" spans="1:9" hidden="1" x14ac:dyDescent="0.25">
      <c r="A17854" t="s">
        <v>15032</v>
      </c>
      <c r="B17854" t="s">
        <v>754</v>
      </c>
      <c r="C17854" s="2">
        <f>HYPERLINK("https://cao.dolgi.msk.ru/account/1080222125/", 1080222125)</f>
        <v>1080222125</v>
      </c>
      <c r="D17854" t="s">
        <v>15</v>
      </c>
      <c r="E17854">
        <v>-17421.23</v>
      </c>
      <c r="F17854">
        <v>-1.03</v>
      </c>
      <c r="G17854" t="s">
        <v>12</v>
      </c>
      <c r="I17854" t="s">
        <v>1428</v>
      </c>
    </row>
    <row r="17855" spans="1:9" hidden="1" x14ac:dyDescent="0.25">
      <c r="A17855" t="s">
        <v>15032</v>
      </c>
      <c r="B17855" t="s">
        <v>756</v>
      </c>
      <c r="C17855" s="2">
        <f>HYPERLINK("https://cao.dolgi.msk.ru/account/1080222133/", 1080222133)</f>
        <v>1080222133</v>
      </c>
      <c r="D17855" t="s">
        <v>15147</v>
      </c>
      <c r="E17855">
        <v>-8146.08</v>
      </c>
      <c r="F17855">
        <v>-1.04</v>
      </c>
      <c r="G17855" t="s">
        <v>12</v>
      </c>
      <c r="I17855" t="s">
        <v>1428</v>
      </c>
    </row>
    <row r="17856" spans="1:9" hidden="1" x14ac:dyDescent="0.25">
      <c r="A17856" t="s">
        <v>15032</v>
      </c>
      <c r="B17856" t="s">
        <v>758</v>
      </c>
      <c r="C17856" s="2">
        <f>HYPERLINK("https://cao.dolgi.msk.ru/account/1080222141/", 1080222141)</f>
        <v>1080222141</v>
      </c>
      <c r="D17856" t="s">
        <v>15148</v>
      </c>
      <c r="E17856">
        <v>-5574.27</v>
      </c>
      <c r="F17856">
        <v>-1.1399999999999999</v>
      </c>
      <c r="G17856" t="s">
        <v>12</v>
      </c>
      <c r="I17856" t="s">
        <v>1428</v>
      </c>
    </row>
    <row r="17857" spans="1:9" hidden="1" x14ac:dyDescent="0.25">
      <c r="A17857" t="s">
        <v>15032</v>
      </c>
      <c r="B17857" t="s">
        <v>760</v>
      </c>
      <c r="C17857" s="2">
        <f>HYPERLINK("https://cao.dolgi.msk.ru/account/1080222168/", 1080222168)</f>
        <v>1080222168</v>
      </c>
      <c r="D17857" t="s">
        <v>15149</v>
      </c>
      <c r="E17857">
        <v>-55.65</v>
      </c>
      <c r="F17857">
        <v>-0.01</v>
      </c>
      <c r="G17857" t="s">
        <v>12</v>
      </c>
      <c r="I17857" t="s">
        <v>1428</v>
      </c>
    </row>
    <row r="17858" spans="1:9" hidden="1" x14ac:dyDescent="0.25">
      <c r="A17858" t="s">
        <v>15032</v>
      </c>
      <c r="B17858" t="s">
        <v>762</v>
      </c>
      <c r="C17858" s="2">
        <f>HYPERLINK("https://cao.dolgi.msk.ru/account/1080222176/", 1080222176)</f>
        <v>1080222176</v>
      </c>
      <c r="D17858" t="s">
        <v>15150</v>
      </c>
      <c r="E17858">
        <v>-6921.54</v>
      </c>
      <c r="F17858">
        <v>-1.05</v>
      </c>
      <c r="G17858" t="s">
        <v>12</v>
      </c>
      <c r="I17858" t="s">
        <v>1428</v>
      </c>
    </row>
    <row r="17859" spans="1:9" hidden="1" x14ac:dyDescent="0.25">
      <c r="A17859" t="s">
        <v>15032</v>
      </c>
      <c r="B17859" t="s">
        <v>764</v>
      </c>
      <c r="C17859" s="2">
        <f>HYPERLINK("https://cao.dolgi.msk.ru/account/1080222184/", 1080222184)</f>
        <v>1080222184</v>
      </c>
      <c r="D17859" t="s">
        <v>15151</v>
      </c>
      <c r="E17859">
        <v>-224.55</v>
      </c>
      <c r="F17859">
        <v>-0.03</v>
      </c>
      <c r="G17859" t="s">
        <v>12</v>
      </c>
      <c r="I17859" t="s">
        <v>1428</v>
      </c>
    </row>
    <row r="17860" spans="1:9" hidden="1" x14ac:dyDescent="0.25">
      <c r="A17860" t="s">
        <v>15032</v>
      </c>
      <c r="B17860" t="s">
        <v>766</v>
      </c>
      <c r="C17860" s="2">
        <f>HYPERLINK("https://cao.dolgi.msk.ru/account/1080222192/", 1080222192)</f>
        <v>1080222192</v>
      </c>
      <c r="D17860" t="s">
        <v>15152</v>
      </c>
      <c r="E17860">
        <v>-10027.56</v>
      </c>
      <c r="F17860">
        <v>-1.04</v>
      </c>
      <c r="G17860" t="s">
        <v>12</v>
      </c>
      <c r="I17860" t="s">
        <v>1428</v>
      </c>
    </row>
    <row r="17861" spans="1:9" hidden="1" x14ac:dyDescent="0.25">
      <c r="A17861" t="s">
        <v>15032</v>
      </c>
      <c r="B17861" t="s">
        <v>768</v>
      </c>
      <c r="C17861" s="2">
        <f>HYPERLINK("https://cao.dolgi.msk.ru/account/1080222205/", 1080222205)</f>
        <v>1080222205</v>
      </c>
      <c r="D17861" t="s">
        <v>15153</v>
      </c>
      <c r="E17861">
        <v>-13456.66</v>
      </c>
      <c r="F17861">
        <v>-3.3</v>
      </c>
      <c r="G17861" t="s">
        <v>12</v>
      </c>
      <c r="I17861" t="s">
        <v>1428</v>
      </c>
    </row>
    <row r="17862" spans="1:9" hidden="1" x14ac:dyDescent="0.25">
      <c r="A17862" t="s">
        <v>15032</v>
      </c>
      <c r="B17862" t="s">
        <v>770</v>
      </c>
      <c r="C17862" s="2">
        <f>HYPERLINK("https://cao.dolgi.msk.ru/account/1080222213/", 1080222213)</f>
        <v>1080222213</v>
      </c>
      <c r="D17862" t="s">
        <v>15154</v>
      </c>
      <c r="E17862">
        <v>0</v>
      </c>
      <c r="F17862">
        <v>0</v>
      </c>
      <c r="G17862" t="s">
        <v>12</v>
      </c>
      <c r="I17862" t="s">
        <v>1428</v>
      </c>
    </row>
    <row r="17863" spans="1:9" hidden="1" x14ac:dyDescent="0.25">
      <c r="A17863" t="s">
        <v>15032</v>
      </c>
      <c r="B17863" t="s">
        <v>772</v>
      </c>
      <c r="C17863" s="2">
        <f>HYPERLINK("https://cao.dolgi.msk.ru/account/1080222221/", 1080222221)</f>
        <v>1080222221</v>
      </c>
      <c r="D17863" t="s">
        <v>15155</v>
      </c>
      <c r="E17863">
        <v>-38.799999999999997</v>
      </c>
      <c r="F17863">
        <v>0</v>
      </c>
      <c r="G17863" t="s">
        <v>12</v>
      </c>
      <c r="I17863" t="s">
        <v>1428</v>
      </c>
    </row>
    <row r="17864" spans="1:9" hidden="1" x14ac:dyDescent="0.25">
      <c r="A17864" t="s">
        <v>15032</v>
      </c>
      <c r="B17864" t="s">
        <v>774</v>
      </c>
      <c r="C17864" s="2">
        <f>HYPERLINK("https://cao.dolgi.msk.ru/account/1080222248/", 1080222248)</f>
        <v>1080222248</v>
      </c>
      <c r="D17864" t="s">
        <v>15</v>
      </c>
      <c r="E17864">
        <v>0</v>
      </c>
      <c r="G17864" t="s">
        <v>14</v>
      </c>
      <c r="I17864" t="s">
        <v>1428</v>
      </c>
    </row>
    <row r="17865" spans="1:9" hidden="1" x14ac:dyDescent="0.25">
      <c r="A17865" t="s">
        <v>15032</v>
      </c>
      <c r="B17865" t="s">
        <v>774</v>
      </c>
      <c r="C17865" s="2">
        <f>HYPERLINK("https://cao.dolgi.msk.ru/account/1080222379/", 1080222379)</f>
        <v>1080222379</v>
      </c>
      <c r="D17865" t="s">
        <v>15156</v>
      </c>
      <c r="E17865">
        <v>0</v>
      </c>
      <c r="F17865">
        <v>0</v>
      </c>
      <c r="G17865" t="s">
        <v>12</v>
      </c>
      <c r="I17865" t="s">
        <v>1428</v>
      </c>
    </row>
    <row r="17866" spans="1:9" hidden="1" x14ac:dyDescent="0.25">
      <c r="A17866" t="s">
        <v>15032</v>
      </c>
      <c r="B17866" t="s">
        <v>776</v>
      </c>
      <c r="C17866" s="2">
        <f>HYPERLINK("https://cao.dolgi.msk.ru/account/1080222256/", 1080222256)</f>
        <v>1080222256</v>
      </c>
      <c r="D17866" t="s">
        <v>15157</v>
      </c>
      <c r="E17866">
        <v>-4116.92</v>
      </c>
      <c r="F17866">
        <v>-1.04</v>
      </c>
      <c r="G17866" t="s">
        <v>12</v>
      </c>
      <c r="I17866" t="s">
        <v>1428</v>
      </c>
    </row>
    <row r="17867" spans="1:9" hidden="1" x14ac:dyDescent="0.25">
      <c r="A17867" t="s">
        <v>15032</v>
      </c>
      <c r="B17867" t="s">
        <v>778</v>
      </c>
      <c r="C17867" s="2">
        <f>HYPERLINK("https://cao.dolgi.msk.ru/account/1080222264/", 1080222264)</f>
        <v>1080222264</v>
      </c>
      <c r="D17867" t="s">
        <v>15158</v>
      </c>
      <c r="E17867">
        <v>-23754.12</v>
      </c>
      <c r="F17867">
        <v>-2.15</v>
      </c>
      <c r="G17867" t="s">
        <v>12</v>
      </c>
      <c r="I17867" t="s">
        <v>1428</v>
      </c>
    </row>
    <row r="17868" spans="1:9" hidden="1" x14ac:dyDescent="0.25">
      <c r="A17868" t="s">
        <v>15032</v>
      </c>
      <c r="B17868" t="s">
        <v>780</v>
      </c>
      <c r="C17868" s="2">
        <f>HYPERLINK("https://cao.dolgi.msk.ru/account/1080222272/", 1080222272)</f>
        <v>1080222272</v>
      </c>
      <c r="D17868" t="s">
        <v>15159</v>
      </c>
      <c r="E17868">
        <v>-2094.04</v>
      </c>
      <c r="F17868">
        <v>-1.1100000000000001</v>
      </c>
      <c r="G17868" t="s">
        <v>12</v>
      </c>
      <c r="I17868" t="s">
        <v>1428</v>
      </c>
    </row>
    <row r="17869" spans="1:9" hidden="1" x14ac:dyDescent="0.25">
      <c r="A17869" t="s">
        <v>15032</v>
      </c>
      <c r="B17869" t="s">
        <v>781</v>
      </c>
      <c r="C17869" s="2">
        <f>HYPERLINK("https://cao.dolgi.msk.ru/account/1080222299/", 1080222299)</f>
        <v>1080222299</v>
      </c>
      <c r="D17869" t="s">
        <v>15160</v>
      </c>
      <c r="E17869">
        <v>0</v>
      </c>
      <c r="F17869">
        <v>0</v>
      </c>
      <c r="G17869" t="s">
        <v>12</v>
      </c>
      <c r="I17869" t="s">
        <v>1428</v>
      </c>
    </row>
    <row r="17870" spans="1:9" hidden="1" x14ac:dyDescent="0.25">
      <c r="A17870" t="s">
        <v>15032</v>
      </c>
      <c r="B17870" t="s">
        <v>782</v>
      </c>
      <c r="C17870" s="2">
        <f>HYPERLINK("https://cao.dolgi.msk.ru/account/1080222301/", 1080222301)</f>
        <v>1080222301</v>
      </c>
      <c r="D17870" t="s">
        <v>15161</v>
      </c>
      <c r="E17870">
        <v>-6787.27</v>
      </c>
      <c r="F17870">
        <v>-1.07</v>
      </c>
      <c r="G17870" t="s">
        <v>12</v>
      </c>
      <c r="I17870" t="s">
        <v>1428</v>
      </c>
    </row>
    <row r="17871" spans="1:9" hidden="1" x14ac:dyDescent="0.25">
      <c r="A17871" t="s">
        <v>15032</v>
      </c>
      <c r="B17871" t="s">
        <v>784</v>
      </c>
      <c r="C17871" s="2">
        <f>HYPERLINK("https://cao.dolgi.msk.ru/account/1080222328/", 1080222328)</f>
        <v>1080222328</v>
      </c>
      <c r="D17871" t="s">
        <v>15162</v>
      </c>
      <c r="E17871">
        <v>-7603.51</v>
      </c>
      <c r="F17871">
        <v>-1.1100000000000001</v>
      </c>
      <c r="G17871" t="s">
        <v>12</v>
      </c>
      <c r="I17871" t="s">
        <v>1428</v>
      </c>
    </row>
    <row r="17872" spans="1:9" hidden="1" x14ac:dyDescent="0.25">
      <c r="A17872" t="s">
        <v>15032</v>
      </c>
      <c r="B17872" t="s">
        <v>786</v>
      </c>
      <c r="C17872" s="2">
        <f>HYPERLINK("https://cao.dolgi.msk.ru/account/1080222336/", 1080222336)</f>
        <v>1080222336</v>
      </c>
      <c r="D17872" t="s">
        <v>15163</v>
      </c>
      <c r="E17872">
        <v>-38.799999999999997</v>
      </c>
      <c r="F17872">
        <v>-0.01</v>
      </c>
      <c r="G17872" t="s">
        <v>12</v>
      </c>
      <c r="I17872" t="s">
        <v>1428</v>
      </c>
    </row>
    <row r="17873" spans="1:9" hidden="1" x14ac:dyDescent="0.25">
      <c r="A17873" t="s">
        <v>15032</v>
      </c>
      <c r="B17873" t="s">
        <v>788</v>
      </c>
      <c r="C17873" s="2">
        <f>HYPERLINK("https://cao.dolgi.msk.ru/account/1080222344/", 1080222344)</f>
        <v>1080222344</v>
      </c>
      <c r="D17873" t="s">
        <v>15164</v>
      </c>
      <c r="E17873">
        <v>-4032.03</v>
      </c>
      <c r="F17873">
        <v>-1.1599999999999999</v>
      </c>
      <c r="G17873" t="s">
        <v>12</v>
      </c>
      <c r="I17873" t="s">
        <v>1428</v>
      </c>
    </row>
    <row r="17874" spans="1:9" hidden="1" x14ac:dyDescent="0.25">
      <c r="A17874" t="s">
        <v>15032</v>
      </c>
      <c r="B17874" t="s">
        <v>789</v>
      </c>
      <c r="C17874" s="2">
        <f>HYPERLINK("https://cao.dolgi.msk.ru/account/1080222352/", 1080222352)</f>
        <v>1080222352</v>
      </c>
      <c r="D17874" t="s">
        <v>15165</v>
      </c>
      <c r="E17874">
        <v>40.700000000000003</v>
      </c>
      <c r="F17874">
        <v>0.01</v>
      </c>
      <c r="G17874" t="s">
        <v>12</v>
      </c>
      <c r="I17874" t="s">
        <v>1428</v>
      </c>
    </row>
    <row r="17875" spans="1:9" hidden="1" x14ac:dyDescent="0.25">
      <c r="A17875" t="s">
        <v>15166</v>
      </c>
      <c r="B17875" t="s">
        <v>10</v>
      </c>
      <c r="C17875" s="2">
        <f>HYPERLINK("https://cao.dolgi.msk.ru/account/1080222408/", 1080222408)</f>
        <v>1080222408</v>
      </c>
      <c r="D17875" t="s">
        <v>15167</v>
      </c>
      <c r="E17875">
        <v>-4887.01</v>
      </c>
      <c r="F17875">
        <v>-1.18</v>
      </c>
      <c r="G17875" t="s">
        <v>12</v>
      </c>
      <c r="I17875" t="s">
        <v>1428</v>
      </c>
    </row>
    <row r="17876" spans="1:9" hidden="1" x14ac:dyDescent="0.25">
      <c r="A17876" t="s">
        <v>15166</v>
      </c>
      <c r="B17876" t="s">
        <v>16</v>
      </c>
      <c r="C17876" s="2">
        <f>HYPERLINK("https://cao.dolgi.msk.ru/account/1080222416/", 1080222416)</f>
        <v>1080222416</v>
      </c>
      <c r="D17876" t="s">
        <v>15168</v>
      </c>
      <c r="E17876">
        <v>0</v>
      </c>
      <c r="F17876">
        <v>0</v>
      </c>
      <c r="G17876" t="s">
        <v>12</v>
      </c>
      <c r="I17876" t="s">
        <v>1428</v>
      </c>
    </row>
    <row r="17877" spans="1:9" hidden="1" x14ac:dyDescent="0.25">
      <c r="A17877" t="s">
        <v>15166</v>
      </c>
      <c r="B17877" t="s">
        <v>18</v>
      </c>
      <c r="C17877" s="2">
        <f>HYPERLINK("https://cao.dolgi.msk.ru/account/1080222424/", 1080222424)</f>
        <v>1080222424</v>
      </c>
      <c r="D17877" t="s">
        <v>15169</v>
      </c>
      <c r="E17877">
        <v>-9734.26</v>
      </c>
      <c r="F17877">
        <v>-1.22</v>
      </c>
      <c r="G17877" t="s">
        <v>12</v>
      </c>
      <c r="I17877" t="s">
        <v>1428</v>
      </c>
    </row>
    <row r="17878" spans="1:9" hidden="1" x14ac:dyDescent="0.25">
      <c r="A17878" t="s">
        <v>15166</v>
      </c>
      <c r="B17878" t="s">
        <v>20</v>
      </c>
      <c r="C17878" s="2">
        <f>HYPERLINK("https://cao.dolgi.msk.ru/account/1080222432/", 1080222432)</f>
        <v>1080222432</v>
      </c>
      <c r="D17878" t="s">
        <v>15170</v>
      </c>
      <c r="E17878">
        <v>1011.97</v>
      </c>
      <c r="F17878">
        <v>0.13</v>
      </c>
      <c r="G17878" t="s">
        <v>12</v>
      </c>
      <c r="I17878" t="s">
        <v>1428</v>
      </c>
    </row>
    <row r="17879" spans="1:9" hidden="1" x14ac:dyDescent="0.25">
      <c r="A17879" t="s">
        <v>15166</v>
      </c>
      <c r="B17879" t="s">
        <v>21</v>
      </c>
      <c r="C17879" s="2">
        <f>HYPERLINK("https://cao.dolgi.msk.ru/account/1080222459/", 1080222459)</f>
        <v>1080222459</v>
      </c>
      <c r="D17879" t="s">
        <v>15171</v>
      </c>
      <c r="E17879">
        <v>-6397.75</v>
      </c>
      <c r="F17879">
        <v>-1.21</v>
      </c>
      <c r="G17879" t="s">
        <v>12</v>
      </c>
      <c r="I17879" t="s">
        <v>1428</v>
      </c>
    </row>
    <row r="17880" spans="1:9" hidden="1" x14ac:dyDescent="0.25">
      <c r="A17880" t="s">
        <v>15166</v>
      </c>
      <c r="B17880" t="s">
        <v>22</v>
      </c>
      <c r="C17880" s="2">
        <f>HYPERLINK("https://cao.dolgi.msk.ru/account/1080222467/", 1080222467)</f>
        <v>1080222467</v>
      </c>
      <c r="D17880" t="s">
        <v>15172</v>
      </c>
      <c r="E17880">
        <v>62.18</v>
      </c>
      <c r="F17880">
        <v>0.01</v>
      </c>
      <c r="G17880" t="s">
        <v>12</v>
      </c>
      <c r="I17880" t="s">
        <v>1428</v>
      </c>
    </row>
    <row r="17881" spans="1:9" hidden="1" x14ac:dyDescent="0.25">
      <c r="A17881" t="s">
        <v>15166</v>
      </c>
      <c r="B17881" t="s">
        <v>23</v>
      </c>
      <c r="C17881" s="2">
        <f>HYPERLINK("https://cao.dolgi.msk.ru/account/1080222475/", 1080222475)</f>
        <v>1080222475</v>
      </c>
      <c r="D17881" t="s">
        <v>15173</v>
      </c>
      <c r="E17881">
        <v>-15683.39</v>
      </c>
      <c r="F17881">
        <v>-1.28</v>
      </c>
      <c r="G17881" t="s">
        <v>12</v>
      </c>
      <c r="I17881" t="s">
        <v>1428</v>
      </c>
    </row>
    <row r="17882" spans="1:9" hidden="1" x14ac:dyDescent="0.25">
      <c r="A17882" t="s">
        <v>15166</v>
      </c>
      <c r="B17882" t="s">
        <v>24</v>
      </c>
      <c r="C17882" s="2">
        <f>HYPERLINK("https://cao.dolgi.msk.ru/account/1080222483/", 1080222483)</f>
        <v>1080222483</v>
      </c>
      <c r="D17882" t="s">
        <v>15174</v>
      </c>
      <c r="E17882">
        <v>5882.35</v>
      </c>
      <c r="F17882">
        <v>0.98</v>
      </c>
      <c r="G17882" t="s">
        <v>12</v>
      </c>
      <c r="I17882" t="s">
        <v>1428</v>
      </c>
    </row>
    <row r="17883" spans="1:9" hidden="1" x14ac:dyDescent="0.25">
      <c r="A17883" t="s">
        <v>15166</v>
      </c>
      <c r="B17883" t="s">
        <v>27</v>
      </c>
      <c r="C17883" s="2">
        <f>HYPERLINK("https://cao.dolgi.msk.ru/account/1080222491/", 1080222491)</f>
        <v>1080222491</v>
      </c>
      <c r="D17883" t="s">
        <v>15175</v>
      </c>
      <c r="E17883">
        <v>28.51</v>
      </c>
      <c r="F17883">
        <v>0</v>
      </c>
      <c r="G17883" t="s">
        <v>12</v>
      </c>
      <c r="I17883" t="s">
        <v>1428</v>
      </c>
    </row>
    <row r="17884" spans="1:9" hidden="1" x14ac:dyDescent="0.25">
      <c r="A17884" t="s">
        <v>15166</v>
      </c>
      <c r="B17884" t="s">
        <v>29</v>
      </c>
      <c r="C17884" s="2">
        <f>HYPERLINK("https://cao.dolgi.msk.ru/account/1080222504/", 1080222504)</f>
        <v>1080222504</v>
      </c>
      <c r="D17884" t="s">
        <v>15176</v>
      </c>
      <c r="E17884">
        <v>-8530.0300000000007</v>
      </c>
      <c r="F17884">
        <v>-1.06</v>
      </c>
      <c r="G17884" t="s">
        <v>12</v>
      </c>
      <c r="I17884" t="s">
        <v>1428</v>
      </c>
    </row>
    <row r="17885" spans="1:9" hidden="1" x14ac:dyDescent="0.25">
      <c r="A17885" t="s">
        <v>15166</v>
      </c>
      <c r="B17885" t="s">
        <v>29</v>
      </c>
      <c r="C17885" s="2">
        <f>HYPERLINK("https://cao.dolgi.msk.ru/account/1080323647/", 1080323647)</f>
        <v>1080323647</v>
      </c>
      <c r="D17885" t="s">
        <v>15</v>
      </c>
      <c r="E17885">
        <v>0</v>
      </c>
      <c r="G17885" t="s">
        <v>14</v>
      </c>
      <c r="I17885" t="s">
        <v>1428</v>
      </c>
    </row>
    <row r="17886" spans="1:9" hidden="1" x14ac:dyDescent="0.25">
      <c r="A17886" t="s">
        <v>15166</v>
      </c>
      <c r="B17886" t="s">
        <v>29</v>
      </c>
      <c r="C17886" s="2">
        <f>HYPERLINK("https://cao.dolgi.msk.ru/account/1083284153/", 1083284153)</f>
        <v>1083284153</v>
      </c>
      <c r="D17886" t="s">
        <v>15</v>
      </c>
      <c r="E17886">
        <v>0</v>
      </c>
      <c r="G17886" t="s">
        <v>14</v>
      </c>
      <c r="I17886" t="s">
        <v>1428</v>
      </c>
    </row>
    <row r="17887" spans="1:9" hidden="1" x14ac:dyDescent="0.25">
      <c r="A17887" t="s">
        <v>15166</v>
      </c>
      <c r="B17887" t="s">
        <v>31</v>
      </c>
      <c r="C17887" s="2">
        <f>HYPERLINK("https://cao.dolgi.msk.ru/account/1080222512/", 1080222512)</f>
        <v>1080222512</v>
      </c>
      <c r="D17887" t="s">
        <v>15177</v>
      </c>
      <c r="E17887">
        <v>223.46</v>
      </c>
      <c r="F17887">
        <v>0.02</v>
      </c>
      <c r="G17887" t="s">
        <v>12</v>
      </c>
      <c r="I17887" t="s">
        <v>1428</v>
      </c>
    </row>
    <row r="17888" spans="1:9" hidden="1" x14ac:dyDescent="0.25">
      <c r="A17888" t="s">
        <v>15166</v>
      </c>
      <c r="B17888" t="s">
        <v>33</v>
      </c>
      <c r="C17888" s="2">
        <f>HYPERLINK("https://cao.dolgi.msk.ru/account/1080222539/", 1080222539)</f>
        <v>1080222539</v>
      </c>
      <c r="D17888" t="s">
        <v>15178</v>
      </c>
      <c r="E17888">
        <v>-2798.41</v>
      </c>
      <c r="F17888">
        <v>-0.32</v>
      </c>
      <c r="G17888" t="s">
        <v>12</v>
      </c>
      <c r="I17888" t="s">
        <v>1428</v>
      </c>
    </row>
    <row r="17889" spans="1:9" hidden="1" x14ac:dyDescent="0.25">
      <c r="A17889" t="s">
        <v>15166</v>
      </c>
      <c r="B17889" t="s">
        <v>34</v>
      </c>
      <c r="C17889" s="2">
        <f>HYPERLINK("https://cao.dolgi.msk.ru/account/1080222547/", 1080222547)</f>
        <v>1080222547</v>
      </c>
      <c r="D17889" t="s">
        <v>15179</v>
      </c>
      <c r="E17889">
        <v>-6128.3</v>
      </c>
      <c r="F17889">
        <v>-0.72</v>
      </c>
      <c r="G17889" t="s">
        <v>12</v>
      </c>
      <c r="I17889" t="s">
        <v>1428</v>
      </c>
    </row>
    <row r="17890" spans="1:9" hidden="1" x14ac:dyDescent="0.25">
      <c r="A17890" t="s">
        <v>15166</v>
      </c>
      <c r="B17890" t="s">
        <v>36</v>
      </c>
      <c r="C17890" s="2">
        <f>HYPERLINK("https://cao.dolgi.msk.ru/account/1080222555/", 1080222555)</f>
        <v>1080222555</v>
      </c>
      <c r="D17890" t="s">
        <v>15180</v>
      </c>
      <c r="E17890">
        <v>-12436.85</v>
      </c>
      <c r="F17890">
        <v>-1.68</v>
      </c>
      <c r="G17890" t="s">
        <v>12</v>
      </c>
      <c r="I17890" t="s">
        <v>1428</v>
      </c>
    </row>
    <row r="17891" spans="1:9" hidden="1" x14ac:dyDescent="0.25">
      <c r="A17891" t="s">
        <v>15166</v>
      </c>
      <c r="B17891" t="s">
        <v>38</v>
      </c>
      <c r="C17891" s="2">
        <f>HYPERLINK("https://cao.dolgi.msk.ru/account/1080222598/", 1080222598)</f>
        <v>1080222598</v>
      </c>
      <c r="D17891" t="s">
        <v>15181</v>
      </c>
      <c r="E17891">
        <v>-9491.69</v>
      </c>
      <c r="F17891">
        <v>-1.18</v>
      </c>
      <c r="G17891" t="s">
        <v>12</v>
      </c>
      <c r="I17891" t="s">
        <v>1428</v>
      </c>
    </row>
    <row r="17892" spans="1:9" hidden="1" x14ac:dyDescent="0.25">
      <c r="A17892" t="s">
        <v>15166</v>
      </c>
      <c r="B17892" t="s">
        <v>39</v>
      </c>
      <c r="C17892" s="2">
        <f>HYPERLINK("https://cao.dolgi.msk.ru/account/1080222619/", 1080222619)</f>
        <v>1080222619</v>
      </c>
      <c r="D17892" t="s">
        <v>15182</v>
      </c>
      <c r="E17892">
        <v>8007.81</v>
      </c>
      <c r="F17892">
        <v>0.94</v>
      </c>
      <c r="G17892" t="s">
        <v>12</v>
      </c>
      <c r="I17892" t="s">
        <v>1428</v>
      </c>
    </row>
    <row r="17893" spans="1:9" hidden="1" x14ac:dyDescent="0.25">
      <c r="A17893" t="s">
        <v>15166</v>
      </c>
      <c r="B17893" t="s">
        <v>40</v>
      </c>
      <c r="C17893" s="2">
        <f>HYPERLINK("https://cao.dolgi.msk.ru/account/1080222635/", 1080222635)</f>
        <v>1080222635</v>
      </c>
      <c r="D17893" t="s">
        <v>15183</v>
      </c>
      <c r="E17893">
        <v>-8898.5400000000009</v>
      </c>
      <c r="F17893">
        <v>-1.23</v>
      </c>
      <c r="G17893" t="s">
        <v>12</v>
      </c>
      <c r="I17893" t="s">
        <v>1428</v>
      </c>
    </row>
    <row r="17894" spans="1:9" hidden="1" x14ac:dyDescent="0.25">
      <c r="A17894" t="s">
        <v>15166</v>
      </c>
      <c r="B17894" t="s">
        <v>41</v>
      </c>
      <c r="C17894" s="2">
        <f>HYPERLINK("https://cao.dolgi.msk.ru/account/1080222643/", 1080222643)</f>
        <v>1080222643</v>
      </c>
      <c r="D17894" t="s">
        <v>15184</v>
      </c>
      <c r="E17894">
        <v>-12380.13</v>
      </c>
      <c r="F17894">
        <v>-1.2</v>
      </c>
      <c r="G17894" t="s">
        <v>12</v>
      </c>
      <c r="I17894" t="s">
        <v>1428</v>
      </c>
    </row>
    <row r="17895" spans="1:9" hidden="1" x14ac:dyDescent="0.25">
      <c r="A17895" t="s">
        <v>15166</v>
      </c>
      <c r="B17895" t="s">
        <v>42</v>
      </c>
      <c r="C17895" s="2">
        <f>HYPERLINK("https://cao.dolgi.msk.ru/account/1080222651/", 1080222651)</f>
        <v>1080222651</v>
      </c>
      <c r="D17895" t="s">
        <v>15185</v>
      </c>
      <c r="E17895">
        <v>-1236.1099999999999</v>
      </c>
      <c r="F17895">
        <v>-0.18</v>
      </c>
      <c r="G17895" t="s">
        <v>12</v>
      </c>
      <c r="I17895" t="s">
        <v>1428</v>
      </c>
    </row>
    <row r="17896" spans="1:9" hidden="1" x14ac:dyDescent="0.25">
      <c r="A17896" t="s">
        <v>15166</v>
      </c>
      <c r="B17896" t="s">
        <v>44</v>
      </c>
      <c r="C17896" s="2">
        <f>HYPERLINK("https://cao.dolgi.msk.ru/account/1080222678/", 1080222678)</f>
        <v>1080222678</v>
      </c>
      <c r="D17896" t="s">
        <v>15186</v>
      </c>
      <c r="E17896">
        <v>-10767.07</v>
      </c>
      <c r="F17896">
        <v>-1.25</v>
      </c>
      <c r="G17896" t="s">
        <v>12</v>
      </c>
      <c r="I17896" t="s">
        <v>1428</v>
      </c>
    </row>
    <row r="17897" spans="1:9" hidden="1" x14ac:dyDescent="0.25">
      <c r="A17897" t="s">
        <v>15166</v>
      </c>
      <c r="B17897" t="s">
        <v>66</v>
      </c>
      <c r="C17897" s="2">
        <f>HYPERLINK("https://cao.dolgi.msk.ru/account/1080222686/", 1080222686)</f>
        <v>1080222686</v>
      </c>
      <c r="D17897" t="s">
        <v>15187</v>
      </c>
      <c r="E17897">
        <v>0</v>
      </c>
      <c r="F17897">
        <v>0</v>
      </c>
      <c r="G17897" t="s">
        <v>12</v>
      </c>
      <c r="I17897" t="s">
        <v>1428</v>
      </c>
    </row>
    <row r="17898" spans="1:9" hidden="1" x14ac:dyDescent="0.25">
      <c r="A17898" t="s">
        <v>15166</v>
      </c>
      <c r="B17898" t="s">
        <v>68</v>
      </c>
      <c r="C17898" s="2">
        <f>HYPERLINK("https://cao.dolgi.msk.ru/account/1080222694/", 1080222694)</f>
        <v>1080222694</v>
      </c>
      <c r="D17898" t="s">
        <v>15188</v>
      </c>
      <c r="E17898">
        <v>-10658.31</v>
      </c>
      <c r="F17898">
        <v>-1.26</v>
      </c>
      <c r="G17898" t="s">
        <v>12</v>
      </c>
      <c r="I17898" t="s">
        <v>1428</v>
      </c>
    </row>
    <row r="17899" spans="1:9" hidden="1" x14ac:dyDescent="0.25">
      <c r="A17899" t="s">
        <v>15166</v>
      </c>
      <c r="B17899" t="s">
        <v>70</v>
      </c>
      <c r="C17899" s="2">
        <f>HYPERLINK("https://cao.dolgi.msk.ru/account/1080222707/", 1080222707)</f>
        <v>1080222707</v>
      </c>
      <c r="D17899" t="s">
        <v>15189</v>
      </c>
      <c r="E17899">
        <v>-6262.33</v>
      </c>
      <c r="F17899">
        <v>-0.98</v>
      </c>
      <c r="G17899" t="s">
        <v>12</v>
      </c>
      <c r="I17899" t="s">
        <v>1428</v>
      </c>
    </row>
    <row r="17900" spans="1:9" hidden="1" x14ac:dyDescent="0.25">
      <c r="A17900" t="s">
        <v>15166</v>
      </c>
      <c r="B17900" t="s">
        <v>72</v>
      </c>
      <c r="C17900" s="2">
        <f>HYPERLINK("https://cao.dolgi.msk.ru/account/1080222715/", 1080222715)</f>
        <v>1080222715</v>
      </c>
      <c r="D17900" t="s">
        <v>15190</v>
      </c>
      <c r="E17900">
        <v>-13526.71</v>
      </c>
      <c r="F17900">
        <v>-1.17</v>
      </c>
      <c r="G17900" t="s">
        <v>12</v>
      </c>
      <c r="I17900" t="s">
        <v>1428</v>
      </c>
    </row>
    <row r="17901" spans="1:9" hidden="1" x14ac:dyDescent="0.25">
      <c r="A17901" t="s">
        <v>15166</v>
      </c>
      <c r="B17901" t="s">
        <v>74</v>
      </c>
      <c r="C17901" s="2">
        <f>HYPERLINK("https://cao.dolgi.msk.ru/account/1080222766/", 1080222766)</f>
        <v>1080222766</v>
      </c>
      <c r="D17901" t="s">
        <v>15191</v>
      </c>
      <c r="E17901">
        <v>0</v>
      </c>
      <c r="F17901">
        <v>0</v>
      </c>
      <c r="G17901" t="s">
        <v>12</v>
      </c>
      <c r="I17901" t="s">
        <v>1428</v>
      </c>
    </row>
    <row r="17902" spans="1:9" x14ac:dyDescent="0.25">
      <c r="A17902" t="s">
        <v>15166</v>
      </c>
      <c r="B17902" t="s">
        <v>76</v>
      </c>
      <c r="C17902" s="2">
        <f>HYPERLINK("https://cao.dolgi.msk.ru/account/1080222774/", 1080222774)</f>
        <v>1080222774</v>
      </c>
      <c r="D17902" t="s">
        <v>15192</v>
      </c>
      <c r="E17902">
        <v>67270.91</v>
      </c>
      <c r="F17902">
        <v>7.72</v>
      </c>
      <c r="G17902" t="s">
        <v>12</v>
      </c>
      <c r="I17902" t="s">
        <v>1428</v>
      </c>
    </row>
    <row r="17903" spans="1:9" hidden="1" x14ac:dyDescent="0.25">
      <c r="A17903" t="s">
        <v>15166</v>
      </c>
      <c r="B17903" t="s">
        <v>76</v>
      </c>
      <c r="C17903" s="2">
        <f>HYPERLINK("https://cao.dolgi.msk.ru/account/1083399604/", 1083399604)</f>
        <v>1083399604</v>
      </c>
      <c r="D17903" t="s">
        <v>189</v>
      </c>
      <c r="E17903">
        <v>0</v>
      </c>
      <c r="G17903" t="s">
        <v>12</v>
      </c>
      <c r="I17903" t="s">
        <v>1428</v>
      </c>
    </row>
    <row r="17904" spans="1:9" hidden="1" x14ac:dyDescent="0.25">
      <c r="A17904" t="s">
        <v>15166</v>
      </c>
      <c r="B17904" t="s">
        <v>78</v>
      </c>
      <c r="C17904" s="2">
        <f>HYPERLINK("https://cao.dolgi.msk.ru/account/1080222782/", 1080222782)</f>
        <v>1080222782</v>
      </c>
      <c r="D17904" t="s">
        <v>15193</v>
      </c>
      <c r="E17904">
        <v>-7891.1</v>
      </c>
      <c r="F17904">
        <v>-1.2</v>
      </c>
      <c r="G17904" t="s">
        <v>12</v>
      </c>
      <c r="I17904" t="s">
        <v>1428</v>
      </c>
    </row>
    <row r="17905" spans="1:9" hidden="1" x14ac:dyDescent="0.25">
      <c r="A17905" t="s">
        <v>15166</v>
      </c>
      <c r="B17905" t="s">
        <v>80</v>
      </c>
      <c r="C17905" s="2">
        <f>HYPERLINK("https://cao.dolgi.msk.ru/account/1080222803/", 1080222803)</f>
        <v>1080222803</v>
      </c>
      <c r="D17905" t="s">
        <v>15194</v>
      </c>
      <c r="E17905">
        <v>-22.89</v>
      </c>
      <c r="F17905">
        <v>0</v>
      </c>
      <c r="G17905" t="s">
        <v>12</v>
      </c>
      <c r="I17905" t="s">
        <v>1428</v>
      </c>
    </row>
    <row r="17906" spans="1:9" hidden="1" x14ac:dyDescent="0.25">
      <c r="A17906" t="s">
        <v>15166</v>
      </c>
      <c r="B17906" t="s">
        <v>80</v>
      </c>
      <c r="C17906" s="2">
        <f>HYPERLINK("https://cao.dolgi.msk.ru/account/1080222811/", 1080222811)</f>
        <v>1080222811</v>
      </c>
      <c r="D17906" t="s">
        <v>15</v>
      </c>
      <c r="E17906">
        <v>-2413.09</v>
      </c>
      <c r="G17906" t="s">
        <v>14</v>
      </c>
      <c r="I17906" t="s">
        <v>1428</v>
      </c>
    </row>
    <row r="17907" spans="1:9" hidden="1" x14ac:dyDescent="0.25">
      <c r="A17907" t="s">
        <v>15166</v>
      </c>
      <c r="B17907" t="s">
        <v>82</v>
      </c>
      <c r="C17907" s="2">
        <f>HYPERLINK("https://cao.dolgi.msk.ru/account/1080222838/", 1080222838)</f>
        <v>1080222838</v>
      </c>
      <c r="D17907" t="s">
        <v>15195</v>
      </c>
      <c r="E17907">
        <v>-11726.12</v>
      </c>
      <c r="F17907">
        <v>-1.71</v>
      </c>
      <c r="G17907" t="s">
        <v>12</v>
      </c>
      <c r="I17907" t="s">
        <v>1428</v>
      </c>
    </row>
    <row r="17908" spans="1:9" hidden="1" x14ac:dyDescent="0.25">
      <c r="A17908" t="s">
        <v>15166</v>
      </c>
      <c r="B17908" t="s">
        <v>84</v>
      </c>
      <c r="C17908" s="2">
        <f>HYPERLINK("https://cao.dolgi.msk.ru/account/1080222846/", 1080222846)</f>
        <v>1080222846</v>
      </c>
      <c r="D17908" t="s">
        <v>15196</v>
      </c>
      <c r="E17908">
        <v>-10468.35</v>
      </c>
      <c r="F17908">
        <v>-1.23</v>
      </c>
      <c r="G17908" t="s">
        <v>12</v>
      </c>
      <c r="I17908" t="s">
        <v>1428</v>
      </c>
    </row>
    <row r="17909" spans="1:9" hidden="1" x14ac:dyDescent="0.25">
      <c r="A17909" t="s">
        <v>15166</v>
      </c>
      <c r="B17909" t="s">
        <v>86</v>
      </c>
      <c r="C17909" s="2">
        <f>HYPERLINK("https://cao.dolgi.msk.ru/account/1080222854/", 1080222854)</f>
        <v>1080222854</v>
      </c>
      <c r="D17909" t="s">
        <v>15197</v>
      </c>
      <c r="E17909">
        <v>-11286.15</v>
      </c>
      <c r="F17909">
        <v>-1.1599999999999999</v>
      </c>
      <c r="G17909" t="s">
        <v>12</v>
      </c>
      <c r="I17909" t="s">
        <v>1428</v>
      </c>
    </row>
    <row r="17910" spans="1:9" hidden="1" x14ac:dyDescent="0.25">
      <c r="A17910" t="s">
        <v>15166</v>
      </c>
      <c r="B17910" t="s">
        <v>88</v>
      </c>
      <c r="C17910" s="2">
        <f>HYPERLINK("https://cao.dolgi.msk.ru/account/1080222862/", 1080222862)</f>
        <v>1080222862</v>
      </c>
      <c r="D17910" t="s">
        <v>15198</v>
      </c>
      <c r="E17910">
        <v>-423.71</v>
      </c>
      <c r="F17910">
        <v>-0.04</v>
      </c>
      <c r="G17910" t="s">
        <v>12</v>
      </c>
      <c r="I17910" t="s">
        <v>1428</v>
      </c>
    </row>
    <row r="17911" spans="1:9" hidden="1" x14ac:dyDescent="0.25">
      <c r="A17911" t="s">
        <v>15166</v>
      </c>
      <c r="B17911" t="s">
        <v>90</v>
      </c>
      <c r="C17911" s="2">
        <f>HYPERLINK("https://cao.dolgi.msk.ru/account/1080222889/", 1080222889)</f>
        <v>1080222889</v>
      </c>
      <c r="D17911" t="s">
        <v>15199</v>
      </c>
      <c r="E17911">
        <v>-11251.38</v>
      </c>
      <c r="F17911">
        <v>-1.05</v>
      </c>
      <c r="G17911" t="s">
        <v>12</v>
      </c>
      <c r="I17911" t="s">
        <v>1428</v>
      </c>
    </row>
    <row r="17912" spans="1:9" hidden="1" x14ac:dyDescent="0.25">
      <c r="A17912" t="s">
        <v>15166</v>
      </c>
      <c r="B17912" t="s">
        <v>92</v>
      </c>
      <c r="C17912" s="2">
        <f>HYPERLINK("https://cao.dolgi.msk.ru/account/1080222897/", 1080222897)</f>
        <v>1080222897</v>
      </c>
      <c r="D17912" t="s">
        <v>15200</v>
      </c>
      <c r="E17912">
        <v>0</v>
      </c>
      <c r="F17912">
        <v>0</v>
      </c>
      <c r="G17912" t="s">
        <v>12</v>
      </c>
      <c r="I17912" t="s">
        <v>1428</v>
      </c>
    </row>
    <row r="17913" spans="1:9" hidden="1" x14ac:dyDescent="0.25">
      <c r="A17913" t="s">
        <v>15166</v>
      </c>
      <c r="B17913" t="s">
        <v>94</v>
      </c>
      <c r="C17913" s="2">
        <f>HYPERLINK("https://cao.dolgi.msk.ru/account/1080222918/", 1080222918)</f>
        <v>1080222918</v>
      </c>
      <c r="D17913" t="s">
        <v>15201</v>
      </c>
      <c r="E17913">
        <v>-5963.7</v>
      </c>
      <c r="F17913">
        <v>-1.22</v>
      </c>
      <c r="G17913" t="s">
        <v>12</v>
      </c>
      <c r="I17913" t="s">
        <v>1428</v>
      </c>
    </row>
    <row r="17914" spans="1:9" hidden="1" x14ac:dyDescent="0.25">
      <c r="A17914" t="s">
        <v>15166</v>
      </c>
      <c r="B17914" t="s">
        <v>96</v>
      </c>
      <c r="C17914" s="2">
        <f>HYPERLINK("https://cao.dolgi.msk.ru/account/1080222926/", 1080222926)</f>
        <v>1080222926</v>
      </c>
      <c r="D17914" t="s">
        <v>15202</v>
      </c>
      <c r="E17914">
        <v>7397.74</v>
      </c>
      <c r="F17914">
        <v>0.78</v>
      </c>
      <c r="G17914" t="s">
        <v>12</v>
      </c>
      <c r="I17914" t="s">
        <v>1428</v>
      </c>
    </row>
    <row r="17915" spans="1:9" hidden="1" x14ac:dyDescent="0.25">
      <c r="A17915" t="s">
        <v>15166</v>
      </c>
      <c r="B17915" t="s">
        <v>98</v>
      </c>
      <c r="C17915" s="2">
        <f>HYPERLINK("https://cao.dolgi.msk.ru/account/1080222934/", 1080222934)</f>
        <v>1080222934</v>
      </c>
      <c r="D17915" t="s">
        <v>15203</v>
      </c>
      <c r="E17915">
        <v>46.66</v>
      </c>
      <c r="F17915">
        <v>0.01</v>
      </c>
      <c r="G17915" t="s">
        <v>12</v>
      </c>
      <c r="I17915" t="s">
        <v>1428</v>
      </c>
    </row>
    <row r="17916" spans="1:9" hidden="1" x14ac:dyDescent="0.25">
      <c r="A17916" t="s">
        <v>15166</v>
      </c>
      <c r="B17916" t="s">
        <v>100</v>
      </c>
      <c r="C17916" s="2">
        <f>HYPERLINK("https://cao.dolgi.msk.ru/account/1080222942/", 1080222942)</f>
        <v>1080222942</v>
      </c>
      <c r="D17916" t="s">
        <v>15204</v>
      </c>
      <c r="E17916">
        <v>-8765.0499999999993</v>
      </c>
      <c r="F17916">
        <v>-1.21</v>
      </c>
      <c r="G17916" t="s">
        <v>12</v>
      </c>
      <c r="I17916" t="s">
        <v>1428</v>
      </c>
    </row>
    <row r="17917" spans="1:9" hidden="1" x14ac:dyDescent="0.25">
      <c r="A17917" t="s">
        <v>15166</v>
      </c>
      <c r="B17917" t="s">
        <v>102</v>
      </c>
      <c r="C17917" s="2">
        <f>HYPERLINK("https://cao.dolgi.msk.ru/account/1080222977/", 1080222977)</f>
        <v>1080222977</v>
      </c>
      <c r="D17917" t="s">
        <v>15205</v>
      </c>
      <c r="E17917">
        <v>-22034.28</v>
      </c>
      <c r="F17917">
        <v>-3.32</v>
      </c>
      <c r="G17917" t="s">
        <v>12</v>
      </c>
      <c r="I17917" t="s">
        <v>1428</v>
      </c>
    </row>
    <row r="17918" spans="1:9" hidden="1" x14ac:dyDescent="0.25">
      <c r="A17918" t="s">
        <v>15166</v>
      </c>
      <c r="B17918" t="s">
        <v>104</v>
      </c>
      <c r="C17918" s="2">
        <f>HYPERLINK("https://cao.dolgi.msk.ru/account/1080222969/", 1080222969)</f>
        <v>1080222969</v>
      </c>
      <c r="D17918" t="s">
        <v>15206</v>
      </c>
      <c r="E17918">
        <v>-1480.93</v>
      </c>
      <c r="F17918">
        <v>-0.17</v>
      </c>
      <c r="G17918" t="s">
        <v>12</v>
      </c>
      <c r="I17918" t="s">
        <v>1428</v>
      </c>
    </row>
    <row r="17919" spans="1:9" hidden="1" x14ac:dyDescent="0.25">
      <c r="A17919" t="s">
        <v>15166</v>
      </c>
      <c r="B17919" t="s">
        <v>106</v>
      </c>
      <c r="C17919" s="2">
        <f>HYPERLINK("https://cao.dolgi.msk.ru/account/1080222985/", 1080222985)</f>
        <v>1080222985</v>
      </c>
      <c r="D17919" t="s">
        <v>15207</v>
      </c>
      <c r="E17919">
        <v>-12733.45</v>
      </c>
      <c r="F17919">
        <v>-1.81</v>
      </c>
      <c r="G17919" t="s">
        <v>12</v>
      </c>
      <c r="I17919" t="s">
        <v>1428</v>
      </c>
    </row>
    <row r="17920" spans="1:9" hidden="1" x14ac:dyDescent="0.25">
      <c r="A17920" t="s">
        <v>15166</v>
      </c>
      <c r="B17920" t="s">
        <v>108</v>
      </c>
      <c r="C17920" s="2">
        <f>HYPERLINK("https://cao.dolgi.msk.ru/account/1080222993/", 1080222993)</f>
        <v>1080222993</v>
      </c>
      <c r="D17920" t="s">
        <v>15208</v>
      </c>
      <c r="E17920">
        <v>0</v>
      </c>
      <c r="F17920">
        <v>0</v>
      </c>
      <c r="G17920" t="s">
        <v>12</v>
      </c>
      <c r="I17920" t="s">
        <v>1428</v>
      </c>
    </row>
    <row r="17921" spans="1:9" hidden="1" x14ac:dyDescent="0.25">
      <c r="A17921" t="s">
        <v>15166</v>
      </c>
      <c r="B17921" t="s">
        <v>108</v>
      </c>
      <c r="C17921" s="2">
        <f>HYPERLINK("https://cao.dolgi.msk.ru/account/1080322003/", 1080322003)</f>
        <v>1080322003</v>
      </c>
      <c r="D17921" t="s">
        <v>1414</v>
      </c>
      <c r="E17921">
        <v>-5</v>
      </c>
      <c r="G17921" t="s">
        <v>12</v>
      </c>
      <c r="I17921" t="s">
        <v>1428</v>
      </c>
    </row>
    <row r="17922" spans="1:9" hidden="1" x14ac:dyDescent="0.25">
      <c r="A17922" t="s">
        <v>15166</v>
      </c>
      <c r="B17922" t="s">
        <v>110</v>
      </c>
      <c r="C17922" s="2">
        <f>HYPERLINK("https://cao.dolgi.msk.ru/account/1080223005/", 1080223005)</f>
        <v>1080223005</v>
      </c>
      <c r="D17922" t="s">
        <v>15209</v>
      </c>
      <c r="E17922">
        <v>-3249.63</v>
      </c>
      <c r="F17922">
        <v>-0.37</v>
      </c>
      <c r="G17922" t="s">
        <v>12</v>
      </c>
      <c r="I17922" t="s">
        <v>1428</v>
      </c>
    </row>
    <row r="17923" spans="1:9" hidden="1" x14ac:dyDescent="0.25">
      <c r="A17923" t="s">
        <v>15166</v>
      </c>
      <c r="B17923" t="s">
        <v>112</v>
      </c>
      <c r="C17923" s="2">
        <f>HYPERLINK("https://cao.dolgi.msk.ru/account/1080223013/", 1080223013)</f>
        <v>1080223013</v>
      </c>
      <c r="D17923" t="s">
        <v>15</v>
      </c>
      <c r="E17923">
        <v>-15.9</v>
      </c>
      <c r="F17923">
        <v>0</v>
      </c>
      <c r="G17923" t="s">
        <v>12</v>
      </c>
      <c r="I17923" t="s">
        <v>1428</v>
      </c>
    </row>
    <row r="17924" spans="1:9" hidden="1" x14ac:dyDescent="0.25">
      <c r="A17924" t="s">
        <v>15166</v>
      </c>
      <c r="B17924" t="s">
        <v>114</v>
      </c>
      <c r="C17924" s="2">
        <f>HYPERLINK("https://cao.dolgi.msk.ru/account/1080223021/", 1080223021)</f>
        <v>1080223021</v>
      </c>
      <c r="D17924" t="s">
        <v>15210</v>
      </c>
      <c r="E17924">
        <v>6765.56</v>
      </c>
      <c r="F17924">
        <v>1</v>
      </c>
      <c r="G17924" t="s">
        <v>12</v>
      </c>
      <c r="I17924" t="s">
        <v>1428</v>
      </c>
    </row>
    <row r="17925" spans="1:9" hidden="1" x14ac:dyDescent="0.25">
      <c r="A17925" t="s">
        <v>15166</v>
      </c>
      <c r="B17925" t="s">
        <v>116</v>
      </c>
      <c r="C17925" s="2">
        <f>HYPERLINK("https://cao.dolgi.msk.ru/account/1080223048/", 1080223048)</f>
        <v>1080223048</v>
      </c>
      <c r="D17925" t="s">
        <v>15211</v>
      </c>
      <c r="E17925">
        <v>-490.84</v>
      </c>
      <c r="F17925">
        <v>-0.03</v>
      </c>
      <c r="G17925" t="s">
        <v>12</v>
      </c>
      <c r="I17925" t="s">
        <v>1428</v>
      </c>
    </row>
    <row r="17926" spans="1:9" hidden="1" x14ac:dyDescent="0.25">
      <c r="A17926" t="s">
        <v>15166</v>
      </c>
      <c r="B17926" t="s">
        <v>118</v>
      </c>
      <c r="C17926" s="2">
        <f>HYPERLINK("https://cao.dolgi.msk.ru/account/1080223056/", 1080223056)</f>
        <v>1080223056</v>
      </c>
      <c r="D17926" t="s">
        <v>15212</v>
      </c>
      <c r="E17926">
        <v>-8961.09</v>
      </c>
      <c r="F17926">
        <v>-1.18</v>
      </c>
      <c r="G17926" t="s">
        <v>12</v>
      </c>
      <c r="I17926" t="s">
        <v>1428</v>
      </c>
    </row>
    <row r="17927" spans="1:9" hidden="1" x14ac:dyDescent="0.25">
      <c r="A17927" t="s">
        <v>15166</v>
      </c>
      <c r="B17927" t="s">
        <v>120</v>
      </c>
      <c r="C17927" s="2">
        <f>HYPERLINK("https://cao.dolgi.msk.ru/account/1080223064/", 1080223064)</f>
        <v>1080223064</v>
      </c>
      <c r="D17927" t="s">
        <v>15213</v>
      </c>
      <c r="E17927">
        <v>-15520.51</v>
      </c>
      <c r="F17927">
        <v>-1.98</v>
      </c>
      <c r="G17927" t="s">
        <v>12</v>
      </c>
      <c r="I17927" t="s">
        <v>1428</v>
      </c>
    </row>
    <row r="17928" spans="1:9" hidden="1" x14ac:dyDescent="0.25">
      <c r="A17928" t="s">
        <v>15166</v>
      </c>
      <c r="B17928" t="s">
        <v>122</v>
      </c>
      <c r="C17928" s="2">
        <f>HYPERLINK("https://cao.dolgi.msk.ru/account/1080223072/", 1080223072)</f>
        <v>1080223072</v>
      </c>
      <c r="D17928" t="s">
        <v>15214</v>
      </c>
      <c r="E17928">
        <v>-10292.74</v>
      </c>
      <c r="F17928">
        <v>-1.02</v>
      </c>
      <c r="G17928" t="s">
        <v>12</v>
      </c>
      <c r="I17928" t="s">
        <v>1428</v>
      </c>
    </row>
    <row r="17929" spans="1:9" x14ac:dyDescent="0.25">
      <c r="A17929" t="s">
        <v>15166</v>
      </c>
      <c r="B17929" t="s">
        <v>124</v>
      </c>
      <c r="C17929" s="2">
        <f>HYPERLINK("https://cao.dolgi.msk.ru/account/1080223101/", 1080223101)</f>
        <v>1080223101</v>
      </c>
      <c r="D17929" t="s">
        <v>15215</v>
      </c>
      <c r="E17929">
        <v>22834.29</v>
      </c>
      <c r="F17929">
        <v>1.39</v>
      </c>
      <c r="G17929" t="s">
        <v>12</v>
      </c>
      <c r="I17929" t="s">
        <v>1428</v>
      </c>
    </row>
    <row r="17930" spans="1:9" hidden="1" x14ac:dyDescent="0.25">
      <c r="A17930" t="s">
        <v>15166</v>
      </c>
      <c r="B17930" t="s">
        <v>126</v>
      </c>
      <c r="C17930" s="2">
        <f>HYPERLINK("https://cao.dolgi.msk.ru/account/1080223128/", 1080223128)</f>
        <v>1080223128</v>
      </c>
      <c r="D17930" t="s">
        <v>15216</v>
      </c>
      <c r="E17930">
        <v>-6772.51</v>
      </c>
      <c r="F17930">
        <v>-1.26</v>
      </c>
      <c r="G17930" t="s">
        <v>12</v>
      </c>
      <c r="I17930" t="s">
        <v>1428</v>
      </c>
    </row>
    <row r="17931" spans="1:9" hidden="1" x14ac:dyDescent="0.25">
      <c r="A17931" t="s">
        <v>15166</v>
      </c>
      <c r="B17931" t="s">
        <v>128</v>
      </c>
      <c r="C17931" s="2">
        <f>HYPERLINK("https://cao.dolgi.msk.ru/account/1080223136/", 1080223136)</f>
        <v>1080223136</v>
      </c>
      <c r="D17931" t="s">
        <v>15217</v>
      </c>
      <c r="E17931">
        <v>0</v>
      </c>
      <c r="F17931">
        <v>0</v>
      </c>
      <c r="G17931" t="s">
        <v>12</v>
      </c>
      <c r="I17931" t="s">
        <v>1428</v>
      </c>
    </row>
    <row r="17932" spans="1:9" hidden="1" x14ac:dyDescent="0.25">
      <c r="A17932" t="s">
        <v>15166</v>
      </c>
      <c r="B17932" t="s">
        <v>130</v>
      </c>
      <c r="C17932" s="2">
        <f>HYPERLINK("https://cao.dolgi.msk.ru/account/1080223144/", 1080223144)</f>
        <v>1080223144</v>
      </c>
      <c r="D17932" t="s">
        <v>15218</v>
      </c>
      <c r="E17932">
        <v>-20064.150000000001</v>
      </c>
      <c r="F17932">
        <v>-2.4300000000000002</v>
      </c>
      <c r="G17932" t="s">
        <v>12</v>
      </c>
      <c r="I17932" t="s">
        <v>1428</v>
      </c>
    </row>
    <row r="17933" spans="1:9" hidden="1" x14ac:dyDescent="0.25">
      <c r="A17933" t="s">
        <v>15166</v>
      </c>
      <c r="B17933" t="s">
        <v>132</v>
      </c>
      <c r="C17933" s="2">
        <f>HYPERLINK("https://cao.dolgi.msk.ru/account/1080223152/", 1080223152)</f>
        <v>1080223152</v>
      </c>
      <c r="D17933" t="s">
        <v>15219</v>
      </c>
      <c r="E17933">
        <v>-11492.22</v>
      </c>
      <c r="F17933">
        <v>-1.31</v>
      </c>
      <c r="G17933" t="s">
        <v>12</v>
      </c>
      <c r="I17933" t="s">
        <v>1428</v>
      </c>
    </row>
    <row r="17934" spans="1:9" hidden="1" x14ac:dyDescent="0.25">
      <c r="A17934" t="s">
        <v>15166</v>
      </c>
      <c r="B17934" t="s">
        <v>133</v>
      </c>
      <c r="C17934" s="2">
        <f>HYPERLINK("https://cao.dolgi.msk.ru/account/1080223179/", 1080223179)</f>
        <v>1080223179</v>
      </c>
      <c r="D17934" t="s">
        <v>15220</v>
      </c>
      <c r="E17934">
        <v>-9942.08</v>
      </c>
      <c r="F17934">
        <v>-1.18</v>
      </c>
      <c r="G17934" t="s">
        <v>12</v>
      </c>
      <c r="I17934" t="s">
        <v>1428</v>
      </c>
    </row>
    <row r="17935" spans="1:9" x14ac:dyDescent="0.25">
      <c r="A17935" t="s">
        <v>15166</v>
      </c>
      <c r="B17935" t="s">
        <v>135</v>
      </c>
      <c r="C17935" s="2">
        <f>HYPERLINK("https://cao.dolgi.msk.ru/account/1080223187/", 1080223187)</f>
        <v>1080223187</v>
      </c>
      <c r="D17935" t="s">
        <v>15221</v>
      </c>
      <c r="E17935">
        <v>10434.459999999999</v>
      </c>
      <c r="F17935">
        <v>1.0900000000000001</v>
      </c>
      <c r="G17935" t="s">
        <v>12</v>
      </c>
      <c r="I17935" t="s">
        <v>1428</v>
      </c>
    </row>
    <row r="17936" spans="1:9" hidden="1" x14ac:dyDescent="0.25">
      <c r="A17936" t="s">
        <v>15166</v>
      </c>
      <c r="B17936" t="s">
        <v>137</v>
      </c>
      <c r="C17936" s="2">
        <f>HYPERLINK("https://cao.dolgi.msk.ru/account/1080223195/", 1080223195)</f>
        <v>1080223195</v>
      </c>
      <c r="D17936" t="s">
        <v>15222</v>
      </c>
      <c r="E17936">
        <v>0</v>
      </c>
      <c r="F17936">
        <v>0</v>
      </c>
      <c r="G17936" t="s">
        <v>12</v>
      </c>
      <c r="I17936" t="s">
        <v>1428</v>
      </c>
    </row>
    <row r="17937" spans="1:9" hidden="1" x14ac:dyDescent="0.25">
      <c r="A17937" t="s">
        <v>15166</v>
      </c>
      <c r="B17937" t="s">
        <v>139</v>
      </c>
      <c r="C17937" s="2">
        <f>HYPERLINK("https://cao.dolgi.msk.ru/account/1080223208/", 1080223208)</f>
        <v>1080223208</v>
      </c>
      <c r="D17937" t="s">
        <v>15223</v>
      </c>
      <c r="E17937">
        <v>-11379.92</v>
      </c>
      <c r="F17937">
        <v>-1.21</v>
      </c>
      <c r="G17937" t="s">
        <v>12</v>
      </c>
      <c r="I17937" t="s">
        <v>1428</v>
      </c>
    </row>
    <row r="17938" spans="1:9" hidden="1" x14ac:dyDescent="0.25">
      <c r="A17938" t="s">
        <v>15166</v>
      </c>
      <c r="B17938" t="s">
        <v>141</v>
      </c>
      <c r="C17938" s="2">
        <f>HYPERLINK("https://cao.dolgi.msk.ru/account/1080223224/", 1080223224)</f>
        <v>1080223224</v>
      </c>
      <c r="D17938" t="s">
        <v>15224</v>
      </c>
      <c r="E17938">
        <v>-10707.09</v>
      </c>
      <c r="F17938">
        <v>-1.07</v>
      </c>
      <c r="G17938" t="s">
        <v>12</v>
      </c>
      <c r="I17938" t="s">
        <v>1428</v>
      </c>
    </row>
    <row r="17939" spans="1:9" hidden="1" x14ac:dyDescent="0.25">
      <c r="A17939" t="s">
        <v>15166</v>
      </c>
      <c r="B17939" t="s">
        <v>143</v>
      </c>
      <c r="C17939" s="2">
        <f>HYPERLINK("https://cao.dolgi.msk.ru/account/1080223216/", 1080223216)</f>
        <v>1080223216</v>
      </c>
      <c r="D17939" t="s">
        <v>15225</v>
      </c>
      <c r="E17939">
        <v>-10241.02</v>
      </c>
      <c r="F17939">
        <v>-1.56</v>
      </c>
      <c r="G17939" t="s">
        <v>12</v>
      </c>
      <c r="I17939" t="s">
        <v>1428</v>
      </c>
    </row>
    <row r="17940" spans="1:9" hidden="1" x14ac:dyDescent="0.25">
      <c r="A17940" t="s">
        <v>15166</v>
      </c>
      <c r="B17940" t="s">
        <v>145</v>
      </c>
      <c r="C17940" s="2">
        <f>HYPERLINK("https://cao.dolgi.msk.ru/account/1080223232/", 1080223232)</f>
        <v>1080223232</v>
      </c>
      <c r="D17940" t="s">
        <v>15226</v>
      </c>
      <c r="E17940">
        <v>-303.12</v>
      </c>
      <c r="F17940">
        <v>-0.03</v>
      </c>
      <c r="G17940" t="s">
        <v>12</v>
      </c>
      <c r="I17940" t="s">
        <v>1428</v>
      </c>
    </row>
    <row r="17941" spans="1:9" hidden="1" x14ac:dyDescent="0.25">
      <c r="A17941" t="s">
        <v>15166</v>
      </c>
      <c r="B17941" t="s">
        <v>147</v>
      </c>
      <c r="C17941" s="2">
        <f>HYPERLINK("https://cao.dolgi.msk.ru/account/1080223259/", 1080223259)</f>
        <v>1080223259</v>
      </c>
      <c r="D17941" t="s">
        <v>15</v>
      </c>
      <c r="E17941">
        <v>70.3</v>
      </c>
      <c r="F17941">
        <v>0.01</v>
      </c>
      <c r="G17941" t="s">
        <v>12</v>
      </c>
      <c r="I17941" t="s">
        <v>1428</v>
      </c>
    </row>
    <row r="17942" spans="1:9" hidden="1" x14ac:dyDescent="0.25">
      <c r="A17942" t="s">
        <v>15166</v>
      </c>
      <c r="B17942" t="s">
        <v>147</v>
      </c>
      <c r="C17942" s="2">
        <f>HYPERLINK("https://cao.dolgi.msk.ru/account/1080223267/", 1080223267)</f>
        <v>1080223267</v>
      </c>
      <c r="D17942" t="s">
        <v>15</v>
      </c>
      <c r="E17942">
        <v>21018.77</v>
      </c>
      <c r="G17942" t="s">
        <v>14</v>
      </c>
      <c r="I17942" t="s">
        <v>1428</v>
      </c>
    </row>
    <row r="17943" spans="1:9" hidden="1" x14ac:dyDescent="0.25">
      <c r="A17943" t="s">
        <v>15166</v>
      </c>
      <c r="B17943" t="s">
        <v>147</v>
      </c>
      <c r="C17943" s="2">
        <f>HYPERLINK("https://cao.dolgi.msk.ru/account/1080223275/", 1080223275)</f>
        <v>1080223275</v>
      </c>
      <c r="D17943" t="s">
        <v>15</v>
      </c>
      <c r="E17943">
        <v>815.89</v>
      </c>
      <c r="G17943" t="s">
        <v>14</v>
      </c>
      <c r="I17943" t="s">
        <v>1428</v>
      </c>
    </row>
    <row r="17944" spans="1:9" hidden="1" x14ac:dyDescent="0.25">
      <c r="A17944" t="s">
        <v>15166</v>
      </c>
      <c r="B17944" t="s">
        <v>147</v>
      </c>
      <c r="C17944" s="2">
        <f>HYPERLINK("https://cao.dolgi.msk.ru/account/1089126244/", 1089126244)</f>
        <v>1089126244</v>
      </c>
      <c r="D17944" t="s">
        <v>15</v>
      </c>
      <c r="E17944">
        <v>664.77</v>
      </c>
      <c r="G17944" t="s">
        <v>14</v>
      </c>
      <c r="I17944" t="s">
        <v>1428</v>
      </c>
    </row>
    <row r="17945" spans="1:9" hidden="1" x14ac:dyDescent="0.25">
      <c r="A17945" t="s">
        <v>15166</v>
      </c>
      <c r="B17945" t="s">
        <v>149</v>
      </c>
      <c r="C17945" s="2">
        <f>HYPERLINK("https://cao.dolgi.msk.ru/account/1080223283/", 1080223283)</f>
        <v>1080223283</v>
      </c>
      <c r="D17945" t="s">
        <v>15227</v>
      </c>
      <c r="E17945">
        <v>-9260.18</v>
      </c>
      <c r="F17945">
        <v>-1.1200000000000001</v>
      </c>
      <c r="G17945" t="s">
        <v>12</v>
      </c>
      <c r="I17945" t="s">
        <v>1428</v>
      </c>
    </row>
    <row r="17946" spans="1:9" x14ac:dyDescent="0.25">
      <c r="A17946" t="s">
        <v>15166</v>
      </c>
      <c r="B17946" t="s">
        <v>151</v>
      </c>
      <c r="C17946" s="2">
        <f>HYPERLINK("https://cao.dolgi.msk.ru/account/1080223291/", 1080223291)</f>
        <v>1080223291</v>
      </c>
      <c r="D17946" t="s">
        <v>15228</v>
      </c>
      <c r="E17946">
        <v>39265.5</v>
      </c>
      <c r="F17946">
        <v>4.12</v>
      </c>
      <c r="G17946" t="s">
        <v>12</v>
      </c>
      <c r="I17946" t="s">
        <v>1428</v>
      </c>
    </row>
    <row r="17947" spans="1:9" hidden="1" x14ac:dyDescent="0.25">
      <c r="A17947" t="s">
        <v>15166</v>
      </c>
      <c r="B17947" t="s">
        <v>153</v>
      </c>
      <c r="C17947" s="2">
        <f>HYPERLINK("https://cao.dolgi.msk.ru/account/1080223304/", 1080223304)</f>
        <v>1080223304</v>
      </c>
      <c r="D17947" t="s">
        <v>15229</v>
      </c>
      <c r="E17947">
        <v>-9869.18</v>
      </c>
      <c r="F17947">
        <v>-1.64</v>
      </c>
      <c r="G17947" t="s">
        <v>12</v>
      </c>
      <c r="I17947" t="s">
        <v>1428</v>
      </c>
    </row>
    <row r="17948" spans="1:9" hidden="1" x14ac:dyDescent="0.25">
      <c r="A17948" t="s">
        <v>15166</v>
      </c>
      <c r="B17948" t="s">
        <v>155</v>
      </c>
      <c r="C17948" s="2">
        <f>HYPERLINK("https://cao.dolgi.msk.ru/account/1080223312/", 1080223312)</f>
        <v>1080223312</v>
      </c>
      <c r="D17948" t="s">
        <v>15230</v>
      </c>
      <c r="E17948">
        <v>-9248.17</v>
      </c>
      <c r="F17948">
        <v>-0.7</v>
      </c>
      <c r="G17948" t="s">
        <v>12</v>
      </c>
      <c r="I17948" t="s">
        <v>1428</v>
      </c>
    </row>
    <row r="17949" spans="1:9" hidden="1" x14ac:dyDescent="0.25">
      <c r="A17949" t="s">
        <v>15166</v>
      </c>
      <c r="B17949" t="s">
        <v>157</v>
      </c>
      <c r="C17949" s="2">
        <f>HYPERLINK("https://cao.dolgi.msk.ru/account/1080223339/", 1080223339)</f>
        <v>1080223339</v>
      </c>
      <c r="D17949" t="s">
        <v>15231</v>
      </c>
      <c r="E17949">
        <v>-11630.31</v>
      </c>
      <c r="F17949">
        <v>-1.98</v>
      </c>
      <c r="G17949" t="s">
        <v>12</v>
      </c>
      <c r="I17949" t="s">
        <v>1428</v>
      </c>
    </row>
    <row r="17950" spans="1:9" hidden="1" x14ac:dyDescent="0.25">
      <c r="A17950" t="s">
        <v>15166</v>
      </c>
      <c r="B17950" t="s">
        <v>159</v>
      </c>
      <c r="C17950" s="2">
        <f>HYPERLINK("https://cao.dolgi.msk.ru/account/1080223347/", 1080223347)</f>
        <v>1080223347</v>
      </c>
      <c r="D17950" t="s">
        <v>15232</v>
      </c>
      <c r="E17950">
        <v>-58.2</v>
      </c>
      <c r="F17950">
        <v>-0.01</v>
      </c>
      <c r="G17950" t="s">
        <v>12</v>
      </c>
      <c r="I17950" t="s">
        <v>1428</v>
      </c>
    </row>
    <row r="17951" spans="1:9" hidden="1" x14ac:dyDescent="0.25">
      <c r="A17951" t="s">
        <v>15166</v>
      </c>
      <c r="B17951" t="s">
        <v>161</v>
      </c>
      <c r="C17951" s="2">
        <f>HYPERLINK("https://cao.dolgi.msk.ru/account/1080223355/", 1080223355)</f>
        <v>1080223355</v>
      </c>
      <c r="D17951" t="s">
        <v>15233</v>
      </c>
      <c r="E17951">
        <v>-9708.98</v>
      </c>
      <c r="F17951">
        <v>-1.19</v>
      </c>
      <c r="G17951" t="s">
        <v>12</v>
      </c>
      <c r="I17951" t="s">
        <v>1428</v>
      </c>
    </row>
    <row r="17952" spans="1:9" hidden="1" x14ac:dyDescent="0.25">
      <c r="A17952" t="s">
        <v>15166</v>
      </c>
      <c r="B17952" t="s">
        <v>163</v>
      </c>
      <c r="C17952" s="2">
        <f>HYPERLINK("https://cao.dolgi.msk.ru/account/1080223363/", 1080223363)</f>
        <v>1080223363</v>
      </c>
      <c r="D17952" t="s">
        <v>15234</v>
      </c>
      <c r="E17952">
        <v>-13688.34</v>
      </c>
      <c r="F17952">
        <v>-1.1599999999999999</v>
      </c>
      <c r="G17952" t="s">
        <v>12</v>
      </c>
      <c r="I17952" t="s">
        <v>1428</v>
      </c>
    </row>
    <row r="17953" spans="1:9" hidden="1" x14ac:dyDescent="0.25">
      <c r="A17953" t="s">
        <v>15166</v>
      </c>
      <c r="B17953" t="s">
        <v>682</v>
      </c>
      <c r="C17953" s="2">
        <f>HYPERLINK("https://cao.dolgi.msk.ru/account/1080223398/", 1080223398)</f>
        <v>1080223398</v>
      </c>
      <c r="D17953" t="s">
        <v>15235</v>
      </c>
      <c r="E17953">
        <v>-13501.04</v>
      </c>
      <c r="F17953">
        <v>-1.27</v>
      </c>
      <c r="G17953" t="s">
        <v>12</v>
      </c>
      <c r="I17953" t="s">
        <v>1428</v>
      </c>
    </row>
    <row r="17954" spans="1:9" hidden="1" x14ac:dyDescent="0.25">
      <c r="A17954" t="s">
        <v>15166</v>
      </c>
      <c r="B17954" t="s">
        <v>578</v>
      </c>
      <c r="C17954" s="2">
        <f>HYPERLINK("https://cao.dolgi.msk.ru/account/1080223419/", 1080223419)</f>
        <v>1080223419</v>
      </c>
      <c r="D17954" t="s">
        <v>15</v>
      </c>
      <c r="E17954">
        <v>-12010.89</v>
      </c>
      <c r="F17954">
        <v>-1.27</v>
      </c>
      <c r="G17954" t="s">
        <v>12</v>
      </c>
      <c r="I17954" t="s">
        <v>1428</v>
      </c>
    </row>
    <row r="17955" spans="1:9" hidden="1" x14ac:dyDescent="0.25">
      <c r="A17955" t="s">
        <v>15166</v>
      </c>
      <c r="B17955" t="s">
        <v>580</v>
      </c>
      <c r="C17955" s="2">
        <f>HYPERLINK("https://cao.dolgi.msk.ru/account/1080223435/", 1080223435)</f>
        <v>1080223435</v>
      </c>
      <c r="D17955" t="s">
        <v>15236</v>
      </c>
      <c r="E17955">
        <v>-8831.5400000000009</v>
      </c>
      <c r="F17955">
        <v>-1.33</v>
      </c>
      <c r="G17955" t="s">
        <v>12</v>
      </c>
      <c r="I17955" t="s">
        <v>1428</v>
      </c>
    </row>
    <row r="17956" spans="1:9" hidden="1" x14ac:dyDescent="0.25">
      <c r="A17956" t="s">
        <v>15166</v>
      </c>
      <c r="B17956" t="s">
        <v>686</v>
      </c>
      <c r="C17956" s="2">
        <f>HYPERLINK("https://cao.dolgi.msk.ru/account/1080223427/", 1080223427)</f>
        <v>1080223427</v>
      </c>
      <c r="D17956" t="s">
        <v>15237</v>
      </c>
      <c r="E17956">
        <v>-7166.57</v>
      </c>
      <c r="F17956">
        <v>-1.1200000000000001</v>
      </c>
      <c r="G17956" t="s">
        <v>12</v>
      </c>
      <c r="I17956" t="s">
        <v>1428</v>
      </c>
    </row>
    <row r="17957" spans="1:9" hidden="1" x14ac:dyDescent="0.25">
      <c r="A17957" t="s">
        <v>15166</v>
      </c>
      <c r="B17957" t="s">
        <v>582</v>
      </c>
      <c r="C17957" s="2">
        <f>HYPERLINK("https://cao.dolgi.msk.ru/account/1080223566/", 1080223566)</f>
        <v>1080223566</v>
      </c>
      <c r="D17957" t="s">
        <v>15238</v>
      </c>
      <c r="E17957">
        <v>-9252.81</v>
      </c>
      <c r="F17957">
        <v>-1.22</v>
      </c>
      <c r="G17957" t="s">
        <v>12</v>
      </c>
      <c r="I17957" t="s">
        <v>1428</v>
      </c>
    </row>
    <row r="17958" spans="1:9" hidden="1" x14ac:dyDescent="0.25">
      <c r="A17958" t="s">
        <v>15166</v>
      </c>
      <c r="B17958" t="s">
        <v>584</v>
      </c>
      <c r="C17958" s="2">
        <f>HYPERLINK("https://cao.dolgi.msk.ru/account/1080223443/", 1080223443)</f>
        <v>1080223443</v>
      </c>
      <c r="D17958" t="s">
        <v>15239</v>
      </c>
      <c r="E17958">
        <v>-4550.0200000000004</v>
      </c>
      <c r="F17958">
        <v>-1.1100000000000001</v>
      </c>
      <c r="G17958" t="s">
        <v>12</v>
      </c>
      <c r="I17958" t="s">
        <v>1428</v>
      </c>
    </row>
    <row r="17959" spans="1:9" hidden="1" x14ac:dyDescent="0.25">
      <c r="A17959" t="s">
        <v>15166</v>
      </c>
      <c r="B17959" t="s">
        <v>586</v>
      </c>
      <c r="C17959" s="2">
        <f>HYPERLINK("https://cao.dolgi.msk.ru/account/1080223451/", 1080223451)</f>
        <v>1080223451</v>
      </c>
      <c r="D17959" t="s">
        <v>15240</v>
      </c>
      <c r="E17959">
        <v>10452.35</v>
      </c>
      <c r="F17959">
        <v>1</v>
      </c>
      <c r="G17959" t="s">
        <v>12</v>
      </c>
      <c r="I17959" t="s">
        <v>1428</v>
      </c>
    </row>
    <row r="17960" spans="1:9" hidden="1" x14ac:dyDescent="0.25">
      <c r="A17960" t="s">
        <v>15166</v>
      </c>
      <c r="B17960" t="s">
        <v>588</v>
      </c>
      <c r="C17960" s="2">
        <f>HYPERLINK("https://cao.dolgi.msk.ru/account/1080223478/", 1080223478)</f>
        <v>1080223478</v>
      </c>
      <c r="D17960" t="s">
        <v>15241</v>
      </c>
      <c r="E17960">
        <v>-10586.82</v>
      </c>
      <c r="F17960">
        <v>-1.27</v>
      </c>
      <c r="G17960" t="s">
        <v>12</v>
      </c>
      <c r="I17960" t="s">
        <v>1428</v>
      </c>
    </row>
    <row r="17961" spans="1:9" hidden="1" x14ac:dyDescent="0.25">
      <c r="A17961" t="s">
        <v>15166</v>
      </c>
      <c r="B17961" t="s">
        <v>590</v>
      </c>
      <c r="C17961" s="2">
        <f>HYPERLINK("https://cao.dolgi.msk.ru/account/1080223486/", 1080223486)</f>
        <v>1080223486</v>
      </c>
      <c r="D17961" t="s">
        <v>15242</v>
      </c>
      <c r="E17961">
        <v>-9199.8700000000008</v>
      </c>
      <c r="F17961">
        <v>-1.21</v>
      </c>
      <c r="G17961" t="s">
        <v>12</v>
      </c>
      <c r="I17961" t="s">
        <v>1428</v>
      </c>
    </row>
    <row r="17962" spans="1:9" hidden="1" x14ac:dyDescent="0.25">
      <c r="A17962" t="s">
        <v>15166</v>
      </c>
      <c r="B17962" t="s">
        <v>693</v>
      </c>
      <c r="C17962" s="2">
        <f>HYPERLINK("https://cao.dolgi.msk.ru/account/1080223494/", 1080223494)</f>
        <v>1080223494</v>
      </c>
      <c r="D17962" t="s">
        <v>15243</v>
      </c>
      <c r="E17962">
        <v>-8039.35</v>
      </c>
      <c r="F17962">
        <v>-1.17</v>
      </c>
      <c r="G17962" t="s">
        <v>12</v>
      </c>
      <c r="I17962" t="s">
        <v>1428</v>
      </c>
    </row>
    <row r="17963" spans="1:9" hidden="1" x14ac:dyDescent="0.25">
      <c r="A17963" t="s">
        <v>15166</v>
      </c>
      <c r="B17963" t="s">
        <v>694</v>
      </c>
      <c r="C17963" s="2">
        <f>HYPERLINK("https://cao.dolgi.msk.ru/account/1080223507/", 1080223507)</f>
        <v>1080223507</v>
      </c>
      <c r="D17963" t="s">
        <v>15244</v>
      </c>
      <c r="E17963">
        <v>-47.7</v>
      </c>
      <c r="F17963">
        <v>0</v>
      </c>
      <c r="G17963" t="s">
        <v>12</v>
      </c>
      <c r="I17963" t="s">
        <v>1428</v>
      </c>
    </row>
    <row r="17964" spans="1:9" hidden="1" x14ac:dyDescent="0.25">
      <c r="A17964" t="s">
        <v>15166</v>
      </c>
      <c r="B17964" t="s">
        <v>696</v>
      </c>
      <c r="C17964" s="2">
        <f>HYPERLINK("https://cao.dolgi.msk.ru/account/1080223515/", 1080223515)</f>
        <v>1080223515</v>
      </c>
      <c r="D17964" t="s">
        <v>15245</v>
      </c>
      <c r="E17964">
        <v>-2382.89</v>
      </c>
      <c r="F17964">
        <v>-1.21</v>
      </c>
      <c r="G17964" t="s">
        <v>12</v>
      </c>
      <c r="I17964" t="s">
        <v>1428</v>
      </c>
    </row>
    <row r="17965" spans="1:9" hidden="1" x14ac:dyDescent="0.25">
      <c r="A17965" t="s">
        <v>15166</v>
      </c>
      <c r="B17965" t="s">
        <v>696</v>
      </c>
      <c r="C17965" s="2">
        <f>HYPERLINK("https://cao.dolgi.msk.ru/account/1089122438/", 1089122438)</f>
        <v>1089122438</v>
      </c>
      <c r="D17965" t="s">
        <v>15245</v>
      </c>
      <c r="E17965">
        <v>-1922.56</v>
      </c>
      <c r="F17965">
        <v>-1.25</v>
      </c>
      <c r="G17965" t="s">
        <v>12</v>
      </c>
      <c r="I17965" t="s">
        <v>1428</v>
      </c>
    </row>
    <row r="17966" spans="1:9" hidden="1" x14ac:dyDescent="0.25">
      <c r="A17966" t="s">
        <v>15166</v>
      </c>
      <c r="B17966" t="s">
        <v>698</v>
      </c>
      <c r="C17966" s="2">
        <f>HYPERLINK("https://cao.dolgi.msk.ru/account/1080223523/", 1080223523)</f>
        <v>1080223523</v>
      </c>
      <c r="D17966" t="s">
        <v>15246</v>
      </c>
      <c r="E17966">
        <v>0</v>
      </c>
      <c r="F17966">
        <v>0</v>
      </c>
      <c r="G17966" t="s">
        <v>12</v>
      </c>
      <c r="I17966" t="s">
        <v>1428</v>
      </c>
    </row>
    <row r="17967" spans="1:9" hidden="1" x14ac:dyDescent="0.25">
      <c r="A17967" t="s">
        <v>15166</v>
      </c>
      <c r="B17967" t="s">
        <v>700</v>
      </c>
      <c r="C17967" s="2">
        <f>HYPERLINK("https://cao.dolgi.msk.ru/account/1080223531/", 1080223531)</f>
        <v>1080223531</v>
      </c>
      <c r="D17967" t="s">
        <v>15247</v>
      </c>
      <c r="E17967">
        <v>-7400.93</v>
      </c>
      <c r="F17967">
        <v>-1.21</v>
      </c>
      <c r="G17967" t="s">
        <v>12</v>
      </c>
      <c r="I17967" t="s">
        <v>1428</v>
      </c>
    </row>
    <row r="17968" spans="1:9" hidden="1" x14ac:dyDescent="0.25">
      <c r="A17968" t="s">
        <v>15166</v>
      </c>
      <c r="B17968" t="s">
        <v>702</v>
      </c>
      <c r="C17968" s="2">
        <f>HYPERLINK("https://cao.dolgi.msk.ru/account/1080223558/", 1080223558)</f>
        <v>1080223558</v>
      </c>
      <c r="D17968" t="s">
        <v>15248</v>
      </c>
      <c r="E17968">
        <v>-10808.74</v>
      </c>
      <c r="F17968">
        <v>-1.81</v>
      </c>
      <c r="G17968" t="s">
        <v>12</v>
      </c>
      <c r="I17968" t="s">
        <v>1428</v>
      </c>
    </row>
    <row r="17969" spans="1:9" hidden="1" x14ac:dyDescent="0.25">
      <c r="A17969" t="s">
        <v>15249</v>
      </c>
      <c r="B17969" t="s">
        <v>10</v>
      </c>
      <c r="C17969" s="2">
        <f>HYPERLINK("https://cao.dolgi.msk.ru/account/1080207638/", 1080207638)</f>
        <v>1080207638</v>
      </c>
      <c r="D17969" t="s">
        <v>15250</v>
      </c>
      <c r="E17969">
        <v>-5387.65</v>
      </c>
      <c r="F17969">
        <v>-1.26</v>
      </c>
      <c r="G17969" t="s">
        <v>12</v>
      </c>
      <c r="I17969" t="s">
        <v>1428</v>
      </c>
    </row>
    <row r="17970" spans="1:9" hidden="1" x14ac:dyDescent="0.25">
      <c r="A17970" t="s">
        <v>15249</v>
      </c>
      <c r="B17970" t="s">
        <v>16</v>
      </c>
      <c r="C17970" s="2">
        <f>HYPERLINK("https://cao.dolgi.msk.ru/account/1080207646/", 1080207646)</f>
        <v>1080207646</v>
      </c>
      <c r="D17970" t="s">
        <v>15251</v>
      </c>
      <c r="E17970">
        <v>-10883.28</v>
      </c>
      <c r="F17970">
        <v>-1.29</v>
      </c>
      <c r="G17970" t="s">
        <v>12</v>
      </c>
      <c r="I17970" t="s">
        <v>1428</v>
      </c>
    </row>
    <row r="17971" spans="1:9" hidden="1" x14ac:dyDescent="0.25">
      <c r="A17971" t="s">
        <v>15249</v>
      </c>
      <c r="B17971" t="s">
        <v>18</v>
      </c>
      <c r="C17971" s="2">
        <f>HYPERLINK("https://cao.dolgi.msk.ru/account/1080207662/", 1080207662)</f>
        <v>1080207662</v>
      </c>
      <c r="D17971" t="s">
        <v>15252</v>
      </c>
      <c r="E17971">
        <v>-7119.79</v>
      </c>
      <c r="F17971">
        <v>-0.92</v>
      </c>
      <c r="G17971" t="s">
        <v>12</v>
      </c>
      <c r="I17971" t="s">
        <v>1428</v>
      </c>
    </row>
    <row r="17972" spans="1:9" hidden="1" x14ac:dyDescent="0.25">
      <c r="A17972" t="s">
        <v>15249</v>
      </c>
      <c r="B17972" t="s">
        <v>20</v>
      </c>
      <c r="C17972" s="2">
        <f>HYPERLINK("https://cao.dolgi.msk.ru/account/1080207689/", 1080207689)</f>
        <v>1080207689</v>
      </c>
      <c r="D17972" t="s">
        <v>15253</v>
      </c>
      <c r="E17972">
        <v>-4526.21</v>
      </c>
      <c r="F17972">
        <v>-0.88</v>
      </c>
      <c r="G17972" t="s">
        <v>12</v>
      </c>
      <c r="I17972" t="s">
        <v>1428</v>
      </c>
    </row>
    <row r="17973" spans="1:9" hidden="1" x14ac:dyDescent="0.25">
      <c r="A17973" t="s">
        <v>15249</v>
      </c>
      <c r="B17973" t="s">
        <v>21</v>
      </c>
      <c r="C17973" s="2">
        <f>HYPERLINK("https://cao.dolgi.msk.ru/account/1080207697/", 1080207697)</f>
        <v>1080207697</v>
      </c>
      <c r="D17973" t="s">
        <v>15254</v>
      </c>
      <c r="E17973">
        <v>-5235.47</v>
      </c>
      <c r="F17973">
        <v>-1.1399999999999999</v>
      </c>
      <c r="G17973" t="s">
        <v>12</v>
      </c>
      <c r="I17973" t="s">
        <v>1428</v>
      </c>
    </row>
    <row r="17974" spans="1:9" hidden="1" x14ac:dyDescent="0.25">
      <c r="A17974" t="s">
        <v>15249</v>
      </c>
      <c r="B17974" t="s">
        <v>22</v>
      </c>
      <c r="C17974" s="2">
        <f>HYPERLINK("https://cao.dolgi.msk.ru/account/1080207718/", 1080207718)</f>
        <v>1080207718</v>
      </c>
      <c r="D17974" t="s">
        <v>15255</v>
      </c>
      <c r="E17974">
        <v>-52.42</v>
      </c>
      <c r="F17974">
        <v>-0.01</v>
      </c>
      <c r="G17974" t="s">
        <v>12</v>
      </c>
      <c r="I17974" t="s">
        <v>1428</v>
      </c>
    </row>
    <row r="17975" spans="1:9" hidden="1" x14ac:dyDescent="0.25">
      <c r="A17975" t="s">
        <v>15249</v>
      </c>
      <c r="B17975" t="s">
        <v>23</v>
      </c>
      <c r="C17975" s="2">
        <f>HYPERLINK("https://cao.dolgi.msk.ru/account/1080207726/", 1080207726)</f>
        <v>1080207726</v>
      </c>
      <c r="D17975" t="s">
        <v>15256</v>
      </c>
      <c r="E17975">
        <v>-5334.2</v>
      </c>
      <c r="F17975">
        <v>-1.07</v>
      </c>
      <c r="G17975" t="s">
        <v>12</v>
      </c>
      <c r="I17975" t="s">
        <v>1428</v>
      </c>
    </row>
    <row r="17976" spans="1:9" hidden="1" x14ac:dyDescent="0.25">
      <c r="A17976" t="s">
        <v>15249</v>
      </c>
      <c r="B17976" t="s">
        <v>24</v>
      </c>
      <c r="C17976" s="2">
        <f>HYPERLINK("https://cao.dolgi.msk.ru/account/1080207734/", 1080207734)</f>
        <v>1080207734</v>
      </c>
      <c r="D17976" t="s">
        <v>15257</v>
      </c>
      <c r="E17976">
        <v>0</v>
      </c>
      <c r="F17976">
        <v>0</v>
      </c>
      <c r="G17976" t="s">
        <v>12</v>
      </c>
      <c r="I17976" t="s">
        <v>1428</v>
      </c>
    </row>
    <row r="17977" spans="1:9" hidden="1" x14ac:dyDescent="0.25">
      <c r="A17977" t="s">
        <v>15249</v>
      </c>
      <c r="B17977" t="s">
        <v>27</v>
      </c>
      <c r="C17977" s="2">
        <f>HYPERLINK("https://cao.dolgi.msk.ru/account/1080207742/", 1080207742)</f>
        <v>1080207742</v>
      </c>
      <c r="D17977" t="s">
        <v>15258</v>
      </c>
      <c r="E17977">
        <v>-7637.08</v>
      </c>
      <c r="F17977">
        <v>-1.07</v>
      </c>
      <c r="G17977" t="s">
        <v>12</v>
      </c>
      <c r="I17977" t="s">
        <v>1428</v>
      </c>
    </row>
    <row r="17978" spans="1:9" hidden="1" x14ac:dyDescent="0.25">
      <c r="A17978" t="s">
        <v>15249</v>
      </c>
      <c r="B17978" t="s">
        <v>29</v>
      </c>
      <c r="C17978" s="2">
        <f>HYPERLINK("https://cao.dolgi.msk.ru/account/1080207769/", 1080207769)</f>
        <v>1080207769</v>
      </c>
      <c r="D17978" t="s">
        <v>15259</v>
      </c>
      <c r="E17978">
        <v>-5681.84</v>
      </c>
      <c r="F17978">
        <v>-0.99</v>
      </c>
      <c r="G17978" t="s">
        <v>12</v>
      </c>
      <c r="I17978" t="s">
        <v>1428</v>
      </c>
    </row>
    <row r="17979" spans="1:9" hidden="1" x14ac:dyDescent="0.25">
      <c r="A17979" t="s">
        <v>15249</v>
      </c>
      <c r="B17979" t="s">
        <v>31</v>
      </c>
      <c r="C17979" s="2">
        <f>HYPERLINK("https://cao.dolgi.msk.ru/account/1080207777/", 1080207777)</f>
        <v>1080207777</v>
      </c>
      <c r="D17979" t="s">
        <v>15260</v>
      </c>
      <c r="E17979">
        <v>486.21</v>
      </c>
      <c r="F17979">
        <v>7.0000000000000007E-2</v>
      </c>
      <c r="G17979" t="s">
        <v>12</v>
      </c>
      <c r="I17979" t="s">
        <v>1428</v>
      </c>
    </row>
    <row r="17980" spans="1:9" x14ac:dyDescent="0.25">
      <c r="A17980" t="s">
        <v>15249</v>
      </c>
      <c r="B17980" t="s">
        <v>33</v>
      </c>
      <c r="C17980" s="2">
        <f>HYPERLINK("https://cao.dolgi.msk.ru/account/1080207785/", 1080207785)</f>
        <v>1080207785</v>
      </c>
      <c r="D17980" t="s">
        <v>15261</v>
      </c>
      <c r="E17980">
        <v>12109.72</v>
      </c>
      <c r="F17980">
        <v>1.98</v>
      </c>
      <c r="G17980" t="s">
        <v>12</v>
      </c>
      <c r="I17980" t="s">
        <v>1428</v>
      </c>
    </row>
    <row r="17981" spans="1:9" hidden="1" x14ac:dyDescent="0.25">
      <c r="A17981" t="s">
        <v>15249</v>
      </c>
      <c r="B17981" t="s">
        <v>34</v>
      </c>
      <c r="C17981" s="2">
        <f>HYPERLINK("https://cao.dolgi.msk.ru/account/1080207793/", 1080207793)</f>
        <v>1080207793</v>
      </c>
      <c r="D17981" t="s">
        <v>15262</v>
      </c>
      <c r="E17981">
        <v>-8050.22</v>
      </c>
      <c r="F17981">
        <v>-1.05</v>
      </c>
      <c r="G17981" t="s">
        <v>12</v>
      </c>
      <c r="I17981" t="s">
        <v>1428</v>
      </c>
    </row>
    <row r="17982" spans="1:9" hidden="1" x14ac:dyDescent="0.25">
      <c r="A17982" t="s">
        <v>15249</v>
      </c>
      <c r="B17982" t="s">
        <v>36</v>
      </c>
      <c r="C17982" s="2">
        <f>HYPERLINK("https://cao.dolgi.msk.ru/account/1080207806/", 1080207806)</f>
        <v>1080207806</v>
      </c>
      <c r="D17982" t="s">
        <v>15263</v>
      </c>
      <c r="E17982">
        <v>0.12</v>
      </c>
      <c r="F17982">
        <v>0</v>
      </c>
      <c r="G17982" t="s">
        <v>12</v>
      </c>
      <c r="I17982" t="s">
        <v>1428</v>
      </c>
    </row>
    <row r="17983" spans="1:9" hidden="1" x14ac:dyDescent="0.25">
      <c r="A17983" t="s">
        <v>15249</v>
      </c>
      <c r="B17983" t="s">
        <v>38</v>
      </c>
      <c r="C17983" s="2">
        <f>HYPERLINK("https://cao.dolgi.msk.ru/account/1080207822/", 1080207822)</f>
        <v>1080207822</v>
      </c>
      <c r="D17983" t="s">
        <v>15264</v>
      </c>
      <c r="E17983">
        <v>-6146.52</v>
      </c>
      <c r="F17983">
        <v>-1.1599999999999999</v>
      </c>
      <c r="G17983" t="s">
        <v>12</v>
      </c>
      <c r="I17983" t="s">
        <v>1428</v>
      </c>
    </row>
    <row r="17984" spans="1:9" hidden="1" x14ac:dyDescent="0.25">
      <c r="A17984" t="s">
        <v>15249</v>
      </c>
      <c r="B17984" t="s">
        <v>39</v>
      </c>
      <c r="C17984" s="2">
        <f>HYPERLINK("https://cao.dolgi.msk.ru/account/1080207849/", 1080207849)</f>
        <v>1080207849</v>
      </c>
      <c r="D17984" t="s">
        <v>15265</v>
      </c>
      <c r="E17984">
        <v>-6890.06</v>
      </c>
      <c r="F17984">
        <v>-1.25</v>
      </c>
      <c r="G17984" t="s">
        <v>12</v>
      </c>
      <c r="I17984" t="s">
        <v>1428</v>
      </c>
    </row>
    <row r="17985" spans="1:9" hidden="1" x14ac:dyDescent="0.25">
      <c r="A17985" t="s">
        <v>15249</v>
      </c>
      <c r="B17985" t="s">
        <v>39</v>
      </c>
      <c r="C17985" s="2">
        <f>HYPERLINK("https://cao.dolgi.msk.ru/account/1080321895/", 1080321895)</f>
        <v>1080321895</v>
      </c>
      <c r="D17985" t="s">
        <v>15266</v>
      </c>
      <c r="G17985" t="s">
        <v>14</v>
      </c>
      <c r="I17985" t="s">
        <v>1428</v>
      </c>
    </row>
    <row r="17986" spans="1:9" hidden="1" x14ac:dyDescent="0.25">
      <c r="A17986" t="s">
        <v>15249</v>
      </c>
      <c r="B17986" t="s">
        <v>39</v>
      </c>
      <c r="C17986" s="2">
        <f>HYPERLINK("https://cao.dolgi.msk.ru/account/1080321908/", 1080321908)</f>
        <v>1080321908</v>
      </c>
      <c r="D17986" t="s">
        <v>15</v>
      </c>
      <c r="G17986" t="s">
        <v>14</v>
      </c>
      <c r="I17986" t="s">
        <v>1428</v>
      </c>
    </row>
    <row r="17987" spans="1:9" hidden="1" x14ac:dyDescent="0.25">
      <c r="A17987" t="s">
        <v>15249</v>
      </c>
      <c r="B17987" t="s">
        <v>40</v>
      </c>
      <c r="C17987" s="2">
        <f>HYPERLINK("https://cao.dolgi.msk.ru/account/1080207857/", 1080207857)</f>
        <v>1080207857</v>
      </c>
      <c r="D17987" t="s">
        <v>15267</v>
      </c>
      <c r="E17987">
        <v>-7378.69</v>
      </c>
      <c r="F17987">
        <v>-1.08</v>
      </c>
      <c r="G17987" t="s">
        <v>12</v>
      </c>
      <c r="I17987" t="s">
        <v>1428</v>
      </c>
    </row>
    <row r="17988" spans="1:9" hidden="1" x14ac:dyDescent="0.25">
      <c r="A17988" t="s">
        <v>15249</v>
      </c>
      <c r="B17988" t="s">
        <v>41</v>
      </c>
      <c r="C17988" s="2">
        <f>HYPERLINK("https://cao.dolgi.msk.ru/account/1080207865/", 1080207865)</f>
        <v>1080207865</v>
      </c>
      <c r="D17988" t="s">
        <v>15</v>
      </c>
      <c r="E17988">
        <v>-10121.93</v>
      </c>
      <c r="F17988">
        <v>-1.18</v>
      </c>
      <c r="G17988" t="s">
        <v>12</v>
      </c>
      <c r="I17988" t="s">
        <v>1428</v>
      </c>
    </row>
    <row r="17989" spans="1:9" hidden="1" x14ac:dyDescent="0.25">
      <c r="A17989" t="s">
        <v>15249</v>
      </c>
      <c r="B17989" t="s">
        <v>42</v>
      </c>
      <c r="C17989" s="2">
        <f>HYPERLINK("https://cao.dolgi.msk.ru/account/1080207873/", 1080207873)</f>
        <v>1080207873</v>
      </c>
      <c r="D17989" t="s">
        <v>15268</v>
      </c>
      <c r="E17989">
        <v>-6608.65</v>
      </c>
      <c r="F17989">
        <v>-1.18</v>
      </c>
      <c r="G17989" t="s">
        <v>12</v>
      </c>
      <c r="I17989" t="s">
        <v>1428</v>
      </c>
    </row>
    <row r="17990" spans="1:9" hidden="1" x14ac:dyDescent="0.25">
      <c r="A17990" t="s">
        <v>15249</v>
      </c>
      <c r="B17990" t="s">
        <v>44</v>
      </c>
      <c r="C17990" s="2">
        <f>HYPERLINK("https://cao.dolgi.msk.ru/account/1080207881/", 1080207881)</f>
        <v>1080207881</v>
      </c>
      <c r="D17990" t="s">
        <v>15269</v>
      </c>
      <c r="E17990">
        <v>208.22</v>
      </c>
      <c r="F17990">
        <v>0.03</v>
      </c>
      <c r="G17990" t="s">
        <v>12</v>
      </c>
      <c r="I17990" t="s">
        <v>1428</v>
      </c>
    </row>
    <row r="17991" spans="1:9" hidden="1" x14ac:dyDescent="0.25">
      <c r="A17991" t="s">
        <v>15249</v>
      </c>
      <c r="B17991" t="s">
        <v>66</v>
      </c>
      <c r="C17991" s="2">
        <f>HYPERLINK("https://cao.dolgi.msk.ru/account/1080207902/", 1080207902)</f>
        <v>1080207902</v>
      </c>
      <c r="D17991" t="s">
        <v>15270</v>
      </c>
      <c r="E17991">
        <v>-8261.77</v>
      </c>
      <c r="F17991">
        <v>-1.22</v>
      </c>
      <c r="G17991" t="s">
        <v>12</v>
      </c>
      <c r="I17991" t="s">
        <v>1428</v>
      </c>
    </row>
    <row r="17992" spans="1:9" hidden="1" x14ac:dyDescent="0.25">
      <c r="A17992" t="s">
        <v>15249</v>
      </c>
      <c r="B17992" t="s">
        <v>68</v>
      </c>
      <c r="C17992" s="2">
        <f>HYPERLINK("https://cao.dolgi.msk.ru/account/1080207929/", 1080207929)</f>
        <v>1080207929</v>
      </c>
      <c r="D17992" t="s">
        <v>15</v>
      </c>
      <c r="E17992">
        <v>-6391.3</v>
      </c>
      <c r="F17992">
        <v>-1.33</v>
      </c>
      <c r="G17992" t="s">
        <v>12</v>
      </c>
      <c r="I17992" t="s">
        <v>1428</v>
      </c>
    </row>
    <row r="17993" spans="1:9" hidden="1" x14ac:dyDescent="0.25">
      <c r="A17993" t="s">
        <v>15249</v>
      </c>
      <c r="B17993" t="s">
        <v>70</v>
      </c>
      <c r="C17993" s="2">
        <f>HYPERLINK("https://cao.dolgi.msk.ru/account/1080207937/", 1080207937)</f>
        <v>1080207937</v>
      </c>
      <c r="D17993" t="s">
        <v>15271</v>
      </c>
      <c r="E17993">
        <v>237.36</v>
      </c>
      <c r="F17993">
        <v>0.03</v>
      </c>
      <c r="G17993" t="s">
        <v>12</v>
      </c>
      <c r="I17993" t="s">
        <v>1428</v>
      </c>
    </row>
    <row r="17994" spans="1:9" hidden="1" x14ac:dyDescent="0.25">
      <c r="A17994" t="s">
        <v>15249</v>
      </c>
      <c r="B17994" t="s">
        <v>72</v>
      </c>
      <c r="C17994" s="2">
        <f>HYPERLINK("https://cao.dolgi.msk.ru/account/1080207945/", 1080207945)</f>
        <v>1080207945</v>
      </c>
      <c r="D17994" t="s">
        <v>15272</v>
      </c>
      <c r="E17994">
        <v>-7720.28</v>
      </c>
      <c r="F17994">
        <v>-1.21</v>
      </c>
      <c r="G17994" t="s">
        <v>12</v>
      </c>
      <c r="I17994" t="s">
        <v>1428</v>
      </c>
    </row>
    <row r="17995" spans="1:9" hidden="1" x14ac:dyDescent="0.25">
      <c r="A17995" t="s">
        <v>15249</v>
      </c>
      <c r="B17995" t="s">
        <v>74</v>
      </c>
      <c r="C17995" s="2">
        <f>HYPERLINK("https://cao.dolgi.msk.ru/account/1080207953/", 1080207953)</f>
        <v>1080207953</v>
      </c>
      <c r="D17995" t="s">
        <v>15273</v>
      </c>
      <c r="E17995">
        <v>-7838.77</v>
      </c>
      <c r="F17995">
        <v>-1.1100000000000001</v>
      </c>
      <c r="G17995" t="s">
        <v>12</v>
      </c>
      <c r="I17995" t="s">
        <v>1428</v>
      </c>
    </row>
    <row r="17996" spans="1:9" hidden="1" x14ac:dyDescent="0.25">
      <c r="A17996" t="s">
        <v>15249</v>
      </c>
      <c r="B17996" t="s">
        <v>76</v>
      </c>
      <c r="C17996" s="2">
        <f>HYPERLINK("https://cao.dolgi.msk.ru/account/1080207961/", 1080207961)</f>
        <v>1080207961</v>
      </c>
      <c r="D17996" t="s">
        <v>15274</v>
      </c>
      <c r="E17996">
        <v>-2296.62</v>
      </c>
      <c r="F17996">
        <v>-0.22</v>
      </c>
      <c r="G17996" t="s">
        <v>12</v>
      </c>
      <c r="I17996" t="s">
        <v>1428</v>
      </c>
    </row>
    <row r="17997" spans="1:9" hidden="1" x14ac:dyDescent="0.25">
      <c r="A17997" t="s">
        <v>15249</v>
      </c>
      <c r="B17997" t="s">
        <v>78</v>
      </c>
      <c r="C17997" s="2">
        <f>HYPERLINK("https://cao.dolgi.msk.ru/account/1080207988/", 1080207988)</f>
        <v>1080207988</v>
      </c>
      <c r="D17997" t="s">
        <v>15275</v>
      </c>
      <c r="E17997">
        <v>-6140.64</v>
      </c>
      <c r="F17997">
        <v>-1.1399999999999999</v>
      </c>
      <c r="G17997" t="s">
        <v>12</v>
      </c>
      <c r="I17997" t="s">
        <v>1428</v>
      </c>
    </row>
    <row r="17998" spans="1:9" hidden="1" x14ac:dyDescent="0.25">
      <c r="A17998" t="s">
        <v>15249</v>
      </c>
      <c r="B17998" t="s">
        <v>80</v>
      </c>
      <c r="C17998" s="2">
        <f>HYPERLINK("https://cao.dolgi.msk.ru/account/1080207996/", 1080207996)</f>
        <v>1080207996</v>
      </c>
      <c r="D17998" t="s">
        <v>15276</v>
      </c>
      <c r="E17998">
        <v>-7397.86</v>
      </c>
      <c r="F17998">
        <v>-0.73</v>
      </c>
      <c r="G17998" t="s">
        <v>12</v>
      </c>
      <c r="I17998" t="s">
        <v>1428</v>
      </c>
    </row>
    <row r="17999" spans="1:9" hidden="1" x14ac:dyDescent="0.25">
      <c r="A17999" t="s">
        <v>15249</v>
      </c>
      <c r="B17999" t="s">
        <v>82</v>
      </c>
      <c r="C17999" s="2">
        <f>HYPERLINK("https://cao.dolgi.msk.ru/account/1080208008/", 1080208008)</f>
        <v>1080208008</v>
      </c>
      <c r="D17999" t="s">
        <v>15277</v>
      </c>
      <c r="E17999">
        <v>-8294.68</v>
      </c>
      <c r="F17999">
        <v>-1.29</v>
      </c>
      <c r="G17999" t="s">
        <v>12</v>
      </c>
      <c r="I17999" t="s">
        <v>1428</v>
      </c>
    </row>
    <row r="18000" spans="1:9" x14ac:dyDescent="0.25">
      <c r="A18000" t="s">
        <v>15249</v>
      </c>
      <c r="B18000" t="s">
        <v>84</v>
      </c>
      <c r="C18000" s="2">
        <f>HYPERLINK("https://cao.dolgi.msk.ru/account/1080208016/", 1080208016)</f>
        <v>1080208016</v>
      </c>
      <c r="D18000" t="s">
        <v>15278</v>
      </c>
      <c r="E18000">
        <v>184119.44</v>
      </c>
      <c r="F18000">
        <v>30.79</v>
      </c>
      <c r="G18000" t="s">
        <v>12</v>
      </c>
      <c r="H18000" t="s">
        <v>7</v>
      </c>
      <c r="I18000" t="s">
        <v>1428</v>
      </c>
    </row>
    <row r="18001" spans="1:9" x14ac:dyDescent="0.25">
      <c r="A18001" t="s">
        <v>15249</v>
      </c>
      <c r="B18001" t="s">
        <v>84</v>
      </c>
      <c r="C18001" s="2">
        <f>HYPERLINK("https://cao.dolgi.msk.ru/account/1080208024/", 1080208024)</f>
        <v>1080208024</v>
      </c>
      <c r="D18001" t="s">
        <v>15279</v>
      </c>
      <c r="E18001">
        <v>84242.4</v>
      </c>
      <c r="F18001">
        <v>15.69</v>
      </c>
      <c r="G18001" t="s">
        <v>12</v>
      </c>
      <c r="H18001" t="s">
        <v>7</v>
      </c>
      <c r="I18001" t="s">
        <v>1428</v>
      </c>
    </row>
    <row r="18002" spans="1:9" x14ac:dyDescent="0.25">
      <c r="A18002" t="s">
        <v>15249</v>
      </c>
      <c r="B18002" t="s">
        <v>84</v>
      </c>
      <c r="C18002" s="2">
        <f>HYPERLINK("https://cao.dolgi.msk.ru/account/1080208032/", 1080208032)</f>
        <v>1080208032</v>
      </c>
      <c r="D18002" t="s">
        <v>15279</v>
      </c>
      <c r="E18002">
        <v>110006.76</v>
      </c>
      <c r="F18002">
        <v>27.43</v>
      </c>
      <c r="G18002" t="s">
        <v>12</v>
      </c>
      <c r="H18002" t="s">
        <v>7</v>
      </c>
      <c r="I18002" t="s">
        <v>1428</v>
      </c>
    </row>
    <row r="18003" spans="1:9" hidden="1" x14ac:dyDescent="0.25">
      <c r="A18003" t="s">
        <v>15249</v>
      </c>
      <c r="B18003" t="s">
        <v>86</v>
      </c>
      <c r="C18003" s="2">
        <f>HYPERLINK("https://cao.dolgi.msk.ru/account/1080208059/", 1080208059)</f>
        <v>1080208059</v>
      </c>
      <c r="D18003" t="s">
        <v>15280</v>
      </c>
      <c r="E18003">
        <v>-6088.69</v>
      </c>
      <c r="F18003">
        <v>-1</v>
      </c>
      <c r="G18003" t="s">
        <v>12</v>
      </c>
      <c r="I18003" t="s">
        <v>1428</v>
      </c>
    </row>
    <row r="18004" spans="1:9" hidden="1" x14ac:dyDescent="0.25">
      <c r="A18004" t="s">
        <v>15249</v>
      </c>
      <c r="B18004" t="s">
        <v>88</v>
      </c>
      <c r="C18004" s="2">
        <f>HYPERLINK("https://cao.dolgi.msk.ru/account/1080208067/", 1080208067)</f>
        <v>1080208067</v>
      </c>
      <c r="D18004" t="s">
        <v>15</v>
      </c>
      <c r="E18004">
        <v>-7651.4</v>
      </c>
      <c r="F18004">
        <v>-1.1399999999999999</v>
      </c>
      <c r="G18004" t="s">
        <v>12</v>
      </c>
      <c r="I18004" t="s">
        <v>1428</v>
      </c>
    </row>
    <row r="18005" spans="1:9" hidden="1" x14ac:dyDescent="0.25">
      <c r="A18005" t="s">
        <v>15249</v>
      </c>
      <c r="B18005" t="s">
        <v>88</v>
      </c>
      <c r="C18005" s="2">
        <f>HYPERLINK("https://cao.dolgi.msk.ru/account/1080208075/", 1080208075)</f>
        <v>1080208075</v>
      </c>
      <c r="D18005" t="s">
        <v>15</v>
      </c>
      <c r="G18005" t="s">
        <v>14</v>
      </c>
      <c r="I18005" t="s">
        <v>1428</v>
      </c>
    </row>
    <row r="18006" spans="1:9" hidden="1" x14ac:dyDescent="0.25">
      <c r="A18006" t="s">
        <v>15249</v>
      </c>
      <c r="B18006" t="s">
        <v>90</v>
      </c>
      <c r="C18006" s="2">
        <f>HYPERLINK("https://cao.dolgi.msk.ru/account/1080208083/", 1080208083)</f>
        <v>1080208083</v>
      </c>
      <c r="D18006" t="s">
        <v>15281</v>
      </c>
      <c r="E18006">
        <v>-5391.44</v>
      </c>
      <c r="F18006">
        <v>-1.22</v>
      </c>
      <c r="G18006" t="s">
        <v>12</v>
      </c>
      <c r="I18006" t="s">
        <v>1428</v>
      </c>
    </row>
    <row r="18007" spans="1:9" hidden="1" x14ac:dyDescent="0.25">
      <c r="A18007" t="s">
        <v>15249</v>
      </c>
      <c r="B18007" t="s">
        <v>92</v>
      </c>
      <c r="C18007" s="2">
        <f>HYPERLINK("https://cao.dolgi.msk.ru/account/1080208091/", 1080208091)</f>
        <v>1080208091</v>
      </c>
      <c r="D18007" t="s">
        <v>15282</v>
      </c>
      <c r="E18007">
        <v>-980.8</v>
      </c>
      <c r="F18007">
        <v>-0.16</v>
      </c>
      <c r="G18007" t="s">
        <v>12</v>
      </c>
      <c r="I18007" t="s">
        <v>1428</v>
      </c>
    </row>
    <row r="18008" spans="1:9" hidden="1" x14ac:dyDescent="0.25">
      <c r="A18008" t="s">
        <v>15249</v>
      </c>
      <c r="B18008" t="s">
        <v>94</v>
      </c>
      <c r="C18008" s="2">
        <f>HYPERLINK("https://cao.dolgi.msk.ru/account/1080208104/", 1080208104)</f>
        <v>1080208104</v>
      </c>
      <c r="D18008" t="s">
        <v>15283</v>
      </c>
      <c r="E18008">
        <v>17.48</v>
      </c>
      <c r="F18008">
        <v>0</v>
      </c>
      <c r="G18008" t="s">
        <v>12</v>
      </c>
      <c r="I18008" t="s">
        <v>1428</v>
      </c>
    </row>
    <row r="18009" spans="1:9" hidden="1" x14ac:dyDescent="0.25">
      <c r="A18009" t="s">
        <v>15249</v>
      </c>
      <c r="B18009" t="s">
        <v>94</v>
      </c>
      <c r="C18009" s="2">
        <f>HYPERLINK("https://cao.dolgi.msk.ru/account/1080208112/", 1080208112)</f>
        <v>1080208112</v>
      </c>
      <c r="D18009" t="s">
        <v>15284</v>
      </c>
      <c r="G18009" t="s">
        <v>14</v>
      </c>
      <c r="I18009" t="s">
        <v>1428</v>
      </c>
    </row>
    <row r="18010" spans="1:9" hidden="1" x14ac:dyDescent="0.25">
      <c r="A18010" t="s">
        <v>15249</v>
      </c>
      <c r="B18010" t="s">
        <v>96</v>
      </c>
      <c r="C18010" s="2">
        <f>HYPERLINK("https://cao.dolgi.msk.ru/account/1080208139/", 1080208139)</f>
        <v>1080208139</v>
      </c>
      <c r="D18010" t="s">
        <v>15285</v>
      </c>
      <c r="E18010">
        <v>-5606.47</v>
      </c>
      <c r="F18010">
        <v>-1.17</v>
      </c>
      <c r="G18010" t="s">
        <v>12</v>
      </c>
      <c r="I18010" t="s">
        <v>1428</v>
      </c>
    </row>
    <row r="18011" spans="1:9" hidden="1" x14ac:dyDescent="0.25">
      <c r="A18011" t="s">
        <v>15249</v>
      </c>
      <c r="B18011" t="s">
        <v>98</v>
      </c>
      <c r="C18011" s="2">
        <f>HYPERLINK("https://cao.dolgi.msk.ru/account/1080208147/", 1080208147)</f>
        <v>1080208147</v>
      </c>
      <c r="D18011" t="s">
        <v>15286</v>
      </c>
      <c r="E18011">
        <v>-4826.8</v>
      </c>
      <c r="F18011">
        <v>-1.1100000000000001</v>
      </c>
      <c r="G18011" t="s">
        <v>12</v>
      </c>
      <c r="I18011" t="s">
        <v>1428</v>
      </c>
    </row>
    <row r="18012" spans="1:9" hidden="1" x14ac:dyDescent="0.25">
      <c r="A18012" t="s">
        <v>15249</v>
      </c>
      <c r="B18012" t="s">
        <v>100</v>
      </c>
      <c r="C18012" s="2">
        <f>HYPERLINK("https://cao.dolgi.msk.ru/account/1080208155/", 1080208155)</f>
        <v>1080208155</v>
      </c>
      <c r="D18012" t="s">
        <v>15287</v>
      </c>
      <c r="E18012">
        <v>-7163.64</v>
      </c>
      <c r="F18012">
        <v>-1.1599999999999999</v>
      </c>
      <c r="G18012" t="s">
        <v>12</v>
      </c>
      <c r="I18012" t="s">
        <v>1428</v>
      </c>
    </row>
    <row r="18013" spans="1:9" hidden="1" x14ac:dyDescent="0.25">
      <c r="A18013" t="s">
        <v>15249</v>
      </c>
      <c r="B18013" t="s">
        <v>102</v>
      </c>
      <c r="C18013" s="2">
        <f>HYPERLINK("https://cao.dolgi.msk.ru/account/1080208163/", 1080208163)</f>
        <v>1080208163</v>
      </c>
      <c r="D18013" t="s">
        <v>15</v>
      </c>
      <c r="E18013">
        <v>-15520.06</v>
      </c>
      <c r="F18013">
        <v>-3.21</v>
      </c>
      <c r="G18013" t="s">
        <v>12</v>
      </c>
      <c r="H18013" t="s">
        <v>7</v>
      </c>
      <c r="I18013" t="s">
        <v>1428</v>
      </c>
    </row>
    <row r="18014" spans="1:9" x14ac:dyDescent="0.25">
      <c r="A18014" t="s">
        <v>15249</v>
      </c>
      <c r="B18014" t="s">
        <v>102</v>
      </c>
      <c r="C18014" s="2">
        <f>HYPERLINK("https://cao.dolgi.msk.ru/account/1080208171/", 1080208171)</f>
        <v>1080208171</v>
      </c>
      <c r="D18014" t="s">
        <v>15</v>
      </c>
      <c r="E18014">
        <v>7713.78</v>
      </c>
      <c r="F18014">
        <v>3</v>
      </c>
      <c r="G18014" t="s">
        <v>12</v>
      </c>
      <c r="H18014" t="s">
        <v>7</v>
      </c>
      <c r="I18014" t="s">
        <v>1428</v>
      </c>
    </row>
    <row r="18015" spans="1:9" hidden="1" x14ac:dyDescent="0.25">
      <c r="A18015" t="s">
        <v>15249</v>
      </c>
      <c r="B18015" t="s">
        <v>104</v>
      </c>
      <c r="C18015" s="2">
        <f>HYPERLINK("https://cao.dolgi.msk.ru/account/1080208198/", 1080208198)</f>
        <v>1080208198</v>
      </c>
      <c r="D18015" t="s">
        <v>15288</v>
      </c>
      <c r="E18015">
        <v>-3962.06</v>
      </c>
      <c r="F18015">
        <v>-0.8</v>
      </c>
      <c r="G18015" t="s">
        <v>12</v>
      </c>
      <c r="I18015" t="s">
        <v>1428</v>
      </c>
    </row>
    <row r="18016" spans="1:9" hidden="1" x14ac:dyDescent="0.25">
      <c r="A18016" t="s">
        <v>15249</v>
      </c>
      <c r="B18016" t="s">
        <v>106</v>
      </c>
      <c r="C18016" s="2">
        <f>HYPERLINK("https://cao.dolgi.msk.ru/account/1080208219/", 1080208219)</f>
        <v>1080208219</v>
      </c>
      <c r="D18016" t="s">
        <v>15289</v>
      </c>
      <c r="E18016">
        <v>-5736.86</v>
      </c>
      <c r="F18016">
        <v>-1.1299999999999999</v>
      </c>
      <c r="G18016" t="s">
        <v>12</v>
      </c>
      <c r="I18016" t="s">
        <v>1428</v>
      </c>
    </row>
    <row r="18017" spans="1:9" hidden="1" x14ac:dyDescent="0.25">
      <c r="A18017" t="s">
        <v>15249</v>
      </c>
      <c r="B18017" t="s">
        <v>108</v>
      </c>
      <c r="C18017" s="2">
        <f>HYPERLINK("https://cao.dolgi.msk.ru/account/1080208227/", 1080208227)</f>
        <v>1080208227</v>
      </c>
      <c r="D18017" t="s">
        <v>15290</v>
      </c>
      <c r="E18017">
        <v>-1083.8399999999999</v>
      </c>
      <c r="F18017">
        <v>-0.14000000000000001</v>
      </c>
      <c r="G18017" t="s">
        <v>12</v>
      </c>
      <c r="I18017" t="s">
        <v>1428</v>
      </c>
    </row>
    <row r="18018" spans="1:9" hidden="1" x14ac:dyDescent="0.25">
      <c r="A18018" t="s">
        <v>15249</v>
      </c>
      <c r="B18018" t="s">
        <v>110</v>
      </c>
      <c r="C18018" s="2">
        <f>HYPERLINK("https://cao.dolgi.msk.ru/account/1080208235/", 1080208235)</f>
        <v>1080208235</v>
      </c>
      <c r="D18018" t="s">
        <v>15291</v>
      </c>
      <c r="E18018">
        <v>-10789</v>
      </c>
      <c r="F18018">
        <v>-1.2</v>
      </c>
      <c r="G18018" t="s">
        <v>12</v>
      </c>
      <c r="I18018" t="s">
        <v>1428</v>
      </c>
    </row>
    <row r="18019" spans="1:9" hidden="1" x14ac:dyDescent="0.25">
      <c r="A18019" t="s">
        <v>15249</v>
      </c>
      <c r="B18019" t="s">
        <v>15292</v>
      </c>
      <c r="C18019" s="2">
        <f>HYPERLINK("https://cao.dolgi.msk.ru/account/1080208251/", 1080208251)</f>
        <v>1080208251</v>
      </c>
      <c r="D18019" t="s">
        <v>15293</v>
      </c>
      <c r="E18019">
        <v>-12803.5</v>
      </c>
      <c r="F18019">
        <v>-1.1499999999999999</v>
      </c>
      <c r="G18019" t="s">
        <v>12</v>
      </c>
      <c r="I18019" t="s">
        <v>1428</v>
      </c>
    </row>
    <row r="18020" spans="1:9" hidden="1" x14ac:dyDescent="0.25">
      <c r="A18020" t="s">
        <v>15249</v>
      </c>
      <c r="B18020" t="s">
        <v>118</v>
      </c>
      <c r="C18020" s="2">
        <f>HYPERLINK("https://cao.dolgi.msk.ru/account/1080208278/", 1080208278)</f>
        <v>1080208278</v>
      </c>
      <c r="D18020" t="s">
        <v>15294</v>
      </c>
      <c r="E18020">
        <v>-265.14</v>
      </c>
      <c r="F18020">
        <v>-0.06</v>
      </c>
      <c r="G18020" t="s">
        <v>12</v>
      </c>
      <c r="I18020" t="s">
        <v>1428</v>
      </c>
    </row>
    <row r="18021" spans="1:9" hidden="1" x14ac:dyDescent="0.25">
      <c r="A18021" t="s">
        <v>15249</v>
      </c>
      <c r="B18021" t="s">
        <v>120</v>
      </c>
      <c r="C18021" s="2">
        <f>HYPERLINK("https://cao.dolgi.msk.ru/account/1080208286/", 1080208286)</f>
        <v>1080208286</v>
      </c>
      <c r="D18021" t="s">
        <v>15295</v>
      </c>
      <c r="E18021">
        <v>-7172.59</v>
      </c>
      <c r="F18021">
        <v>-1.05</v>
      </c>
      <c r="G18021" t="s">
        <v>12</v>
      </c>
      <c r="I18021" t="s">
        <v>1428</v>
      </c>
    </row>
    <row r="18022" spans="1:9" x14ac:dyDescent="0.25">
      <c r="A18022" t="s">
        <v>15249</v>
      </c>
      <c r="B18022" t="s">
        <v>122</v>
      </c>
      <c r="C18022" s="2">
        <f>HYPERLINK("https://cao.dolgi.msk.ru/account/1080208294/", 1080208294)</f>
        <v>1080208294</v>
      </c>
      <c r="D18022" t="s">
        <v>15296</v>
      </c>
      <c r="E18022">
        <v>9407.09</v>
      </c>
      <c r="F18022">
        <v>1.01</v>
      </c>
      <c r="G18022" t="s">
        <v>12</v>
      </c>
      <c r="I18022" t="s">
        <v>1428</v>
      </c>
    </row>
    <row r="18023" spans="1:9" hidden="1" x14ac:dyDescent="0.25">
      <c r="A18023" t="s">
        <v>15249</v>
      </c>
      <c r="B18023" t="s">
        <v>124</v>
      </c>
      <c r="C18023" s="2">
        <f>HYPERLINK("https://cao.dolgi.msk.ru/account/1080208307/", 1080208307)</f>
        <v>1080208307</v>
      </c>
      <c r="D18023" t="s">
        <v>15297</v>
      </c>
      <c r="E18023">
        <v>6815.89</v>
      </c>
      <c r="F18023">
        <v>1</v>
      </c>
      <c r="G18023" t="s">
        <v>12</v>
      </c>
      <c r="I18023" t="s">
        <v>1428</v>
      </c>
    </row>
    <row r="18024" spans="1:9" hidden="1" x14ac:dyDescent="0.25">
      <c r="A18024" t="s">
        <v>15249</v>
      </c>
      <c r="B18024" t="s">
        <v>126</v>
      </c>
      <c r="C18024" s="2">
        <f>HYPERLINK("https://cao.dolgi.msk.ru/account/1080208315/", 1080208315)</f>
        <v>1080208315</v>
      </c>
      <c r="D18024" t="s">
        <v>15298</v>
      </c>
      <c r="E18024">
        <v>-16640.68</v>
      </c>
      <c r="F18024">
        <v>-1.71</v>
      </c>
      <c r="G18024" t="s">
        <v>12</v>
      </c>
      <c r="I18024" t="s">
        <v>1428</v>
      </c>
    </row>
    <row r="18025" spans="1:9" hidden="1" x14ac:dyDescent="0.25">
      <c r="A18025" t="s">
        <v>15249</v>
      </c>
      <c r="B18025" t="s">
        <v>128</v>
      </c>
      <c r="C18025" s="2">
        <f>HYPERLINK("https://cao.dolgi.msk.ru/account/1080208323/", 1080208323)</f>
        <v>1080208323</v>
      </c>
      <c r="D18025" t="s">
        <v>15299</v>
      </c>
      <c r="E18025">
        <v>37.67</v>
      </c>
      <c r="F18025">
        <v>0.01</v>
      </c>
      <c r="G18025" t="s">
        <v>12</v>
      </c>
      <c r="I18025" t="s">
        <v>1428</v>
      </c>
    </row>
    <row r="18026" spans="1:9" x14ac:dyDescent="0.25">
      <c r="A18026" t="s">
        <v>15249</v>
      </c>
      <c r="B18026" t="s">
        <v>130</v>
      </c>
      <c r="C18026" s="2">
        <f>HYPERLINK("https://cao.dolgi.msk.ru/account/1080208331/", 1080208331)</f>
        <v>1080208331</v>
      </c>
      <c r="D18026" t="s">
        <v>15300</v>
      </c>
      <c r="E18026">
        <v>14027.35</v>
      </c>
      <c r="F18026">
        <v>1.21</v>
      </c>
      <c r="G18026" t="s">
        <v>12</v>
      </c>
      <c r="I18026" t="s">
        <v>1428</v>
      </c>
    </row>
    <row r="18027" spans="1:9" hidden="1" x14ac:dyDescent="0.25">
      <c r="A18027" t="s">
        <v>15249</v>
      </c>
      <c r="B18027" t="s">
        <v>132</v>
      </c>
      <c r="C18027" s="2">
        <f>HYPERLINK("https://cao.dolgi.msk.ru/account/1080208358/", 1080208358)</f>
        <v>1080208358</v>
      </c>
      <c r="D18027" t="s">
        <v>15301</v>
      </c>
      <c r="E18027">
        <v>0</v>
      </c>
      <c r="F18027">
        <v>0</v>
      </c>
      <c r="G18027" t="s">
        <v>12</v>
      </c>
      <c r="I18027" t="s">
        <v>1428</v>
      </c>
    </row>
    <row r="18028" spans="1:9" hidden="1" x14ac:dyDescent="0.25">
      <c r="A18028" t="s">
        <v>15249</v>
      </c>
      <c r="B18028" t="s">
        <v>133</v>
      </c>
      <c r="C18028" s="2">
        <f>HYPERLINK("https://cao.dolgi.msk.ru/account/1080208366/", 1080208366)</f>
        <v>1080208366</v>
      </c>
      <c r="D18028" t="s">
        <v>15302</v>
      </c>
      <c r="E18028">
        <v>-7440.93</v>
      </c>
      <c r="F18028">
        <v>-0.67</v>
      </c>
      <c r="G18028" t="s">
        <v>12</v>
      </c>
      <c r="I18028" t="s">
        <v>1428</v>
      </c>
    </row>
    <row r="18029" spans="1:9" hidden="1" x14ac:dyDescent="0.25">
      <c r="A18029" t="s">
        <v>15249</v>
      </c>
      <c r="B18029" t="s">
        <v>135</v>
      </c>
      <c r="C18029" s="2">
        <f>HYPERLINK("https://cao.dolgi.msk.ru/account/1080208374/", 1080208374)</f>
        <v>1080208374</v>
      </c>
      <c r="D18029" t="s">
        <v>15303</v>
      </c>
      <c r="E18029">
        <v>0</v>
      </c>
      <c r="F18029">
        <v>0</v>
      </c>
      <c r="G18029" t="s">
        <v>12</v>
      </c>
      <c r="I18029" t="s">
        <v>1428</v>
      </c>
    </row>
    <row r="18030" spans="1:9" hidden="1" x14ac:dyDescent="0.25">
      <c r="A18030" t="s">
        <v>15249</v>
      </c>
      <c r="B18030" t="s">
        <v>137</v>
      </c>
      <c r="C18030" s="2">
        <f>HYPERLINK("https://cao.dolgi.msk.ru/account/1080208382/", 1080208382)</f>
        <v>1080208382</v>
      </c>
      <c r="D18030" t="s">
        <v>15304</v>
      </c>
      <c r="E18030">
        <v>-6622.2</v>
      </c>
      <c r="F18030">
        <v>-1.23</v>
      </c>
      <c r="G18030" t="s">
        <v>12</v>
      </c>
      <c r="I18030" t="s">
        <v>1428</v>
      </c>
    </row>
    <row r="18031" spans="1:9" hidden="1" x14ac:dyDescent="0.25">
      <c r="A18031" t="s">
        <v>15249</v>
      </c>
      <c r="B18031" t="s">
        <v>139</v>
      </c>
      <c r="C18031" s="2">
        <f>HYPERLINK("https://cao.dolgi.msk.ru/account/1080208403/", 1080208403)</f>
        <v>1080208403</v>
      </c>
      <c r="D18031" t="s">
        <v>15305</v>
      </c>
      <c r="E18031">
        <v>-12326.8</v>
      </c>
      <c r="F18031">
        <v>-1.94</v>
      </c>
      <c r="G18031" t="s">
        <v>12</v>
      </c>
      <c r="I18031" t="s">
        <v>1428</v>
      </c>
    </row>
    <row r="18032" spans="1:9" hidden="1" x14ac:dyDescent="0.25">
      <c r="A18032" t="s">
        <v>15249</v>
      </c>
      <c r="B18032" t="s">
        <v>141</v>
      </c>
      <c r="C18032" s="2">
        <f>HYPERLINK("https://cao.dolgi.msk.ru/account/1080208411/", 1080208411)</f>
        <v>1080208411</v>
      </c>
      <c r="D18032" t="s">
        <v>15306</v>
      </c>
      <c r="E18032">
        <v>-34.630000000000003</v>
      </c>
      <c r="F18032">
        <v>0</v>
      </c>
      <c r="G18032" t="s">
        <v>12</v>
      </c>
      <c r="I18032" t="s">
        <v>1428</v>
      </c>
    </row>
    <row r="18033" spans="1:9" hidden="1" x14ac:dyDescent="0.25">
      <c r="A18033" t="s">
        <v>15249</v>
      </c>
      <c r="B18033" t="s">
        <v>143</v>
      </c>
      <c r="C18033" s="2">
        <f>HYPERLINK("https://cao.dolgi.msk.ru/account/1080208438/", 1080208438)</f>
        <v>1080208438</v>
      </c>
      <c r="D18033" t="s">
        <v>15307</v>
      </c>
      <c r="E18033">
        <v>-5884.45</v>
      </c>
      <c r="F18033">
        <v>-1.1599999999999999</v>
      </c>
      <c r="G18033" t="s">
        <v>12</v>
      </c>
      <c r="I18033" t="s">
        <v>1428</v>
      </c>
    </row>
    <row r="18034" spans="1:9" hidden="1" x14ac:dyDescent="0.25">
      <c r="A18034" t="s">
        <v>15249</v>
      </c>
      <c r="B18034" t="s">
        <v>145</v>
      </c>
      <c r="C18034" s="2">
        <f>HYPERLINK("https://cao.dolgi.msk.ru/account/1080208446/", 1080208446)</f>
        <v>1080208446</v>
      </c>
      <c r="D18034" t="s">
        <v>15308</v>
      </c>
      <c r="E18034">
        <v>-6861.88</v>
      </c>
      <c r="F18034">
        <v>-1.19</v>
      </c>
      <c r="G18034" t="s">
        <v>12</v>
      </c>
      <c r="I18034" t="s">
        <v>1428</v>
      </c>
    </row>
    <row r="18035" spans="1:9" hidden="1" x14ac:dyDescent="0.25">
      <c r="A18035" t="s">
        <v>15249</v>
      </c>
      <c r="B18035" t="s">
        <v>147</v>
      </c>
      <c r="C18035" s="2">
        <f>HYPERLINK("https://cao.dolgi.msk.ru/account/1080208454/", 1080208454)</f>
        <v>1080208454</v>
      </c>
      <c r="D18035" t="s">
        <v>15309</v>
      </c>
      <c r="E18035">
        <v>-1871.7</v>
      </c>
      <c r="F18035">
        <v>-0.21</v>
      </c>
      <c r="G18035" t="s">
        <v>12</v>
      </c>
      <c r="I18035" t="s">
        <v>1428</v>
      </c>
    </row>
    <row r="18036" spans="1:9" hidden="1" x14ac:dyDescent="0.25">
      <c r="A18036" t="s">
        <v>15249</v>
      </c>
      <c r="B18036" t="s">
        <v>149</v>
      </c>
      <c r="C18036" s="2">
        <f>HYPERLINK("https://cao.dolgi.msk.ru/account/1080208462/", 1080208462)</f>
        <v>1080208462</v>
      </c>
      <c r="D18036" t="s">
        <v>15310</v>
      </c>
      <c r="E18036">
        <v>-14863.25</v>
      </c>
      <c r="F18036">
        <v>-1.57</v>
      </c>
      <c r="G18036" t="s">
        <v>12</v>
      </c>
      <c r="I18036" t="s">
        <v>1428</v>
      </c>
    </row>
    <row r="18037" spans="1:9" hidden="1" x14ac:dyDescent="0.25">
      <c r="A18037" t="s">
        <v>15249</v>
      </c>
      <c r="B18037" t="s">
        <v>149</v>
      </c>
      <c r="C18037" s="2">
        <f>HYPERLINK("https://cao.dolgi.msk.ru/account/1089131561/", 1089131561)</f>
        <v>1089131561</v>
      </c>
      <c r="D18037" t="s">
        <v>15</v>
      </c>
      <c r="E18037">
        <v>1627.69</v>
      </c>
      <c r="F18037">
        <v>0.45</v>
      </c>
      <c r="G18037" t="s">
        <v>14</v>
      </c>
      <c r="I18037" t="s">
        <v>1428</v>
      </c>
    </row>
    <row r="18038" spans="1:9" hidden="1" x14ac:dyDescent="0.25">
      <c r="A18038" t="s">
        <v>15249</v>
      </c>
      <c r="B18038" t="s">
        <v>151</v>
      </c>
      <c r="C18038" s="2">
        <f>HYPERLINK("https://cao.dolgi.msk.ru/account/1080208489/", 1080208489)</f>
        <v>1080208489</v>
      </c>
      <c r="D18038" t="s">
        <v>15311</v>
      </c>
      <c r="E18038">
        <v>-9105.08</v>
      </c>
      <c r="F18038">
        <v>-1.06</v>
      </c>
      <c r="G18038" t="s">
        <v>12</v>
      </c>
      <c r="I18038" t="s">
        <v>1428</v>
      </c>
    </row>
    <row r="18039" spans="1:9" hidden="1" x14ac:dyDescent="0.25">
      <c r="A18039" t="s">
        <v>15249</v>
      </c>
      <c r="B18039" t="s">
        <v>153</v>
      </c>
      <c r="C18039" s="2">
        <f>HYPERLINK("https://cao.dolgi.msk.ru/account/1080208497/", 1080208497)</f>
        <v>1080208497</v>
      </c>
      <c r="D18039" t="s">
        <v>15312</v>
      </c>
      <c r="E18039">
        <v>-7589.37</v>
      </c>
      <c r="F18039">
        <v>-1.2</v>
      </c>
      <c r="G18039" t="s">
        <v>12</v>
      </c>
      <c r="I18039" t="s">
        <v>1428</v>
      </c>
    </row>
    <row r="18040" spans="1:9" hidden="1" x14ac:dyDescent="0.25">
      <c r="A18040" t="s">
        <v>15249</v>
      </c>
      <c r="B18040" t="s">
        <v>155</v>
      </c>
      <c r="C18040" s="2">
        <f>HYPERLINK("https://cao.dolgi.msk.ru/account/1080208518/", 1080208518)</f>
        <v>1080208518</v>
      </c>
      <c r="D18040" t="s">
        <v>15313</v>
      </c>
      <c r="E18040">
        <v>-2785.06</v>
      </c>
      <c r="F18040">
        <v>-1.23</v>
      </c>
      <c r="G18040" t="s">
        <v>12</v>
      </c>
      <c r="I18040" t="s">
        <v>1428</v>
      </c>
    </row>
    <row r="18041" spans="1:9" x14ac:dyDescent="0.25">
      <c r="A18041" t="s">
        <v>15249</v>
      </c>
      <c r="B18041" t="s">
        <v>157</v>
      </c>
      <c r="C18041" s="2">
        <f>HYPERLINK("https://cao.dolgi.msk.ru/account/1080208526/", 1080208526)</f>
        <v>1080208526</v>
      </c>
      <c r="D18041" t="s">
        <v>15314</v>
      </c>
      <c r="E18041">
        <v>4991</v>
      </c>
      <c r="F18041">
        <v>2.92</v>
      </c>
      <c r="G18041" t="s">
        <v>12</v>
      </c>
      <c r="H18041" t="s">
        <v>7</v>
      </c>
      <c r="I18041" t="s">
        <v>1428</v>
      </c>
    </row>
    <row r="18042" spans="1:9" hidden="1" x14ac:dyDescent="0.25">
      <c r="A18042" t="s">
        <v>15249</v>
      </c>
      <c r="B18042" t="s">
        <v>157</v>
      </c>
      <c r="C18042" s="2">
        <f>HYPERLINK("https://cao.dolgi.msk.ru/account/1080208534/", 1080208534)</f>
        <v>1080208534</v>
      </c>
      <c r="D18042" t="s">
        <v>15314</v>
      </c>
      <c r="E18042">
        <v>0</v>
      </c>
      <c r="F18042">
        <v>0</v>
      </c>
      <c r="G18042" t="s">
        <v>12</v>
      </c>
      <c r="H18042" t="s">
        <v>7</v>
      </c>
      <c r="I18042" t="s">
        <v>1428</v>
      </c>
    </row>
    <row r="18043" spans="1:9" hidden="1" x14ac:dyDescent="0.25">
      <c r="A18043" t="s">
        <v>15249</v>
      </c>
      <c r="B18043" t="s">
        <v>157</v>
      </c>
      <c r="C18043" s="2">
        <f>HYPERLINK("https://cao.dolgi.msk.ru/account/1083273227/", 1083273227)</f>
        <v>1083273227</v>
      </c>
      <c r="D18043" t="s">
        <v>15</v>
      </c>
      <c r="E18043">
        <v>-76.069999999999993</v>
      </c>
      <c r="F18043">
        <v>-0.03</v>
      </c>
      <c r="G18043" t="s">
        <v>12</v>
      </c>
      <c r="H18043" t="s">
        <v>7</v>
      </c>
      <c r="I18043" t="s">
        <v>1428</v>
      </c>
    </row>
    <row r="18044" spans="1:9" hidden="1" x14ac:dyDescent="0.25">
      <c r="A18044" t="s">
        <v>15249</v>
      </c>
      <c r="B18044" t="s">
        <v>159</v>
      </c>
      <c r="C18044" s="2">
        <f>HYPERLINK("https://cao.dolgi.msk.ru/account/1080208542/", 1080208542)</f>
        <v>1080208542</v>
      </c>
      <c r="D18044" t="s">
        <v>15315</v>
      </c>
      <c r="E18044">
        <v>-432.01</v>
      </c>
      <c r="F18044">
        <v>-0.12</v>
      </c>
      <c r="G18044" t="s">
        <v>12</v>
      </c>
      <c r="I18044" t="s">
        <v>1428</v>
      </c>
    </row>
    <row r="18045" spans="1:9" hidden="1" x14ac:dyDescent="0.25">
      <c r="A18045" t="s">
        <v>15249</v>
      </c>
      <c r="B18045" t="s">
        <v>161</v>
      </c>
      <c r="C18045" s="2">
        <f>HYPERLINK("https://cao.dolgi.msk.ru/account/1080208569/", 1080208569)</f>
        <v>1080208569</v>
      </c>
      <c r="D18045" t="s">
        <v>15316</v>
      </c>
      <c r="E18045">
        <v>-7304.79</v>
      </c>
      <c r="F18045">
        <v>-1.17</v>
      </c>
      <c r="G18045" t="s">
        <v>12</v>
      </c>
      <c r="I18045" t="s">
        <v>1428</v>
      </c>
    </row>
    <row r="18046" spans="1:9" hidden="1" x14ac:dyDescent="0.25">
      <c r="A18046" t="s">
        <v>15249</v>
      </c>
      <c r="B18046" t="s">
        <v>161</v>
      </c>
      <c r="C18046" s="2">
        <f>HYPERLINK("https://cao.dolgi.msk.ru/account/1080208577/", 1080208577)</f>
        <v>1080208577</v>
      </c>
      <c r="D18046" t="s">
        <v>15</v>
      </c>
      <c r="E18046">
        <v>0</v>
      </c>
      <c r="G18046" t="s">
        <v>14</v>
      </c>
      <c r="I18046" t="s">
        <v>1428</v>
      </c>
    </row>
    <row r="18047" spans="1:9" hidden="1" x14ac:dyDescent="0.25">
      <c r="A18047" t="s">
        <v>15249</v>
      </c>
      <c r="B18047" t="s">
        <v>163</v>
      </c>
      <c r="C18047" s="2">
        <f>HYPERLINK("https://cao.dolgi.msk.ru/account/1080208585/", 1080208585)</f>
        <v>1080208585</v>
      </c>
      <c r="D18047" t="s">
        <v>15317</v>
      </c>
      <c r="E18047">
        <v>-7100.71</v>
      </c>
      <c r="F18047">
        <v>-2.67</v>
      </c>
      <c r="G18047" t="s">
        <v>12</v>
      </c>
      <c r="H18047" t="s">
        <v>7</v>
      </c>
      <c r="I18047" t="s">
        <v>1428</v>
      </c>
    </row>
    <row r="18048" spans="1:9" hidden="1" x14ac:dyDescent="0.25">
      <c r="A18048" t="s">
        <v>15249</v>
      </c>
      <c r="B18048" t="s">
        <v>163</v>
      </c>
      <c r="C18048" s="2">
        <f>HYPERLINK("https://cao.dolgi.msk.ru/account/1080208593/", 1080208593)</f>
        <v>1080208593</v>
      </c>
      <c r="D18048" t="s">
        <v>1082</v>
      </c>
      <c r="E18048">
        <v>-3045.92</v>
      </c>
      <c r="F18048">
        <v>-1.58</v>
      </c>
      <c r="G18048" t="s">
        <v>12</v>
      </c>
      <c r="H18048" t="s">
        <v>7</v>
      </c>
      <c r="I18048" t="s">
        <v>1428</v>
      </c>
    </row>
    <row r="18049" spans="1:9" hidden="1" x14ac:dyDescent="0.25">
      <c r="A18049" t="s">
        <v>15249</v>
      </c>
      <c r="B18049" t="s">
        <v>163</v>
      </c>
      <c r="C18049" s="2">
        <f>HYPERLINK("https://cao.dolgi.msk.ru/account/1080208606/", 1080208606)</f>
        <v>1080208606</v>
      </c>
      <c r="D18049" t="s">
        <v>15317</v>
      </c>
      <c r="E18049">
        <v>-509.93</v>
      </c>
      <c r="F18049">
        <v>-0.19</v>
      </c>
      <c r="G18049" t="s">
        <v>12</v>
      </c>
      <c r="H18049" t="s">
        <v>7</v>
      </c>
      <c r="I18049" t="s">
        <v>1428</v>
      </c>
    </row>
    <row r="18050" spans="1:9" hidden="1" x14ac:dyDescent="0.25">
      <c r="A18050" t="s">
        <v>15249</v>
      </c>
      <c r="B18050" t="s">
        <v>571</v>
      </c>
      <c r="C18050" s="2">
        <f>HYPERLINK("https://cao.dolgi.msk.ru/account/1080208614/", 1080208614)</f>
        <v>1080208614</v>
      </c>
      <c r="D18050" t="s">
        <v>15318</v>
      </c>
      <c r="E18050">
        <v>-8304.99</v>
      </c>
      <c r="F18050">
        <v>-1.18</v>
      </c>
      <c r="G18050" t="s">
        <v>12</v>
      </c>
      <c r="I18050" t="s">
        <v>1428</v>
      </c>
    </row>
    <row r="18051" spans="1:9" hidden="1" x14ac:dyDescent="0.25">
      <c r="A18051" t="s">
        <v>15249</v>
      </c>
      <c r="B18051" t="s">
        <v>682</v>
      </c>
      <c r="C18051" s="2">
        <f>HYPERLINK("https://cao.dolgi.msk.ru/account/1080208622/", 1080208622)</f>
        <v>1080208622</v>
      </c>
      <c r="D18051" t="s">
        <v>15319</v>
      </c>
      <c r="E18051">
        <v>3630.78</v>
      </c>
      <c r="F18051">
        <v>0.56999999999999995</v>
      </c>
      <c r="G18051" t="s">
        <v>12</v>
      </c>
      <c r="I18051" t="s">
        <v>1428</v>
      </c>
    </row>
    <row r="18052" spans="1:9" hidden="1" x14ac:dyDescent="0.25">
      <c r="A18052" t="s">
        <v>15249</v>
      </c>
      <c r="B18052" t="s">
        <v>578</v>
      </c>
      <c r="C18052" s="2">
        <f>HYPERLINK("https://cao.dolgi.msk.ru/account/1080208649/", 1080208649)</f>
        <v>1080208649</v>
      </c>
      <c r="D18052" t="s">
        <v>15320</v>
      </c>
      <c r="E18052">
        <v>-2700.4</v>
      </c>
      <c r="F18052">
        <v>-0.79</v>
      </c>
      <c r="G18052" t="s">
        <v>12</v>
      </c>
      <c r="I18052" t="s">
        <v>1428</v>
      </c>
    </row>
    <row r="18053" spans="1:9" hidden="1" x14ac:dyDescent="0.25">
      <c r="A18053" t="s">
        <v>15249</v>
      </c>
      <c r="B18053" t="s">
        <v>580</v>
      </c>
      <c r="C18053" s="2">
        <f>HYPERLINK("https://cao.dolgi.msk.ru/account/1080208657/", 1080208657)</f>
        <v>1080208657</v>
      </c>
      <c r="D18053" t="s">
        <v>15321</v>
      </c>
      <c r="E18053">
        <v>-6008.8</v>
      </c>
      <c r="F18053">
        <v>-1.19</v>
      </c>
      <c r="G18053" t="s">
        <v>12</v>
      </c>
      <c r="I18053" t="s">
        <v>1428</v>
      </c>
    </row>
    <row r="18054" spans="1:9" hidden="1" x14ac:dyDescent="0.25">
      <c r="A18054" t="s">
        <v>15249</v>
      </c>
      <c r="B18054" t="s">
        <v>686</v>
      </c>
      <c r="C18054" s="2">
        <f>HYPERLINK("https://cao.dolgi.msk.ru/account/1080208665/", 1080208665)</f>
        <v>1080208665</v>
      </c>
      <c r="D18054" t="s">
        <v>15322</v>
      </c>
      <c r="E18054">
        <v>-7200.82</v>
      </c>
      <c r="F18054">
        <v>-1.24</v>
      </c>
      <c r="G18054" t="s">
        <v>12</v>
      </c>
      <c r="I18054" t="s">
        <v>1428</v>
      </c>
    </row>
    <row r="18055" spans="1:9" hidden="1" x14ac:dyDescent="0.25">
      <c r="A18055" t="s">
        <v>15249</v>
      </c>
      <c r="B18055" t="s">
        <v>582</v>
      </c>
      <c r="C18055" s="2">
        <f>HYPERLINK("https://cao.dolgi.msk.ru/account/1080208673/", 1080208673)</f>
        <v>1080208673</v>
      </c>
      <c r="D18055" t="s">
        <v>15323</v>
      </c>
      <c r="E18055">
        <v>4481.8</v>
      </c>
      <c r="F18055">
        <v>0.77</v>
      </c>
      <c r="G18055" t="s">
        <v>12</v>
      </c>
      <c r="I18055" t="s">
        <v>1428</v>
      </c>
    </row>
    <row r="18056" spans="1:9" hidden="1" x14ac:dyDescent="0.25">
      <c r="A18056" t="s">
        <v>15249</v>
      </c>
      <c r="B18056" t="s">
        <v>584</v>
      </c>
      <c r="C18056" s="2">
        <f>HYPERLINK("https://cao.dolgi.msk.ru/account/1080208681/", 1080208681)</f>
        <v>1080208681</v>
      </c>
      <c r="D18056" t="s">
        <v>15324</v>
      </c>
      <c r="E18056">
        <v>-2082.54</v>
      </c>
      <c r="F18056">
        <v>-1.56</v>
      </c>
      <c r="G18056" t="s">
        <v>12</v>
      </c>
      <c r="H18056" t="s">
        <v>7</v>
      </c>
      <c r="I18056" t="s">
        <v>1428</v>
      </c>
    </row>
    <row r="18057" spans="1:9" x14ac:dyDescent="0.25">
      <c r="A18057" t="s">
        <v>15249</v>
      </c>
      <c r="B18057" t="s">
        <v>584</v>
      </c>
      <c r="C18057" s="2">
        <f>HYPERLINK("https://cao.dolgi.msk.ru/account/1080208702/", 1080208702)</f>
        <v>1080208702</v>
      </c>
      <c r="D18057" t="s">
        <v>15325</v>
      </c>
      <c r="E18057">
        <v>98794.38</v>
      </c>
      <c r="F18057">
        <v>63.32</v>
      </c>
      <c r="G18057" t="s">
        <v>12</v>
      </c>
      <c r="H18057" t="s">
        <v>7</v>
      </c>
      <c r="I18057" t="s">
        <v>1428</v>
      </c>
    </row>
    <row r="18058" spans="1:9" hidden="1" x14ac:dyDescent="0.25">
      <c r="A18058" t="s">
        <v>15249</v>
      </c>
      <c r="B18058" t="s">
        <v>586</v>
      </c>
      <c r="C18058" s="2">
        <f>HYPERLINK("https://cao.dolgi.msk.ru/account/1080208729/", 1080208729)</f>
        <v>1080208729</v>
      </c>
      <c r="D18058" t="s">
        <v>15326</v>
      </c>
      <c r="E18058">
        <v>-8113.5</v>
      </c>
      <c r="F18058">
        <v>-0.97</v>
      </c>
      <c r="G18058" t="s">
        <v>12</v>
      </c>
      <c r="I18058" t="s">
        <v>1428</v>
      </c>
    </row>
    <row r="18059" spans="1:9" hidden="1" x14ac:dyDescent="0.25">
      <c r="A18059" t="s">
        <v>15249</v>
      </c>
      <c r="B18059" t="s">
        <v>586</v>
      </c>
      <c r="C18059" s="2">
        <f>HYPERLINK("https://cao.dolgi.msk.ru/account/1083273948/", 1083273948)</f>
        <v>1083273948</v>
      </c>
      <c r="D18059" t="s">
        <v>15</v>
      </c>
      <c r="E18059">
        <v>294</v>
      </c>
      <c r="G18059" t="s">
        <v>14</v>
      </c>
      <c r="I18059" t="s">
        <v>1428</v>
      </c>
    </row>
    <row r="18060" spans="1:9" x14ac:dyDescent="0.25">
      <c r="A18060" t="s">
        <v>15249</v>
      </c>
      <c r="B18060" t="s">
        <v>588</v>
      </c>
      <c r="C18060" s="2">
        <f>HYPERLINK("https://cao.dolgi.msk.ru/account/1080208737/", 1080208737)</f>
        <v>1080208737</v>
      </c>
      <c r="D18060" t="s">
        <v>15327</v>
      </c>
      <c r="E18060">
        <v>7756.01</v>
      </c>
      <c r="F18060">
        <v>1.03</v>
      </c>
      <c r="G18060" t="s">
        <v>12</v>
      </c>
      <c r="I18060" t="s">
        <v>1428</v>
      </c>
    </row>
    <row r="18061" spans="1:9" hidden="1" x14ac:dyDescent="0.25">
      <c r="A18061" t="s">
        <v>15249</v>
      </c>
      <c r="B18061" t="s">
        <v>588</v>
      </c>
      <c r="C18061" s="2">
        <f>HYPERLINK("https://cao.dolgi.msk.ru/account/1089122585/", 1089122585)</f>
        <v>1089122585</v>
      </c>
      <c r="D18061" t="s">
        <v>15</v>
      </c>
      <c r="E18061">
        <v>0</v>
      </c>
      <c r="G18061" t="s">
        <v>14</v>
      </c>
      <c r="I18061" t="s">
        <v>1428</v>
      </c>
    </row>
    <row r="18062" spans="1:9" hidden="1" x14ac:dyDescent="0.25">
      <c r="A18062" t="s">
        <v>15249</v>
      </c>
      <c r="B18062" t="s">
        <v>590</v>
      </c>
      <c r="C18062" s="2">
        <f>HYPERLINK("https://cao.dolgi.msk.ru/account/1080208745/", 1080208745)</f>
        <v>1080208745</v>
      </c>
      <c r="D18062" t="s">
        <v>15328</v>
      </c>
      <c r="E18062">
        <v>-5039.6899999999996</v>
      </c>
      <c r="F18062">
        <v>-1.0900000000000001</v>
      </c>
      <c r="G18062" t="s">
        <v>12</v>
      </c>
      <c r="I18062" t="s">
        <v>1428</v>
      </c>
    </row>
    <row r="18063" spans="1:9" hidden="1" x14ac:dyDescent="0.25">
      <c r="A18063" t="s">
        <v>15249</v>
      </c>
      <c r="B18063" t="s">
        <v>693</v>
      </c>
      <c r="C18063" s="2">
        <f>HYPERLINK("https://cao.dolgi.msk.ru/account/1080208753/", 1080208753)</f>
        <v>1080208753</v>
      </c>
      <c r="D18063" t="s">
        <v>15329</v>
      </c>
      <c r="E18063">
        <v>-8044.16</v>
      </c>
      <c r="F18063">
        <v>-2.71</v>
      </c>
      <c r="G18063" t="s">
        <v>12</v>
      </c>
      <c r="I18063" t="s">
        <v>1428</v>
      </c>
    </row>
    <row r="18064" spans="1:9" hidden="1" x14ac:dyDescent="0.25">
      <c r="A18064" t="s">
        <v>15249</v>
      </c>
      <c r="B18064" t="s">
        <v>694</v>
      </c>
      <c r="C18064" s="2">
        <f>HYPERLINK("https://cao.dolgi.msk.ru/account/1080208761/", 1080208761)</f>
        <v>1080208761</v>
      </c>
      <c r="D18064" t="s">
        <v>15330</v>
      </c>
      <c r="E18064">
        <v>-11718.75</v>
      </c>
      <c r="F18064">
        <v>-1.3</v>
      </c>
      <c r="G18064" t="s">
        <v>12</v>
      </c>
      <c r="I18064" t="s">
        <v>1428</v>
      </c>
    </row>
    <row r="18065" spans="1:9" hidden="1" x14ac:dyDescent="0.25">
      <c r="A18065" t="s">
        <v>15249</v>
      </c>
      <c r="B18065" t="s">
        <v>696</v>
      </c>
      <c r="C18065" s="2">
        <f>HYPERLINK("https://cao.dolgi.msk.ru/account/1080208788/", 1080208788)</f>
        <v>1080208788</v>
      </c>
      <c r="D18065" t="s">
        <v>15331</v>
      </c>
      <c r="E18065">
        <v>-8239.75</v>
      </c>
      <c r="F18065">
        <v>-1.07</v>
      </c>
      <c r="G18065" t="s">
        <v>12</v>
      </c>
      <c r="I18065" t="s">
        <v>1428</v>
      </c>
    </row>
    <row r="18066" spans="1:9" hidden="1" x14ac:dyDescent="0.25">
      <c r="A18066" t="s">
        <v>15249</v>
      </c>
      <c r="B18066" t="s">
        <v>698</v>
      </c>
      <c r="C18066" s="2">
        <f>HYPERLINK("https://cao.dolgi.msk.ru/account/1080208796/", 1080208796)</f>
        <v>1080208796</v>
      </c>
      <c r="D18066" t="s">
        <v>15332</v>
      </c>
      <c r="E18066">
        <v>-2708.86</v>
      </c>
      <c r="F18066">
        <v>-0.93</v>
      </c>
      <c r="G18066" t="s">
        <v>12</v>
      </c>
      <c r="I18066" t="s">
        <v>1428</v>
      </c>
    </row>
    <row r="18067" spans="1:9" hidden="1" x14ac:dyDescent="0.25">
      <c r="A18067" t="s">
        <v>15249</v>
      </c>
      <c r="B18067" t="s">
        <v>700</v>
      </c>
      <c r="C18067" s="2">
        <f>HYPERLINK("https://cao.dolgi.msk.ru/account/1080208809/", 1080208809)</f>
        <v>1080208809</v>
      </c>
      <c r="D18067" t="s">
        <v>15333</v>
      </c>
      <c r="E18067">
        <v>-7646.89</v>
      </c>
      <c r="F18067">
        <v>-1.1000000000000001</v>
      </c>
      <c r="G18067" t="s">
        <v>12</v>
      </c>
      <c r="I18067" t="s">
        <v>1428</v>
      </c>
    </row>
    <row r="18068" spans="1:9" hidden="1" x14ac:dyDescent="0.25">
      <c r="A18068" t="s">
        <v>15249</v>
      </c>
      <c r="B18068" t="s">
        <v>702</v>
      </c>
      <c r="C18068" s="2">
        <f>HYPERLINK("https://cao.dolgi.msk.ru/account/1080208817/", 1080208817)</f>
        <v>1080208817</v>
      </c>
      <c r="D18068" t="s">
        <v>15334</v>
      </c>
      <c r="E18068">
        <v>-8697.2999999999993</v>
      </c>
      <c r="F18068">
        <v>-1.23</v>
      </c>
      <c r="G18068" t="s">
        <v>12</v>
      </c>
      <c r="I18068" t="s">
        <v>1428</v>
      </c>
    </row>
    <row r="18069" spans="1:9" hidden="1" x14ac:dyDescent="0.25">
      <c r="A18069" t="s">
        <v>15249</v>
      </c>
      <c r="B18069" t="s">
        <v>703</v>
      </c>
      <c r="C18069" s="2">
        <f>HYPERLINK("https://cao.dolgi.msk.ru/account/1080208825/", 1080208825)</f>
        <v>1080208825</v>
      </c>
      <c r="D18069" t="s">
        <v>15335</v>
      </c>
      <c r="E18069">
        <v>-7302.03</v>
      </c>
      <c r="F18069">
        <v>-1.7</v>
      </c>
      <c r="G18069" t="s">
        <v>12</v>
      </c>
      <c r="I18069" t="s">
        <v>1428</v>
      </c>
    </row>
    <row r="18070" spans="1:9" hidden="1" x14ac:dyDescent="0.25">
      <c r="A18070" t="s">
        <v>15249</v>
      </c>
      <c r="B18070" t="s">
        <v>705</v>
      </c>
      <c r="C18070" s="2">
        <f>HYPERLINK("https://cao.dolgi.msk.ru/account/1080208833/", 1080208833)</f>
        <v>1080208833</v>
      </c>
      <c r="D18070" t="s">
        <v>15336</v>
      </c>
      <c r="E18070">
        <v>-7669.3</v>
      </c>
      <c r="F18070">
        <v>-1.1599999999999999</v>
      </c>
      <c r="G18070" t="s">
        <v>12</v>
      </c>
      <c r="I18070" t="s">
        <v>1428</v>
      </c>
    </row>
    <row r="18071" spans="1:9" hidden="1" x14ac:dyDescent="0.25">
      <c r="A18071" t="s">
        <v>15249</v>
      </c>
      <c r="B18071" t="s">
        <v>705</v>
      </c>
      <c r="C18071" s="2">
        <f>HYPERLINK("https://cao.dolgi.msk.ru/account/1089133372/", 1089133372)</f>
        <v>1089133372</v>
      </c>
      <c r="D18071" t="s">
        <v>15</v>
      </c>
      <c r="E18071">
        <v>212.73</v>
      </c>
      <c r="G18071" t="s">
        <v>14</v>
      </c>
      <c r="I18071" t="s">
        <v>1428</v>
      </c>
    </row>
    <row r="18072" spans="1:9" hidden="1" x14ac:dyDescent="0.25">
      <c r="A18072" t="s">
        <v>15249</v>
      </c>
      <c r="B18072" t="s">
        <v>707</v>
      </c>
      <c r="C18072" s="2">
        <f>HYPERLINK("https://cao.dolgi.msk.ru/account/1080208841/", 1080208841)</f>
        <v>1080208841</v>
      </c>
      <c r="D18072" t="s">
        <v>15337</v>
      </c>
      <c r="E18072">
        <v>-571.66</v>
      </c>
      <c r="F18072">
        <v>-0.11</v>
      </c>
      <c r="G18072" t="s">
        <v>12</v>
      </c>
      <c r="I18072" t="s">
        <v>1428</v>
      </c>
    </row>
    <row r="18073" spans="1:9" hidden="1" x14ac:dyDescent="0.25">
      <c r="A18073" t="s">
        <v>15249</v>
      </c>
      <c r="B18073" t="s">
        <v>709</v>
      </c>
      <c r="C18073" s="2">
        <f>HYPERLINK("https://cao.dolgi.msk.ru/account/1080208868/", 1080208868)</f>
        <v>1080208868</v>
      </c>
      <c r="D18073" t="s">
        <v>15338</v>
      </c>
      <c r="E18073">
        <v>-8801.39</v>
      </c>
      <c r="F18073">
        <v>-2.1</v>
      </c>
      <c r="G18073" t="s">
        <v>12</v>
      </c>
      <c r="I18073" t="s">
        <v>1428</v>
      </c>
    </row>
    <row r="18074" spans="1:9" hidden="1" x14ac:dyDescent="0.25">
      <c r="A18074" t="s">
        <v>15249</v>
      </c>
      <c r="B18074" t="s">
        <v>711</v>
      </c>
      <c r="C18074" s="2">
        <f>HYPERLINK("https://cao.dolgi.msk.ru/account/1080208876/", 1080208876)</f>
        <v>1080208876</v>
      </c>
      <c r="D18074" t="s">
        <v>15339</v>
      </c>
      <c r="E18074">
        <v>-7351.78</v>
      </c>
      <c r="F18074">
        <v>-1.1000000000000001</v>
      </c>
      <c r="G18074" t="s">
        <v>12</v>
      </c>
      <c r="I18074" t="s">
        <v>1428</v>
      </c>
    </row>
    <row r="18075" spans="1:9" hidden="1" x14ac:dyDescent="0.25">
      <c r="A18075" t="s">
        <v>15249</v>
      </c>
      <c r="B18075" t="s">
        <v>713</v>
      </c>
      <c r="C18075" s="2">
        <f>HYPERLINK("https://cao.dolgi.msk.ru/account/1080208884/", 1080208884)</f>
        <v>1080208884</v>
      </c>
      <c r="D18075" t="s">
        <v>15340</v>
      </c>
      <c r="E18075">
        <v>-6858.03</v>
      </c>
      <c r="F18075">
        <v>-1.1599999999999999</v>
      </c>
      <c r="G18075" t="s">
        <v>12</v>
      </c>
      <c r="I18075" t="s">
        <v>1428</v>
      </c>
    </row>
    <row r="18076" spans="1:9" x14ac:dyDescent="0.25">
      <c r="A18076" t="s">
        <v>15249</v>
      </c>
      <c r="B18076" t="s">
        <v>528</v>
      </c>
      <c r="C18076" s="2">
        <f>HYPERLINK("https://cao.dolgi.msk.ru/account/1080208892/", 1080208892)</f>
        <v>1080208892</v>
      </c>
      <c r="D18076" t="s">
        <v>15341</v>
      </c>
      <c r="E18076">
        <v>16207.86</v>
      </c>
      <c r="F18076">
        <v>3.85</v>
      </c>
      <c r="G18076" t="s">
        <v>12</v>
      </c>
      <c r="I18076" t="s">
        <v>1428</v>
      </c>
    </row>
    <row r="18077" spans="1:9" hidden="1" x14ac:dyDescent="0.25">
      <c r="A18077" t="s">
        <v>15249</v>
      </c>
      <c r="B18077" t="s">
        <v>530</v>
      </c>
      <c r="C18077" s="2">
        <f>HYPERLINK("https://cao.dolgi.msk.ru/account/1080208905/", 1080208905)</f>
        <v>1080208905</v>
      </c>
      <c r="D18077" t="s">
        <v>15342</v>
      </c>
      <c r="E18077">
        <v>-8781.08</v>
      </c>
      <c r="F18077">
        <v>-1.1299999999999999</v>
      </c>
      <c r="G18077" t="s">
        <v>12</v>
      </c>
      <c r="I18077" t="s">
        <v>1428</v>
      </c>
    </row>
    <row r="18078" spans="1:9" hidden="1" x14ac:dyDescent="0.25">
      <c r="A18078" t="s">
        <v>15249</v>
      </c>
      <c r="B18078" t="s">
        <v>532</v>
      </c>
      <c r="C18078" s="2">
        <f>HYPERLINK("https://cao.dolgi.msk.ru/account/1080208913/", 1080208913)</f>
        <v>1080208913</v>
      </c>
      <c r="D18078" t="s">
        <v>15</v>
      </c>
      <c r="E18078">
        <v>-8578.52</v>
      </c>
      <c r="F18078">
        <v>-1.23</v>
      </c>
      <c r="G18078" t="s">
        <v>12</v>
      </c>
      <c r="I18078" t="s">
        <v>1428</v>
      </c>
    </row>
    <row r="18079" spans="1:9" hidden="1" x14ac:dyDescent="0.25">
      <c r="A18079" t="s">
        <v>15249</v>
      </c>
      <c r="B18079" t="s">
        <v>534</v>
      </c>
      <c r="C18079" s="2">
        <f>HYPERLINK("https://cao.dolgi.msk.ru/account/1080208921/", 1080208921)</f>
        <v>1080208921</v>
      </c>
      <c r="D18079" t="s">
        <v>15343</v>
      </c>
      <c r="E18079">
        <v>-6399.66</v>
      </c>
      <c r="F18079">
        <v>-1.35</v>
      </c>
      <c r="G18079" t="s">
        <v>12</v>
      </c>
      <c r="I18079" t="s">
        <v>1428</v>
      </c>
    </row>
    <row r="18080" spans="1:9" hidden="1" x14ac:dyDescent="0.25">
      <c r="A18080" t="s">
        <v>15249</v>
      </c>
      <c r="B18080" t="s">
        <v>536</v>
      </c>
      <c r="C18080" s="2">
        <f>HYPERLINK("https://cao.dolgi.msk.ru/account/1080208948/", 1080208948)</f>
        <v>1080208948</v>
      </c>
      <c r="D18080" t="s">
        <v>15344</v>
      </c>
      <c r="E18080">
        <v>-4054.29</v>
      </c>
      <c r="F18080">
        <v>-1.1399999999999999</v>
      </c>
      <c r="G18080" t="s">
        <v>12</v>
      </c>
      <c r="I18080" t="s">
        <v>1428</v>
      </c>
    </row>
    <row r="18081" spans="1:9" hidden="1" x14ac:dyDescent="0.25">
      <c r="A18081" t="s">
        <v>15249</v>
      </c>
      <c r="B18081" t="s">
        <v>538</v>
      </c>
      <c r="C18081" s="2">
        <f>HYPERLINK("https://cao.dolgi.msk.ru/account/1080208964/", 1080208964)</f>
        <v>1080208964</v>
      </c>
      <c r="D18081" t="s">
        <v>15345</v>
      </c>
      <c r="E18081">
        <v>-691.8</v>
      </c>
      <c r="F18081">
        <v>-0.13</v>
      </c>
      <c r="G18081" t="s">
        <v>12</v>
      </c>
      <c r="I18081" t="s">
        <v>1428</v>
      </c>
    </row>
    <row r="18082" spans="1:9" hidden="1" x14ac:dyDescent="0.25">
      <c r="A18082" t="s">
        <v>15249</v>
      </c>
      <c r="B18082" t="s">
        <v>539</v>
      </c>
      <c r="C18082" s="2">
        <f>HYPERLINK("https://cao.dolgi.msk.ru/account/1080208972/", 1080208972)</f>
        <v>1080208972</v>
      </c>
      <c r="D18082" t="s">
        <v>15346</v>
      </c>
      <c r="E18082">
        <v>-439.2</v>
      </c>
      <c r="F18082">
        <v>-0.11</v>
      </c>
      <c r="G18082" t="s">
        <v>12</v>
      </c>
      <c r="I18082" t="s">
        <v>1428</v>
      </c>
    </row>
    <row r="18083" spans="1:9" hidden="1" x14ac:dyDescent="0.25">
      <c r="A18083" t="s">
        <v>15249</v>
      </c>
      <c r="B18083" t="s">
        <v>541</v>
      </c>
      <c r="C18083" s="2">
        <f>HYPERLINK("https://cao.dolgi.msk.ru/account/1080208999/", 1080208999)</f>
        <v>1080208999</v>
      </c>
      <c r="D18083" t="s">
        <v>15347</v>
      </c>
      <c r="E18083">
        <v>-6383.02</v>
      </c>
      <c r="F18083">
        <v>-1.25</v>
      </c>
      <c r="G18083" t="s">
        <v>12</v>
      </c>
      <c r="I18083" t="s">
        <v>1428</v>
      </c>
    </row>
    <row r="18084" spans="1:9" hidden="1" x14ac:dyDescent="0.25">
      <c r="A18084" t="s">
        <v>15249</v>
      </c>
      <c r="B18084" t="s">
        <v>543</v>
      </c>
      <c r="C18084" s="2">
        <f>HYPERLINK("https://cao.dolgi.msk.ru/account/1080209019/", 1080209019)</f>
        <v>1080209019</v>
      </c>
      <c r="D18084" t="s">
        <v>15348</v>
      </c>
      <c r="E18084">
        <v>-7754.61</v>
      </c>
      <c r="F18084">
        <v>-0.75</v>
      </c>
      <c r="G18084" t="s">
        <v>12</v>
      </c>
      <c r="I18084" t="s">
        <v>1428</v>
      </c>
    </row>
    <row r="18085" spans="1:9" hidden="1" x14ac:dyDescent="0.25">
      <c r="A18085" t="s">
        <v>15249</v>
      </c>
      <c r="B18085" t="s">
        <v>545</v>
      </c>
      <c r="C18085" s="2">
        <f>HYPERLINK("https://cao.dolgi.msk.ru/account/1080209027/", 1080209027)</f>
        <v>1080209027</v>
      </c>
      <c r="D18085" t="s">
        <v>15349</v>
      </c>
      <c r="E18085">
        <v>-9401.2800000000007</v>
      </c>
      <c r="F18085">
        <v>-1.18</v>
      </c>
      <c r="G18085" t="s">
        <v>12</v>
      </c>
      <c r="I18085" t="s">
        <v>1428</v>
      </c>
    </row>
    <row r="18086" spans="1:9" hidden="1" x14ac:dyDescent="0.25">
      <c r="A18086" t="s">
        <v>15249</v>
      </c>
      <c r="B18086" t="s">
        <v>546</v>
      </c>
      <c r="C18086" s="2">
        <f>HYPERLINK("https://cao.dolgi.msk.ru/account/1080209035/", 1080209035)</f>
        <v>1080209035</v>
      </c>
      <c r="D18086" t="s">
        <v>15350</v>
      </c>
      <c r="E18086">
        <v>-8041.25</v>
      </c>
      <c r="F18086">
        <v>-1.35</v>
      </c>
      <c r="G18086" t="s">
        <v>12</v>
      </c>
      <c r="I18086" t="s">
        <v>1428</v>
      </c>
    </row>
    <row r="18087" spans="1:9" hidden="1" x14ac:dyDescent="0.25">
      <c r="A18087" t="s">
        <v>15249</v>
      </c>
      <c r="B18087" t="s">
        <v>548</v>
      </c>
      <c r="C18087" s="2">
        <f>HYPERLINK("https://cao.dolgi.msk.ru/account/1080209043/", 1080209043)</f>
        <v>1080209043</v>
      </c>
      <c r="D18087" t="s">
        <v>15351</v>
      </c>
      <c r="E18087">
        <v>-4057.39</v>
      </c>
      <c r="F18087">
        <v>-1.0900000000000001</v>
      </c>
      <c r="G18087" t="s">
        <v>12</v>
      </c>
      <c r="I18087" t="s">
        <v>1428</v>
      </c>
    </row>
    <row r="18088" spans="1:9" hidden="1" x14ac:dyDescent="0.25">
      <c r="A18088" t="s">
        <v>15249</v>
      </c>
      <c r="B18088" t="s">
        <v>727</v>
      </c>
      <c r="C18088" s="2">
        <f>HYPERLINK("https://cao.dolgi.msk.ru/account/1080209051/", 1080209051)</f>
        <v>1080209051</v>
      </c>
      <c r="D18088" t="s">
        <v>15352</v>
      </c>
      <c r="E18088">
        <v>-5595.63</v>
      </c>
      <c r="F18088">
        <v>-1.1499999999999999</v>
      </c>
      <c r="G18088" t="s">
        <v>12</v>
      </c>
      <c r="I18088" t="s">
        <v>1428</v>
      </c>
    </row>
    <row r="18089" spans="1:9" hidden="1" x14ac:dyDescent="0.25">
      <c r="A18089" t="s">
        <v>15249</v>
      </c>
      <c r="B18089" t="s">
        <v>551</v>
      </c>
      <c r="C18089" s="2">
        <f>HYPERLINK("https://cao.dolgi.msk.ru/account/1080209078/", 1080209078)</f>
        <v>1080209078</v>
      </c>
      <c r="D18089" t="s">
        <v>15353</v>
      </c>
      <c r="E18089">
        <v>-7720.89</v>
      </c>
      <c r="F18089">
        <v>-0.94</v>
      </c>
      <c r="G18089" t="s">
        <v>12</v>
      </c>
      <c r="I18089" t="s">
        <v>1428</v>
      </c>
    </row>
    <row r="18090" spans="1:9" hidden="1" x14ac:dyDescent="0.25">
      <c r="A18090" t="s">
        <v>15249</v>
      </c>
      <c r="B18090" t="s">
        <v>730</v>
      </c>
      <c r="C18090" s="2">
        <f>HYPERLINK("https://cao.dolgi.msk.ru/account/1080209086/", 1080209086)</f>
        <v>1080209086</v>
      </c>
      <c r="D18090" t="s">
        <v>15354</v>
      </c>
      <c r="E18090">
        <v>-1107.9000000000001</v>
      </c>
      <c r="F18090">
        <v>-7.0000000000000007E-2</v>
      </c>
      <c r="G18090" t="s">
        <v>12</v>
      </c>
      <c r="I18090" t="s">
        <v>1428</v>
      </c>
    </row>
    <row r="18091" spans="1:9" hidden="1" x14ac:dyDescent="0.25">
      <c r="A18091" t="s">
        <v>15249</v>
      </c>
      <c r="B18091" t="s">
        <v>553</v>
      </c>
      <c r="C18091" s="2">
        <f>HYPERLINK("https://cao.dolgi.msk.ru/account/1080209107/", 1080209107)</f>
        <v>1080209107</v>
      </c>
      <c r="D18091" t="s">
        <v>15355</v>
      </c>
      <c r="E18091">
        <v>-7798.11</v>
      </c>
      <c r="F18091">
        <v>-1.1599999999999999</v>
      </c>
      <c r="G18091" t="s">
        <v>12</v>
      </c>
      <c r="I18091" t="s">
        <v>1428</v>
      </c>
    </row>
    <row r="18092" spans="1:9" hidden="1" x14ac:dyDescent="0.25">
      <c r="A18092" t="s">
        <v>15249</v>
      </c>
      <c r="B18092" t="s">
        <v>555</v>
      </c>
      <c r="C18092" s="2">
        <f>HYPERLINK("https://cao.dolgi.msk.ru/account/1080209123/", 1080209123)</f>
        <v>1080209123</v>
      </c>
      <c r="D18092" t="s">
        <v>15356</v>
      </c>
      <c r="E18092">
        <v>-7532.57</v>
      </c>
      <c r="F18092">
        <v>-1.1000000000000001</v>
      </c>
      <c r="G18092" t="s">
        <v>12</v>
      </c>
      <c r="I18092" t="s">
        <v>1428</v>
      </c>
    </row>
    <row r="18093" spans="1:9" hidden="1" x14ac:dyDescent="0.25">
      <c r="A18093" t="s">
        <v>15249</v>
      </c>
      <c r="B18093" t="s">
        <v>736</v>
      </c>
      <c r="C18093" s="2">
        <f>HYPERLINK("https://cao.dolgi.msk.ru/account/1080209131/", 1080209131)</f>
        <v>1080209131</v>
      </c>
      <c r="D18093" t="s">
        <v>15357</v>
      </c>
      <c r="E18093">
        <v>-2075.7399999999998</v>
      </c>
      <c r="F18093">
        <v>-0.33</v>
      </c>
      <c r="G18093" t="s">
        <v>12</v>
      </c>
      <c r="I18093" t="s">
        <v>1428</v>
      </c>
    </row>
    <row r="18094" spans="1:9" hidden="1" x14ac:dyDescent="0.25">
      <c r="A18094" t="s">
        <v>15249</v>
      </c>
      <c r="B18094" t="s">
        <v>738</v>
      </c>
      <c r="C18094" s="2">
        <f>HYPERLINK("https://cao.dolgi.msk.ru/account/1080209158/", 1080209158)</f>
        <v>1080209158</v>
      </c>
      <c r="D18094" t="s">
        <v>15358</v>
      </c>
      <c r="E18094">
        <v>-2954.26</v>
      </c>
      <c r="F18094">
        <v>-1.1499999999999999</v>
      </c>
      <c r="G18094" t="s">
        <v>12</v>
      </c>
      <c r="I18094" t="s">
        <v>1428</v>
      </c>
    </row>
    <row r="18095" spans="1:9" hidden="1" x14ac:dyDescent="0.25">
      <c r="A18095" t="s">
        <v>15249</v>
      </c>
      <c r="B18095" t="s">
        <v>738</v>
      </c>
      <c r="C18095" s="2">
        <f>HYPERLINK("https://cao.dolgi.msk.ru/account/1083283847/", 1083283847)</f>
        <v>1083283847</v>
      </c>
      <c r="D18095" t="s">
        <v>15</v>
      </c>
      <c r="E18095">
        <v>-1463.03</v>
      </c>
      <c r="F18095">
        <v>-1.32</v>
      </c>
      <c r="G18095" t="s">
        <v>12</v>
      </c>
      <c r="I18095" t="s">
        <v>1428</v>
      </c>
    </row>
    <row r="18096" spans="1:9" hidden="1" x14ac:dyDescent="0.25">
      <c r="A18096" t="s">
        <v>15249</v>
      </c>
      <c r="B18096" t="s">
        <v>740</v>
      </c>
      <c r="C18096" s="2">
        <f>HYPERLINK("https://cao.dolgi.msk.ru/account/1080209166/", 1080209166)</f>
        <v>1080209166</v>
      </c>
      <c r="D18096" t="s">
        <v>15359</v>
      </c>
      <c r="E18096">
        <v>-7147.09</v>
      </c>
      <c r="F18096">
        <v>-1.72</v>
      </c>
      <c r="G18096" t="s">
        <v>12</v>
      </c>
      <c r="I18096" t="s">
        <v>1428</v>
      </c>
    </row>
    <row r="18097" spans="1:9" hidden="1" x14ac:dyDescent="0.25">
      <c r="A18097" t="s">
        <v>15249</v>
      </c>
      <c r="B18097" t="s">
        <v>742</v>
      </c>
      <c r="C18097" s="2">
        <f>HYPERLINK("https://cao.dolgi.msk.ru/account/1080209174/", 1080209174)</f>
        <v>1080209174</v>
      </c>
      <c r="D18097" t="s">
        <v>15360</v>
      </c>
      <c r="E18097">
        <v>-5870.03</v>
      </c>
      <c r="F18097">
        <v>-1.1299999999999999</v>
      </c>
      <c r="G18097" t="s">
        <v>12</v>
      </c>
      <c r="I18097" t="s">
        <v>1428</v>
      </c>
    </row>
    <row r="18098" spans="1:9" hidden="1" x14ac:dyDescent="0.25">
      <c r="A18098" t="s">
        <v>15249</v>
      </c>
      <c r="B18098" t="s">
        <v>557</v>
      </c>
      <c r="C18098" s="2">
        <f>HYPERLINK("https://cao.dolgi.msk.ru/account/1080209182/", 1080209182)</f>
        <v>1080209182</v>
      </c>
      <c r="D18098" t="s">
        <v>15361</v>
      </c>
      <c r="E18098">
        <v>-2935</v>
      </c>
      <c r="F18098">
        <v>-1.1200000000000001</v>
      </c>
      <c r="G18098" t="s">
        <v>12</v>
      </c>
      <c r="I18098" t="s">
        <v>1428</v>
      </c>
    </row>
    <row r="18099" spans="1:9" hidden="1" x14ac:dyDescent="0.25">
      <c r="A18099" t="s">
        <v>15249</v>
      </c>
      <c r="B18099" t="s">
        <v>557</v>
      </c>
      <c r="C18099" s="2">
        <f>HYPERLINK("https://cao.dolgi.msk.ru/account/1089130817/", 1089130817)</f>
        <v>1089130817</v>
      </c>
      <c r="D18099" t="s">
        <v>15362</v>
      </c>
      <c r="E18099">
        <v>-4062.89</v>
      </c>
      <c r="F18099">
        <v>-1.17</v>
      </c>
      <c r="G18099" t="s">
        <v>12</v>
      </c>
      <c r="I18099" t="s">
        <v>1428</v>
      </c>
    </row>
    <row r="18100" spans="1:9" hidden="1" x14ac:dyDescent="0.25">
      <c r="A18100" t="s">
        <v>15249</v>
      </c>
      <c r="B18100" t="s">
        <v>558</v>
      </c>
      <c r="C18100" s="2">
        <f>HYPERLINK("https://cao.dolgi.msk.ru/account/1080209203/", 1080209203)</f>
        <v>1080209203</v>
      </c>
      <c r="D18100" t="s">
        <v>15363</v>
      </c>
      <c r="E18100">
        <v>-4310.3900000000003</v>
      </c>
      <c r="F18100">
        <v>-1.1599999999999999</v>
      </c>
      <c r="G18100" t="s">
        <v>12</v>
      </c>
      <c r="I18100" t="s">
        <v>1428</v>
      </c>
    </row>
    <row r="18101" spans="1:9" hidden="1" x14ac:dyDescent="0.25">
      <c r="A18101" t="s">
        <v>15249</v>
      </c>
      <c r="B18101" t="s">
        <v>746</v>
      </c>
      <c r="C18101" s="2">
        <f>HYPERLINK("https://cao.dolgi.msk.ru/account/1080209211/", 1080209211)</f>
        <v>1080209211</v>
      </c>
      <c r="D18101" t="s">
        <v>15364</v>
      </c>
      <c r="E18101">
        <v>-5994.3</v>
      </c>
      <c r="F18101">
        <v>-0.64</v>
      </c>
      <c r="G18101" t="s">
        <v>12</v>
      </c>
      <c r="I18101" t="s">
        <v>1428</v>
      </c>
    </row>
    <row r="18102" spans="1:9" hidden="1" x14ac:dyDescent="0.25">
      <c r="A18102" t="s">
        <v>15249</v>
      </c>
      <c r="B18102" t="s">
        <v>748</v>
      </c>
      <c r="C18102" s="2">
        <f>HYPERLINK("https://cao.dolgi.msk.ru/account/1080209238/", 1080209238)</f>
        <v>1080209238</v>
      </c>
      <c r="D18102" t="s">
        <v>15365</v>
      </c>
      <c r="E18102">
        <v>-8086.33</v>
      </c>
      <c r="F18102">
        <v>-1.3</v>
      </c>
      <c r="G18102" t="s">
        <v>12</v>
      </c>
      <c r="I18102" t="s">
        <v>1428</v>
      </c>
    </row>
    <row r="18103" spans="1:9" hidden="1" x14ac:dyDescent="0.25">
      <c r="A18103" t="s">
        <v>15249</v>
      </c>
      <c r="B18103" t="s">
        <v>750</v>
      </c>
      <c r="C18103" s="2">
        <f>HYPERLINK("https://cao.dolgi.msk.ru/account/1080209246/", 1080209246)</f>
        <v>1080209246</v>
      </c>
      <c r="D18103" t="s">
        <v>15366</v>
      </c>
      <c r="E18103">
        <v>-6908.37</v>
      </c>
      <c r="F18103">
        <v>-1.06</v>
      </c>
      <c r="G18103" t="s">
        <v>12</v>
      </c>
      <c r="I18103" t="s">
        <v>1428</v>
      </c>
    </row>
    <row r="18104" spans="1:9" hidden="1" x14ac:dyDescent="0.25">
      <c r="A18104" t="s">
        <v>15249</v>
      </c>
      <c r="B18104" t="s">
        <v>752</v>
      </c>
      <c r="C18104" s="2">
        <f>HYPERLINK("https://cao.dolgi.msk.ru/account/1080209254/", 1080209254)</f>
        <v>1080209254</v>
      </c>
      <c r="D18104" t="s">
        <v>15367</v>
      </c>
      <c r="E18104">
        <v>0</v>
      </c>
      <c r="F18104">
        <v>0</v>
      </c>
      <c r="G18104" t="s">
        <v>12</v>
      </c>
      <c r="I18104" t="s">
        <v>1428</v>
      </c>
    </row>
    <row r="18105" spans="1:9" hidden="1" x14ac:dyDescent="0.25">
      <c r="A18105" t="s">
        <v>15249</v>
      </c>
      <c r="B18105" t="s">
        <v>754</v>
      </c>
      <c r="C18105" s="2">
        <f>HYPERLINK("https://cao.dolgi.msk.ru/account/1080209262/", 1080209262)</f>
        <v>1080209262</v>
      </c>
      <c r="D18105" t="s">
        <v>15368</v>
      </c>
      <c r="E18105">
        <v>-5701.41</v>
      </c>
      <c r="F18105">
        <v>-1.45</v>
      </c>
      <c r="G18105" t="s">
        <v>12</v>
      </c>
      <c r="I18105" t="s">
        <v>1428</v>
      </c>
    </row>
    <row r="18106" spans="1:9" hidden="1" x14ac:dyDescent="0.25">
      <c r="A18106" t="s">
        <v>15249</v>
      </c>
      <c r="B18106" t="s">
        <v>756</v>
      </c>
      <c r="C18106" s="2">
        <f>HYPERLINK("https://cao.dolgi.msk.ru/account/1080209289/", 1080209289)</f>
        <v>1080209289</v>
      </c>
      <c r="D18106" t="s">
        <v>15369</v>
      </c>
      <c r="E18106">
        <v>-10487.84</v>
      </c>
      <c r="F18106">
        <v>-1.3</v>
      </c>
      <c r="G18106" t="s">
        <v>12</v>
      </c>
      <c r="I18106" t="s">
        <v>1428</v>
      </c>
    </row>
    <row r="18107" spans="1:9" hidden="1" x14ac:dyDescent="0.25">
      <c r="A18107" t="s">
        <v>15249</v>
      </c>
      <c r="B18107" t="s">
        <v>758</v>
      </c>
      <c r="C18107" s="2">
        <f>HYPERLINK("https://cao.dolgi.msk.ru/account/1080209297/", 1080209297)</f>
        <v>1080209297</v>
      </c>
      <c r="D18107" t="s">
        <v>15370</v>
      </c>
      <c r="E18107">
        <v>-6679.36</v>
      </c>
      <c r="F18107">
        <v>-1.18</v>
      </c>
      <c r="G18107" t="s">
        <v>12</v>
      </c>
      <c r="I18107" t="s">
        <v>1428</v>
      </c>
    </row>
    <row r="18108" spans="1:9" hidden="1" x14ac:dyDescent="0.25">
      <c r="A18108" t="s">
        <v>15249</v>
      </c>
      <c r="B18108" t="s">
        <v>760</v>
      </c>
      <c r="C18108" s="2">
        <f>HYPERLINK("https://cao.dolgi.msk.ru/account/1080209318/", 1080209318)</f>
        <v>1080209318</v>
      </c>
      <c r="D18108" t="s">
        <v>15371</v>
      </c>
      <c r="E18108">
        <v>-97.08</v>
      </c>
      <c r="F18108">
        <v>-0.02</v>
      </c>
      <c r="G18108" t="s">
        <v>12</v>
      </c>
      <c r="I18108" t="s">
        <v>1428</v>
      </c>
    </row>
    <row r="18109" spans="1:9" hidden="1" x14ac:dyDescent="0.25">
      <c r="A18109" t="s">
        <v>15249</v>
      </c>
      <c r="B18109" t="s">
        <v>762</v>
      </c>
      <c r="C18109" s="2">
        <f>HYPERLINK("https://cao.dolgi.msk.ru/account/1080209326/", 1080209326)</f>
        <v>1080209326</v>
      </c>
      <c r="D18109" t="s">
        <v>15372</v>
      </c>
      <c r="E18109">
        <v>-139.66999999999999</v>
      </c>
      <c r="F18109">
        <v>-0.02</v>
      </c>
      <c r="G18109" t="s">
        <v>12</v>
      </c>
      <c r="I18109" t="s">
        <v>1428</v>
      </c>
    </row>
    <row r="18110" spans="1:9" hidden="1" x14ac:dyDescent="0.25">
      <c r="A18110" t="s">
        <v>15249</v>
      </c>
      <c r="B18110" t="s">
        <v>764</v>
      </c>
      <c r="C18110" s="2">
        <f>HYPERLINK("https://cao.dolgi.msk.ru/account/1080209334/", 1080209334)</f>
        <v>1080209334</v>
      </c>
      <c r="D18110" t="s">
        <v>15373</v>
      </c>
      <c r="E18110">
        <v>-3264.37</v>
      </c>
      <c r="F18110">
        <v>-1.04</v>
      </c>
      <c r="G18110" t="s">
        <v>12</v>
      </c>
      <c r="I18110" t="s">
        <v>1428</v>
      </c>
    </row>
    <row r="18111" spans="1:9" hidden="1" x14ac:dyDescent="0.25">
      <c r="A18111" t="s">
        <v>15249</v>
      </c>
      <c r="B18111" t="s">
        <v>764</v>
      </c>
      <c r="C18111" s="2">
        <f>HYPERLINK("https://cao.dolgi.msk.ru/account/1089134607/", 1089134607)</f>
        <v>1089134607</v>
      </c>
      <c r="D18111" t="s">
        <v>15</v>
      </c>
      <c r="E18111">
        <v>-4193.67</v>
      </c>
      <c r="F18111">
        <v>-1.1100000000000001</v>
      </c>
      <c r="G18111" t="s">
        <v>12</v>
      </c>
      <c r="I18111" t="s">
        <v>1428</v>
      </c>
    </row>
    <row r="18112" spans="1:9" hidden="1" x14ac:dyDescent="0.25">
      <c r="A18112" t="s">
        <v>15249</v>
      </c>
      <c r="B18112" t="s">
        <v>766</v>
      </c>
      <c r="C18112" s="2">
        <f>HYPERLINK("https://cao.dolgi.msk.ru/account/1080209342/", 1080209342)</f>
        <v>1080209342</v>
      </c>
      <c r="D18112" t="s">
        <v>15374</v>
      </c>
      <c r="E18112">
        <v>-12339.6</v>
      </c>
      <c r="F18112">
        <v>-1.1100000000000001</v>
      </c>
      <c r="G18112" t="s">
        <v>12</v>
      </c>
      <c r="I18112" t="s">
        <v>1428</v>
      </c>
    </row>
    <row r="18113" spans="1:9" hidden="1" x14ac:dyDescent="0.25">
      <c r="A18113" t="s">
        <v>15249</v>
      </c>
      <c r="B18113" t="s">
        <v>768</v>
      </c>
      <c r="C18113" s="2">
        <f>HYPERLINK("https://cao.dolgi.msk.ru/account/1080209369/", 1080209369)</f>
        <v>1080209369</v>
      </c>
      <c r="D18113" t="s">
        <v>15375</v>
      </c>
      <c r="E18113">
        <v>0</v>
      </c>
      <c r="F18113">
        <v>0</v>
      </c>
      <c r="G18113" t="s">
        <v>12</v>
      </c>
      <c r="I18113" t="s">
        <v>1428</v>
      </c>
    </row>
    <row r="18114" spans="1:9" hidden="1" x14ac:dyDescent="0.25">
      <c r="A18114" t="s">
        <v>15249</v>
      </c>
      <c r="B18114" t="s">
        <v>770</v>
      </c>
      <c r="C18114" s="2">
        <f>HYPERLINK("https://cao.dolgi.msk.ru/account/1080209377/", 1080209377)</f>
        <v>1080209377</v>
      </c>
      <c r="D18114" t="s">
        <v>15376</v>
      </c>
      <c r="E18114">
        <v>-4282.84</v>
      </c>
      <c r="F18114">
        <v>-0.72</v>
      </c>
      <c r="G18114" t="s">
        <v>12</v>
      </c>
      <c r="I18114" t="s">
        <v>1428</v>
      </c>
    </row>
    <row r="18115" spans="1:9" hidden="1" x14ac:dyDescent="0.25">
      <c r="A18115" t="s">
        <v>15249</v>
      </c>
      <c r="B18115" t="s">
        <v>772</v>
      </c>
      <c r="C18115" s="2">
        <f>HYPERLINK("https://cao.dolgi.msk.ru/account/1080209385/", 1080209385)</f>
        <v>1080209385</v>
      </c>
      <c r="D18115" t="s">
        <v>15377</v>
      </c>
      <c r="E18115">
        <v>-7697.86</v>
      </c>
      <c r="F18115">
        <v>-1.31</v>
      </c>
      <c r="G18115" t="s">
        <v>12</v>
      </c>
      <c r="I18115" t="s">
        <v>1428</v>
      </c>
    </row>
    <row r="18116" spans="1:9" hidden="1" x14ac:dyDescent="0.25">
      <c r="A18116" t="s">
        <v>15249</v>
      </c>
      <c r="B18116" t="s">
        <v>774</v>
      </c>
      <c r="C18116" s="2">
        <f>HYPERLINK("https://cao.dolgi.msk.ru/account/1080209393/", 1080209393)</f>
        <v>1080209393</v>
      </c>
      <c r="D18116" t="s">
        <v>15378</v>
      </c>
      <c r="E18116">
        <v>-7740.13</v>
      </c>
      <c r="F18116">
        <v>-1.1399999999999999</v>
      </c>
      <c r="G18116" t="s">
        <v>12</v>
      </c>
      <c r="I18116" t="s">
        <v>1428</v>
      </c>
    </row>
    <row r="18117" spans="1:9" hidden="1" x14ac:dyDescent="0.25">
      <c r="A18117" t="s">
        <v>15249</v>
      </c>
      <c r="B18117" t="s">
        <v>776</v>
      </c>
      <c r="C18117" s="2">
        <f>HYPERLINK("https://cao.dolgi.msk.ru/account/1080209406/", 1080209406)</f>
        <v>1080209406</v>
      </c>
      <c r="D18117" t="s">
        <v>13488</v>
      </c>
      <c r="E18117">
        <v>-5483.43</v>
      </c>
      <c r="F18117">
        <v>-0.92</v>
      </c>
      <c r="G18117" t="s">
        <v>12</v>
      </c>
      <c r="I18117" t="s">
        <v>1428</v>
      </c>
    </row>
    <row r="18118" spans="1:9" hidden="1" x14ac:dyDescent="0.25">
      <c r="A18118" t="s">
        <v>15249</v>
      </c>
      <c r="B18118" t="s">
        <v>778</v>
      </c>
      <c r="C18118" s="2">
        <f>HYPERLINK("https://cao.dolgi.msk.ru/account/1080209414/", 1080209414)</f>
        <v>1080209414</v>
      </c>
      <c r="D18118" t="s">
        <v>15379</v>
      </c>
      <c r="E18118">
        <v>-238.19</v>
      </c>
      <c r="F18118">
        <v>-0.04</v>
      </c>
      <c r="G18118" t="s">
        <v>12</v>
      </c>
      <c r="I18118" t="s">
        <v>1428</v>
      </c>
    </row>
    <row r="18119" spans="1:9" hidden="1" x14ac:dyDescent="0.25">
      <c r="A18119" t="s">
        <v>15249</v>
      </c>
      <c r="B18119" t="s">
        <v>780</v>
      </c>
      <c r="C18119" s="2">
        <f>HYPERLINK("https://cao.dolgi.msk.ru/account/1080209422/", 1080209422)</f>
        <v>1080209422</v>
      </c>
      <c r="D18119" t="s">
        <v>15380</v>
      </c>
      <c r="E18119">
        <v>-6349.02</v>
      </c>
      <c r="F18119">
        <v>-1.21</v>
      </c>
      <c r="G18119" t="s">
        <v>12</v>
      </c>
      <c r="I18119" t="s">
        <v>1428</v>
      </c>
    </row>
    <row r="18120" spans="1:9" hidden="1" x14ac:dyDescent="0.25">
      <c r="A18120" t="s">
        <v>15249</v>
      </c>
      <c r="B18120" t="s">
        <v>781</v>
      </c>
      <c r="C18120" s="2">
        <f>HYPERLINK("https://cao.dolgi.msk.ru/account/1080209449/", 1080209449)</f>
        <v>1080209449</v>
      </c>
      <c r="D18120" t="s">
        <v>15381</v>
      </c>
      <c r="E18120">
        <v>-12161.98</v>
      </c>
      <c r="F18120">
        <v>-1.29</v>
      </c>
      <c r="G18120" t="s">
        <v>12</v>
      </c>
      <c r="I18120" t="s">
        <v>1428</v>
      </c>
    </row>
    <row r="18121" spans="1:9" hidden="1" x14ac:dyDescent="0.25">
      <c r="A18121" t="s">
        <v>15249</v>
      </c>
      <c r="B18121" t="s">
        <v>782</v>
      </c>
      <c r="C18121" s="2">
        <f>HYPERLINK("https://cao.dolgi.msk.ru/account/1080209457/", 1080209457)</f>
        <v>1080209457</v>
      </c>
      <c r="D18121" t="s">
        <v>15382</v>
      </c>
      <c r="E18121">
        <v>-4593.74</v>
      </c>
      <c r="F18121">
        <v>-0.61</v>
      </c>
      <c r="G18121" t="s">
        <v>12</v>
      </c>
      <c r="I18121" t="s">
        <v>1428</v>
      </c>
    </row>
    <row r="18122" spans="1:9" hidden="1" x14ac:dyDescent="0.25">
      <c r="A18122" t="s">
        <v>15249</v>
      </c>
      <c r="B18122" t="s">
        <v>784</v>
      </c>
      <c r="C18122" s="2">
        <f>HYPERLINK("https://cao.dolgi.msk.ru/account/1080209465/", 1080209465)</f>
        <v>1080209465</v>
      </c>
      <c r="D18122" t="s">
        <v>15383</v>
      </c>
      <c r="E18122">
        <v>2.39</v>
      </c>
      <c r="F18122">
        <v>0</v>
      </c>
      <c r="G18122" t="s">
        <v>12</v>
      </c>
      <c r="I18122" t="s">
        <v>1428</v>
      </c>
    </row>
    <row r="18123" spans="1:9" hidden="1" x14ac:dyDescent="0.25">
      <c r="A18123" t="s">
        <v>15249</v>
      </c>
      <c r="B18123" t="s">
        <v>788</v>
      </c>
      <c r="C18123" s="2">
        <f>HYPERLINK("https://cao.dolgi.msk.ru/account/1080209481/", 1080209481)</f>
        <v>1080209481</v>
      </c>
      <c r="D18123" t="s">
        <v>15384</v>
      </c>
      <c r="E18123">
        <v>-10255.14</v>
      </c>
      <c r="F18123">
        <v>-1.43</v>
      </c>
      <c r="G18123" t="s">
        <v>12</v>
      </c>
      <c r="I18123" t="s">
        <v>1428</v>
      </c>
    </row>
    <row r="18124" spans="1:9" hidden="1" x14ac:dyDescent="0.25">
      <c r="A18124" t="s">
        <v>15249</v>
      </c>
      <c r="B18124" t="s">
        <v>789</v>
      </c>
      <c r="C18124" s="2">
        <f>HYPERLINK("https://cao.dolgi.msk.ru/account/1080209502/", 1080209502)</f>
        <v>1080209502</v>
      </c>
      <c r="D18124" t="s">
        <v>15385</v>
      </c>
      <c r="E18124">
        <v>-7157.11</v>
      </c>
      <c r="F18124">
        <v>-1.47</v>
      </c>
      <c r="G18124" t="s">
        <v>12</v>
      </c>
      <c r="I18124" t="s">
        <v>1428</v>
      </c>
    </row>
    <row r="18125" spans="1:9" hidden="1" x14ac:dyDescent="0.25">
      <c r="A18125" t="s">
        <v>15249</v>
      </c>
      <c r="B18125" t="s">
        <v>790</v>
      </c>
      <c r="C18125" s="2">
        <f>HYPERLINK("https://cao.dolgi.msk.ru/account/1080209529/", 1080209529)</f>
        <v>1080209529</v>
      </c>
      <c r="D18125" t="s">
        <v>15386</v>
      </c>
      <c r="E18125">
        <v>-15828.66</v>
      </c>
      <c r="F18125">
        <v>-1.65</v>
      </c>
      <c r="G18125" t="s">
        <v>12</v>
      </c>
      <c r="I18125" t="s">
        <v>1428</v>
      </c>
    </row>
    <row r="18126" spans="1:9" hidden="1" x14ac:dyDescent="0.25">
      <c r="A18126" t="s">
        <v>15249</v>
      </c>
      <c r="B18126" t="s">
        <v>792</v>
      </c>
      <c r="C18126" s="2">
        <f>HYPERLINK("https://cao.dolgi.msk.ru/account/1080209537/", 1080209537)</f>
        <v>1080209537</v>
      </c>
      <c r="D18126" t="s">
        <v>15387</v>
      </c>
      <c r="E18126">
        <v>-17084.63</v>
      </c>
      <c r="F18126">
        <v>-2.4700000000000002</v>
      </c>
      <c r="G18126" t="s">
        <v>12</v>
      </c>
      <c r="I18126" t="s">
        <v>1428</v>
      </c>
    </row>
    <row r="18127" spans="1:9" hidden="1" x14ac:dyDescent="0.25">
      <c r="A18127" t="s">
        <v>15249</v>
      </c>
      <c r="B18127" t="s">
        <v>794</v>
      </c>
      <c r="C18127" s="2">
        <f>HYPERLINK("https://cao.dolgi.msk.ru/account/1080209545/", 1080209545)</f>
        <v>1080209545</v>
      </c>
      <c r="D18127" t="s">
        <v>15388</v>
      </c>
      <c r="E18127">
        <v>-758.49</v>
      </c>
      <c r="F18127">
        <v>-0.18</v>
      </c>
      <c r="G18127" t="s">
        <v>12</v>
      </c>
      <c r="I18127" t="s">
        <v>1428</v>
      </c>
    </row>
    <row r="18128" spans="1:9" hidden="1" x14ac:dyDescent="0.25">
      <c r="A18128" t="s">
        <v>15249</v>
      </c>
      <c r="B18128" t="s">
        <v>796</v>
      </c>
      <c r="C18128" s="2">
        <f>HYPERLINK("https://cao.dolgi.msk.ru/account/1080209553/", 1080209553)</f>
        <v>1080209553</v>
      </c>
      <c r="D18128" t="s">
        <v>15389</v>
      </c>
      <c r="E18128">
        <v>-5206.5</v>
      </c>
      <c r="F18128">
        <v>-1.08</v>
      </c>
      <c r="G18128" t="s">
        <v>12</v>
      </c>
      <c r="H18128" t="s">
        <v>7</v>
      </c>
      <c r="I18128" t="s">
        <v>1428</v>
      </c>
    </row>
    <row r="18129" spans="1:9" hidden="1" x14ac:dyDescent="0.25">
      <c r="A18129" t="s">
        <v>15249</v>
      </c>
      <c r="B18129" t="s">
        <v>796</v>
      </c>
      <c r="C18129" s="2">
        <f>HYPERLINK("https://cao.dolgi.msk.ru/account/1080209561/", 1080209561)</f>
        <v>1080209561</v>
      </c>
      <c r="D18129" t="s">
        <v>15</v>
      </c>
      <c r="E18129">
        <v>-5095.68</v>
      </c>
      <c r="F18129">
        <v>-2.1</v>
      </c>
      <c r="G18129" t="s">
        <v>12</v>
      </c>
      <c r="H18129" t="s">
        <v>7</v>
      </c>
      <c r="I18129" t="s">
        <v>1428</v>
      </c>
    </row>
    <row r="18130" spans="1:9" hidden="1" x14ac:dyDescent="0.25">
      <c r="A18130" t="s">
        <v>15249</v>
      </c>
      <c r="B18130" t="s">
        <v>798</v>
      </c>
      <c r="C18130" s="2">
        <f>HYPERLINK("https://cao.dolgi.msk.ru/account/1080209588/", 1080209588)</f>
        <v>1080209588</v>
      </c>
      <c r="D18130" t="s">
        <v>15390</v>
      </c>
      <c r="E18130">
        <v>-5865.46</v>
      </c>
      <c r="F18130">
        <v>-0.96</v>
      </c>
      <c r="G18130" t="s">
        <v>12</v>
      </c>
      <c r="I18130" t="s">
        <v>1428</v>
      </c>
    </row>
    <row r="18131" spans="1:9" hidden="1" x14ac:dyDescent="0.25">
      <c r="A18131" t="s">
        <v>15249</v>
      </c>
      <c r="B18131" t="s">
        <v>800</v>
      </c>
      <c r="C18131" s="2">
        <f>HYPERLINK("https://cao.dolgi.msk.ru/account/1080209596/", 1080209596)</f>
        <v>1080209596</v>
      </c>
      <c r="D18131" t="s">
        <v>15391</v>
      </c>
      <c r="E18131">
        <v>-7199.59</v>
      </c>
      <c r="F18131">
        <v>-0.82</v>
      </c>
      <c r="G18131" t="s">
        <v>12</v>
      </c>
      <c r="I18131" t="s">
        <v>1428</v>
      </c>
    </row>
    <row r="18132" spans="1:9" hidden="1" x14ac:dyDescent="0.25">
      <c r="A18132" t="s">
        <v>15249</v>
      </c>
      <c r="B18132" t="s">
        <v>802</v>
      </c>
      <c r="C18132" s="2">
        <f>HYPERLINK("https://cao.dolgi.msk.ru/account/1080209609/", 1080209609)</f>
        <v>1080209609</v>
      </c>
      <c r="D18132" t="s">
        <v>15</v>
      </c>
      <c r="E18132">
        <v>-1946.79</v>
      </c>
      <c r="F18132">
        <v>-0.2</v>
      </c>
      <c r="G18132" t="s">
        <v>12</v>
      </c>
      <c r="I18132" t="s">
        <v>1428</v>
      </c>
    </row>
    <row r="18133" spans="1:9" hidden="1" x14ac:dyDescent="0.25">
      <c r="A18133" t="s">
        <v>15249</v>
      </c>
      <c r="B18133" t="s">
        <v>804</v>
      </c>
      <c r="C18133" s="2">
        <f>HYPERLINK("https://cao.dolgi.msk.ru/account/1080209617/", 1080209617)</f>
        <v>1080209617</v>
      </c>
      <c r="D18133" t="s">
        <v>15392</v>
      </c>
      <c r="E18133">
        <v>-7809.27</v>
      </c>
      <c r="F18133">
        <v>-1.1499999999999999</v>
      </c>
      <c r="G18133" t="s">
        <v>12</v>
      </c>
      <c r="I18133" t="s">
        <v>1428</v>
      </c>
    </row>
    <row r="18134" spans="1:9" hidden="1" x14ac:dyDescent="0.25">
      <c r="A18134" t="s">
        <v>15249</v>
      </c>
      <c r="B18134" t="s">
        <v>806</v>
      </c>
      <c r="C18134" s="2">
        <f>HYPERLINK("https://cao.dolgi.msk.ru/account/1080209625/", 1080209625)</f>
        <v>1080209625</v>
      </c>
      <c r="D18134" t="s">
        <v>15393</v>
      </c>
      <c r="E18134">
        <v>-3853.23</v>
      </c>
      <c r="F18134">
        <v>-1.08</v>
      </c>
      <c r="G18134" t="s">
        <v>12</v>
      </c>
      <c r="I18134" t="s">
        <v>1428</v>
      </c>
    </row>
    <row r="18135" spans="1:9" hidden="1" x14ac:dyDescent="0.25">
      <c r="A18135" t="s">
        <v>15249</v>
      </c>
      <c r="B18135" t="s">
        <v>808</v>
      </c>
      <c r="C18135" s="2">
        <f>HYPERLINK("https://cao.dolgi.msk.ru/account/1080209633/", 1080209633)</f>
        <v>1080209633</v>
      </c>
      <c r="D18135" t="s">
        <v>15</v>
      </c>
      <c r="E18135">
        <v>-71.98</v>
      </c>
      <c r="F18135">
        <v>-0.01</v>
      </c>
      <c r="G18135" t="s">
        <v>12</v>
      </c>
      <c r="I18135" t="s">
        <v>1428</v>
      </c>
    </row>
    <row r="18136" spans="1:9" hidden="1" x14ac:dyDescent="0.25">
      <c r="A18136" t="s">
        <v>15249</v>
      </c>
      <c r="B18136" t="s">
        <v>810</v>
      </c>
      <c r="C18136" s="2">
        <f>HYPERLINK("https://cao.dolgi.msk.ru/account/1080209668/", 1080209668)</f>
        <v>1080209668</v>
      </c>
      <c r="D18136" t="s">
        <v>15394</v>
      </c>
      <c r="E18136">
        <v>4468.22</v>
      </c>
      <c r="F18136">
        <v>0.48</v>
      </c>
      <c r="G18136" t="s">
        <v>12</v>
      </c>
      <c r="I18136" t="s">
        <v>1428</v>
      </c>
    </row>
    <row r="18137" spans="1:9" hidden="1" x14ac:dyDescent="0.25">
      <c r="A18137" t="s">
        <v>15249</v>
      </c>
      <c r="B18137" t="s">
        <v>812</v>
      </c>
      <c r="C18137" s="2">
        <f>HYPERLINK("https://cao.dolgi.msk.ru/account/1080209641/", 1080209641)</f>
        <v>1080209641</v>
      </c>
      <c r="D18137" t="s">
        <v>15395</v>
      </c>
      <c r="E18137">
        <v>-2382.16</v>
      </c>
      <c r="F18137">
        <v>-0.77</v>
      </c>
      <c r="G18137" t="s">
        <v>12</v>
      </c>
      <c r="I18137" t="s">
        <v>1428</v>
      </c>
    </row>
    <row r="18138" spans="1:9" x14ac:dyDescent="0.25">
      <c r="A18138" t="s">
        <v>15249</v>
      </c>
      <c r="B18138" t="s">
        <v>812</v>
      </c>
      <c r="C18138" s="2">
        <f>HYPERLINK("https://cao.dolgi.msk.ru/account/1089124599/", 1089124599)</f>
        <v>1089124599</v>
      </c>
      <c r="D18138" t="s">
        <v>15395</v>
      </c>
      <c r="E18138">
        <v>277260.64</v>
      </c>
      <c r="F18138">
        <v>54.5</v>
      </c>
      <c r="G18138" t="s">
        <v>12</v>
      </c>
      <c r="I18138" t="s">
        <v>1428</v>
      </c>
    </row>
    <row r="18139" spans="1:9" hidden="1" x14ac:dyDescent="0.25">
      <c r="A18139" t="s">
        <v>15249</v>
      </c>
      <c r="B18139" t="s">
        <v>814</v>
      </c>
      <c r="C18139" s="2">
        <f>HYPERLINK("https://cao.dolgi.msk.ru/account/1080209676/", 1080209676)</f>
        <v>1080209676</v>
      </c>
      <c r="D18139" t="s">
        <v>15396</v>
      </c>
      <c r="E18139">
        <v>-6970.59</v>
      </c>
      <c r="F18139">
        <v>-1.1499999999999999</v>
      </c>
      <c r="G18139" t="s">
        <v>12</v>
      </c>
      <c r="I18139" t="s">
        <v>1428</v>
      </c>
    </row>
    <row r="18140" spans="1:9" hidden="1" x14ac:dyDescent="0.25">
      <c r="A18140" t="s">
        <v>15249</v>
      </c>
      <c r="B18140" t="s">
        <v>816</v>
      </c>
      <c r="C18140" s="2">
        <f>HYPERLINK("https://cao.dolgi.msk.ru/account/1080209684/", 1080209684)</f>
        <v>1080209684</v>
      </c>
      <c r="D18140" t="s">
        <v>15397</v>
      </c>
      <c r="E18140">
        <v>31.2</v>
      </c>
      <c r="F18140">
        <v>0</v>
      </c>
      <c r="G18140" t="s">
        <v>12</v>
      </c>
      <c r="I18140" t="s">
        <v>1428</v>
      </c>
    </row>
    <row r="18141" spans="1:9" hidden="1" x14ac:dyDescent="0.25">
      <c r="A18141" t="s">
        <v>15249</v>
      </c>
      <c r="B18141" t="s">
        <v>818</v>
      </c>
      <c r="C18141" s="2">
        <f>HYPERLINK("https://cao.dolgi.msk.ru/account/1080209692/", 1080209692)</f>
        <v>1080209692</v>
      </c>
      <c r="D18141" t="s">
        <v>15398</v>
      </c>
      <c r="E18141">
        <v>-9154.06</v>
      </c>
      <c r="F18141">
        <v>-0.96</v>
      </c>
      <c r="G18141" t="s">
        <v>12</v>
      </c>
      <c r="I18141" t="s">
        <v>1428</v>
      </c>
    </row>
    <row r="18142" spans="1:9" hidden="1" x14ac:dyDescent="0.25">
      <c r="A18142" t="s">
        <v>15249</v>
      </c>
      <c r="B18142" t="s">
        <v>820</v>
      </c>
      <c r="C18142" s="2">
        <f>HYPERLINK("https://cao.dolgi.msk.ru/account/1080209705/", 1080209705)</f>
        <v>1080209705</v>
      </c>
      <c r="D18142" t="s">
        <v>15399</v>
      </c>
      <c r="E18142">
        <v>-7278.68</v>
      </c>
      <c r="F18142">
        <v>-1.1299999999999999</v>
      </c>
      <c r="G18142" t="s">
        <v>12</v>
      </c>
      <c r="I18142" t="s">
        <v>1428</v>
      </c>
    </row>
    <row r="18143" spans="1:9" hidden="1" x14ac:dyDescent="0.25">
      <c r="A18143" t="s">
        <v>15249</v>
      </c>
      <c r="B18143" t="s">
        <v>822</v>
      </c>
      <c r="C18143" s="2">
        <f>HYPERLINK("https://cao.dolgi.msk.ru/account/1080209713/", 1080209713)</f>
        <v>1080209713</v>
      </c>
      <c r="D18143" t="s">
        <v>15400</v>
      </c>
      <c r="E18143">
        <v>45.96</v>
      </c>
      <c r="F18143">
        <v>0.01</v>
      </c>
      <c r="G18143" t="s">
        <v>12</v>
      </c>
      <c r="I18143" t="s">
        <v>1428</v>
      </c>
    </row>
    <row r="18144" spans="1:9" hidden="1" x14ac:dyDescent="0.25">
      <c r="A18144" t="s">
        <v>15249</v>
      </c>
      <c r="B18144" t="s">
        <v>824</v>
      </c>
      <c r="C18144" s="2">
        <f>HYPERLINK("https://cao.dolgi.msk.ru/account/1080209721/", 1080209721)</f>
        <v>1080209721</v>
      </c>
      <c r="D18144" t="s">
        <v>15401</v>
      </c>
      <c r="E18144">
        <v>-226.79</v>
      </c>
      <c r="F18144">
        <v>-0.04</v>
      </c>
      <c r="G18144" t="s">
        <v>12</v>
      </c>
      <c r="I18144" t="s">
        <v>1428</v>
      </c>
    </row>
    <row r="18145" spans="1:9" hidden="1" x14ac:dyDescent="0.25">
      <c r="A18145" t="s">
        <v>15249</v>
      </c>
      <c r="B18145" t="s">
        <v>826</v>
      </c>
      <c r="C18145" s="2">
        <f>HYPERLINK("https://cao.dolgi.msk.ru/account/1080209748/", 1080209748)</f>
        <v>1080209748</v>
      </c>
      <c r="D18145" t="s">
        <v>15402</v>
      </c>
      <c r="E18145">
        <v>-11724.86</v>
      </c>
      <c r="F18145">
        <v>-1.1399999999999999</v>
      </c>
      <c r="G18145" t="s">
        <v>12</v>
      </c>
      <c r="I18145" t="s">
        <v>1428</v>
      </c>
    </row>
    <row r="18146" spans="1:9" hidden="1" x14ac:dyDescent="0.25">
      <c r="A18146" t="s">
        <v>15249</v>
      </c>
      <c r="B18146" t="s">
        <v>828</v>
      </c>
      <c r="C18146" s="2">
        <f>HYPERLINK("https://cao.dolgi.msk.ru/account/1080209756/", 1080209756)</f>
        <v>1080209756</v>
      </c>
      <c r="D18146" t="s">
        <v>15403</v>
      </c>
      <c r="E18146">
        <v>-205.06</v>
      </c>
      <c r="F18146">
        <v>-0.03</v>
      </c>
      <c r="G18146" t="s">
        <v>12</v>
      </c>
      <c r="I18146" t="s">
        <v>1428</v>
      </c>
    </row>
    <row r="18147" spans="1:9" hidden="1" x14ac:dyDescent="0.25">
      <c r="A18147" t="s">
        <v>15249</v>
      </c>
      <c r="B18147" t="s">
        <v>830</v>
      </c>
      <c r="C18147" s="2">
        <f>HYPERLINK("https://cao.dolgi.msk.ru/account/1080209764/", 1080209764)</f>
        <v>1080209764</v>
      </c>
      <c r="D18147" t="s">
        <v>15404</v>
      </c>
      <c r="E18147">
        <v>0</v>
      </c>
      <c r="F18147">
        <v>0</v>
      </c>
      <c r="G18147" t="s">
        <v>12</v>
      </c>
      <c r="I18147" t="s">
        <v>1428</v>
      </c>
    </row>
    <row r="18148" spans="1:9" hidden="1" x14ac:dyDescent="0.25">
      <c r="A18148" t="s">
        <v>15249</v>
      </c>
      <c r="B18148" t="s">
        <v>831</v>
      </c>
      <c r="C18148" s="2">
        <f>HYPERLINK("https://cao.dolgi.msk.ru/account/1080209908/", 1080209908)</f>
        <v>1080209908</v>
      </c>
      <c r="D18148" t="s">
        <v>15405</v>
      </c>
      <c r="E18148">
        <v>7628.38</v>
      </c>
      <c r="F18148">
        <v>0.97</v>
      </c>
      <c r="G18148" t="s">
        <v>12</v>
      </c>
      <c r="I18148" t="s">
        <v>1428</v>
      </c>
    </row>
    <row r="18149" spans="1:9" hidden="1" x14ac:dyDescent="0.25">
      <c r="A18149" t="s">
        <v>15249</v>
      </c>
      <c r="B18149" t="s">
        <v>833</v>
      </c>
      <c r="C18149" s="2">
        <f>HYPERLINK("https://cao.dolgi.msk.ru/account/1080209772/", 1080209772)</f>
        <v>1080209772</v>
      </c>
      <c r="D18149" t="s">
        <v>15406</v>
      </c>
      <c r="E18149">
        <v>7950.4</v>
      </c>
      <c r="F18149">
        <v>0.55000000000000004</v>
      </c>
      <c r="G18149" t="s">
        <v>12</v>
      </c>
      <c r="I18149" t="s">
        <v>1428</v>
      </c>
    </row>
    <row r="18150" spans="1:9" hidden="1" x14ac:dyDescent="0.25">
      <c r="A18150" t="s">
        <v>15249</v>
      </c>
      <c r="B18150" t="s">
        <v>835</v>
      </c>
      <c r="C18150" s="2">
        <f>HYPERLINK("https://cao.dolgi.msk.ru/account/1080209799/", 1080209799)</f>
        <v>1080209799</v>
      </c>
      <c r="D18150" t="s">
        <v>15407</v>
      </c>
      <c r="E18150">
        <v>-7350.64</v>
      </c>
      <c r="F18150">
        <v>-1.31</v>
      </c>
      <c r="G18150" t="s">
        <v>12</v>
      </c>
      <c r="I18150" t="s">
        <v>1428</v>
      </c>
    </row>
    <row r="18151" spans="1:9" hidden="1" x14ac:dyDescent="0.25">
      <c r="A18151" t="s">
        <v>15249</v>
      </c>
      <c r="B18151" t="s">
        <v>837</v>
      </c>
      <c r="C18151" s="2">
        <f>HYPERLINK("https://cao.dolgi.msk.ru/account/1080209801/", 1080209801)</f>
        <v>1080209801</v>
      </c>
      <c r="D18151" t="s">
        <v>15408</v>
      </c>
      <c r="E18151">
        <v>-771.74</v>
      </c>
      <c r="F18151">
        <v>-0.15</v>
      </c>
      <c r="G18151" t="s">
        <v>12</v>
      </c>
      <c r="I18151" t="s">
        <v>1428</v>
      </c>
    </row>
    <row r="18152" spans="1:9" hidden="1" x14ac:dyDescent="0.25">
      <c r="A18152" t="s">
        <v>15249</v>
      </c>
      <c r="B18152" t="s">
        <v>838</v>
      </c>
      <c r="C18152" s="2">
        <f>HYPERLINK("https://cao.dolgi.msk.ru/account/1080209828/", 1080209828)</f>
        <v>1080209828</v>
      </c>
      <c r="D18152" t="s">
        <v>15409</v>
      </c>
      <c r="E18152">
        <v>-9654.09</v>
      </c>
      <c r="F18152">
        <v>-1.18</v>
      </c>
      <c r="G18152" t="s">
        <v>12</v>
      </c>
      <c r="I18152" t="s">
        <v>1428</v>
      </c>
    </row>
    <row r="18153" spans="1:9" hidden="1" x14ac:dyDescent="0.25">
      <c r="A18153" t="s">
        <v>15249</v>
      </c>
      <c r="B18153" t="s">
        <v>840</v>
      </c>
      <c r="C18153" s="2">
        <f>HYPERLINK("https://cao.dolgi.msk.ru/account/1080209836/", 1080209836)</f>
        <v>1080209836</v>
      </c>
      <c r="D18153" t="s">
        <v>15410</v>
      </c>
      <c r="E18153">
        <v>-5629.96</v>
      </c>
      <c r="F18153">
        <v>-1.0900000000000001</v>
      </c>
      <c r="G18153" t="s">
        <v>12</v>
      </c>
      <c r="I18153" t="s">
        <v>1428</v>
      </c>
    </row>
    <row r="18154" spans="1:9" hidden="1" x14ac:dyDescent="0.25">
      <c r="A18154" t="s">
        <v>15249</v>
      </c>
      <c r="B18154" t="s">
        <v>842</v>
      </c>
      <c r="C18154" s="2">
        <f>HYPERLINK("https://cao.dolgi.msk.ru/account/1080209844/", 1080209844)</f>
        <v>1080209844</v>
      </c>
      <c r="D18154" t="s">
        <v>15411</v>
      </c>
      <c r="E18154">
        <v>-12668.87</v>
      </c>
      <c r="F18154">
        <v>-2.08</v>
      </c>
      <c r="G18154" t="s">
        <v>12</v>
      </c>
      <c r="I18154" t="s">
        <v>1428</v>
      </c>
    </row>
    <row r="18155" spans="1:9" hidden="1" x14ac:dyDescent="0.25">
      <c r="A18155" t="s">
        <v>15249</v>
      </c>
      <c r="B18155" t="s">
        <v>842</v>
      </c>
      <c r="C18155" s="2">
        <f>HYPERLINK("https://cao.dolgi.msk.ru/account/1080209852/", 1080209852)</f>
        <v>1080209852</v>
      </c>
      <c r="D18155" t="s">
        <v>15412</v>
      </c>
      <c r="E18155">
        <v>0</v>
      </c>
      <c r="G18155" t="s">
        <v>14</v>
      </c>
      <c r="I18155" t="s">
        <v>1428</v>
      </c>
    </row>
    <row r="18156" spans="1:9" hidden="1" x14ac:dyDescent="0.25">
      <c r="A18156" t="s">
        <v>15249</v>
      </c>
      <c r="B18156" t="s">
        <v>15413</v>
      </c>
      <c r="C18156" s="2">
        <f>HYPERLINK("https://cao.dolgi.msk.ru/account/1080209879/", 1080209879)</f>
        <v>1080209879</v>
      </c>
      <c r="D18156" t="s">
        <v>15414</v>
      </c>
      <c r="E18156">
        <v>-17006.87</v>
      </c>
      <c r="F18156">
        <v>-0.98</v>
      </c>
      <c r="G18156" t="s">
        <v>12</v>
      </c>
      <c r="I18156" t="s">
        <v>1428</v>
      </c>
    </row>
    <row r="18157" spans="1:9" hidden="1" x14ac:dyDescent="0.25">
      <c r="A18157" t="s">
        <v>15249</v>
      </c>
      <c r="B18157" t="s">
        <v>848</v>
      </c>
      <c r="C18157" s="2">
        <f>HYPERLINK("https://cao.dolgi.msk.ru/account/1080209887/", 1080209887)</f>
        <v>1080209887</v>
      </c>
      <c r="D18157" t="s">
        <v>15415</v>
      </c>
      <c r="E18157">
        <v>0</v>
      </c>
      <c r="F18157">
        <v>0</v>
      </c>
      <c r="G18157" t="s">
        <v>12</v>
      </c>
      <c r="I18157" t="s">
        <v>1428</v>
      </c>
    </row>
    <row r="18158" spans="1:9" hidden="1" x14ac:dyDescent="0.25">
      <c r="A18158" t="s">
        <v>15249</v>
      </c>
      <c r="B18158" t="s">
        <v>850</v>
      </c>
      <c r="C18158" s="2">
        <f>HYPERLINK("https://cao.dolgi.msk.ru/account/1080209895/", 1080209895)</f>
        <v>1080209895</v>
      </c>
      <c r="D18158" t="s">
        <v>15416</v>
      </c>
      <c r="E18158">
        <v>-9584.2999999999993</v>
      </c>
      <c r="F18158">
        <v>-1.1200000000000001</v>
      </c>
      <c r="G18158" t="s">
        <v>12</v>
      </c>
      <c r="I18158" t="s">
        <v>1428</v>
      </c>
    </row>
    <row r="18159" spans="1:9" hidden="1" x14ac:dyDescent="0.25">
      <c r="A18159" t="s">
        <v>15249</v>
      </c>
      <c r="B18159" t="s">
        <v>854</v>
      </c>
      <c r="C18159" s="2">
        <f>HYPERLINK("https://cao.dolgi.msk.ru/account/1080209916/", 1080209916)</f>
        <v>1080209916</v>
      </c>
      <c r="D18159" t="s">
        <v>15</v>
      </c>
      <c r="E18159">
        <v>-42265.34</v>
      </c>
      <c r="G18159" t="s">
        <v>14</v>
      </c>
      <c r="I18159" t="s">
        <v>1428</v>
      </c>
    </row>
    <row r="18160" spans="1:9" hidden="1" x14ac:dyDescent="0.25">
      <c r="A18160" t="s">
        <v>15249</v>
      </c>
      <c r="B18160" t="s">
        <v>856</v>
      </c>
      <c r="C18160" s="2">
        <f>HYPERLINK("https://cao.dolgi.msk.ru/account/1089122278/", 1089122278)</f>
        <v>1089122278</v>
      </c>
      <c r="D18160" t="s">
        <v>15</v>
      </c>
      <c r="E18160">
        <v>0</v>
      </c>
      <c r="G18160" t="s">
        <v>14</v>
      </c>
      <c r="I18160" t="s">
        <v>1428</v>
      </c>
    </row>
    <row r="18161" spans="1:9" hidden="1" x14ac:dyDescent="0.25">
      <c r="A18161" t="s">
        <v>15417</v>
      </c>
      <c r="B18161" t="s">
        <v>10</v>
      </c>
      <c r="C18161" s="2">
        <f>HYPERLINK("https://cao.dolgi.msk.ru/account/1080209924/", 1080209924)</f>
        <v>1080209924</v>
      </c>
      <c r="D18161" t="s">
        <v>15418</v>
      </c>
      <c r="E18161">
        <v>-9530.14</v>
      </c>
      <c r="F18161">
        <v>-0.95</v>
      </c>
      <c r="G18161" t="s">
        <v>12</v>
      </c>
      <c r="I18161" t="s">
        <v>1428</v>
      </c>
    </row>
    <row r="18162" spans="1:9" hidden="1" x14ac:dyDescent="0.25">
      <c r="A18162" t="s">
        <v>15417</v>
      </c>
      <c r="B18162" t="s">
        <v>16</v>
      </c>
      <c r="C18162" s="2">
        <f>HYPERLINK("https://cao.dolgi.msk.ru/account/1080209932/", 1080209932)</f>
        <v>1080209932</v>
      </c>
      <c r="D18162" t="s">
        <v>15419</v>
      </c>
      <c r="E18162">
        <v>-5003.78</v>
      </c>
      <c r="F18162">
        <v>-0.8</v>
      </c>
      <c r="G18162" t="s">
        <v>12</v>
      </c>
      <c r="I18162" t="s">
        <v>1428</v>
      </c>
    </row>
    <row r="18163" spans="1:9" hidden="1" x14ac:dyDescent="0.25">
      <c r="A18163" t="s">
        <v>15417</v>
      </c>
      <c r="B18163" t="s">
        <v>18</v>
      </c>
      <c r="C18163" s="2">
        <f>HYPERLINK("https://cao.dolgi.msk.ru/account/1080209959/", 1080209959)</f>
        <v>1080209959</v>
      </c>
      <c r="D18163" t="s">
        <v>15420</v>
      </c>
      <c r="E18163">
        <v>-5227.0200000000004</v>
      </c>
      <c r="F18163">
        <v>-1.1200000000000001</v>
      </c>
      <c r="G18163" t="s">
        <v>12</v>
      </c>
      <c r="I18163" t="s">
        <v>1428</v>
      </c>
    </row>
    <row r="18164" spans="1:9" hidden="1" x14ac:dyDescent="0.25">
      <c r="A18164" t="s">
        <v>15417</v>
      </c>
      <c r="B18164" t="s">
        <v>20</v>
      </c>
      <c r="C18164" s="2">
        <f>HYPERLINK("https://cao.dolgi.msk.ru/account/1080209967/", 1080209967)</f>
        <v>1080209967</v>
      </c>
      <c r="D18164" t="s">
        <v>15421</v>
      </c>
      <c r="E18164">
        <v>-5252.7</v>
      </c>
      <c r="F18164">
        <v>-1.1200000000000001</v>
      </c>
      <c r="G18164" t="s">
        <v>12</v>
      </c>
      <c r="I18164" t="s">
        <v>1428</v>
      </c>
    </row>
    <row r="18165" spans="1:9" hidden="1" x14ac:dyDescent="0.25">
      <c r="A18165" t="s">
        <v>15417</v>
      </c>
      <c r="B18165" t="s">
        <v>21</v>
      </c>
      <c r="C18165" s="2">
        <f>HYPERLINK("https://cao.dolgi.msk.ru/account/1080209975/", 1080209975)</f>
        <v>1080209975</v>
      </c>
      <c r="D18165" t="s">
        <v>15422</v>
      </c>
      <c r="E18165">
        <v>-7100.84</v>
      </c>
      <c r="F18165">
        <v>-1.1200000000000001</v>
      </c>
      <c r="G18165" t="s">
        <v>12</v>
      </c>
      <c r="I18165" t="s">
        <v>1428</v>
      </c>
    </row>
    <row r="18166" spans="1:9" hidden="1" x14ac:dyDescent="0.25">
      <c r="A18166" t="s">
        <v>15417</v>
      </c>
      <c r="B18166" t="s">
        <v>22</v>
      </c>
      <c r="C18166" s="2">
        <f>HYPERLINK("https://cao.dolgi.msk.ru/account/1080209983/", 1080209983)</f>
        <v>1080209983</v>
      </c>
      <c r="D18166" t="s">
        <v>15423</v>
      </c>
      <c r="E18166">
        <v>-75.73</v>
      </c>
      <c r="F18166">
        <v>-0.01</v>
      </c>
      <c r="G18166" t="s">
        <v>12</v>
      </c>
      <c r="I18166" t="s">
        <v>1428</v>
      </c>
    </row>
    <row r="18167" spans="1:9" hidden="1" x14ac:dyDescent="0.25">
      <c r="A18167" t="s">
        <v>15417</v>
      </c>
      <c r="B18167" t="s">
        <v>23</v>
      </c>
      <c r="C18167" s="2">
        <f>HYPERLINK("https://cao.dolgi.msk.ru/account/1080209991/", 1080209991)</f>
        <v>1080209991</v>
      </c>
      <c r="D18167" t="s">
        <v>15424</v>
      </c>
      <c r="E18167">
        <v>-5220.3900000000003</v>
      </c>
      <c r="F18167">
        <v>-0.91</v>
      </c>
      <c r="G18167" t="s">
        <v>12</v>
      </c>
      <c r="I18167" t="s">
        <v>1428</v>
      </c>
    </row>
    <row r="18168" spans="1:9" hidden="1" x14ac:dyDescent="0.25">
      <c r="A18168" t="s">
        <v>15417</v>
      </c>
      <c r="B18168" t="s">
        <v>24</v>
      </c>
      <c r="C18168" s="2">
        <f>HYPERLINK("https://cao.dolgi.msk.ru/account/1080210001/", 1080210001)</f>
        <v>1080210001</v>
      </c>
      <c r="D18168" t="s">
        <v>15425</v>
      </c>
      <c r="E18168">
        <v>-9588.77</v>
      </c>
      <c r="F18168">
        <v>-1.08</v>
      </c>
      <c r="G18168" t="s">
        <v>12</v>
      </c>
      <c r="I18168" t="s">
        <v>1428</v>
      </c>
    </row>
    <row r="18169" spans="1:9" hidden="1" x14ac:dyDescent="0.25">
      <c r="A18169" t="s">
        <v>15417</v>
      </c>
      <c r="B18169" t="s">
        <v>27</v>
      </c>
      <c r="C18169" s="2">
        <f>HYPERLINK("https://cao.dolgi.msk.ru/account/1080210028/", 1080210028)</f>
        <v>1080210028</v>
      </c>
      <c r="D18169" t="s">
        <v>15426</v>
      </c>
      <c r="E18169">
        <v>-9576.6299999999992</v>
      </c>
      <c r="F18169">
        <v>-1.07</v>
      </c>
      <c r="G18169" t="s">
        <v>12</v>
      </c>
      <c r="I18169" t="s">
        <v>1428</v>
      </c>
    </row>
    <row r="18170" spans="1:9" hidden="1" x14ac:dyDescent="0.25">
      <c r="A18170" t="s">
        <v>15417</v>
      </c>
      <c r="B18170" t="s">
        <v>27</v>
      </c>
      <c r="C18170" s="2">
        <f>HYPERLINK("https://cao.dolgi.msk.ru/account/1080210036/", 1080210036)</f>
        <v>1080210036</v>
      </c>
      <c r="D18170" t="s">
        <v>15</v>
      </c>
      <c r="G18170" t="s">
        <v>14</v>
      </c>
      <c r="I18170" t="s">
        <v>1428</v>
      </c>
    </row>
    <row r="18171" spans="1:9" hidden="1" x14ac:dyDescent="0.25">
      <c r="A18171" t="s">
        <v>15417</v>
      </c>
      <c r="B18171" t="s">
        <v>27</v>
      </c>
      <c r="C18171" s="2">
        <f>HYPERLINK("https://cao.dolgi.msk.ru/account/1080210044/", 1080210044)</f>
        <v>1080210044</v>
      </c>
      <c r="D18171" t="s">
        <v>15</v>
      </c>
      <c r="E18171">
        <v>0</v>
      </c>
      <c r="G18171" t="s">
        <v>14</v>
      </c>
      <c r="I18171" t="s">
        <v>1428</v>
      </c>
    </row>
    <row r="18172" spans="1:9" hidden="1" x14ac:dyDescent="0.25">
      <c r="A18172" t="s">
        <v>15417</v>
      </c>
      <c r="B18172" t="s">
        <v>29</v>
      </c>
      <c r="C18172" s="2">
        <f>HYPERLINK("https://cao.dolgi.msk.ru/account/1080210052/", 1080210052)</f>
        <v>1080210052</v>
      </c>
      <c r="D18172" t="s">
        <v>15427</v>
      </c>
      <c r="E18172">
        <v>-5855.07</v>
      </c>
      <c r="F18172">
        <v>-1.1599999999999999</v>
      </c>
      <c r="G18172" t="s">
        <v>12</v>
      </c>
      <c r="I18172" t="s">
        <v>1428</v>
      </c>
    </row>
    <row r="18173" spans="1:9" hidden="1" x14ac:dyDescent="0.25">
      <c r="A18173" t="s">
        <v>15417</v>
      </c>
      <c r="B18173" t="s">
        <v>31</v>
      </c>
      <c r="C18173" s="2">
        <f>HYPERLINK("https://cao.dolgi.msk.ru/account/1080210079/", 1080210079)</f>
        <v>1080210079</v>
      </c>
      <c r="D18173" t="s">
        <v>15428</v>
      </c>
      <c r="E18173">
        <v>-3183.59</v>
      </c>
      <c r="F18173">
        <v>-0.41</v>
      </c>
      <c r="G18173" t="s">
        <v>12</v>
      </c>
      <c r="I18173" t="s">
        <v>1428</v>
      </c>
    </row>
    <row r="18174" spans="1:9" hidden="1" x14ac:dyDescent="0.25">
      <c r="A18174" t="s">
        <v>15417</v>
      </c>
      <c r="B18174" t="s">
        <v>33</v>
      </c>
      <c r="C18174" s="2">
        <f>HYPERLINK("https://cao.dolgi.msk.ru/account/1080210087/", 1080210087)</f>
        <v>1080210087</v>
      </c>
      <c r="D18174" t="s">
        <v>15429</v>
      </c>
      <c r="E18174">
        <v>-6659.34</v>
      </c>
      <c r="F18174">
        <v>-1.1299999999999999</v>
      </c>
      <c r="G18174" t="s">
        <v>12</v>
      </c>
      <c r="I18174" t="s">
        <v>1428</v>
      </c>
    </row>
    <row r="18175" spans="1:9" hidden="1" x14ac:dyDescent="0.25">
      <c r="A18175" t="s">
        <v>15417</v>
      </c>
      <c r="B18175" t="s">
        <v>34</v>
      </c>
      <c r="C18175" s="2">
        <f>HYPERLINK("https://cao.dolgi.msk.ru/account/1080210108/", 1080210108)</f>
        <v>1080210108</v>
      </c>
      <c r="D18175" t="s">
        <v>15430</v>
      </c>
      <c r="E18175">
        <v>-7102.48</v>
      </c>
      <c r="F18175">
        <v>-1.21</v>
      </c>
      <c r="G18175" t="s">
        <v>12</v>
      </c>
      <c r="I18175" t="s">
        <v>1428</v>
      </c>
    </row>
    <row r="18176" spans="1:9" hidden="1" x14ac:dyDescent="0.25">
      <c r="A18176" t="s">
        <v>15417</v>
      </c>
      <c r="B18176" t="s">
        <v>36</v>
      </c>
      <c r="C18176" s="2">
        <f>HYPERLINK("https://cao.dolgi.msk.ru/account/1080210116/", 1080210116)</f>
        <v>1080210116</v>
      </c>
      <c r="D18176" t="s">
        <v>15431</v>
      </c>
      <c r="E18176">
        <v>-4318.09</v>
      </c>
      <c r="F18176">
        <v>-1.1299999999999999</v>
      </c>
      <c r="G18176" t="s">
        <v>12</v>
      </c>
      <c r="I18176" t="s">
        <v>1428</v>
      </c>
    </row>
    <row r="18177" spans="1:9" hidden="1" x14ac:dyDescent="0.25">
      <c r="A18177" t="s">
        <v>15417</v>
      </c>
      <c r="B18177" t="s">
        <v>38</v>
      </c>
      <c r="C18177" s="2">
        <f>HYPERLINK("https://cao.dolgi.msk.ru/account/1080210124/", 1080210124)</f>
        <v>1080210124</v>
      </c>
      <c r="D18177" t="s">
        <v>15432</v>
      </c>
      <c r="E18177">
        <v>-8595.07</v>
      </c>
      <c r="F18177">
        <v>-1.0900000000000001</v>
      </c>
      <c r="G18177" t="s">
        <v>12</v>
      </c>
      <c r="I18177" t="s">
        <v>1428</v>
      </c>
    </row>
    <row r="18178" spans="1:9" hidden="1" x14ac:dyDescent="0.25">
      <c r="A18178" t="s">
        <v>15417</v>
      </c>
      <c r="B18178" t="s">
        <v>39</v>
      </c>
      <c r="C18178" s="2">
        <f>HYPERLINK("https://cao.dolgi.msk.ru/account/1080210132/", 1080210132)</f>
        <v>1080210132</v>
      </c>
      <c r="D18178" t="s">
        <v>15433</v>
      </c>
      <c r="E18178">
        <v>-9761.35</v>
      </c>
      <c r="F18178">
        <v>-1.01</v>
      </c>
      <c r="G18178" t="s">
        <v>12</v>
      </c>
      <c r="I18178" t="s">
        <v>1428</v>
      </c>
    </row>
    <row r="18179" spans="1:9" hidden="1" x14ac:dyDescent="0.25">
      <c r="A18179" t="s">
        <v>15417</v>
      </c>
      <c r="B18179" t="s">
        <v>40</v>
      </c>
      <c r="C18179" s="2">
        <f>HYPERLINK("https://cao.dolgi.msk.ru/account/1080210159/", 1080210159)</f>
        <v>1080210159</v>
      </c>
      <c r="D18179" t="s">
        <v>15434</v>
      </c>
      <c r="E18179">
        <v>-58.2</v>
      </c>
      <c r="F18179">
        <v>-0.01</v>
      </c>
      <c r="G18179" t="s">
        <v>12</v>
      </c>
      <c r="I18179" t="s">
        <v>1428</v>
      </c>
    </row>
    <row r="18180" spans="1:9" hidden="1" x14ac:dyDescent="0.25">
      <c r="A18180" t="s">
        <v>15417</v>
      </c>
      <c r="B18180" t="s">
        <v>41</v>
      </c>
      <c r="C18180" s="2">
        <f>HYPERLINK("https://cao.dolgi.msk.ru/account/1080210167/", 1080210167)</f>
        <v>1080210167</v>
      </c>
      <c r="D18180" t="s">
        <v>15435</v>
      </c>
      <c r="E18180">
        <v>-215.22</v>
      </c>
      <c r="F18180">
        <v>-0.03</v>
      </c>
      <c r="G18180" t="s">
        <v>12</v>
      </c>
      <c r="I18180" t="s">
        <v>1428</v>
      </c>
    </row>
    <row r="18181" spans="1:9" hidden="1" x14ac:dyDescent="0.25">
      <c r="A18181" t="s">
        <v>15417</v>
      </c>
      <c r="B18181" t="s">
        <v>42</v>
      </c>
      <c r="C18181" s="2">
        <f>HYPERLINK("https://cao.dolgi.msk.ru/account/1080210175/", 1080210175)</f>
        <v>1080210175</v>
      </c>
      <c r="D18181" t="s">
        <v>15436</v>
      </c>
      <c r="E18181">
        <v>-77.599999999999994</v>
      </c>
      <c r="F18181">
        <v>-0.01</v>
      </c>
      <c r="G18181" t="s">
        <v>12</v>
      </c>
      <c r="I18181" t="s">
        <v>1428</v>
      </c>
    </row>
    <row r="18182" spans="1:9" hidden="1" x14ac:dyDescent="0.25">
      <c r="A18182" t="s">
        <v>15417</v>
      </c>
      <c r="B18182" t="s">
        <v>44</v>
      </c>
      <c r="C18182" s="2">
        <f>HYPERLINK("https://cao.dolgi.msk.ru/account/1080210183/", 1080210183)</f>
        <v>1080210183</v>
      </c>
      <c r="D18182" t="s">
        <v>15437</v>
      </c>
      <c r="E18182">
        <v>-8004.47</v>
      </c>
      <c r="F18182">
        <v>-1.17</v>
      </c>
      <c r="G18182" t="s">
        <v>12</v>
      </c>
      <c r="I18182" t="s">
        <v>1428</v>
      </c>
    </row>
    <row r="18183" spans="1:9" hidden="1" x14ac:dyDescent="0.25">
      <c r="A18183" t="s">
        <v>15417</v>
      </c>
      <c r="B18183" t="s">
        <v>66</v>
      </c>
      <c r="C18183" s="2">
        <f>HYPERLINK("https://cao.dolgi.msk.ru/account/1080210191/", 1080210191)</f>
        <v>1080210191</v>
      </c>
      <c r="D18183" t="s">
        <v>15438</v>
      </c>
      <c r="E18183">
        <v>-8095.94</v>
      </c>
      <c r="F18183">
        <v>-1.17</v>
      </c>
      <c r="G18183" t="s">
        <v>12</v>
      </c>
      <c r="I18183" t="s">
        <v>1428</v>
      </c>
    </row>
    <row r="18184" spans="1:9" hidden="1" x14ac:dyDescent="0.25">
      <c r="A18184" t="s">
        <v>15417</v>
      </c>
      <c r="B18184" t="s">
        <v>68</v>
      </c>
      <c r="C18184" s="2">
        <f>HYPERLINK("https://cao.dolgi.msk.ru/account/1080210204/", 1080210204)</f>
        <v>1080210204</v>
      </c>
      <c r="D18184" t="s">
        <v>15439</v>
      </c>
      <c r="E18184">
        <v>-6939.03</v>
      </c>
      <c r="F18184">
        <v>-1.1000000000000001</v>
      </c>
      <c r="G18184" t="s">
        <v>12</v>
      </c>
      <c r="I18184" t="s">
        <v>1428</v>
      </c>
    </row>
    <row r="18185" spans="1:9" hidden="1" x14ac:dyDescent="0.25">
      <c r="A18185" t="s">
        <v>15417</v>
      </c>
      <c r="B18185" t="s">
        <v>70</v>
      </c>
      <c r="C18185" s="2">
        <f>HYPERLINK("https://cao.dolgi.msk.ru/account/1080210212/", 1080210212)</f>
        <v>1080210212</v>
      </c>
      <c r="D18185" t="s">
        <v>15440</v>
      </c>
      <c r="E18185">
        <v>-917.23</v>
      </c>
      <c r="F18185">
        <v>-0.2</v>
      </c>
      <c r="G18185" t="s">
        <v>12</v>
      </c>
      <c r="I18185" t="s">
        <v>1428</v>
      </c>
    </row>
    <row r="18186" spans="1:9" hidden="1" x14ac:dyDescent="0.25">
      <c r="A18186" t="s">
        <v>15417</v>
      </c>
      <c r="B18186" t="s">
        <v>72</v>
      </c>
      <c r="C18186" s="2">
        <f>HYPERLINK("https://cao.dolgi.msk.ru/account/1080210095/", 1080210095)</f>
        <v>1080210095</v>
      </c>
      <c r="D18186" t="s">
        <v>15441</v>
      </c>
      <c r="E18186">
        <v>-10513.96</v>
      </c>
      <c r="F18186">
        <v>-1.18</v>
      </c>
      <c r="G18186" t="s">
        <v>12</v>
      </c>
      <c r="I18186" t="s">
        <v>1428</v>
      </c>
    </row>
    <row r="18187" spans="1:9" hidden="1" x14ac:dyDescent="0.25">
      <c r="A18187" t="s">
        <v>15417</v>
      </c>
      <c r="B18187" t="s">
        <v>72</v>
      </c>
      <c r="C18187" s="2">
        <f>HYPERLINK("https://cao.dolgi.msk.ru/account/1080210239/", 1080210239)</f>
        <v>1080210239</v>
      </c>
      <c r="D18187" t="s">
        <v>15</v>
      </c>
      <c r="G18187" t="s">
        <v>14</v>
      </c>
      <c r="I18187" t="s">
        <v>1428</v>
      </c>
    </row>
    <row r="18188" spans="1:9" hidden="1" x14ac:dyDescent="0.25">
      <c r="A18188" t="s">
        <v>15417</v>
      </c>
      <c r="B18188" t="s">
        <v>74</v>
      </c>
      <c r="C18188" s="2">
        <f>HYPERLINK("https://cao.dolgi.msk.ru/account/1080210247/", 1080210247)</f>
        <v>1080210247</v>
      </c>
      <c r="D18188" t="s">
        <v>15442</v>
      </c>
      <c r="E18188">
        <v>-200.86</v>
      </c>
      <c r="F18188">
        <v>-0.03</v>
      </c>
      <c r="G18188" t="s">
        <v>12</v>
      </c>
      <c r="I18188" t="s">
        <v>1428</v>
      </c>
    </row>
    <row r="18189" spans="1:9" hidden="1" x14ac:dyDescent="0.25">
      <c r="A18189" t="s">
        <v>15417</v>
      </c>
      <c r="B18189" t="s">
        <v>76</v>
      </c>
      <c r="C18189" s="2">
        <f>HYPERLINK("https://cao.dolgi.msk.ru/account/1080210255/", 1080210255)</f>
        <v>1080210255</v>
      </c>
      <c r="D18189" t="s">
        <v>15443</v>
      </c>
      <c r="E18189">
        <v>-337.32</v>
      </c>
      <c r="F18189">
        <v>-0.09</v>
      </c>
      <c r="G18189" t="s">
        <v>12</v>
      </c>
      <c r="I18189" t="s">
        <v>1428</v>
      </c>
    </row>
    <row r="18190" spans="1:9" hidden="1" x14ac:dyDescent="0.25">
      <c r="A18190" t="s">
        <v>15417</v>
      </c>
      <c r="B18190" t="s">
        <v>78</v>
      </c>
      <c r="C18190" s="2">
        <f>HYPERLINK("https://cao.dolgi.msk.ru/account/1080210263/", 1080210263)</f>
        <v>1080210263</v>
      </c>
      <c r="D18190" t="s">
        <v>15444</v>
      </c>
      <c r="E18190">
        <v>-7205.11</v>
      </c>
      <c r="F18190">
        <v>-0.92</v>
      </c>
      <c r="G18190" t="s">
        <v>12</v>
      </c>
      <c r="I18190" t="s">
        <v>1428</v>
      </c>
    </row>
    <row r="18191" spans="1:9" hidden="1" x14ac:dyDescent="0.25">
      <c r="A18191" t="s">
        <v>15417</v>
      </c>
      <c r="B18191" t="s">
        <v>80</v>
      </c>
      <c r="C18191" s="2">
        <f>HYPERLINK("https://cao.dolgi.msk.ru/account/1080210271/", 1080210271)</f>
        <v>1080210271</v>
      </c>
      <c r="D18191" t="s">
        <v>15445</v>
      </c>
      <c r="E18191">
        <v>-5612.04</v>
      </c>
      <c r="F18191">
        <v>-1.1000000000000001</v>
      </c>
      <c r="G18191" t="s">
        <v>12</v>
      </c>
      <c r="I18191" t="s">
        <v>1428</v>
      </c>
    </row>
    <row r="18192" spans="1:9" hidden="1" x14ac:dyDescent="0.25">
      <c r="A18192" t="s">
        <v>15417</v>
      </c>
      <c r="B18192" t="s">
        <v>82</v>
      </c>
      <c r="C18192" s="2">
        <f>HYPERLINK("https://cao.dolgi.msk.ru/account/1080210298/", 1080210298)</f>
        <v>1080210298</v>
      </c>
      <c r="D18192" t="s">
        <v>15446</v>
      </c>
      <c r="E18192">
        <v>-7334.73</v>
      </c>
      <c r="F18192">
        <v>-1.1599999999999999</v>
      </c>
      <c r="G18192" t="s">
        <v>12</v>
      </c>
      <c r="I18192" t="s">
        <v>1428</v>
      </c>
    </row>
    <row r="18193" spans="1:9" hidden="1" x14ac:dyDescent="0.25">
      <c r="A18193" t="s">
        <v>15417</v>
      </c>
      <c r="B18193" t="s">
        <v>84</v>
      </c>
      <c r="C18193" s="2">
        <f>HYPERLINK("https://cao.dolgi.msk.ru/account/1080210319/", 1080210319)</f>
        <v>1080210319</v>
      </c>
      <c r="D18193" t="s">
        <v>15447</v>
      </c>
      <c r="E18193">
        <v>-29.56</v>
      </c>
      <c r="F18193">
        <v>-0.01</v>
      </c>
      <c r="G18193" t="s">
        <v>12</v>
      </c>
      <c r="I18193" t="s">
        <v>1428</v>
      </c>
    </row>
    <row r="18194" spans="1:9" hidden="1" x14ac:dyDescent="0.25">
      <c r="A18194" t="s">
        <v>15417</v>
      </c>
      <c r="B18194" t="s">
        <v>86</v>
      </c>
      <c r="C18194" s="2">
        <f>HYPERLINK("https://cao.dolgi.msk.ru/account/1080210327/", 1080210327)</f>
        <v>1080210327</v>
      </c>
      <c r="D18194" t="s">
        <v>15448</v>
      </c>
      <c r="E18194">
        <v>-192.46</v>
      </c>
      <c r="F18194">
        <v>-0.04</v>
      </c>
      <c r="G18194" t="s">
        <v>12</v>
      </c>
      <c r="I18194" t="s">
        <v>1428</v>
      </c>
    </row>
    <row r="18195" spans="1:9" hidden="1" x14ac:dyDescent="0.25">
      <c r="A18195" t="s">
        <v>15417</v>
      </c>
      <c r="B18195" t="s">
        <v>88</v>
      </c>
      <c r="C18195" s="2">
        <f>HYPERLINK("https://cao.dolgi.msk.ru/account/1080210335/", 1080210335)</f>
        <v>1080210335</v>
      </c>
      <c r="D18195" t="s">
        <v>15449</v>
      </c>
      <c r="E18195">
        <v>48.6</v>
      </c>
      <c r="F18195">
        <v>0.01</v>
      </c>
      <c r="G18195" t="s">
        <v>12</v>
      </c>
      <c r="I18195" t="s">
        <v>1428</v>
      </c>
    </row>
    <row r="18196" spans="1:9" hidden="1" x14ac:dyDescent="0.25">
      <c r="A18196" t="s">
        <v>15417</v>
      </c>
      <c r="B18196" t="s">
        <v>90</v>
      </c>
      <c r="C18196" s="2">
        <f>HYPERLINK("https://cao.dolgi.msk.ru/account/1080210343/", 1080210343)</f>
        <v>1080210343</v>
      </c>
      <c r="D18196" t="s">
        <v>15450</v>
      </c>
      <c r="E18196">
        <v>-6792.56</v>
      </c>
      <c r="F18196">
        <v>-1.1399999999999999</v>
      </c>
      <c r="G18196" t="s">
        <v>12</v>
      </c>
      <c r="I18196" t="s">
        <v>1428</v>
      </c>
    </row>
    <row r="18197" spans="1:9" hidden="1" x14ac:dyDescent="0.25">
      <c r="A18197" t="s">
        <v>15417</v>
      </c>
      <c r="B18197" t="s">
        <v>92</v>
      </c>
      <c r="C18197" s="2">
        <f>HYPERLINK("https://cao.dolgi.msk.ru/account/1080211469/", 1080211469)</f>
        <v>1080211469</v>
      </c>
      <c r="D18197" t="s">
        <v>15451</v>
      </c>
      <c r="E18197">
        <v>-6034.78</v>
      </c>
      <c r="F18197">
        <v>-0.93</v>
      </c>
      <c r="G18197" t="s">
        <v>12</v>
      </c>
      <c r="I18197" t="s">
        <v>1428</v>
      </c>
    </row>
    <row r="18198" spans="1:9" hidden="1" x14ac:dyDescent="0.25">
      <c r="A18198" t="s">
        <v>15417</v>
      </c>
      <c r="B18198" t="s">
        <v>94</v>
      </c>
      <c r="C18198" s="2">
        <f>HYPERLINK("https://cao.dolgi.msk.ru/account/1080210351/", 1080210351)</f>
        <v>1080210351</v>
      </c>
      <c r="D18198" t="s">
        <v>15452</v>
      </c>
      <c r="E18198">
        <v>-4415.6000000000004</v>
      </c>
      <c r="F18198">
        <v>-1.27</v>
      </c>
      <c r="G18198" t="s">
        <v>12</v>
      </c>
      <c r="I18198" t="s">
        <v>1428</v>
      </c>
    </row>
    <row r="18199" spans="1:9" hidden="1" x14ac:dyDescent="0.25">
      <c r="A18199" t="s">
        <v>15417</v>
      </c>
      <c r="B18199" t="s">
        <v>96</v>
      </c>
      <c r="C18199" s="2">
        <f>HYPERLINK("https://cao.dolgi.msk.ru/account/1080210378/", 1080210378)</f>
        <v>1080210378</v>
      </c>
      <c r="D18199" t="s">
        <v>15453</v>
      </c>
      <c r="E18199">
        <v>-10487.39</v>
      </c>
      <c r="F18199">
        <v>-1.1299999999999999</v>
      </c>
      <c r="G18199" t="s">
        <v>12</v>
      </c>
      <c r="I18199" t="s">
        <v>1428</v>
      </c>
    </row>
    <row r="18200" spans="1:9" hidden="1" x14ac:dyDescent="0.25">
      <c r="A18200" t="s">
        <v>15417</v>
      </c>
      <c r="B18200" t="s">
        <v>98</v>
      </c>
      <c r="C18200" s="2">
        <f>HYPERLINK("https://cao.dolgi.msk.ru/account/1080210386/", 1080210386)</f>
        <v>1080210386</v>
      </c>
      <c r="D18200" t="s">
        <v>15454</v>
      </c>
      <c r="E18200">
        <v>-8862.49</v>
      </c>
      <c r="F18200">
        <v>-1.1399999999999999</v>
      </c>
      <c r="G18200" t="s">
        <v>12</v>
      </c>
      <c r="I18200" t="s">
        <v>1428</v>
      </c>
    </row>
    <row r="18201" spans="1:9" hidden="1" x14ac:dyDescent="0.25">
      <c r="A18201" t="s">
        <v>15417</v>
      </c>
      <c r="B18201" t="s">
        <v>100</v>
      </c>
      <c r="C18201" s="2">
        <f>HYPERLINK("https://cao.dolgi.msk.ru/account/1080210394/", 1080210394)</f>
        <v>1080210394</v>
      </c>
      <c r="D18201" t="s">
        <v>15455</v>
      </c>
      <c r="E18201">
        <v>-4197.59</v>
      </c>
      <c r="F18201">
        <v>-1.32</v>
      </c>
      <c r="G18201" t="s">
        <v>12</v>
      </c>
      <c r="I18201" t="s">
        <v>1428</v>
      </c>
    </row>
    <row r="18202" spans="1:9" hidden="1" x14ac:dyDescent="0.25">
      <c r="A18202" t="s">
        <v>15417</v>
      </c>
      <c r="B18202" t="s">
        <v>100</v>
      </c>
      <c r="C18202" s="2">
        <f>HYPERLINK("https://cao.dolgi.msk.ru/account/1083269121/", 1083269121)</f>
        <v>1083269121</v>
      </c>
      <c r="D18202" t="s">
        <v>15</v>
      </c>
      <c r="E18202">
        <v>0</v>
      </c>
      <c r="F18202">
        <v>0</v>
      </c>
      <c r="G18202" t="s">
        <v>14</v>
      </c>
      <c r="I18202" t="s">
        <v>1428</v>
      </c>
    </row>
    <row r="18203" spans="1:9" hidden="1" x14ac:dyDescent="0.25">
      <c r="A18203" t="s">
        <v>15417</v>
      </c>
      <c r="B18203" t="s">
        <v>102</v>
      </c>
      <c r="C18203" s="2">
        <f>HYPERLINK("https://cao.dolgi.msk.ru/account/1080210407/", 1080210407)</f>
        <v>1080210407</v>
      </c>
      <c r="D18203" t="s">
        <v>15456</v>
      </c>
      <c r="E18203">
        <v>-6080.24</v>
      </c>
      <c r="F18203">
        <v>-1.21</v>
      </c>
      <c r="G18203" t="s">
        <v>12</v>
      </c>
      <c r="I18203" t="s">
        <v>1428</v>
      </c>
    </row>
    <row r="18204" spans="1:9" hidden="1" x14ac:dyDescent="0.25">
      <c r="A18204" t="s">
        <v>15417</v>
      </c>
      <c r="B18204" t="s">
        <v>104</v>
      </c>
      <c r="C18204" s="2">
        <f>HYPERLINK("https://cao.dolgi.msk.ru/account/1080210415/", 1080210415)</f>
        <v>1080210415</v>
      </c>
      <c r="D18204" t="s">
        <v>15457</v>
      </c>
      <c r="E18204">
        <v>-17491.38</v>
      </c>
      <c r="F18204">
        <v>-1.08</v>
      </c>
      <c r="G18204" t="s">
        <v>12</v>
      </c>
      <c r="I18204" t="s">
        <v>1428</v>
      </c>
    </row>
    <row r="18205" spans="1:9" hidden="1" x14ac:dyDescent="0.25">
      <c r="A18205" t="s">
        <v>15417</v>
      </c>
      <c r="B18205" t="s">
        <v>106</v>
      </c>
      <c r="C18205" s="2">
        <f>HYPERLINK("https://cao.dolgi.msk.ru/account/1080210423/", 1080210423)</f>
        <v>1080210423</v>
      </c>
      <c r="D18205" t="s">
        <v>15458</v>
      </c>
      <c r="E18205">
        <v>-1927.16</v>
      </c>
      <c r="F18205">
        <v>-0.22</v>
      </c>
      <c r="G18205" t="s">
        <v>12</v>
      </c>
      <c r="I18205" t="s">
        <v>1428</v>
      </c>
    </row>
    <row r="18206" spans="1:9" hidden="1" x14ac:dyDescent="0.25">
      <c r="A18206" t="s">
        <v>15417</v>
      </c>
      <c r="B18206" t="s">
        <v>108</v>
      </c>
      <c r="C18206" s="2">
        <f>HYPERLINK("https://cao.dolgi.msk.ru/account/1080210431/", 1080210431)</f>
        <v>1080210431</v>
      </c>
      <c r="D18206" t="s">
        <v>15459</v>
      </c>
      <c r="E18206">
        <v>-7248.15</v>
      </c>
      <c r="F18206">
        <v>-1.04</v>
      </c>
      <c r="G18206" t="s">
        <v>12</v>
      </c>
      <c r="I18206" t="s">
        <v>1428</v>
      </c>
    </row>
    <row r="18207" spans="1:9" hidden="1" x14ac:dyDescent="0.25">
      <c r="A18207" t="s">
        <v>15417</v>
      </c>
      <c r="B18207" t="s">
        <v>110</v>
      </c>
      <c r="C18207" s="2">
        <f>HYPERLINK("https://cao.dolgi.msk.ru/account/1080210458/", 1080210458)</f>
        <v>1080210458</v>
      </c>
      <c r="D18207" t="s">
        <v>15460</v>
      </c>
      <c r="E18207">
        <v>0</v>
      </c>
      <c r="G18207" t="s">
        <v>14</v>
      </c>
      <c r="I18207" t="s">
        <v>1428</v>
      </c>
    </row>
    <row r="18208" spans="1:9" hidden="1" x14ac:dyDescent="0.25">
      <c r="A18208" t="s">
        <v>15417</v>
      </c>
      <c r="B18208" t="s">
        <v>110</v>
      </c>
      <c r="C18208" s="2">
        <f>HYPERLINK("https://cao.dolgi.msk.ru/account/1083270624/", 1083270624)</f>
        <v>1083270624</v>
      </c>
      <c r="D18208" t="s">
        <v>15</v>
      </c>
      <c r="E18208">
        <v>-6039.56</v>
      </c>
      <c r="F18208">
        <v>-1.1499999999999999</v>
      </c>
      <c r="G18208" t="s">
        <v>12</v>
      </c>
      <c r="I18208" t="s">
        <v>1428</v>
      </c>
    </row>
    <row r="18209" spans="1:9" hidden="1" x14ac:dyDescent="0.25">
      <c r="A18209" t="s">
        <v>15417</v>
      </c>
      <c r="B18209" t="s">
        <v>112</v>
      </c>
      <c r="C18209" s="2">
        <f>HYPERLINK("https://cao.dolgi.msk.ru/account/1080210466/", 1080210466)</f>
        <v>1080210466</v>
      </c>
      <c r="D18209" t="s">
        <v>15461</v>
      </c>
      <c r="E18209">
        <v>-9361.2099999999991</v>
      </c>
      <c r="F18209">
        <v>-1.05</v>
      </c>
      <c r="G18209" t="s">
        <v>12</v>
      </c>
      <c r="I18209" t="s">
        <v>1428</v>
      </c>
    </row>
    <row r="18210" spans="1:9" hidden="1" x14ac:dyDescent="0.25">
      <c r="A18210" t="s">
        <v>15417</v>
      </c>
      <c r="B18210" t="s">
        <v>114</v>
      </c>
      <c r="C18210" s="2">
        <f>HYPERLINK("https://cao.dolgi.msk.ru/account/1080210474/", 1080210474)</f>
        <v>1080210474</v>
      </c>
      <c r="D18210" t="s">
        <v>15462</v>
      </c>
      <c r="E18210">
        <v>-18.47</v>
      </c>
      <c r="F18210">
        <v>0</v>
      </c>
      <c r="G18210" t="s">
        <v>12</v>
      </c>
      <c r="I18210" t="s">
        <v>1428</v>
      </c>
    </row>
    <row r="18211" spans="1:9" hidden="1" x14ac:dyDescent="0.25">
      <c r="A18211" t="s">
        <v>15417</v>
      </c>
      <c r="B18211" t="s">
        <v>116</v>
      </c>
      <c r="C18211" s="2">
        <f>HYPERLINK("https://cao.dolgi.msk.ru/account/1080210482/", 1080210482)</f>
        <v>1080210482</v>
      </c>
      <c r="D18211" t="s">
        <v>15463</v>
      </c>
      <c r="E18211">
        <v>-21.29</v>
      </c>
      <c r="F18211">
        <v>0</v>
      </c>
      <c r="G18211" t="s">
        <v>12</v>
      </c>
      <c r="I18211" t="s">
        <v>1428</v>
      </c>
    </row>
    <row r="18212" spans="1:9" x14ac:dyDescent="0.25">
      <c r="A18212" t="s">
        <v>15417</v>
      </c>
      <c r="B18212" t="s">
        <v>118</v>
      </c>
      <c r="C18212" s="2">
        <f>HYPERLINK("https://cao.dolgi.msk.ru/account/1080210503/", 1080210503)</f>
        <v>1080210503</v>
      </c>
      <c r="D18212" t="s">
        <v>15464</v>
      </c>
      <c r="E18212">
        <v>29303.51</v>
      </c>
      <c r="F18212">
        <v>3.79</v>
      </c>
      <c r="G18212" t="s">
        <v>12</v>
      </c>
      <c r="I18212" t="s">
        <v>1428</v>
      </c>
    </row>
    <row r="18213" spans="1:9" hidden="1" x14ac:dyDescent="0.25">
      <c r="A18213" t="s">
        <v>15417</v>
      </c>
      <c r="B18213" t="s">
        <v>120</v>
      </c>
      <c r="C18213" s="2">
        <f>HYPERLINK("https://cao.dolgi.msk.ru/account/1080210511/", 1080210511)</f>
        <v>1080210511</v>
      </c>
      <c r="D18213" t="s">
        <v>15465</v>
      </c>
      <c r="E18213">
        <v>-60.04</v>
      </c>
      <c r="F18213">
        <v>0</v>
      </c>
      <c r="G18213" t="s">
        <v>12</v>
      </c>
      <c r="I18213" t="s">
        <v>1428</v>
      </c>
    </row>
    <row r="18214" spans="1:9" hidden="1" x14ac:dyDescent="0.25">
      <c r="A18214" t="s">
        <v>15417</v>
      </c>
      <c r="B18214" t="s">
        <v>122</v>
      </c>
      <c r="C18214" s="2">
        <f>HYPERLINK("https://cao.dolgi.msk.ru/account/1080210538/", 1080210538)</f>
        <v>1080210538</v>
      </c>
      <c r="D18214" t="s">
        <v>15466</v>
      </c>
      <c r="E18214">
        <v>-7648.92</v>
      </c>
      <c r="F18214">
        <v>-1.17</v>
      </c>
      <c r="G18214" t="s">
        <v>12</v>
      </c>
      <c r="I18214" t="s">
        <v>1428</v>
      </c>
    </row>
    <row r="18215" spans="1:9" hidden="1" x14ac:dyDescent="0.25">
      <c r="A18215" t="s">
        <v>15417</v>
      </c>
      <c r="B18215" t="s">
        <v>124</v>
      </c>
      <c r="C18215" s="2">
        <f>HYPERLINK("https://cao.dolgi.msk.ru/account/1080210546/", 1080210546)</f>
        <v>1080210546</v>
      </c>
      <c r="D18215" t="s">
        <v>15467</v>
      </c>
      <c r="E18215">
        <v>-6028.85</v>
      </c>
      <c r="F18215">
        <v>-1.1499999999999999</v>
      </c>
      <c r="G18215" t="s">
        <v>12</v>
      </c>
      <c r="I18215" t="s">
        <v>1428</v>
      </c>
    </row>
    <row r="18216" spans="1:9" hidden="1" x14ac:dyDescent="0.25">
      <c r="A18216" t="s">
        <v>15417</v>
      </c>
      <c r="B18216" t="s">
        <v>126</v>
      </c>
      <c r="C18216" s="2">
        <f>HYPERLINK("https://cao.dolgi.msk.ru/account/1080210554/", 1080210554)</f>
        <v>1080210554</v>
      </c>
      <c r="D18216" t="s">
        <v>15468</v>
      </c>
      <c r="E18216">
        <v>-4447.9399999999996</v>
      </c>
      <c r="F18216">
        <v>-1.08</v>
      </c>
      <c r="G18216" t="s">
        <v>12</v>
      </c>
      <c r="I18216" t="s">
        <v>1428</v>
      </c>
    </row>
    <row r="18217" spans="1:9" hidden="1" x14ac:dyDescent="0.25">
      <c r="A18217" t="s">
        <v>15417</v>
      </c>
      <c r="B18217" t="s">
        <v>128</v>
      </c>
      <c r="C18217" s="2">
        <f>HYPERLINK("https://cao.dolgi.msk.ru/account/1080210562/", 1080210562)</f>
        <v>1080210562</v>
      </c>
      <c r="D18217" t="s">
        <v>15469</v>
      </c>
      <c r="E18217">
        <v>-5382.33</v>
      </c>
      <c r="F18217">
        <v>-1.1399999999999999</v>
      </c>
      <c r="G18217" t="s">
        <v>12</v>
      </c>
      <c r="I18217" t="s">
        <v>1428</v>
      </c>
    </row>
    <row r="18218" spans="1:9" hidden="1" x14ac:dyDescent="0.25">
      <c r="A18218" t="s">
        <v>15417</v>
      </c>
      <c r="B18218" t="s">
        <v>130</v>
      </c>
      <c r="C18218" s="2">
        <f>HYPERLINK("https://cao.dolgi.msk.ru/account/1080210589/", 1080210589)</f>
        <v>1080210589</v>
      </c>
      <c r="D18218" t="s">
        <v>15470</v>
      </c>
      <c r="E18218">
        <v>-9307.83</v>
      </c>
      <c r="F18218">
        <v>-1.17</v>
      </c>
      <c r="G18218" t="s">
        <v>12</v>
      </c>
      <c r="I18218" t="s">
        <v>1428</v>
      </c>
    </row>
    <row r="18219" spans="1:9" hidden="1" x14ac:dyDescent="0.25">
      <c r="A18219" t="s">
        <v>15417</v>
      </c>
      <c r="B18219" t="s">
        <v>132</v>
      </c>
      <c r="C18219" s="2">
        <f>HYPERLINK("https://cao.dolgi.msk.ru/account/1080210597/", 1080210597)</f>
        <v>1080210597</v>
      </c>
      <c r="D18219" t="s">
        <v>15471</v>
      </c>
      <c r="E18219">
        <v>-4648.2</v>
      </c>
      <c r="F18219">
        <v>-1.1299999999999999</v>
      </c>
      <c r="G18219" t="s">
        <v>12</v>
      </c>
      <c r="I18219" t="s">
        <v>1428</v>
      </c>
    </row>
    <row r="18220" spans="1:9" hidden="1" x14ac:dyDescent="0.25">
      <c r="A18220" t="s">
        <v>15417</v>
      </c>
      <c r="B18220" t="s">
        <v>133</v>
      </c>
      <c r="C18220" s="2">
        <f>HYPERLINK("https://cao.dolgi.msk.ru/account/1080210618/", 1080210618)</f>
        <v>1080210618</v>
      </c>
      <c r="D18220" t="s">
        <v>15472</v>
      </c>
      <c r="E18220">
        <v>-4978.42</v>
      </c>
      <c r="F18220">
        <v>-0.83</v>
      </c>
      <c r="G18220" t="s">
        <v>12</v>
      </c>
      <c r="I18220" t="s">
        <v>1428</v>
      </c>
    </row>
    <row r="18221" spans="1:9" hidden="1" x14ac:dyDescent="0.25">
      <c r="A18221" t="s">
        <v>15417</v>
      </c>
      <c r="B18221" t="s">
        <v>135</v>
      </c>
      <c r="C18221" s="2">
        <f>HYPERLINK("https://cao.dolgi.msk.ru/account/1080210626/", 1080210626)</f>
        <v>1080210626</v>
      </c>
      <c r="D18221" t="s">
        <v>15473</v>
      </c>
      <c r="E18221">
        <v>-4958.78</v>
      </c>
      <c r="F18221">
        <v>-0.79</v>
      </c>
      <c r="G18221" t="s">
        <v>12</v>
      </c>
      <c r="I18221" t="s">
        <v>1428</v>
      </c>
    </row>
    <row r="18222" spans="1:9" hidden="1" x14ac:dyDescent="0.25">
      <c r="A18222" t="s">
        <v>15417</v>
      </c>
      <c r="B18222" t="s">
        <v>137</v>
      </c>
      <c r="C18222" s="2">
        <f>HYPERLINK("https://cao.dolgi.msk.ru/account/1080210642/", 1080210642)</f>
        <v>1080210642</v>
      </c>
      <c r="D18222" t="s">
        <v>15474</v>
      </c>
      <c r="E18222">
        <v>2786.11</v>
      </c>
      <c r="F18222">
        <v>0.27</v>
      </c>
      <c r="G18222" t="s">
        <v>12</v>
      </c>
      <c r="I18222" t="s">
        <v>1428</v>
      </c>
    </row>
    <row r="18223" spans="1:9" hidden="1" x14ac:dyDescent="0.25">
      <c r="A18223" t="s">
        <v>15417</v>
      </c>
      <c r="B18223" t="s">
        <v>139</v>
      </c>
      <c r="C18223" s="2">
        <f>HYPERLINK("https://cao.dolgi.msk.ru/account/1080210677/", 1080210677)</f>
        <v>1080210677</v>
      </c>
      <c r="D18223" t="s">
        <v>15475</v>
      </c>
      <c r="E18223">
        <v>-5982.48</v>
      </c>
      <c r="F18223">
        <v>-0.92</v>
      </c>
      <c r="G18223" t="s">
        <v>12</v>
      </c>
      <c r="I18223" t="s">
        <v>1428</v>
      </c>
    </row>
    <row r="18224" spans="1:9" hidden="1" x14ac:dyDescent="0.25">
      <c r="A18224" t="s">
        <v>15417</v>
      </c>
      <c r="B18224" t="s">
        <v>141</v>
      </c>
      <c r="C18224" s="2">
        <f>HYPERLINK("https://cao.dolgi.msk.ru/account/1080210685/", 1080210685)</f>
        <v>1080210685</v>
      </c>
      <c r="D18224" t="s">
        <v>15476</v>
      </c>
      <c r="E18224">
        <v>-5684.66</v>
      </c>
      <c r="F18224">
        <v>-1.1599999999999999</v>
      </c>
      <c r="G18224" t="s">
        <v>12</v>
      </c>
      <c r="I18224" t="s">
        <v>1428</v>
      </c>
    </row>
    <row r="18225" spans="1:9" hidden="1" x14ac:dyDescent="0.25">
      <c r="A18225" t="s">
        <v>15417</v>
      </c>
      <c r="B18225" t="s">
        <v>143</v>
      </c>
      <c r="C18225" s="2">
        <f>HYPERLINK("https://cao.dolgi.msk.ru/account/1080210693/", 1080210693)</f>
        <v>1080210693</v>
      </c>
      <c r="D18225" t="s">
        <v>15477</v>
      </c>
      <c r="E18225">
        <v>1684.49</v>
      </c>
      <c r="F18225">
        <v>0.2</v>
      </c>
      <c r="G18225" t="s">
        <v>12</v>
      </c>
      <c r="I18225" t="s">
        <v>1428</v>
      </c>
    </row>
    <row r="18226" spans="1:9" hidden="1" x14ac:dyDescent="0.25">
      <c r="A18226" t="s">
        <v>15417</v>
      </c>
      <c r="B18226" t="s">
        <v>145</v>
      </c>
      <c r="C18226" s="2">
        <f>HYPERLINK("https://cao.dolgi.msk.ru/account/1080210706/", 1080210706)</f>
        <v>1080210706</v>
      </c>
      <c r="D18226" t="s">
        <v>15478</v>
      </c>
      <c r="E18226">
        <v>-13707.49</v>
      </c>
      <c r="F18226">
        <v>-1.61</v>
      </c>
      <c r="G18226" t="s">
        <v>12</v>
      </c>
      <c r="I18226" t="s">
        <v>1428</v>
      </c>
    </row>
    <row r="18227" spans="1:9" hidden="1" x14ac:dyDescent="0.25">
      <c r="A18227" t="s">
        <v>15417</v>
      </c>
      <c r="B18227" t="s">
        <v>147</v>
      </c>
      <c r="C18227" s="2">
        <f>HYPERLINK("https://cao.dolgi.msk.ru/account/1080210714/", 1080210714)</f>
        <v>1080210714</v>
      </c>
      <c r="D18227" t="s">
        <v>15479</v>
      </c>
      <c r="E18227">
        <v>-7.95</v>
      </c>
      <c r="F18227">
        <v>0</v>
      </c>
      <c r="G18227" t="s">
        <v>12</v>
      </c>
      <c r="I18227" t="s">
        <v>1428</v>
      </c>
    </row>
    <row r="18228" spans="1:9" hidden="1" x14ac:dyDescent="0.25">
      <c r="A18228" t="s">
        <v>15417</v>
      </c>
      <c r="B18228" t="s">
        <v>149</v>
      </c>
      <c r="C18228" s="2">
        <f>HYPERLINK("https://cao.dolgi.msk.ru/account/1080210722/", 1080210722)</f>
        <v>1080210722</v>
      </c>
      <c r="D18228" t="s">
        <v>15480</v>
      </c>
      <c r="E18228">
        <v>-15720.02</v>
      </c>
      <c r="F18228">
        <v>-1.1299999999999999</v>
      </c>
      <c r="G18228" t="s">
        <v>12</v>
      </c>
      <c r="I18228" t="s">
        <v>1428</v>
      </c>
    </row>
    <row r="18229" spans="1:9" hidden="1" x14ac:dyDescent="0.25">
      <c r="A18229" t="s">
        <v>15417</v>
      </c>
      <c r="B18229" t="s">
        <v>151</v>
      </c>
      <c r="C18229" s="2">
        <f>HYPERLINK("https://cao.dolgi.msk.ru/account/1080210749/", 1080210749)</f>
        <v>1080210749</v>
      </c>
      <c r="D18229" t="s">
        <v>15481</v>
      </c>
      <c r="E18229">
        <v>-10003.02</v>
      </c>
      <c r="F18229">
        <v>-2.68</v>
      </c>
      <c r="G18229" t="s">
        <v>12</v>
      </c>
      <c r="I18229" t="s">
        <v>1428</v>
      </c>
    </row>
    <row r="18230" spans="1:9" hidden="1" x14ac:dyDescent="0.25">
      <c r="A18230" t="s">
        <v>15417</v>
      </c>
      <c r="B18230" t="s">
        <v>153</v>
      </c>
      <c r="C18230" s="2">
        <f>HYPERLINK("https://cao.dolgi.msk.ru/account/1080210757/", 1080210757)</f>
        <v>1080210757</v>
      </c>
      <c r="D18230" t="s">
        <v>15482</v>
      </c>
      <c r="E18230">
        <v>-8756.01</v>
      </c>
      <c r="F18230">
        <v>-1.1200000000000001</v>
      </c>
      <c r="G18230" t="s">
        <v>12</v>
      </c>
      <c r="I18230" t="s">
        <v>1428</v>
      </c>
    </row>
    <row r="18231" spans="1:9" hidden="1" x14ac:dyDescent="0.25">
      <c r="A18231" t="s">
        <v>15417</v>
      </c>
      <c r="B18231" t="s">
        <v>155</v>
      </c>
      <c r="C18231" s="2">
        <f>HYPERLINK("https://cao.dolgi.msk.ru/account/1080210765/", 1080210765)</f>
        <v>1080210765</v>
      </c>
      <c r="D18231" t="s">
        <v>15483</v>
      </c>
      <c r="E18231">
        <v>-5966.44</v>
      </c>
      <c r="F18231">
        <v>-1.05</v>
      </c>
      <c r="G18231" t="s">
        <v>12</v>
      </c>
      <c r="I18231" t="s">
        <v>1428</v>
      </c>
    </row>
    <row r="18232" spans="1:9" hidden="1" x14ac:dyDescent="0.25">
      <c r="A18232" t="s">
        <v>15417</v>
      </c>
      <c r="B18232" t="s">
        <v>157</v>
      </c>
      <c r="C18232" s="2">
        <f>HYPERLINK("https://cao.dolgi.msk.ru/account/1080210773/", 1080210773)</f>
        <v>1080210773</v>
      </c>
      <c r="D18232" t="s">
        <v>15484</v>
      </c>
      <c r="E18232">
        <v>-6322.43</v>
      </c>
      <c r="F18232">
        <v>-1.1499999999999999</v>
      </c>
      <c r="G18232" t="s">
        <v>12</v>
      </c>
      <c r="I18232" t="s">
        <v>1428</v>
      </c>
    </row>
    <row r="18233" spans="1:9" hidden="1" x14ac:dyDescent="0.25">
      <c r="A18233" t="s">
        <v>15417</v>
      </c>
      <c r="B18233" t="s">
        <v>159</v>
      </c>
      <c r="C18233" s="2">
        <f>HYPERLINK("https://cao.dolgi.msk.ru/account/1080210781/", 1080210781)</f>
        <v>1080210781</v>
      </c>
      <c r="D18233" t="s">
        <v>15485</v>
      </c>
      <c r="E18233">
        <v>4613.4799999999996</v>
      </c>
      <c r="F18233">
        <v>0.84</v>
      </c>
      <c r="G18233" t="s">
        <v>12</v>
      </c>
      <c r="I18233" t="s">
        <v>1428</v>
      </c>
    </row>
    <row r="18234" spans="1:9" hidden="1" x14ac:dyDescent="0.25">
      <c r="A18234" t="s">
        <v>15417</v>
      </c>
      <c r="B18234" t="s">
        <v>161</v>
      </c>
      <c r="C18234" s="2">
        <f>HYPERLINK("https://cao.dolgi.msk.ru/account/1080210634/", 1080210634)</f>
        <v>1080210634</v>
      </c>
      <c r="D18234" t="s">
        <v>15486</v>
      </c>
      <c r="E18234">
        <v>-7152.15</v>
      </c>
      <c r="F18234">
        <v>-1.1499999999999999</v>
      </c>
      <c r="G18234" t="s">
        <v>12</v>
      </c>
      <c r="I18234" t="s">
        <v>1428</v>
      </c>
    </row>
    <row r="18235" spans="1:9" hidden="1" x14ac:dyDescent="0.25">
      <c r="A18235" t="s">
        <v>15417</v>
      </c>
      <c r="B18235" t="s">
        <v>163</v>
      </c>
      <c r="C18235" s="2">
        <f>HYPERLINK("https://cao.dolgi.msk.ru/account/1080210802/", 1080210802)</f>
        <v>1080210802</v>
      </c>
      <c r="D18235" t="s">
        <v>15487</v>
      </c>
      <c r="E18235">
        <v>8.75</v>
      </c>
      <c r="F18235">
        <v>0</v>
      </c>
      <c r="G18235" t="s">
        <v>12</v>
      </c>
      <c r="I18235" t="s">
        <v>1428</v>
      </c>
    </row>
    <row r="18236" spans="1:9" hidden="1" x14ac:dyDescent="0.25">
      <c r="A18236" t="s">
        <v>15417</v>
      </c>
      <c r="B18236" t="s">
        <v>571</v>
      </c>
      <c r="C18236" s="2">
        <f>HYPERLINK("https://cao.dolgi.msk.ru/account/1080210829/", 1080210829)</f>
        <v>1080210829</v>
      </c>
      <c r="D18236" t="s">
        <v>15488</v>
      </c>
      <c r="E18236">
        <v>-724.39</v>
      </c>
      <c r="F18236">
        <v>-0.21</v>
      </c>
      <c r="G18236" t="s">
        <v>12</v>
      </c>
      <c r="I18236" t="s">
        <v>1428</v>
      </c>
    </row>
    <row r="18237" spans="1:9" hidden="1" x14ac:dyDescent="0.25">
      <c r="A18237" t="s">
        <v>15417</v>
      </c>
      <c r="B18237" t="s">
        <v>682</v>
      </c>
      <c r="C18237" s="2">
        <f>HYPERLINK("https://cao.dolgi.msk.ru/account/1080210837/", 1080210837)</f>
        <v>1080210837</v>
      </c>
      <c r="D18237" t="s">
        <v>15489</v>
      </c>
      <c r="E18237">
        <v>-4152.96</v>
      </c>
      <c r="F18237">
        <v>-1.1000000000000001</v>
      </c>
      <c r="G18237" t="s">
        <v>12</v>
      </c>
      <c r="I18237" t="s">
        <v>1428</v>
      </c>
    </row>
    <row r="18238" spans="1:9" hidden="1" x14ac:dyDescent="0.25">
      <c r="A18238" t="s">
        <v>15417</v>
      </c>
      <c r="B18238" t="s">
        <v>682</v>
      </c>
      <c r="C18238" s="2">
        <f>HYPERLINK("https://cao.dolgi.msk.ru/account/1089123617/", 1089123617)</f>
        <v>1089123617</v>
      </c>
      <c r="D18238" t="s">
        <v>15489</v>
      </c>
      <c r="E18238">
        <v>-3923.69</v>
      </c>
      <c r="F18238">
        <v>-0.97</v>
      </c>
      <c r="G18238" t="s">
        <v>12</v>
      </c>
      <c r="I18238" t="s">
        <v>1428</v>
      </c>
    </row>
    <row r="18239" spans="1:9" hidden="1" x14ac:dyDescent="0.25">
      <c r="A18239" t="s">
        <v>15417</v>
      </c>
      <c r="B18239" t="s">
        <v>578</v>
      </c>
      <c r="C18239" s="2">
        <f>HYPERLINK("https://cao.dolgi.msk.ru/account/1080210845/", 1080210845)</f>
        <v>1080210845</v>
      </c>
      <c r="D18239" t="s">
        <v>15490</v>
      </c>
      <c r="E18239">
        <v>-24915.68</v>
      </c>
      <c r="F18239">
        <v>-5.08</v>
      </c>
      <c r="G18239" t="s">
        <v>12</v>
      </c>
      <c r="I18239" t="s">
        <v>1428</v>
      </c>
    </row>
    <row r="18240" spans="1:9" hidden="1" x14ac:dyDescent="0.25">
      <c r="A18240" t="s">
        <v>15417</v>
      </c>
      <c r="B18240" t="s">
        <v>580</v>
      </c>
      <c r="C18240" s="2">
        <f>HYPERLINK("https://cao.dolgi.msk.ru/account/1080210853/", 1080210853)</f>
        <v>1080210853</v>
      </c>
      <c r="D18240" t="s">
        <v>15491</v>
      </c>
      <c r="E18240">
        <v>-8700.11</v>
      </c>
      <c r="F18240">
        <v>-1.74</v>
      </c>
      <c r="G18240" t="s">
        <v>12</v>
      </c>
      <c r="I18240" t="s">
        <v>1428</v>
      </c>
    </row>
    <row r="18241" spans="1:9" x14ac:dyDescent="0.25">
      <c r="A18241" t="s">
        <v>15417</v>
      </c>
      <c r="B18241" t="s">
        <v>686</v>
      </c>
      <c r="C18241" s="2">
        <f>HYPERLINK("https://cao.dolgi.msk.ru/account/1080210861/", 1080210861)</f>
        <v>1080210861</v>
      </c>
      <c r="D18241" t="s">
        <v>15492</v>
      </c>
      <c r="E18241">
        <v>57637.17</v>
      </c>
      <c r="F18241">
        <v>4.9800000000000004</v>
      </c>
      <c r="G18241" t="s">
        <v>12</v>
      </c>
      <c r="I18241" t="s">
        <v>1428</v>
      </c>
    </row>
    <row r="18242" spans="1:9" hidden="1" x14ac:dyDescent="0.25">
      <c r="A18242" t="s">
        <v>15417</v>
      </c>
      <c r="B18242" t="s">
        <v>582</v>
      </c>
      <c r="C18242" s="2">
        <f>HYPERLINK("https://cao.dolgi.msk.ru/account/1080210888/", 1080210888)</f>
        <v>1080210888</v>
      </c>
      <c r="D18242" t="s">
        <v>15</v>
      </c>
      <c r="G18242" t="s">
        <v>14</v>
      </c>
      <c r="I18242" t="s">
        <v>1428</v>
      </c>
    </row>
    <row r="18243" spans="1:9" hidden="1" x14ac:dyDescent="0.25">
      <c r="A18243" t="s">
        <v>15417</v>
      </c>
      <c r="B18243" t="s">
        <v>582</v>
      </c>
      <c r="C18243" s="2">
        <f>HYPERLINK("https://cao.dolgi.msk.ru/account/1080210896/", 1080210896)</f>
        <v>1080210896</v>
      </c>
      <c r="D18243" t="s">
        <v>15</v>
      </c>
      <c r="G18243" t="s">
        <v>14</v>
      </c>
      <c r="I18243" t="s">
        <v>1428</v>
      </c>
    </row>
    <row r="18244" spans="1:9" hidden="1" x14ac:dyDescent="0.25">
      <c r="A18244" t="s">
        <v>15417</v>
      </c>
      <c r="B18244" t="s">
        <v>582</v>
      </c>
      <c r="C18244" s="2">
        <f>HYPERLINK("https://cao.dolgi.msk.ru/account/1080210909/", 1080210909)</f>
        <v>1080210909</v>
      </c>
      <c r="D18244" t="s">
        <v>15493</v>
      </c>
      <c r="E18244">
        <v>-8562.51</v>
      </c>
      <c r="F18244">
        <v>-1.1299999999999999</v>
      </c>
      <c r="G18244" t="s">
        <v>12</v>
      </c>
      <c r="I18244" t="s">
        <v>1428</v>
      </c>
    </row>
    <row r="18245" spans="1:9" hidden="1" x14ac:dyDescent="0.25">
      <c r="A18245" t="s">
        <v>15417</v>
      </c>
      <c r="B18245" t="s">
        <v>584</v>
      </c>
      <c r="C18245" s="2">
        <f>HYPERLINK("https://cao.dolgi.msk.ru/account/1080210917/", 1080210917)</f>
        <v>1080210917</v>
      </c>
      <c r="D18245" t="s">
        <v>15494</v>
      </c>
      <c r="E18245">
        <v>-5505.26</v>
      </c>
      <c r="F18245">
        <v>-1.1599999999999999</v>
      </c>
      <c r="G18245" t="s">
        <v>12</v>
      </c>
      <c r="I18245" t="s">
        <v>1428</v>
      </c>
    </row>
    <row r="18246" spans="1:9" hidden="1" x14ac:dyDescent="0.25">
      <c r="A18246" t="s">
        <v>15417</v>
      </c>
      <c r="B18246" t="s">
        <v>586</v>
      </c>
      <c r="C18246" s="2">
        <f>HYPERLINK("https://cao.dolgi.msk.ru/account/1080210925/", 1080210925)</f>
        <v>1080210925</v>
      </c>
      <c r="D18246" t="s">
        <v>15495</v>
      </c>
      <c r="E18246">
        <v>-433.06</v>
      </c>
      <c r="F18246">
        <v>-7.0000000000000007E-2</v>
      </c>
      <c r="G18246" t="s">
        <v>12</v>
      </c>
      <c r="I18246" t="s">
        <v>1428</v>
      </c>
    </row>
    <row r="18247" spans="1:9" hidden="1" x14ac:dyDescent="0.25">
      <c r="A18247" t="s">
        <v>15417</v>
      </c>
      <c r="B18247" t="s">
        <v>588</v>
      </c>
      <c r="C18247" s="2">
        <f>HYPERLINK("https://cao.dolgi.msk.ru/account/1080210933/", 1080210933)</f>
        <v>1080210933</v>
      </c>
      <c r="D18247" t="s">
        <v>15496</v>
      </c>
      <c r="E18247">
        <v>1.19</v>
      </c>
      <c r="F18247">
        <v>0</v>
      </c>
      <c r="G18247" t="s">
        <v>12</v>
      </c>
      <c r="I18247" t="s">
        <v>1428</v>
      </c>
    </row>
    <row r="18248" spans="1:9" hidden="1" x14ac:dyDescent="0.25">
      <c r="A18248" t="s">
        <v>15417</v>
      </c>
      <c r="B18248" t="s">
        <v>590</v>
      </c>
      <c r="C18248" s="2">
        <f>HYPERLINK("https://cao.dolgi.msk.ru/account/1080210941/", 1080210941)</f>
        <v>1080210941</v>
      </c>
      <c r="D18248" t="s">
        <v>15497</v>
      </c>
      <c r="E18248">
        <v>-8410.2099999999991</v>
      </c>
      <c r="F18248">
        <v>-1.1499999999999999</v>
      </c>
      <c r="G18248" t="s">
        <v>12</v>
      </c>
      <c r="I18248" t="s">
        <v>1428</v>
      </c>
    </row>
    <row r="18249" spans="1:9" hidden="1" x14ac:dyDescent="0.25">
      <c r="A18249" t="s">
        <v>15417</v>
      </c>
      <c r="B18249" t="s">
        <v>693</v>
      </c>
      <c r="C18249" s="2">
        <f>HYPERLINK("https://cao.dolgi.msk.ru/account/1080210968/", 1080210968)</f>
        <v>1080210968</v>
      </c>
      <c r="D18249" t="s">
        <v>15498</v>
      </c>
      <c r="E18249">
        <v>-9776.69</v>
      </c>
      <c r="F18249">
        <v>-1.1000000000000001</v>
      </c>
      <c r="G18249" t="s">
        <v>12</v>
      </c>
      <c r="I18249" t="s">
        <v>1428</v>
      </c>
    </row>
    <row r="18250" spans="1:9" hidden="1" x14ac:dyDescent="0.25">
      <c r="A18250" t="s">
        <v>15417</v>
      </c>
      <c r="B18250" t="s">
        <v>694</v>
      </c>
      <c r="C18250" s="2">
        <f>HYPERLINK("https://cao.dolgi.msk.ru/account/1080210976/", 1080210976)</f>
        <v>1080210976</v>
      </c>
      <c r="D18250" t="s">
        <v>15499</v>
      </c>
      <c r="E18250">
        <v>-15568.78</v>
      </c>
      <c r="F18250">
        <v>-2.0099999999999998</v>
      </c>
      <c r="G18250" t="s">
        <v>12</v>
      </c>
      <c r="I18250" t="s">
        <v>1428</v>
      </c>
    </row>
    <row r="18251" spans="1:9" hidden="1" x14ac:dyDescent="0.25">
      <c r="A18251" t="s">
        <v>15417</v>
      </c>
      <c r="B18251" t="s">
        <v>696</v>
      </c>
      <c r="C18251" s="2">
        <f>HYPERLINK("https://cao.dolgi.msk.ru/account/1080210984/", 1080210984)</f>
        <v>1080210984</v>
      </c>
      <c r="D18251" t="s">
        <v>15500</v>
      </c>
      <c r="E18251">
        <v>-5787.15</v>
      </c>
      <c r="F18251">
        <v>-1.17</v>
      </c>
      <c r="G18251" t="s">
        <v>12</v>
      </c>
      <c r="I18251" t="s">
        <v>1428</v>
      </c>
    </row>
    <row r="18252" spans="1:9" hidden="1" x14ac:dyDescent="0.25">
      <c r="A18252" t="s">
        <v>15417</v>
      </c>
      <c r="B18252" t="s">
        <v>698</v>
      </c>
      <c r="C18252" s="2">
        <f>HYPERLINK("https://cao.dolgi.msk.ru/account/1080210992/", 1080210992)</f>
        <v>1080210992</v>
      </c>
      <c r="D18252" t="s">
        <v>15501</v>
      </c>
      <c r="E18252">
        <v>-9284.34</v>
      </c>
      <c r="F18252">
        <v>-1.1299999999999999</v>
      </c>
      <c r="G18252" t="s">
        <v>12</v>
      </c>
      <c r="I18252" t="s">
        <v>1428</v>
      </c>
    </row>
    <row r="18253" spans="1:9" hidden="1" x14ac:dyDescent="0.25">
      <c r="A18253" t="s">
        <v>15417</v>
      </c>
      <c r="B18253" t="s">
        <v>700</v>
      </c>
      <c r="C18253" s="2">
        <f>HYPERLINK("https://cao.dolgi.msk.ru/account/1080211004/", 1080211004)</f>
        <v>1080211004</v>
      </c>
      <c r="D18253" t="s">
        <v>15502</v>
      </c>
      <c r="E18253">
        <v>-6762.42</v>
      </c>
      <c r="F18253">
        <v>-1.1100000000000001</v>
      </c>
      <c r="G18253" t="s">
        <v>12</v>
      </c>
      <c r="I18253" t="s">
        <v>1428</v>
      </c>
    </row>
    <row r="18254" spans="1:9" hidden="1" x14ac:dyDescent="0.25">
      <c r="A18254" t="s">
        <v>15417</v>
      </c>
      <c r="B18254" t="s">
        <v>702</v>
      </c>
      <c r="C18254" s="2">
        <f>HYPERLINK("https://cao.dolgi.msk.ru/account/1080211012/", 1080211012)</f>
        <v>1080211012</v>
      </c>
      <c r="D18254" t="s">
        <v>15503</v>
      </c>
      <c r="E18254">
        <v>-8421.82</v>
      </c>
      <c r="F18254">
        <v>-1.1599999999999999</v>
      </c>
      <c r="G18254" t="s">
        <v>12</v>
      </c>
      <c r="I18254" t="s">
        <v>1428</v>
      </c>
    </row>
    <row r="18255" spans="1:9" hidden="1" x14ac:dyDescent="0.25">
      <c r="A18255" t="s">
        <v>15417</v>
      </c>
      <c r="B18255" t="s">
        <v>703</v>
      </c>
      <c r="C18255" s="2">
        <f>HYPERLINK("https://cao.dolgi.msk.ru/account/1080211039/", 1080211039)</f>
        <v>1080211039</v>
      </c>
      <c r="D18255" t="s">
        <v>15504</v>
      </c>
      <c r="E18255">
        <v>-7826.97</v>
      </c>
      <c r="F18255">
        <v>-1.1000000000000001</v>
      </c>
      <c r="G18255" t="s">
        <v>12</v>
      </c>
      <c r="I18255" t="s">
        <v>1428</v>
      </c>
    </row>
    <row r="18256" spans="1:9" hidden="1" x14ac:dyDescent="0.25">
      <c r="A18256" t="s">
        <v>15417</v>
      </c>
      <c r="B18256" t="s">
        <v>705</v>
      </c>
      <c r="C18256" s="2">
        <f>HYPERLINK("https://cao.dolgi.msk.ru/account/1080211047/", 1080211047)</f>
        <v>1080211047</v>
      </c>
      <c r="D18256" t="s">
        <v>15505</v>
      </c>
      <c r="E18256">
        <v>-10432.91</v>
      </c>
      <c r="F18256">
        <v>-1.19</v>
      </c>
      <c r="G18256" t="s">
        <v>12</v>
      </c>
      <c r="I18256" t="s">
        <v>1428</v>
      </c>
    </row>
    <row r="18257" spans="1:9" hidden="1" x14ac:dyDescent="0.25">
      <c r="A18257" t="s">
        <v>15417</v>
      </c>
      <c r="B18257" t="s">
        <v>707</v>
      </c>
      <c r="C18257" s="2">
        <f>HYPERLINK("https://cao.dolgi.msk.ru/account/1080211055/", 1080211055)</f>
        <v>1080211055</v>
      </c>
      <c r="D18257" t="s">
        <v>15506</v>
      </c>
      <c r="E18257">
        <v>-695.45</v>
      </c>
      <c r="F18257">
        <v>-0.15</v>
      </c>
      <c r="G18257" t="s">
        <v>12</v>
      </c>
      <c r="I18257" t="s">
        <v>1428</v>
      </c>
    </row>
    <row r="18258" spans="1:9" hidden="1" x14ac:dyDescent="0.25">
      <c r="A18258" t="s">
        <v>15417</v>
      </c>
      <c r="B18258" t="s">
        <v>709</v>
      </c>
      <c r="C18258" s="2">
        <f>HYPERLINK("https://cao.dolgi.msk.ru/account/1080211063/", 1080211063)</f>
        <v>1080211063</v>
      </c>
      <c r="D18258" t="s">
        <v>15507</v>
      </c>
      <c r="E18258">
        <v>-7785.87</v>
      </c>
      <c r="F18258">
        <v>-1.1299999999999999</v>
      </c>
      <c r="G18258" t="s">
        <v>12</v>
      </c>
      <c r="I18258" t="s">
        <v>1428</v>
      </c>
    </row>
    <row r="18259" spans="1:9" x14ac:dyDescent="0.25">
      <c r="A18259" t="s">
        <v>15417</v>
      </c>
      <c r="B18259" t="s">
        <v>711</v>
      </c>
      <c r="C18259" s="2">
        <f>HYPERLINK("https://cao.dolgi.msk.ru/account/1080211071/", 1080211071)</f>
        <v>1080211071</v>
      </c>
      <c r="D18259" t="s">
        <v>15508</v>
      </c>
      <c r="E18259">
        <v>37687.96</v>
      </c>
      <c r="F18259">
        <v>6.73</v>
      </c>
      <c r="G18259" t="s">
        <v>12</v>
      </c>
      <c r="I18259" t="s">
        <v>1428</v>
      </c>
    </row>
    <row r="18260" spans="1:9" x14ac:dyDescent="0.25">
      <c r="A18260" t="s">
        <v>15417</v>
      </c>
      <c r="B18260" t="s">
        <v>713</v>
      </c>
      <c r="C18260" s="2">
        <f>HYPERLINK("https://cao.dolgi.msk.ru/account/1080211098/", 1080211098)</f>
        <v>1080211098</v>
      </c>
      <c r="D18260" t="s">
        <v>15509</v>
      </c>
      <c r="E18260">
        <v>12488.46</v>
      </c>
      <c r="F18260">
        <v>2.2200000000000002</v>
      </c>
      <c r="G18260" t="s">
        <v>12</v>
      </c>
      <c r="I18260" t="s">
        <v>1428</v>
      </c>
    </row>
    <row r="18261" spans="1:9" hidden="1" x14ac:dyDescent="0.25">
      <c r="A18261" t="s">
        <v>15417</v>
      </c>
      <c r="B18261" t="s">
        <v>528</v>
      </c>
      <c r="C18261" s="2">
        <f>HYPERLINK("https://cao.dolgi.msk.ru/account/1080211119/", 1080211119)</f>
        <v>1080211119</v>
      </c>
      <c r="D18261" t="s">
        <v>15510</v>
      </c>
      <c r="E18261">
        <v>-6279.77</v>
      </c>
      <c r="F18261">
        <v>-1.07</v>
      </c>
      <c r="G18261" t="s">
        <v>12</v>
      </c>
      <c r="I18261" t="s">
        <v>1428</v>
      </c>
    </row>
    <row r="18262" spans="1:9" hidden="1" x14ac:dyDescent="0.25">
      <c r="A18262" t="s">
        <v>15417</v>
      </c>
      <c r="B18262" t="s">
        <v>530</v>
      </c>
      <c r="C18262" s="2">
        <f>HYPERLINK("https://cao.dolgi.msk.ru/account/1080211127/", 1080211127)</f>
        <v>1080211127</v>
      </c>
      <c r="D18262" t="s">
        <v>15</v>
      </c>
      <c r="E18262">
        <v>0</v>
      </c>
      <c r="F18262">
        <v>0</v>
      </c>
      <c r="G18262" t="s">
        <v>12</v>
      </c>
      <c r="I18262" t="s">
        <v>1428</v>
      </c>
    </row>
    <row r="18263" spans="1:9" hidden="1" x14ac:dyDescent="0.25">
      <c r="A18263" t="s">
        <v>15417</v>
      </c>
      <c r="B18263" t="s">
        <v>532</v>
      </c>
      <c r="C18263" s="2">
        <f>HYPERLINK("https://cao.dolgi.msk.ru/account/1080211135/", 1080211135)</f>
        <v>1080211135</v>
      </c>
      <c r="D18263" t="s">
        <v>15511</v>
      </c>
      <c r="E18263">
        <v>-268.63</v>
      </c>
      <c r="F18263">
        <v>-0.04</v>
      </c>
      <c r="G18263" t="s">
        <v>12</v>
      </c>
      <c r="I18263" t="s">
        <v>1428</v>
      </c>
    </row>
    <row r="18264" spans="1:9" hidden="1" x14ac:dyDescent="0.25">
      <c r="A18264" t="s">
        <v>15417</v>
      </c>
      <c r="B18264" t="s">
        <v>534</v>
      </c>
      <c r="C18264" s="2">
        <f>HYPERLINK("https://cao.dolgi.msk.ru/account/1080211207/", 1080211207)</f>
        <v>1080211207</v>
      </c>
      <c r="D18264" t="s">
        <v>15512</v>
      </c>
      <c r="E18264">
        <v>-5273.08</v>
      </c>
      <c r="F18264">
        <v>-1.06</v>
      </c>
      <c r="G18264" t="s">
        <v>12</v>
      </c>
      <c r="I18264" t="s">
        <v>1428</v>
      </c>
    </row>
    <row r="18265" spans="1:9" hidden="1" x14ac:dyDescent="0.25">
      <c r="A18265" t="s">
        <v>15417</v>
      </c>
      <c r="B18265" t="s">
        <v>536</v>
      </c>
      <c r="C18265" s="2">
        <f>HYPERLINK("https://cao.dolgi.msk.ru/account/1080211143/", 1080211143)</f>
        <v>1080211143</v>
      </c>
      <c r="D18265" t="s">
        <v>15513</v>
      </c>
      <c r="E18265">
        <v>-8067.53</v>
      </c>
      <c r="F18265">
        <v>-1.1100000000000001</v>
      </c>
      <c r="G18265" t="s">
        <v>12</v>
      </c>
      <c r="I18265" t="s">
        <v>1428</v>
      </c>
    </row>
    <row r="18266" spans="1:9" hidden="1" x14ac:dyDescent="0.25">
      <c r="A18266" t="s">
        <v>15417</v>
      </c>
      <c r="B18266" t="s">
        <v>538</v>
      </c>
      <c r="C18266" s="2">
        <f>HYPERLINK("https://cao.dolgi.msk.ru/account/1080211151/", 1080211151)</f>
        <v>1080211151</v>
      </c>
      <c r="D18266" t="s">
        <v>15514</v>
      </c>
      <c r="E18266">
        <v>-6830.15</v>
      </c>
      <c r="F18266">
        <v>-1.1200000000000001</v>
      </c>
      <c r="G18266" t="s">
        <v>12</v>
      </c>
      <c r="I18266" t="s">
        <v>1428</v>
      </c>
    </row>
    <row r="18267" spans="1:9" hidden="1" x14ac:dyDescent="0.25">
      <c r="A18267" t="s">
        <v>15417</v>
      </c>
      <c r="B18267" t="s">
        <v>539</v>
      </c>
      <c r="C18267" s="2">
        <f>HYPERLINK("https://cao.dolgi.msk.ru/account/1080211178/", 1080211178)</f>
        <v>1080211178</v>
      </c>
      <c r="D18267" t="s">
        <v>15515</v>
      </c>
      <c r="E18267">
        <v>-7126.92</v>
      </c>
      <c r="F18267">
        <v>-1.1100000000000001</v>
      </c>
      <c r="G18267" t="s">
        <v>12</v>
      </c>
      <c r="I18267" t="s">
        <v>1428</v>
      </c>
    </row>
    <row r="18268" spans="1:9" hidden="1" x14ac:dyDescent="0.25">
      <c r="A18268" t="s">
        <v>15417</v>
      </c>
      <c r="B18268" t="s">
        <v>541</v>
      </c>
      <c r="C18268" s="2">
        <f>HYPERLINK("https://cao.dolgi.msk.ru/account/1080211186/", 1080211186)</f>
        <v>1080211186</v>
      </c>
      <c r="D18268" t="s">
        <v>15516</v>
      </c>
      <c r="E18268">
        <v>-6255.57</v>
      </c>
      <c r="F18268">
        <v>-1.1499999999999999</v>
      </c>
      <c r="G18268" t="s">
        <v>12</v>
      </c>
      <c r="I18268" t="s">
        <v>1428</v>
      </c>
    </row>
    <row r="18269" spans="1:9" hidden="1" x14ac:dyDescent="0.25">
      <c r="A18269" t="s">
        <v>15417</v>
      </c>
      <c r="B18269" t="s">
        <v>543</v>
      </c>
      <c r="C18269" s="2">
        <f>HYPERLINK("https://cao.dolgi.msk.ru/account/1080211194/", 1080211194)</f>
        <v>1080211194</v>
      </c>
      <c r="D18269" t="s">
        <v>15517</v>
      </c>
      <c r="E18269">
        <v>-8824.36</v>
      </c>
      <c r="F18269">
        <v>-0.85</v>
      </c>
      <c r="G18269" t="s">
        <v>12</v>
      </c>
      <c r="I18269" t="s">
        <v>1428</v>
      </c>
    </row>
    <row r="18270" spans="1:9" hidden="1" x14ac:dyDescent="0.25">
      <c r="A18270" t="s">
        <v>15417</v>
      </c>
      <c r="B18270" t="s">
        <v>545</v>
      </c>
      <c r="C18270" s="2">
        <f>HYPERLINK("https://cao.dolgi.msk.ru/account/1080211215/", 1080211215)</f>
        <v>1080211215</v>
      </c>
      <c r="D18270" t="s">
        <v>15518</v>
      </c>
      <c r="E18270">
        <v>3268.98</v>
      </c>
      <c r="F18270">
        <v>0.69</v>
      </c>
      <c r="G18270" t="s">
        <v>12</v>
      </c>
      <c r="I18270" t="s">
        <v>1428</v>
      </c>
    </row>
    <row r="18271" spans="1:9" hidden="1" x14ac:dyDescent="0.25">
      <c r="A18271" t="s">
        <v>15417</v>
      </c>
      <c r="B18271" t="s">
        <v>546</v>
      </c>
      <c r="C18271" s="2">
        <f>HYPERLINK("https://cao.dolgi.msk.ru/account/1080211223/", 1080211223)</f>
        <v>1080211223</v>
      </c>
      <c r="D18271" t="s">
        <v>15519</v>
      </c>
      <c r="E18271">
        <v>-7022.9</v>
      </c>
      <c r="F18271">
        <v>-1.32</v>
      </c>
      <c r="G18271" t="s">
        <v>12</v>
      </c>
      <c r="I18271" t="s">
        <v>1428</v>
      </c>
    </row>
    <row r="18272" spans="1:9" hidden="1" x14ac:dyDescent="0.25">
      <c r="A18272" t="s">
        <v>15417</v>
      </c>
      <c r="B18272" t="s">
        <v>548</v>
      </c>
      <c r="C18272" s="2">
        <f>HYPERLINK("https://cao.dolgi.msk.ru/account/1080211231/", 1080211231)</f>
        <v>1080211231</v>
      </c>
      <c r="D18272" t="s">
        <v>15</v>
      </c>
      <c r="E18272">
        <v>253.97</v>
      </c>
      <c r="F18272">
        <v>0.02</v>
      </c>
      <c r="G18272" t="s">
        <v>12</v>
      </c>
      <c r="I18272" t="s">
        <v>1428</v>
      </c>
    </row>
    <row r="18273" spans="1:9" hidden="1" x14ac:dyDescent="0.25">
      <c r="A18273" t="s">
        <v>15417</v>
      </c>
      <c r="B18273" t="s">
        <v>727</v>
      </c>
      <c r="C18273" s="2">
        <f>HYPERLINK("https://cao.dolgi.msk.ru/account/1080211258/", 1080211258)</f>
        <v>1080211258</v>
      </c>
      <c r="D18273" t="s">
        <v>15520</v>
      </c>
      <c r="E18273">
        <v>-1761.01</v>
      </c>
      <c r="F18273">
        <v>-0.38</v>
      </c>
      <c r="G18273" t="s">
        <v>12</v>
      </c>
      <c r="I18273" t="s">
        <v>1428</v>
      </c>
    </row>
    <row r="18274" spans="1:9" hidden="1" x14ac:dyDescent="0.25">
      <c r="A18274" t="s">
        <v>15417</v>
      </c>
      <c r="B18274" t="s">
        <v>727</v>
      </c>
      <c r="C18274" s="2">
        <f>HYPERLINK("https://cao.dolgi.msk.ru/account/1080319605/", 1080319605)</f>
        <v>1080319605</v>
      </c>
      <c r="D18274" t="s">
        <v>15</v>
      </c>
      <c r="G18274" t="s">
        <v>14</v>
      </c>
      <c r="I18274" t="s">
        <v>1428</v>
      </c>
    </row>
    <row r="18275" spans="1:9" hidden="1" x14ac:dyDescent="0.25">
      <c r="A18275" t="s">
        <v>15417</v>
      </c>
      <c r="B18275" t="s">
        <v>551</v>
      </c>
      <c r="C18275" s="2">
        <f>HYPERLINK("https://cao.dolgi.msk.ru/account/1080211266/", 1080211266)</f>
        <v>1080211266</v>
      </c>
      <c r="D18275" t="s">
        <v>15521</v>
      </c>
      <c r="E18275">
        <v>-10437.790000000001</v>
      </c>
      <c r="F18275">
        <v>-2.57</v>
      </c>
      <c r="G18275" t="s">
        <v>12</v>
      </c>
      <c r="I18275" t="s">
        <v>1428</v>
      </c>
    </row>
    <row r="18276" spans="1:9" hidden="1" x14ac:dyDescent="0.25">
      <c r="A18276" t="s">
        <v>15417</v>
      </c>
      <c r="B18276" t="s">
        <v>730</v>
      </c>
      <c r="C18276" s="2">
        <f>HYPERLINK("https://cao.dolgi.msk.ru/account/1080211274/", 1080211274)</f>
        <v>1080211274</v>
      </c>
      <c r="D18276" t="s">
        <v>15522</v>
      </c>
      <c r="E18276">
        <v>-5513.84</v>
      </c>
      <c r="F18276">
        <v>-1.1499999999999999</v>
      </c>
      <c r="G18276" t="s">
        <v>12</v>
      </c>
      <c r="I18276" t="s">
        <v>1428</v>
      </c>
    </row>
    <row r="18277" spans="1:9" hidden="1" x14ac:dyDescent="0.25">
      <c r="A18277" t="s">
        <v>15417</v>
      </c>
      <c r="B18277" t="s">
        <v>732</v>
      </c>
      <c r="C18277" s="2">
        <f>HYPERLINK("https://cao.dolgi.msk.ru/account/1080211282/", 1080211282)</f>
        <v>1080211282</v>
      </c>
      <c r="D18277" t="s">
        <v>15523</v>
      </c>
      <c r="E18277">
        <v>-8553.83</v>
      </c>
      <c r="F18277">
        <v>-1.1399999999999999</v>
      </c>
      <c r="G18277" t="s">
        <v>12</v>
      </c>
      <c r="I18277" t="s">
        <v>1428</v>
      </c>
    </row>
    <row r="18278" spans="1:9" hidden="1" x14ac:dyDescent="0.25">
      <c r="A18278" t="s">
        <v>15417</v>
      </c>
      <c r="B18278" t="s">
        <v>553</v>
      </c>
      <c r="C18278" s="2">
        <f>HYPERLINK("https://cao.dolgi.msk.ru/account/1080211303/", 1080211303)</f>
        <v>1080211303</v>
      </c>
      <c r="D18278" t="s">
        <v>15524</v>
      </c>
      <c r="E18278">
        <v>-9829.48</v>
      </c>
      <c r="F18278">
        <v>-1.1499999999999999</v>
      </c>
      <c r="G18278" t="s">
        <v>12</v>
      </c>
      <c r="I18278" t="s">
        <v>1428</v>
      </c>
    </row>
    <row r="18279" spans="1:9" hidden="1" x14ac:dyDescent="0.25">
      <c r="A18279" t="s">
        <v>15417</v>
      </c>
      <c r="B18279" t="s">
        <v>555</v>
      </c>
      <c r="C18279" s="2">
        <f>HYPERLINK("https://cao.dolgi.msk.ru/account/1080211311/", 1080211311)</f>
        <v>1080211311</v>
      </c>
      <c r="D18279" t="s">
        <v>15525</v>
      </c>
      <c r="E18279">
        <v>-7175.6</v>
      </c>
      <c r="F18279">
        <v>-1.07</v>
      </c>
      <c r="G18279" t="s">
        <v>12</v>
      </c>
      <c r="I18279" t="s">
        <v>1428</v>
      </c>
    </row>
    <row r="18280" spans="1:9" hidden="1" x14ac:dyDescent="0.25">
      <c r="A18280" t="s">
        <v>15417</v>
      </c>
      <c r="B18280" t="s">
        <v>736</v>
      </c>
      <c r="C18280" s="2">
        <f>HYPERLINK("https://cao.dolgi.msk.ru/account/1080211338/", 1080211338)</f>
        <v>1080211338</v>
      </c>
      <c r="D18280" t="s">
        <v>15526</v>
      </c>
      <c r="E18280">
        <v>-582.41999999999996</v>
      </c>
      <c r="F18280">
        <v>-0.08</v>
      </c>
      <c r="G18280" t="s">
        <v>12</v>
      </c>
      <c r="I18280" t="s">
        <v>1428</v>
      </c>
    </row>
    <row r="18281" spans="1:9" hidden="1" x14ac:dyDescent="0.25">
      <c r="A18281" t="s">
        <v>15417</v>
      </c>
      <c r="B18281" t="s">
        <v>738</v>
      </c>
      <c r="C18281" s="2">
        <f>HYPERLINK("https://cao.dolgi.msk.ru/account/1080211346/", 1080211346)</f>
        <v>1080211346</v>
      </c>
      <c r="D18281" t="s">
        <v>15527</v>
      </c>
      <c r="E18281">
        <v>-11003.18</v>
      </c>
      <c r="F18281">
        <v>-1.0900000000000001</v>
      </c>
      <c r="G18281" t="s">
        <v>12</v>
      </c>
      <c r="I18281" t="s">
        <v>1428</v>
      </c>
    </row>
    <row r="18282" spans="1:9" hidden="1" x14ac:dyDescent="0.25">
      <c r="A18282" t="s">
        <v>15417</v>
      </c>
      <c r="B18282" t="s">
        <v>740</v>
      </c>
      <c r="C18282" s="2">
        <f>HYPERLINK("https://cao.dolgi.msk.ru/account/1080211354/", 1080211354)</f>
        <v>1080211354</v>
      </c>
      <c r="D18282" t="s">
        <v>15</v>
      </c>
      <c r="E18282">
        <v>-12041.33</v>
      </c>
      <c r="F18282">
        <v>-1.25</v>
      </c>
      <c r="G18282" t="s">
        <v>12</v>
      </c>
      <c r="I18282" t="s">
        <v>1428</v>
      </c>
    </row>
    <row r="18283" spans="1:9" hidden="1" x14ac:dyDescent="0.25">
      <c r="A18283" t="s">
        <v>15417</v>
      </c>
      <c r="B18283" t="s">
        <v>742</v>
      </c>
      <c r="C18283" s="2">
        <f>HYPERLINK("https://cao.dolgi.msk.ru/account/1080211362/", 1080211362)</f>
        <v>1080211362</v>
      </c>
      <c r="D18283" t="s">
        <v>15528</v>
      </c>
      <c r="E18283">
        <v>-4378.3599999999997</v>
      </c>
      <c r="F18283">
        <v>-1.24</v>
      </c>
      <c r="G18283" t="s">
        <v>12</v>
      </c>
      <c r="I18283" t="s">
        <v>1428</v>
      </c>
    </row>
    <row r="18284" spans="1:9" x14ac:dyDescent="0.25">
      <c r="A18284" t="s">
        <v>15417</v>
      </c>
      <c r="B18284" t="s">
        <v>557</v>
      </c>
      <c r="C18284" s="2">
        <f>HYPERLINK("https://cao.dolgi.msk.ru/account/1080211389/", 1080211389)</f>
        <v>1080211389</v>
      </c>
      <c r="D18284" t="s">
        <v>15529</v>
      </c>
      <c r="E18284">
        <v>9525.2900000000009</v>
      </c>
      <c r="F18284">
        <v>1.19</v>
      </c>
      <c r="G18284" t="s">
        <v>12</v>
      </c>
      <c r="I18284" t="s">
        <v>1428</v>
      </c>
    </row>
    <row r="18285" spans="1:9" hidden="1" x14ac:dyDescent="0.25">
      <c r="A18285" t="s">
        <v>15417</v>
      </c>
      <c r="B18285" t="s">
        <v>558</v>
      </c>
      <c r="C18285" s="2">
        <f>HYPERLINK("https://cao.dolgi.msk.ru/account/1080211397/", 1080211397)</f>
        <v>1080211397</v>
      </c>
      <c r="D18285" t="s">
        <v>15530</v>
      </c>
      <c r="E18285">
        <v>-5048.3999999999996</v>
      </c>
      <c r="F18285">
        <v>-1.1399999999999999</v>
      </c>
      <c r="G18285" t="s">
        <v>12</v>
      </c>
      <c r="I18285" t="s">
        <v>1428</v>
      </c>
    </row>
    <row r="18286" spans="1:9" hidden="1" x14ac:dyDescent="0.25">
      <c r="A18286" t="s">
        <v>15417</v>
      </c>
      <c r="B18286" t="s">
        <v>746</v>
      </c>
      <c r="C18286" s="2">
        <f>HYPERLINK("https://cao.dolgi.msk.ru/account/1080211418/", 1080211418)</f>
        <v>1080211418</v>
      </c>
      <c r="D18286" t="s">
        <v>15531</v>
      </c>
      <c r="E18286">
        <v>-9505.75</v>
      </c>
      <c r="F18286">
        <v>-1.1499999999999999</v>
      </c>
      <c r="G18286" t="s">
        <v>12</v>
      </c>
      <c r="I18286" t="s">
        <v>1428</v>
      </c>
    </row>
    <row r="18287" spans="1:9" hidden="1" x14ac:dyDescent="0.25">
      <c r="A18287" t="s">
        <v>15417</v>
      </c>
      <c r="B18287" t="s">
        <v>748</v>
      </c>
      <c r="C18287" s="2">
        <f>HYPERLINK("https://cao.dolgi.msk.ru/account/1080211426/", 1080211426)</f>
        <v>1080211426</v>
      </c>
      <c r="D18287" t="s">
        <v>15532</v>
      </c>
      <c r="E18287">
        <v>-14729.75</v>
      </c>
      <c r="F18287">
        <v>-2.83</v>
      </c>
      <c r="G18287" t="s">
        <v>12</v>
      </c>
      <c r="I18287" t="s">
        <v>1428</v>
      </c>
    </row>
    <row r="18288" spans="1:9" hidden="1" x14ac:dyDescent="0.25">
      <c r="A18288" t="s">
        <v>15417</v>
      </c>
      <c r="B18288" t="s">
        <v>750</v>
      </c>
      <c r="C18288" s="2">
        <f>HYPERLINK("https://cao.dolgi.msk.ru/account/1080211434/", 1080211434)</f>
        <v>1080211434</v>
      </c>
      <c r="D18288" t="s">
        <v>15533</v>
      </c>
      <c r="E18288">
        <v>-5138.43</v>
      </c>
      <c r="F18288">
        <v>-1.32</v>
      </c>
      <c r="G18288" t="s">
        <v>12</v>
      </c>
      <c r="I18288" t="s">
        <v>1428</v>
      </c>
    </row>
    <row r="18289" spans="1:9" hidden="1" x14ac:dyDescent="0.25">
      <c r="A18289" t="s">
        <v>15417</v>
      </c>
      <c r="B18289" t="s">
        <v>752</v>
      </c>
      <c r="C18289" s="2">
        <f>HYPERLINK("https://cao.dolgi.msk.ru/account/1080211442/", 1080211442)</f>
        <v>1080211442</v>
      </c>
      <c r="D18289" t="s">
        <v>15534</v>
      </c>
      <c r="E18289">
        <v>-10087.91</v>
      </c>
      <c r="F18289">
        <v>-1.1499999999999999</v>
      </c>
      <c r="G18289" t="s">
        <v>12</v>
      </c>
      <c r="I18289" t="s">
        <v>1428</v>
      </c>
    </row>
    <row r="18290" spans="1:9" hidden="1" x14ac:dyDescent="0.25">
      <c r="A18290" t="s">
        <v>15535</v>
      </c>
      <c r="B18290" t="s">
        <v>10</v>
      </c>
      <c r="C18290" s="2">
        <f>HYPERLINK("https://cao.dolgi.msk.ru/account/1080211477/", 1080211477)</f>
        <v>1080211477</v>
      </c>
      <c r="D18290" t="s">
        <v>15536</v>
      </c>
      <c r="E18290">
        <v>-39.75</v>
      </c>
      <c r="F18290">
        <v>0</v>
      </c>
      <c r="G18290" t="s">
        <v>12</v>
      </c>
      <c r="I18290" t="s">
        <v>1428</v>
      </c>
    </row>
    <row r="18291" spans="1:9" hidden="1" x14ac:dyDescent="0.25">
      <c r="A18291" t="s">
        <v>15535</v>
      </c>
      <c r="B18291" t="s">
        <v>16</v>
      </c>
      <c r="C18291" s="2">
        <f>HYPERLINK("https://cao.dolgi.msk.ru/account/1080211485/", 1080211485)</f>
        <v>1080211485</v>
      </c>
      <c r="D18291" t="s">
        <v>15537</v>
      </c>
      <c r="E18291">
        <v>-6456.59</v>
      </c>
      <c r="F18291">
        <v>-1.2</v>
      </c>
      <c r="G18291" t="s">
        <v>12</v>
      </c>
      <c r="I18291" t="s">
        <v>1428</v>
      </c>
    </row>
    <row r="18292" spans="1:9" hidden="1" x14ac:dyDescent="0.25">
      <c r="A18292" t="s">
        <v>15535</v>
      </c>
      <c r="B18292" t="s">
        <v>18</v>
      </c>
      <c r="C18292" s="2">
        <f>HYPERLINK("https://cao.dolgi.msk.ru/account/1080211493/", 1080211493)</f>
        <v>1080211493</v>
      </c>
      <c r="D18292" t="s">
        <v>15538</v>
      </c>
      <c r="E18292">
        <v>-638.5</v>
      </c>
      <c r="F18292">
        <v>-0.11</v>
      </c>
      <c r="G18292" t="s">
        <v>12</v>
      </c>
      <c r="I18292" t="s">
        <v>1428</v>
      </c>
    </row>
    <row r="18293" spans="1:9" hidden="1" x14ac:dyDescent="0.25">
      <c r="A18293" t="s">
        <v>15535</v>
      </c>
      <c r="B18293" t="s">
        <v>21</v>
      </c>
      <c r="C18293" s="2">
        <f>HYPERLINK("https://cao.dolgi.msk.ru/account/1080211506/", 1080211506)</f>
        <v>1080211506</v>
      </c>
      <c r="D18293" t="s">
        <v>15539</v>
      </c>
      <c r="E18293">
        <v>-5978.22</v>
      </c>
      <c r="F18293">
        <v>-1.1000000000000001</v>
      </c>
      <c r="G18293" t="s">
        <v>12</v>
      </c>
      <c r="I18293" t="s">
        <v>1428</v>
      </c>
    </row>
    <row r="18294" spans="1:9" hidden="1" x14ac:dyDescent="0.25">
      <c r="A18294" t="s">
        <v>15535</v>
      </c>
      <c r="B18294" t="s">
        <v>21</v>
      </c>
      <c r="C18294" s="2">
        <f>HYPERLINK("https://cao.dolgi.msk.ru/account/1089133217/", 1089133217)</f>
        <v>1089133217</v>
      </c>
      <c r="D18294" t="s">
        <v>15</v>
      </c>
      <c r="E18294">
        <v>-1874.44</v>
      </c>
      <c r="F18294">
        <v>-1.23</v>
      </c>
      <c r="G18294" t="s">
        <v>12</v>
      </c>
      <c r="I18294" t="s">
        <v>1428</v>
      </c>
    </row>
    <row r="18295" spans="1:9" hidden="1" x14ac:dyDescent="0.25">
      <c r="A18295" t="s">
        <v>15535</v>
      </c>
      <c r="B18295" t="s">
        <v>22</v>
      </c>
      <c r="C18295" s="2">
        <f>HYPERLINK("https://cao.dolgi.msk.ru/account/1080211514/", 1080211514)</f>
        <v>1080211514</v>
      </c>
      <c r="D18295" t="s">
        <v>15540</v>
      </c>
      <c r="E18295">
        <v>6.55</v>
      </c>
      <c r="F18295">
        <v>0</v>
      </c>
      <c r="G18295" t="s">
        <v>12</v>
      </c>
      <c r="I18295" t="s">
        <v>1428</v>
      </c>
    </row>
    <row r="18296" spans="1:9" hidden="1" x14ac:dyDescent="0.25">
      <c r="A18296" t="s">
        <v>15535</v>
      </c>
      <c r="B18296" t="s">
        <v>23</v>
      </c>
      <c r="C18296" s="2">
        <f>HYPERLINK("https://cao.dolgi.msk.ru/account/1080211522/", 1080211522)</f>
        <v>1080211522</v>
      </c>
      <c r="D18296" t="s">
        <v>15541</v>
      </c>
      <c r="E18296">
        <v>7.67</v>
      </c>
      <c r="F18296">
        <v>0</v>
      </c>
      <c r="G18296" t="s">
        <v>12</v>
      </c>
      <c r="I18296" t="s">
        <v>1428</v>
      </c>
    </row>
    <row r="18297" spans="1:9" hidden="1" x14ac:dyDescent="0.25">
      <c r="A18297" t="s">
        <v>15535</v>
      </c>
      <c r="B18297" t="s">
        <v>24</v>
      </c>
      <c r="C18297" s="2">
        <f>HYPERLINK("https://cao.dolgi.msk.ru/account/1080211549/", 1080211549)</f>
        <v>1080211549</v>
      </c>
      <c r="D18297" t="s">
        <v>14846</v>
      </c>
      <c r="E18297">
        <v>-3255.4</v>
      </c>
      <c r="G18297" t="s">
        <v>12</v>
      </c>
      <c r="I18297" t="s">
        <v>1428</v>
      </c>
    </row>
    <row r="18298" spans="1:9" hidden="1" x14ac:dyDescent="0.25">
      <c r="A18298" t="s">
        <v>15535</v>
      </c>
      <c r="B18298" t="s">
        <v>24</v>
      </c>
      <c r="C18298" s="2">
        <f>HYPERLINK("https://cao.dolgi.msk.ru/account/1083395769/", 1083395769)</f>
        <v>1083395769</v>
      </c>
      <c r="D18298" t="s">
        <v>189</v>
      </c>
      <c r="E18298">
        <v>-1505.36</v>
      </c>
      <c r="F18298">
        <v>-0.19</v>
      </c>
      <c r="G18298" t="s">
        <v>12</v>
      </c>
      <c r="I18298" t="s">
        <v>1428</v>
      </c>
    </row>
    <row r="18299" spans="1:9" hidden="1" x14ac:dyDescent="0.25">
      <c r="A18299" t="s">
        <v>15535</v>
      </c>
      <c r="B18299" t="s">
        <v>27</v>
      </c>
      <c r="C18299" s="2">
        <f>HYPERLINK("https://cao.dolgi.msk.ru/account/1080321254/", 1080321254)</f>
        <v>1080321254</v>
      </c>
      <c r="D18299" t="s">
        <v>15</v>
      </c>
      <c r="E18299">
        <v>-945.38</v>
      </c>
      <c r="F18299">
        <v>-7.0000000000000007E-2</v>
      </c>
      <c r="G18299" t="s">
        <v>12</v>
      </c>
      <c r="I18299" t="s">
        <v>1428</v>
      </c>
    </row>
    <row r="18300" spans="1:9" hidden="1" x14ac:dyDescent="0.25">
      <c r="A18300" t="s">
        <v>15535</v>
      </c>
      <c r="B18300" t="s">
        <v>29</v>
      </c>
      <c r="C18300" s="2">
        <f>HYPERLINK("https://cao.dolgi.msk.ru/account/1080211557/", 1080211557)</f>
        <v>1080211557</v>
      </c>
      <c r="D18300" t="s">
        <v>15542</v>
      </c>
      <c r="E18300">
        <v>-123.28</v>
      </c>
      <c r="F18300">
        <v>-0.03</v>
      </c>
      <c r="G18300" t="s">
        <v>12</v>
      </c>
      <c r="I18300" t="s">
        <v>1428</v>
      </c>
    </row>
    <row r="18301" spans="1:9" hidden="1" x14ac:dyDescent="0.25">
      <c r="A18301" t="s">
        <v>15535</v>
      </c>
      <c r="B18301" t="s">
        <v>31</v>
      </c>
      <c r="C18301" s="2">
        <f>HYPERLINK("https://cao.dolgi.msk.ru/account/1080211565/", 1080211565)</f>
        <v>1080211565</v>
      </c>
      <c r="D18301" t="s">
        <v>15543</v>
      </c>
      <c r="E18301">
        <v>-6029.03</v>
      </c>
      <c r="F18301">
        <v>-1.1499999999999999</v>
      </c>
      <c r="G18301" t="s">
        <v>12</v>
      </c>
      <c r="I18301" t="s">
        <v>1428</v>
      </c>
    </row>
    <row r="18302" spans="1:9" hidden="1" x14ac:dyDescent="0.25">
      <c r="A18302" t="s">
        <v>15535</v>
      </c>
      <c r="B18302" t="s">
        <v>33</v>
      </c>
      <c r="C18302" s="2">
        <f>HYPERLINK("https://cao.dolgi.msk.ru/account/1080211573/", 1080211573)</f>
        <v>1080211573</v>
      </c>
      <c r="D18302" t="s">
        <v>15544</v>
      </c>
      <c r="E18302">
        <v>-9044.0400000000009</v>
      </c>
      <c r="F18302">
        <v>-1.37</v>
      </c>
      <c r="G18302" t="s">
        <v>12</v>
      </c>
      <c r="I18302" t="s">
        <v>1428</v>
      </c>
    </row>
    <row r="18303" spans="1:9" hidden="1" x14ac:dyDescent="0.25">
      <c r="A18303" t="s">
        <v>15535</v>
      </c>
      <c r="B18303" t="s">
        <v>34</v>
      </c>
      <c r="C18303" s="2">
        <f>HYPERLINK("https://cao.dolgi.msk.ru/account/1080211581/", 1080211581)</f>
        <v>1080211581</v>
      </c>
      <c r="D18303" t="s">
        <v>15</v>
      </c>
      <c r="E18303">
        <v>0</v>
      </c>
      <c r="G18303" t="s">
        <v>14</v>
      </c>
      <c r="I18303" t="s">
        <v>1428</v>
      </c>
    </row>
    <row r="18304" spans="1:9" hidden="1" x14ac:dyDescent="0.25">
      <c r="A18304" t="s">
        <v>15535</v>
      </c>
      <c r="B18304" t="s">
        <v>34</v>
      </c>
      <c r="C18304" s="2">
        <f>HYPERLINK("https://cao.dolgi.msk.ru/account/1080211602/", 1080211602)</f>
        <v>1080211602</v>
      </c>
      <c r="D18304" t="s">
        <v>15545</v>
      </c>
      <c r="E18304">
        <v>0</v>
      </c>
      <c r="F18304">
        <v>0</v>
      </c>
      <c r="G18304" t="s">
        <v>12</v>
      </c>
      <c r="I18304" t="s">
        <v>1428</v>
      </c>
    </row>
    <row r="18305" spans="1:9" hidden="1" x14ac:dyDescent="0.25">
      <c r="A18305" t="s">
        <v>15535</v>
      </c>
      <c r="B18305" t="s">
        <v>36</v>
      </c>
      <c r="C18305" s="2">
        <f>HYPERLINK("https://cao.dolgi.msk.ru/account/1080211629/", 1080211629)</f>
        <v>1080211629</v>
      </c>
      <c r="D18305" t="s">
        <v>15546</v>
      </c>
      <c r="E18305">
        <v>-10580.47</v>
      </c>
      <c r="F18305">
        <v>-1.0900000000000001</v>
      </c>
      <c r="G18305" t="s">
        <v>12</v>
      </c>
      <c r="I18305" t="s">
        <v>1428</v>
      </c>
    </row>
    <row r="18306" spans="1:9" hidden="1" x14ac:dyDescent="0.25">
      <c r="A18306" t="s">
        <v>15535</v>
      </c>
      <c r="B18306" t="s">
        <v>38</v>
      </c>
      <c r="C18306" s="2">
        <f>HYPERLINK("https://cao.dolgi.msk.ru/account/1080211637/", 1080211637)</f>
        <v>1080211637</v>
      </c>
      <c r="D18306" t="s">
        <v>15547</v>
      </c>
      <c r="E18306">
        <v>-4071.32</v>
      </c>
      <c r="F18306">
        <v>-1.2</v>
      </c>
      <c r="G18306" t="s">
        <v>12</v>
      </c>
      <c r="I18306" t="s">
        <v>1428</v>
      </c>
    </row>
    <row r="18307" spans="1:9" hidden="1" x14ac:dyDescent="0.25">
      <c r="A18307" t="s">
        <v>15535</v>
      </c>
      <c r="B18307" t="s">
        <v>39</v>
      </c>
      <c r="C18307" s="2">
        <f>HYPERLINK("https://cao.dolgi.msk.ru/account/1080211645/", 1080211645)</f>
        <v>1080211645</v>
      </c>
      <c r="D18307" t="s">
        <v>15548</v>
      </c>
      <c r="E18307">
        <v>-7053.79</v>
      </c>
      <c r="F18307">
        <v>-1.21</v>
      </c>
      <c r="G18307" t="s">
        <v>12</v>
      </c>
      <c r="I18307" t="s">
        <v>1428</v>
      </c>
    </row>
    <row r="18308" spans="1:9" hidden="1" x14ac:dyDescent="0.25">
      <c r="A18308" t="s">
        <v>15535</v>
      </c>
      <c r="B18308" t="s">
        <v>40</v>
      </c>
      <c r="C18308" s="2">
        <f>HYPERLINK("https://cao.dolgi.msk.ru/account/1080211653/", 1080211653)</f>
        <v>1080211653</v>
      </c>
      <c r="D18308" t="s">
        <v>15549</v>
      </c>
      <c r="E18308">
        <v>-14282.41</v>
      </c>
      <c r="F18308">
        <v>-1.02</v>
      </c>
      <c r="G18308" t="s">
        <v>12</v>
      </c>
      <c r="I18308" t="s">
        <v>1428</v>
      </c>
    </row>
    <row r="18309" spans="1:9" hidden="1" x14ac:dyDescent="0.25">
      <c r="A18309" t="s">
        <v>15535</v>
      </c>
      <c r="B18309" t="s">
        <v>41</v>
      </c>
      <c r="C18309" s="2">
        <f>HYPERLINK("https://cao.dolgi.msk.ru/account/1080211661/", 1080211661)</f>
        <v>1080211661</v>
      </c>
      <c r="D18309" t="s">
        <v>15550</v>
      </c>
      <c r="E18309">
        <v>-6006.02</v>
      </c>
      <c r="F18309">
        <v>-0.88</v>
      </c>
      <c r="G18309" t="s">
        <v>12</v>
      </c>
      <c r="I18309" t="s">
        <v>1428</v>
      </c>
    </row>
    <row r="18310" spans="1:9" hidden="1" x14ac:dyDescent="0.25">
      <c r="A18310" t="s">
        <v>15535</v>
      </c>
      <c r="B18310" t="s">
        <v>42</v>
      </c>
      <c r="C18310" s="2">
        <f>HYPERLINK("https://cao.dolgi.msk.ru/account/1080211688/", 1080211688)</f>
        <v>1080211688</v>
      </c>
      <c r="D18310" t="s">
        <v>15551</v>
      </c>
      <c r="E18310">
        <v>0</v>
      </c>
      <c r="F18310">
        <v>0</v>
      </c>
      <c r="G18310" t="s">
        <v>12</v>
      </c>
      <c r="I18310" t="s">
        <v>1428</v>
      </c>
    </row>
    <row r="18311" spans="1:9" hidden="1" x14ac:dyDescent="0.25">
      <c r="A18311" t="s">
        <v>15535</v>
      </c>
      <c r="B18311" t="s">
        <v>44</v>
      </c>
      <c r="C18311" s="2">
        <f>HYPERLINK("https://cao.dolgi.msk.ru/account/1080211696/", 1080211696)</f>
        <v>1080211696</v>
      </c>
      <c r="D18311" t="s">
        <v>15552</v>
      </c>
      <c r="E18311">
        <v>-6128.14</v>
      </c>
      <c r="F18311">
        <v>-1.2</v>
      </c>
      <c r="G18311" t="s">
        <v>12</v>
      </c>
      <c r="I18311" t="s">
        <v>1428</v>
      </c>
    </row>
    <row r="18312" spans="1:9" hidden="1" x14ac:dyDescent="0.25">
      <c r="A18312" t="s">
        <v>15535</v>
      </c>
      <c r="B18312" t="s">
        <v>66</v>
      </c>
      <c r="C18312" s="2">
        <f>HYPERLINK("https://cao.dolgi.msk.ru/account/1080211709/", 1080211709)</f>
        <v>1080211709</v>
      </c>
      <c r="D18312" t="s">
        <v>15553</v>
      </c>
      <c r="E18312">
        <v>-5713.4</v>
      </c>
      <c r="F18312">
        <v>-1.32</v>
      </c>
      <c r="G18312" t="s">
        <v>12</v>
      </c>
      <c r="I18312" t="s">
        <v>1428</v>
      </c>
    </row>
    <row r="18313" spans="1:9" hidden="1" x14ac:dyDescent="0.25">
      <c r="A18313" t="s">
        <v>15535</v>
      </c>
      <c r="B18313" t="s">
        <v>68</v>
      </c>
      <c r="C18313" s="2">
        <f>HYPERLINK("https://cao.dolgi.msk.ru/account/1080211717/", 1080211717)</f>
        <v>1080211717</v>
      </c>
      <c r="D18313" t="s">
        <v>15554</v>
      </c>
      <c r="E18313">
        <v>-5787.49</v>
      </c>
      <c r="F18313">
        <v>-1.0900000000000001</v>
      </c>
      <c r="G18313" t="s">
        <v>12</v>
      </c>
      <c r="I18313" t="s">
        <v>1428</v>
      </c>
    </row>
    <row r="18314" spans="1:9" hidden="1" x14ac:dyDescent="0.25">
      <c r="A18314" t="s">
        <v>15535</v>
      </c>
      <c r="B18314" t="s">
        <v>70</v>
      </c>
      <c r="C18314" s="2">
        <f>HYPERLINK("https://cao.dolgi.msk.ru/account/1080211725/", 1080211725)</f>
        <v>1080211725</v>
      </c>
      <c r="D18314" t="s">
        <v>15555</v>
      </c>
      <c r="E18314">
        <v>-8149.97</v>
      </c>
      <c r="F18314">
        <v>-1.03</v>
      </c>
      <c r="G18314" t="s">
        <v>12</v>
      </c>
      <c r="I18314" t="s">
        <v>1428</v>
      </c>
    </row>
    <row r="18315" spans="1:9" hidden="1" x14ac:dyDescent="0.25">
      <c r="A18315" t="s">
        <v>15535</v>
      </c>
      <c r="B18315" t="s">
        <v>72</v>
      </c>
      <c r="C18315" s="2">
        <f>HYPERLINK("https://cao.dolgi.msk.ru/account/1080321262/", 1080321262)</f>
        <v>1080321262</v>
      </c>
      <c r="D18315" t="s">
        <v>15556</v>
      </c>
      <c r="E18315">
        <v>-8094.44</v>
      </c>
      <c r="F18315">
        <v>-1.17</v>
      </c>
      <c r="G18315" t="s">
        <v>12</v>
      </c>
      <c r="I18315" t="s">
        <v>1428</v>
      </c>
    </row>
    <row r="18316" spans="1:9" hidden="1" x14ac:dyDescent="0.25">
      <c r="A18316" t="s">
        <v>15535</v>
      </c>
      <c r="B18316" t="s">
        <v>74</v>
      </c>
      <c r="C18316" s="2">
        <f>HYPERLINK("https://cao.dolgi.msk.ru/account/1080211733/", 1080211733)</f>
        <v>1080211733</v>
      </c>
      <c r="D18316" t="s">
        <v>15557</v>
      </c>
      <c r="E18316">
        <v>-5601.12</v>
      </c>
      <c r="F18316">
        <v>-1.2</v>
      </c>
      <c r="G18316" t="s">
        <v>12</v>
      </c>
      <c r="I18316" t="s">
        <v>1428</v>
      </c>
    </row>
    <row r="18317" spans="1:9" hidden="1" x14ac:dyDescent="0.25">
      <c r="A18317" t="s">
        <v>15535</v>
      </c>
      <c r="B18317" t="s">
        <v>76</v>
      </c>
      <c r="C18317" s="2">
        <f>HYPERLINK("https://cao.dolgi.msk.ru/account/1080211741/", 1080211741)</f>
        <v>1080211741</v>
      </c>
      <c r="D18317" t="s">
        <v>15558</v>
      </c>
      <c r="E18317">
        <v>-934.04</v>
      </c>
      <c r="G18317" t="s">
        <v>14</v>
      </c>
      <c r="I18317" t="s">
        <v>1428</v>
      </c>
    </row>
    <row r="18318" spans="1:9" hidden="1" x14ac:dyDescent="0.25">
      <c r="A18318" t="s">
        <v>15535</v>
      </c>
      <c r="B18318" t="s">
        <v>76</v>
      </c>
      <c r="C18318" s="2">
        <f>HYPERLINK("https://cao.dolgi.msk.ru/account/1083274051/", 1083274051)</f>
        <v>1083274051</v>
      </c>
      <c r="D18318" t="s">
        <v>15558</v>
      </c>
      <c r="E18318">
        <v>-7040.76</v>
      </c>
      <c r="F18318">
        <v>-1.18</v>
      </c>
      <c r="G18318" t="s">
        <v>12</v>
      </c>
      <c r="I18318" t="s">
        <v>1428</v>
      </c>
    </row>
    <row r="18319" spans="1:9" hidden="1" x14ac:dyDescent="0.25">
      <c r="A18319" t="s">
        <v>15535</v>
      </c>
      <c r="B18319" t="s">
        <v>78</v>
      </c>
      <c r="C18319" s="2">
        <f>HYPERLINK("https://cao.dolgi.msk.ru/account/1080211768/", 1080211768)</f>
        <v>1080211768</v>
      </c>
      <c r="D18319" t="s">
        <v>15559</v>
      </c>
      <c r="E18319">
        <v>-6461.6</v>
      </c>
      <c r="F18319">
        <v>-1.1399999999999999</v>
      </c>
      <c r="G18319" t="s">
        <v>12</v>
      </c>
      <c r="I18319" t="s">
        <v>1428</v>
      </c>
    </row>
    <row r="18320" spans="1:9" hidden="1" x14ac:dyDescent="0.25">
      <c r="A18320" t="s">
        <v>15535</v>
      </c>
      <c r="B18320" t="s">
        <v>80</v>
      </c>
      <c r="C18320" s="2">
        <f>HYPERLINK("https://cao.dolgi.msk.ru/account/1080211776/", 1080211776)</f>
        <v>1080211776</v>
      </c>
      <c r="D18320" t="s">
        <v>15560</v>
      </c>
      <c r="E18320">
        <v>9217.33</v>
      </c>
      <c r="F18320">
        <v>0.92</v>
      </c>
      <c r="G18320" t="s">
        <v>12</v>
      </c>
      <c r="I18320" t="s">
        <v>1428</v>
      </c>
    </row>
    <row r="18321" spans="1:9" hidden="1" x14ac:dyDescent="0.25">
      <c r="A18321" t="s">
        <v>15535</v>
      </c>
      <c r="B18321" t="s">
        <v>82</v>
      </c>
      <c r="C18321" s="2">
        <f>HYPERLINK("https://cao.dolgi.msk.ru/account/1080211784/", 1080211784)</f>
        <v>1080211784</v>
      </c>
      <c r="D18321" t="s">
        <v>15561</v>
      </c>
      <c r="E18321">
        <v>-9448.57</v>
      </c>
      <c r="F18321">
        <v>-0.86</v>
      </c>
      <c r="G18321" t="s">
        <v>12</v>
      </c>
      <c r="I18321" t="s">
        <v>1428</v>
      </c>
    </row>
    <row r="18322" spans="1:9" hidden="1" x14ac:dyDescent="0.25">
      <c r="A18322" t="s">
        <v>15535</v>
      </c>
      <c r="B18322" t="s">
        <v>84</v>
      </c>
      <c r="C18322" s="2">
        <f>HYPERLINK("https://cao.dolgi.msk.ru/account/1080211792/", 1080211792)</f>
        <v>1080211792</v>
      </c>
      <c r="D18322" t="s">
        <v>15562</v>
      </c>
      <c r="E18322">
        <v>-3700.32</v>
      </c>
      <c r="F18322">
        <v>-1.31</v>
      </c>
      <c r="G18322" t="s">
        <v>12</v>
      </c>
      <c r="I18322" t="s">
        <v>1428</v>
      </c>
    </row>
    <row r="18323" spans="1:9" hidden="1" x14ac:dyDescent="0.25">
      <c r="A18323" t="s">
        <v>15535</v>
      </c>
      <c r="B18323" t="s">
        <v>86</v>
      </c>
      <c r="C18323" s="2">
        <f>HYPERLINK("https://cao.dolgi.msk.ru/account/1080211805/", 1080211805)</f>
        <v>1080211805</v>
      </c>
      <c r="D18323" t="s">
        <v>15563</v>
      </c>
      <c r="E18323">
        <v>0</v>
      </c>
      <c r="F18323">
        <v>0</v>
      </c>
      <c r="G18323" t="s">
        <v>12</v>
      </c>
      <c r="I18323" t="s">
        <v>1428</v>
      </c>
    </row>
    <row r="18324" spans="1:9" hidden="1" x14ac:dyDescent="0.25">
      <c r="A18324" t="s">
        <v>15535</v>
      </c>
      <c r="B18324" t="s">
        <v>88</v>
      </c>
      <c r="C18324" s="2">
        <f>HYPERLINK("https://cao.dolgi.msk.ru/account/1080321334/", 1080321334)</f>
        <v>1080321334</v>
      </c>
      <c r="D18324" t="s">
        <v>15</v>
      </c>
      <c r="E18324">
        <v>-11162.57</v>
      </c>
      <c r="F18324">
        <v>-1.54</v>
      </c>
      <c r="G18324" t="s">
        <v>12</v>
      </c>
      <c r="I18324" t="s">
        <v>1428</v>
      </c>
    </row>
    <row r="18325" spans="1:9" hidden="1" x14ac:dyDescent="0.25">
      <c r="A18325" t="s">
        <v>15535</v>
      </c>
      <c r="B18325" t="s">
        <v>92</v>
      </c>
      <c r="C18325" s="2">
        <f>HYPERLINK("https://cao.dolgi.msk.ru/account/1080211813/", 1080211813)</f>
        <v>1080211813</v>
      </c>
      <c r="D18325" t="s">
        <v>15564</v>
      </c>
      <c r="E18325">
        <v>-6121.01</v>
      </c>
      <c r="F18325">
        <v>-1.43</v>
      </c>
      <c r="G18325" t="s">
        <v>12</v>
      </c>
      <c r="I18325" t="s">
        <v>1428</v>
      </c>
    </row>
    <row r="18326" spans="1:9" x14ac:dyDescent="0.25">
      <c r="A18326" t="s">
        <v>15535</v>
      </c>
      <c r="B18326" t="s">
        <v>94</v>
      </c>
      <c r="C18326" s="2">
        <f>HYPERLINK("https://cao.dolgi.msk.ru/account/1080211821/", 1080211821)</f>
        <v>1080211821</v>
      </c>
      <c r="D18326" t="s">
        <v>15565</v>
      </c>
      <c r="E18326">
        <v>62622.49</v>
      </c>
      <c r="F18326">
        <v>14.37</v>
      </c>
      <c r="G18326" t="s">
        <v>12</v>
      </c>
      <c r="H18326" t="s">
        <v>7</v>
      </c>
      <c r="I18326" t="s">
        <v>1428</v>
      </c>
    </row>
    <row r="18327" spans="1:9" hidden="1" x14ac:dyDescent="0.25">
      <c r="A18327" t="s">
        <v>15535</v>
      </c>
      <c r="B18327" t="s">
        <v>94</v>
      </c>
      <c r="C18327" s="2">
        <f>HYPERLINK("https://cao.dolgi.msk.ru/account/1080211848/", 1080211848)</f>
        <v>1080211848</v>
      </c>
      <c r="D18327" t="s">
        <v>15566</v>
      </c>
      <c r="E18327">
        <v>-4544.76</v>
      </c>
      <c r="F18327">
        <v>-1.34</v>
      </c>
      <c r="G18327" t="s">
        <v>12</v>
      </c>
      <c r="H18327" t="s">
        <v>7</v>
      </c>
      <c r="I18327" t="s">
        <v>1428</v>
      </c>
    </row>
    <row r="18328" spans="1:9" hidden="1" x14ac:dyDescent="0.25">
      <c r="A18328" t="s">
        <v>15535</v>
      </c>
      <c r="B18328" t="s">
        <v>94</v>
      </c>
      <c r="C18328" s="2">
        <f>HYPERLINK("https://cao.dolgi.msk.ru/account/1080211856/", 1080211856)</f>
        <v>1080211856</v>
      </c>
      <c r="D18328" t="s">
        <v>15566</v>
      </c>
      <c r="E18328">
        <v>-5471.91</v>
      </c>
      <c r="G18328" t="s">
        <v>12</v>
      </c>
      <c r="H18328" t="s">
        <v>7</v>
      </c>
      <c r="I18328" t="s">
        <v>1428</v>
      </c>
    </row>
    <row r="18329" spans="1:9" hidden="1" x14ac:dyDescent="0.25">
      <c r="A18329" t="s">
        <v>15535</v>
      </c>
      <c r="B18329" t="s">
        <v>96</v>
      </c>
      <c r="C18329" s="2">
        <f>HYPERLINK("https://cao.dolgi.msk.ru/account/1080211864/", 1080211864)</f>
        <v>1080211864</v>
      </c>
      <c r="D18329" t="s">
        <v>15567</v>
      </c>
      <c r="E18329">
        <v>-9872.83</v>
      </c>
      <c r="F18329">
        <v>-1.27</v>
      </c>
      <c r="G18329" t="s">
        <v>12</v>
      </c>
      <c r="I18329" t="s">
        <v>1428</v>
      </c>
    </row>
    <row r="18330" spans="1:9" hidden="1" x14ac:dyDescent="0.25">
      <c r="A18330" t="s">
        <v>15535</v>
      </c>
      <c r="B18330" t="s">
        <v>98</v>
      </c>
      <c r="C18330" s="2">
        <f>HYPERLINK("https://cao.dolgi.msk.ru/account/1080211899/", 1080211899)</f>
        <v>1080211899</v>
      </c>
      <c r="D18330" t="s">
        <v>15568</v>
      </c>
      <c r="E18330">
        <v>-7885.67</v>
      </c>
      <c r="F18330">
        <v>-1.87</v>
      </c>
      <c r="G18330" t="s">
        <v>12</v>
      </c>
      <c r="I18330" t="s">
        <v>1428</v>
      </c>
    </row>
    <row r="18331" spans="1:9" hidden="1" x14ac:dyDescent="0.25">
      <c r="A18331" t="s">
        <v>15535</v>
      </c>
      <c r="B18331" t="s">
        <v>100</v>
      </c>
      <c r="C18331" s="2">
        <f>HYPERLINK("https://cao.dolgi.msk.ru/account/1080211901/", 1080211901)</f>
        <v>1080211901</v>
      </c>
      <c r="D18331" t="s">
        <v>15569</v>
      </c>
      <c r="E18331">
        <v>-3987.99</v>
      </c>
      <c r="F18331">
        <v>-1.19</v>
      </c>
      <c r="G18331" t="s">
        <v>12</v>
      </c>
      <c r="I18331" t="s">
        <v>1428</v>
      </c>
    </row>
    <row r="18332" spans="1:9" hidden="1" x14ac:dyDescent="0.25">
      <c r="A18332" t="s">
        <v>15535</v>
      </c>
      <c r="B18332" t="s">
        <v>102</v>
      </c>
      <c r="C18332" s="2">
        <f>HYPERLINK("https://cao.dolgi.msk.ru/account/1080211928/", 1080211928)</f>
        <v>1080211928</v>
      </c>
      <c r="D18332" t="s">
        <v>15570</v>
      </c>
      <c r="E18332">
        <v>-10419.23</v>
      </c>
      <c r="F18332">
        <v>-1.1499999999999999</v>
      </c>
      <c r="G18332" t="s">
        <v>12</v>
      </c>
      <c r="I18332" t="s">
        <v>1428</v>
      </c>
    </row>
    <row r="18333" spans="1:9" hidden="1" x14ac:dyDescent="0.25">
      <c r="A18333" t="s">
        <v>15535</v>
      </c>
      <c r="B18333" t="s">
        <v>104</v>
      </c>
      <c r="C18333" s="2">
        <f>HYPERLINK("https://cao.dolgi.msk.ru/account/1080211936/", 1080211936)</f>
        <v>1080211936</v>
      </c>
      <c r="D18333" t="s">
        <v>15571</v>
      </c>
      <c r="E18333">
        <v>-8189.13</v>
      </c>
      <c r="F18333">
        <v>-1.1499999999999999</v>
      </c>
      <c r="G18333" t="s">
        <v>12</v>
      </c>
      <c r="I18333" t="s">
        <v>1428</v>
      </c>
    </row>
    <row r="18334" spans="1:9" hidden="1" x14ac:dyDescent="0.25">
      <c r="A18334" t="s">
        <v>15535</v>
      </c>
      <c r="B18334" t="s">
        <v>106</v>
      </c>
      <c r="C18334" s="2">
        <f>HYPERLINK("https://cao.dolgi.msk.ru/account/1080211944/", 1080211944)</f>
        <v>1080211944</v>
      </c>
      <c r="D18334" t="s">
        <v>15572</v>
      </c>
      <c r="E18334">
        <v>-15042.24</v>
      </c>
      <c r="F18334">
        <v>-2.48</v>
      </c>
      <c r="G18334" t="s">
        <v>12</v>
      </c>
      <c r="I18334" t="s">
        <v>1428</v>
      </c>
    </row>
    <row r="18335" spans="1:9" hidden="1" x14ac:dyDescent="0.25">
      <c r="A18335" t="s">
        <v>15535</v>
      </c>
      <c r="B18335" t="s">
        <v>108</v>
      </c>
      <c r="C18335" s="2">
        <f>HYPERLINK("https://cao.dolgi.msk.ru/account/1080211952/", 1080211952)</f>
        <v>1080211952</v>
      </c>
      <c r="D18335" t="s">
        <v>15573</v>
      </c>
      <c r="E18335">
        <v>155.38999999999999</v>
      </c>
      <c r="F18335">
        <v>0.02</v>
      </c>
      <c r="G18335" t="s">
        <v>12</v>
      </c>
      <c r="I18335" t="s">
        <v>1428</v>
      </c>
    </row>
    <row r="18336" spans="1:9" hidden="1" x14ac:dyDescent="0.25">
      <c r="A18336" t="s">
        <v>15535</v>
      </c>
      <c r="B18336" t="s">
        <v>110</v>
      </c>
      <c r="C18336" s="2">
        <f>HYPERLINK("https://cao.dolgi.msk.ru/account/1080211979/", 1080211979)</f>
        <v>1080211979</v>
      </c>
      <c r="D18336" t="s">
        <v>15574</v>
      </c>
      <c r="E18336">
        <v>-2218.4299999999998</v>
      </c>
      <c r="F18336">
        <v>-0.33</v>
      </c>
      <c r="G18336" t="s">
        <v>12</v>
      </c>
      <c r="I18336" t="s">
        <v>1428</v>
      </c>
    </row>
    <row r="18337" spans="1:9" hidden="1" x14ac:dyDescent="0.25">
      <c r="A18337" t="s">
        <v>15535</v>
      </c>
      <c r="B18337" t="s">
        <v>112</v>
      </c>
      <c r="C18337" s="2">
        <f>HYPERLINK("https://cao.dolgi.msk.ru/account/1080211987/", 1080211987)</f>
        <v>1080211987</v>
      </c>
      <c r="D18337" t="s">
        <v>15575</v>
      </c>
      <c r="E18337">
        <v>-6788.08</v>
      </c>
      <c r="F18337">
        <v>-1.3</v>
      </c>
      <c r="G18337" t="s">
        <v>12</v>
      </c>
      <c r="I18337" t="s">
        <v>1428</v>
      </c>
    </row>
    <row r="18338" spans="1:9" hidden="1" x14ac:dyDescent="0.25">
      <c r="A18338" t="s">
        <v>15535</v>
      </c>
      <c r="B18338" t="s">
        <v>114</v>
      </c>
      <c r="C18338" s="2">
        <f>HYPERLINK("https://cao.dolgi.msk.ru/account/1080211995/", 1080211995)</f>
        <v>1080211995</v>
      </c>
      <c r="D18338" t="s">
        <v>15576</v>
      </c>
      <c r="E18338">
        <v>-4277.01</v>
      </c>
      <c r="F18338">
        <v>-1.1399999999999999</v>
      </c>
      <c r="G18338" t="s">
        <v>12</v>
      </c>
      <c r="I18338" t="s">
        <v>1428</v>
      </c>
    </row>
    <row r="18339" spans="1:9" hidden="1" x14ac:dyDescent="0.25">
      <c r="A18339" t="s">
        <v>15535</v>
      </c>
      <c r="B18339" t="s">
        <v>116</v>
      </c>
      <c r="C18339" s="2">
        <f>HYPERLINK("https://cao.dolgi.msk.ru/account/1080212007/", 1080212007)</f>
        <v>1080212007</v>
      </c>
      <c r="D18339" t="s">
        <v>15577</v>
      </c>
      <c r="E18339">
        <v>-112.32</v>
      </c>
      <c r="F18339">
        <v>-0.03</v>
      </c>
      <c r="G18339" t="s">
        <v>12</v>
      </c>
      <c r="I18339" t="s">
        <v>1428</v>
      </c>
    </row>
    <row r="18340" spans="1:9" hidden="1" x14ac:dyDescent="0.25">
      <c r="A18340" t="s">
        <v>15535</v>
      </c>
      <c r="B18340" t="s">
        <v>118</v>
      </c>
      <c r="C18340" s="2">
        <f>HYPERLINK("https://cao.dolgi.msk.ru/account/1080212015/", 1080212015)</f>
        <v>1080212015</v>
      </c>
      <c r="D18340" t="s">
        <v>15578</v>
      </c>
      <c r="E18340">
        <v>135.97999999999999</v>
      </c>
      <c r="F18340">
        <v>0.02</v>
      </c>
      <c r="G18340" t="s">
        <v>12</v>
      </c>
      <c r="I18340" t="s">
        <v>1428</v>
      </c>
    </row>
    <row r="18341" spans="1:9" hidden="1" x14ac:dyDescent="0.25">
      <c r="A18341" t="s">
        <v>15535</v>
      </c>
      <c r="B18341" t="s">
        <v>120</v>
      </c>
      <c r="C18341" s="2">
        <f>HYPERLINK("https://cao.dolgi.msk.ru/account/1080212023/", 1080212023)</f>
        <v>1080212023</v>
      </c>
      <c r="D18341" t="s">
        <v>15579</v>
      </c>
      <c r="E18341">
        <v>-11193.69</v>
      </c>
      <c r="F18341">
        <v>-1.22</v>
      </c>
      <c r="G18341" t="s">
        <v>12</v>
      </c>
      <c r="I18341" t="s">
        <v>1428</v>
      </c>
    </row>
    <row r="18342" spans="1:9" hidden="1" x14ac:dyDescent="0.25">
      <c r="A18342" t="s">
        <v>15535</v>
      </c>
      <c r="B18342" t="s">
        <v>122</v>
      </c>
      <c r="C18342" s="2">
        <f>HYPERLINK("https://cao.dolgi.msk.ru/account/1080212031/", 1080212031)</f>
        <v>1080212031</v>
      </c>
      <c r="D18342" t="s">
        <v>15580</v>
      </c>
      <c r="E18342">
        <v>-5712.11</v>
      </c>
      <c r="F18342">
        <v>-0.73</v>
      </c>
      <c r="G18342" t="s">
        <v>12</v>
      </c>
      <c r="I18342" t="s">
        <v>1428</v>
      </c>
    </row>
    <row r="18343" spans="1:9" hidden="1" x14ac:dyDescent="0.25">
      <c r="A18343" t="s">
        <v>15535</v>
      </c>
      <c r="B18343" t="s">
        <v>124</v>
      </c>
      <c r="C18343" s="2">
        <f>HYPERLINK("https://cao.dolgi.msk.ru/account/1080212058/", 1080212058)</f>
        <v>1080212058</v>
      </c>
      <c r="D18343" t="s">
        <v>15581</v>
      </c>
      <c r="E18343">
        <v>-5277.75</v>
      </c>
      <c r="F18343">
        <v>-1.17</v>
      </c>
      <c r="G18343" t="s">
        <v>12</v>
      </c>
      <c r="I18343" t="s">
        <v>1428</v>
      </c>
    </row>
    <row r="18344" spans="1:9" hidden="1" x14ac:dyDescent="0.25">
      <c r="A18344" t="s">
        <v>15535</v>
      </c>
      <c r="B18344" t="s">
        <v>126</v>
      </c>
      <c r="C18344" s="2">
        <f>HYPERLINK("https://cao.dolgi.msk.ru/account/1080212066/", 1080212066)</f>
        <v>1080212066</v>
      </c>
      <c r="D18344" t="s">
        <v>15</v>
      </c>
      <c r="E18344">
        <v>0</v>
      </c>
      <c r="G18344" t="s">
        <v>14</v>
      </c>
      <c r="I18344" t="s">
        <v>1428</v>
      </c>
    </row>
    <row r="18345" spans="1:9" hidden="1" x14ac:dyDescent="0.25">
      <c r="A18345" t="s">
        <v>15535</v>
      </c>
      <c r="B18345" t="s">
        <v>126</v>
      </c>
      <c r="C18345" s="2">
        <f>HYPERLINK("https://cao.dolgi.msk.ru/account/1080212074/", 1080212074)</f>
        <v>1080212074</v>
      </c>
      <c r="D18345" t="s">
        <v>15</v>
      </c>
      <c r="G18345" t="s">
        <v>14</v>
      </c>
      <c r="I18345" t="s">
        <v>1428</v>
      </c>
    </row>
    <row r="18346" spans="1:9" hidden="1" x14ac:dyDescent="0.25">
      <c r="A18346" t="s">
        <v>15535</v>
      </c>
      <c r="B18346" t="s">
        <v>126</v>
      </c>
      <c r="C18346" s="2">
        <f>HYPERLINK("https://cao.dolgi.msk.ru/account/1080321473/", 1080321473)</f>
        <v>1080321473</v>
      </c>
      <c r="D18346" t="s">
        <v>15582</v>
      </c>
      <c r="E18346">
        <v>-4407.91</v>
      </c>
      <c r="F18346">
        <v>-0.34</v>
      </c>
      <c r="G18346" t="s">
        <v>12</v>
      </c>
      <c r="I18346" t="s">
        <v>1428</v>
      </c>
    </row>
    <row r="18347" spans="1:9" hidden="1" x14ac:dyDescent="0.25">
      <c r="A18347" t="s">
        <v>15535</v>
      </c>
      <c r="B18347" t="s">
        <v>128</v>
      </c>
      <c r="C18347" s="2">
        <f>HYPERLINK("https://cao.dolgi.msk.ru/account/1080212082/", 1080212082)</f>
        <v>1080212082</v>
      </c>
      <c r="D18347" t="s">
        <v>15583</v>
      </c>
      <c r="E18347">
        <v>-9193.26</v>
      </c>
      <c r="F18347">
        <v>-1.1499999999999999</v>
      </c>
      <c r="G18347" t="s">
        <v>12</v>
      </c>
      <c r="I18347" t="s">
        <v>1428</v>
      </c>
    </row>
    <row r="18348" spans="1:9" hidden="1" x14ac:dyDescent="0.25">
      <c r="A18348" t="s">
        <v>15535</v>
      </c>
      <c r="B18348" t="s">
        <v>130</v>
      </c>
      <c r="C18348" s="2">
        <f>HYPERLINK("https://cao.dolgi.msk.ru/account/1080212103/", 1080212103)</f>
        <v>1080212103</v>
      </c>
      <c r="D18348" t="s">
        <v>15584</v>
      </c>
      <c r="E18348">
        <v>-5332.42</v>
      </c>
      <c r="F18348">
        <v>-1.0900000000000001</v>
      </c>
      <c r="G18348" t="s">
        <v>12</v>
      </c>
      <c r="I18348" t="s">
        <v>1428</v>
      </c>
    </row>
    <row r="18349" spans="1:9" hidden="1" x14ac:dyDescent="0.25">
      <c r="A18349" t="s">
        <v>15535</v>
      </c>
      <c r="B18349" t="s">
        <v>132</v>
      </c>
      <c r="C18349" s="2">
        <f>HYPERLINK("https://cao.dolgi.msk.ru/account/1080212111/", 1080212111)</f>
        <v>1080212111</v>
      </c>
      <c r="D18349" t="s">
        <v>15585</v>
      </c>
      <c r="E18349">
        <v>-5145.87</v>
      </c>
      <c r="F18349">
        <v>-1.35</v>
      </c>
      <c r="G18349" t="s">
        <v>12</v>
      </c>
      <c r="I18349" t="s">
        <v>1428</v>
      </c>
    </row>
    <row r="18350" spans="1:9" hidden="1" x14ac:dyDescent="0.25">
      <c r="A18350" t="s">
        <v>15535</v>
      </c>
      <c r="B18350" t="s">
        <v>133</v>
      </c>
      <c r="C18350" s="2">
        <f>HYPERLINK("https://cao.dolgi.msk.ru/account/1080212138/", 1080212138)</f>
        <v>1080212138</v>
      </c>
      <c r="D18350" t="s">
        <v>15586</v>
      </c>
      <c r="E18350">
        <v>0</v>
      </c>
      <c r="F18350">
        <v>0</v>
      </c>
      <c r="G18350" t="s">
        <v>12</v>
      </c>
      <c r="I18350" t="s">
        <v>1428</v>
      </c>
    </row>
    <row r="18351" spans="1:9" hidden="1" x14ac:dyDescent="0.25">
      <c r="A18351" t="s">
        <v>15535</v>
      </c>
      <c r="B18351" t="s">
        <v>135</v>
      </c>
      <c r="C18351" s="2">
        <f>HYPERLINK("https://cao.dolgi.msk.ru/account/1080212146/", 1080212146)</f>
        <v>1080212146</v>
      </c>
      <c r="D18351" t="s">
        <v>15587</v>
      </c>
      <c r="E18351">
        <v>-7890.98</v>
      </c>
      <c r="F18351">
        <v>-1.1299999999999999</v>
      </c>
      <c r="G18351" t="s">
        <v>12</v>
      </c>
      <c r="I18351" t="s">
        <v>1428</v>
      </c>
    </row>
    <row r="18352" spans="1:9" hidden="1" x14ac:dyDescent="0.25">
      <c r="A18352" t="s">
        <v>15535</v>
      </c>
      <c r="B18352" t="s">
        <v>137</v>
      </c>
      <c r="C18352" s="2">
        <f>HYPERLINK("https://cao.dolgi.msk.ru/account/1080212154/", 1080212154)</f>
        <v>1080212154</v>
      </c>
      <c r="D18352" t="s">
        <v>15588</v>
      </c>
      <c r="E18352">
        <v>-1202.3399999999999</v>
      </c>
      <c r="F18352">
        <v>-0.2</v>
      </c>
      <c r="G18352" t="s">
        <v>12</v>
      </c>
      <c r="I18352" t="s">
        <v>1428</v>
      </c>
    </row>
    <row r="18353" spans="1:9" hidden="1" x14ac:dyDescent="0.25">
      <c r="A18353" t="s">
        <v>15535</v>
      </c>
      <c r="B18353" t="s">
        <v>139</v>
      </c>
      <c r="C18353" s="2">
        <f>HYPERLINK("https://cao.dolgi.msk.ru/account/1080212162/", 1080212162)</f>
        <v>1080212162</v>
      </c>
      <c r="D18353" t="s">
        <v>15589</v>
      </c>
      <c r="E18353">
        <v>-4660.67</v>
      </c>
      <c r="F18353">
        <v>-1.2</v>
      </c>
      <c r="G18353" t="s">
        <v>12</v>
      </c>
      <c r="I18353" t="s">
        <v>1428</v>
      </c>
    </row>
    <row r="18354" spans="1:9" hidden="1" x14ac:dyDescent="0.25">
      <c r="A18354" t="s">
        <v>15535</v>
      </c>
      <c r="B18354" t="s">
        <v>141</v>
      </c>
      <c r="C18354" s="2">
        <f>HYPERLINK("https://cao.dolgi.msk.ru/account/1080212218/", 1080212218)</f>
        <v>1080212218</v>
      </c>
      <c r="D18354" t="s">
        <v>15590</v>
      </c>
      <c r="E18354">
        <v>-10497.1</v>
      </c>
      <c r="F18354">
        <v>-2.56</v>
      </c>
      <c r="G18354" t="s">
        <v>12</v>
      </c>
      <c r="I18354" t="s">
        <v>1428</v>
      </c>
    </row>
    <row r="18355" spans="1:9" hidden="1" x14ac:dyDescent="0.25">
      <c r="A18355" t="s">
        <v>15535</v>
      </c>
      <c r="B18355" t="s">
        <v>143</v>
      </c>
      <c r="C18355" s="2">
        <f>HYPERLINK("https://cao.dolgi.msk.ru/account/1080212189/", 1080212189)</f>
        <v>1080212189</v>
      </c>
      <c r="D18355" t="s">
        <v>15591</v>
      </c>
      <c r="E18355">
        <v>0</v>
      </c>
      <c r="F18355">
        <v>0</v>
      </c>
      <c r="G18355" t="s">
        <v>12</v>
      </c>
      <c r="I18355" t="s">
        <v>1428</v>
      </c>
    </row>
    <row r="18356" spans="1:9" hidden="1" x14ac:dyDescent="0.25">
      <c r="A18356" t="s">
        <v>15535</v>
      </c>
      <c r="B18356" t="s">
        <v>145</v>
      </c>
      <c r="C18356" s="2">
        <f>HYPERLINK("https://cao.dolgi.msk.ru/account/1080212197/", 1080212197)</f>
        <v>1080212197</v>
      </c>
      <c r="D18356" t="s">
        <v>15592</v>
      </c>
      <c r="E18356">
        <v>0</v>
      </c>
      <c r="F18356">
        <v>0</v>
      </c>
      <c r="G18356" t="s">
        <v>12</v>
      </c>
      <c r="I18356" t="s">
        <v>1428</v>
      </c>
    </row>
    <row r="18357" spans="1:9" hidden="1" x14ac:dyDescent="0.25">
      <c r="A18357" t="s">
        <v>15535</v>
      </c>
      <c r="B18357" t="s">
        <v>147</v>
      </c>
      <c r="C18357" s="2">
        <f>HYPERLINK("https://cao.dolgi.msk.ru/account/1080212226/", 1080212226)</f>
        <v>1080212226</v>
      </c>
      <c r="D18357" t="s">
        <v>15593</v>
      </c>
      <c r="E18357">
        <v>0</v>
      </c>
      <c r="F18357">
        <v>0</v>
      </c>
      <c r="G18357" t="s">
        <v>12</v>
      </c>
      <c r="I18357" t="s">
        <v>1428</v>
      </c>
    </row>
    <row r="18358" spans="1:9" hidden="1" x14ac:dyDescent="0.25">
      <c r="A18358" t="s">
        <v>15535</v>
      </c>
      <c r="B18358" t="s">
        <v>149</v>
      </c>
      <c r="C18358" s="2">
        <f>HYPERLINK("https://cao.dolgi.msk.ru/account/1080212234/", 1080212234)</f>
        <v>1080212234</v>
      </c>
      <c r="D18358" t="s">
        <v>15594</v>
      </c>
      <c r="E18358">
        <v>7.72</v>
      </c>
      <c r="F18358">
        <v>0</v>
      </c>
      <c r="G18358" t="s">
        <v>12</v>
      </c>
      <c r="I18358" t="s">
        <v>1428</v>
      </c>
    </row>
    <row r="18359" spans="1:9" hidden="1" x14ac:dyDescent="0.25">
      <c r="A18359" t="s">
        <v>15535</v>
      </c>
      <c r="B18359" t="s">
        <v>151</v>
      </c>
      <c r="C18359" s="2">
        <f>HYPERLINK("https://cao.dolgi.msk.ru/account/1080212242/", 1080212242)</f>
        <v>1080212242</v>
      </c>
      <c r="D18359" t="s">
        <v>15595</v>
      </c>
      <c r="E18359">
        <v>0</v>
      </c>
      <c r="F18359">
        <v>0</v>
      </c>
      <c r="G18359" t="s">
        <v>12</v>
      </c>
      <c r="I18359" t="s">
        <v>1428</v>
      </c>
    </row>
    <row r="18360" spans="1:9" hidden="1" x14ac:dyDescent="0.25">
      <c r="A18360" t="s">
        <v>15535</v>
      </c>
      <c r="B18360" t="s">
        <v>153</v>
      </c>
      <c r="C18360" s="2">
        <f>HYPERLINK("https://cao.dolgi.msk.ru/account/1080212269/", 1080212269)</f>
        <v>1080212269</v>
      </c>
      <c r="D18360" t="s">
        <v>15596</v>
      </c>
      <c r="E18360">
        <v>-4713.96</v>
      </c>
      <c r="F18360">
        <v>-1.21</v>
      </c>
      <c r="G18360" t="s">
        <v>12</v>
      </c>
      <c r="I18360" t="s">
        <v>1428</v>
      </c>
    </row>
    <row r="18361" spans="1:9" hidden="1" x14ac:dyDescent="0.25">
      <c r="A18361" t="s">
        <v>15535</v>
      </c>
      <c r="B18361" t="s">
        <v>155</v>
      </c>
      <c r="C18361" s="2">
        <f>HYPERLINK("https://cao.dolgi.msk.ru/account/1080212277/", 1080212277)</f>
        <v>1080212277</v>
      </c>
      <c r="D18361" t="s">
        <v>15597</v>
      </c>
      <c r="E18361">
        <v>487.02</v>
      </c>
      <c r="F18361">
        <v>0.06</v>
      </c>
      <c r="G18361" t="s">
        <v>12</v>
      </c>
      <c r="I18361" t="s">
        <v>1428</v>
      </c>
    </row>
    <row r="18362" spans="1:9" x14ac:dyDescent="0.25">
      <c r="A18362" t="s">
        <v>15535</v>
      </c>
      <c r="B18362" t="s">
        <v>157</v>
      </c>
      <c r="C18362" s="2">
        <f>HYPERLINK("https://cao.dolgi.msk.ru/account/1080212285/", 1080212285)</f>
        <v>1080212285</v>
      </c>
      <c r="D18362" t="s">
        <v>15598</v>
      </c>
      <c r="E18362">
        <v>5366.38</v>
      </c>
      <c r="F18362">
        <v>8.11</v>
      </c>
      <c r="G18362" t="s">
        <v>12</v>
      </c>
      <c r="H18362" t="s">
        <v>7</v>
      </c>
      <c r="I18362" t="s">
        <v>1428</v>
      </c>
    </row>
    <row r="18363" spans="1:9" hidden="1" x14ac:dyDescent="0.25">
      <c r="A18363" t="s">
        <v>15535</v>
      </c>
      <c r="B18363" t="s">
        <v>157</v>
      </c>
      <c r="C18363" s="2">
        <f>HYPERLINK("https://cao.dolgi.msk.ru/account/1080212293/", 1080212293)</f>
        <v>1080212293</v>
      </c>
      <c r="D18363" t="s">
        <v>15599</v>
      </c>
      <c r="E18363">
        <v>-785.97</v>
      </c>
      <c r="F18363">
        <v>-0.9</v>
      </c>
      <c r="G18363" t="s">
        <v>12</v>
      </c>
      <c r="H18363" t="s">
        <v>7</v>
      </c>
      <c r="I18363" t="s">
        <v>1428</v>
      </c>
    </row>
    <row r="18364" spans="1:9" hidden="1" x14ac:dyDescent="0.25">
      <c r="A18364" t="s">
        <v>15535</v>
      </c>
      <c r="B18364" t="s">
        <v>159</v>
      </c>
      <c r="C18364" s="2">
        <f>HYPERLINK("https://cao.dolgi.msk.ru/account/1080212306/", 1080212306)</f>
        <v>1080212306</v>
      </c>
      <c r="D18364" t="s">
        <v>15600</v>
      </c>
      <c r="E18364">
        <v>-5674.95</v>
      </c>
      <c r="F18364">
        <v>-1.03</v>
      </c>
      <c r="G18364" t="s">
        <v>12</v>
      </c>
      <c r="I18364" t="s">
        <v>1428</v>
      </c>
    </row>
    <row r="18365" spans="1:9" hidden="1" x14ac:dyDescent="0.25">
      <c r="A18365" t="s">
        <v>15535</v>
      </c>
      <c r="B18365" t="s">
        <v>161</v>
      </c>
      <c r="C18365" s="2">
        <f>HYPERLINK("https://cao.dolgi.msk.ru/account/1080212314/", 1080212314)</f>
        <v>1080212314</v>
      </c>
      <c r="D18365" t="s">
        <v>15601</v>
      </c>
      <c r="E18365">
        <v>-5154.74</v>
      </c>
      <c r="F18365">
        <v>-1.1399999999999999</v>
      </c>
      <c r="G18365" t="s">
        <v>12</v>
      </c>
      <c r="I18365" t="s">
        <v>1428</v>
      </c>
    </row>
    <row r="18366" spans="1:9" hidden="1" x14ac:dyDescent="0.25">
      <c r="A18366" t="s">
        <v>15535</v>
      </c>
      <c r="B18366" t="s">
        <v>163</v>
      </c>
      <c r="C18366" s="2">
        <f>HYPERLINK("https://cao.dolgi.msk.ru/account/1080213069/", 1080213069)</f>
        <v>1080213069</v>
      </c>
      <c r="D18366" t="s">
        <v>15602</v>
      </c>
      <c r="E18366">
        <v>-9804.2800000000007</v>
      </c>
      <c r="F18366">
        <v>-1.31</v>
      </c>
      <c r="G18366" t="s">
        <v>12</v>
      </c>
      <c r="I18366" t="s">
        <v>1428</v>
      </c>
    </row>
    <row r="18367" spans="1:9" hidden="1" x14ac:dyDescent="0.25">
      <c r="A18367" t="s">
        <v>15535</v>
      </c>
      <c r="B18367" t="s">
        <v>571</v>
      </c>
      <c r="C18367" s="2">
        <f>HYPERLINK("https://cao.dolgi.msk.ru/account/1080212349/", 1080212349)</f>
        <v>1080212349</v>
      </c>
      <c r="D18367" t="s">
        <v>15603</v>
      </c>
      <c r="E18367">
        <v>-4752.1000000000004</v>
      </c>
      <c r="F18367">
        <v>-1.17</v>
      </c>
      <c r="G18367" t="s">
        <v>12</v>
      </c>
      <c r="I18367" t="s">
        <v>1428</v>
      </c>
    </row>
    <row r="18368" spans="1:9" hidden="1" x14ac:dyDescent="0.25">
      <c r="A18368" t="s">
        <v>15535</v>
      </c>
      <c r="B18368" t="s">
        <v>682</v>
      </c>
      <c r="C18368" s="2">
        <f>HYPERLINK("https://cao.dolgi.msk.ru/account/1080212357/", 1080212357)</f>
        <v>1080212357</v>
      </c>
      <c r="D18368" t="s">
        <v>15604</v>
      </c>
      <c r="E18368">
        <v>-8432.76</v>
      </c>
      <c r="F18368">
        <v>-1.42</v>
      </c>
      <c r="G18368" t="s">
        <v>12</v>
      </c>
      <c r="I18368" t="s">
        <v>1428</v>
      </c>
    </row>
    <row r="18369" spans="1:9" hidden="1" x14ac:dyDescent="0.25">
      <c r="A18369" t="s">
        <v>15535</v>
      </c>
      <c r="B18369" t="s">
        <v>578</v>
      </c>
      <c r="C18369" s="2">
        <f>HYPERLINK("https://cao.dolgi.msk.ru/account/1080212365/", 1080212365)</f>
        <v>1080212365</v>
      </c>
      <c r="D18369" t="s">
        <v>15605</v>
      </c>
      <c r="E18369">
        <v>742.63</v>
      </c>
      <c r="F18369">
        <v>0.28999999999999998</v>
      </c>
      <c r="G18369" t="s">
        <v>12</v>
      </c>
      <c r="I18369" t="s">
        <v>1428</v>
      </c>
    </row>
    <row r="18370" spans="1:9" hidden="1" x14ac:dyDescent="0.25">
      <c r="A18370" t="s">
        <v>15535</v>
      </c>
      <c r="B18370" t="s">
        <v>580</v>
      </c>
      <c r="C18370" s="2">
        <f>HYPERLINK("https://cao.dolgi.msk.ru/account/1080212373/", 1080212373)</f>
        <v>1080212373</v>
      </c>
      <c r="D18370" t="s">
        <v>15606</v>
      </c>
      <c r="E18370">
        <v>-9972.43</v>
      </c>
      <c r="F18370">
        <v>-1.27</v>
      </c>
      <c r="G18370" t="s">
        <v>12</v>
      </c>
      <c r="I18370" t="s">
        <v>1428</v>
      </c>
    </row>
    <row r="18371" spans="1:9" hidden="1" x14ac:dyDescent="0.25">
      <c r="A18371" t="s">
        <v>15535</v>
      </c>
      <c r="B18371" t="s">
        <v>686</v>
      </c>
      <c r="C18371" s="2">
        <f>HYPERLINK("https://cao.dolgi.msk.ru/account/1080212381/", 1080212381)</f>
        <v>1080212381</v>
      </c>
      <c r="D18371" t="s">
        <v>15607</v>
      </c>
      <c r="E18371">
        <v>401.72</v>
      </c>
      <c r="F18371">
        <v>0.08</v>
      </c>
      <c r="G18371" t="s">
        <v>12</v>
      </c>
      <c r="I18371" t="s">
        <v>1428</v>
      </c>
    </row>
    <row r="18372" spans="1:9" hidden="1" x14ac:dyDescent="0.25">
      <c r="A18372" t="s">
        <v>15535</v>
      </c>
      <c r="B18372" t="s">
        <v>582</v>
      </c>
      <c r="C18372" s="2">
        <f>HYPERLINK("https://cao.dolgi.msk.ru/account/1080212402/", 1080212402)</f>
        <v>1080212402</v>
      </c>
      <c r="D18372" t="s">
        <v>15608</v>
      </c>
      <c r="E18372">
        <v>-6226.37</v>
      </c>
      <c r="F18372">
        <v>-1.27</v>
      </c>
      <c r="G18372" t="s">
        <v>12</v>
      </c>
      <c r="I18372" t="s">
        <v>1428</v>
      </c>
    </row>
    <row r="18373" spans="1:9" hidden="1" x14ac:dyDescent="0.25">
      <c r="A18373" t="s">
        <v>15535</v>
      </c>
      <c r="B18373" t="s">
        <v>584</v>
      </c>
      <c r="C18373" s="2">
        <f>HYPERLINK("https://cao.dolgi.msk.ru/account/1080212429/", 1080212429)</f>
        <v>1080212429</v>
      </c>
      <c r="D18373" t="s">
        <v>15609</v>
      </c>
      <c r="E18373">
        <v>-517.4</v>
      </c>
      <c r="F18373">
        <v>-0.21</v>
      </c>
      <c r="G18373" t="s">
        <v>12</v>
      </c>
      <c r="I18373" t="s">
        <v>1428</v>
      </c>
    </row>
    <row r="18374" spans="1:9" hidden="1" x14ac:dyDescent="0.25">
      <c r="A18374" t="s">
        <v>15535</v>
      </c>
      <c r="B18374" t="s">
        <v>586</v>
      </c>
      <c r="C18374" s="2">
        <f>HYPERLINK("https://cao.dolgi.msk.ru/account/1080212437/", 1080212437)</f>
        <v>1080212437</v>
      </c>
      <c r="D18374" t="s">
        <v>15610</v>
      </c>
      <c r="E18374">
        <v>108.28</v>
      </c>
      <c r="F18374">
        <v>0.02</v>
      </c>
      <c r="G18374" t="s">
        <v>12</v>
      </c>
      <c r="I18374" t="s">
        <v>1428</v>
      </c>
    </row>
    <row r="18375" spans="1:9" hidden="1" x14ac:dyDescent="0.25">
      <c r="A18375" t="s">
        <v>15535</v>
      </c>
      <c r="B18375" t="s">
        <v>588</v>
      </c>
      <c r="C18375" s="2">
        <f>HYPERLINK("https://cao.dolgi.msk.ru/account/1080212445/", 1080212445)</f>
        <v>1080212445</v>
      </c>
      <c r="D18375" t="s">
        <v>15611</v>
      </c>
      <c r="E18375">
        <v>-246.32</v>
      </c>
      <c r="F18375">
        <v>-0.02</v>
      </c>
      <c r="G18375" t="s">
        <v>12</v>
      </c>
      <c r="I18375" t="s">
        <v>1428</v>
      </c>
    </row>
    <row r="18376" spans="1:9" hidden="1" x14ac:dyDescent="0.25">
      <c r="A18376" t="s">
        <v>15535</v>
      </c>
      <c r="B18376" t="s">
        <v>590</v>
      </c>
      <c r="C18376" s="2">
        <f>HYPERLINK("https://cao.dolgi.msk.ru/account/1080212453/", 1080212453)</f>
        <v>1080212453</v>
      </c>
      <c r="D18376" t="s">
        <v>15</v>
      </c>
      <c r="E18376">
        <v>-7620.62</v>
      </c>
      <c r="F18376">
        <v>-1.26</v>
      </c>
      <c r="G18376" t="s">
        <v>12</v>
      </c>
      <c r="I18376" t="s">
        <v>1428</v>
      </c>
    </row>
    <row r="18377" spans="1:9" hidden="1" x14ac:dyDescent="0.25">
      <c r="A18377" t="s">
        <v>15535</v>
      </c>
      <c r="B18377" t="s">
        <v>693</v>
      </c>
      <c r="C18377" s="2">
        <f>HYPERLINK("https://cao.dolgi.msk.ru/account/1080212461/", 1080212461)</f>
        <v>1080212461</v>
      </c>
      <c r="D18377" t="s">
        <v>15612</v>
      </c>
      <c r="E18377">
        <v>-556.19000000000005</v>
      </c>
      <c r="F18377">
        <v>-0.12</v>
      </c>
      <c r="G18377" t="s">
        <v>12</v>
      </c>
      <c r="I18377" t="s">
        <v>1428</v>
      </c>
    </row>
    <row r="18378" spans="1:9" hidden="1" x14ac:dyDescent="0.25">
      <c r="A18378" t="s">
        <v>15535</v>
      </c>
      <c r="B18378" t="s">
        <v>694</v>
      </c>
      <c r="C18378" s="2">
        <f>HYPERLINK("https://cao.dolgi.msk.ru/account/1080212488/", 1080212488)</f>
        <v>1080212488</v>
      </c>
      <c r="D18378" t="s">
        <v>15613</v>
      </c>
      <c r="E18378">
        <v>-5201.18</v>
      </c>
      <c r="F18378">
        <v>-1.07</v>
      </c>
      <c r="G18378" t="s">
        <v>12</v>
      </c>
      <c r="I18378" t="s">
        <v>1428</v>
      </c>
    </row>
    <row r="18379" spans="1:9" hidden="1" x14ac:dyDescent="0.25">
      <c r="A18379" t="s">
        <v>15535</v>
      </c>
      <c r="B18379" t="s">
        <v>696</v>
      </c>
      <c r="C18379" s="2">
        <f>HYPERLINK("https://cao.dolgi.msk.ru/account/1080212496/", 1080212496)</f>
        <v>1080212496</v>
      </c>
      <c r="D18379" t="s">
        <v>15614</v>
      </c>
      <c r="E18379">
        <v>-6967.36</v>
      </c>
      <c r="F18379">
        <v>-1.19</v>
      </c>
      <c r="G18379" t="s">
        <v>12</v>
      </c>
      <c r="I18379" t="s">
        <v>1428</v>
      </c>
    </row>
    <row r="18380" spans="1:9" hidden="1" x14ac:dyDescent="0.25">
      <c r="A18380" t="s">
        <v>15535</v>
      </c>
      <c r="B18380" t="s">
        <v>698</v>
      </c>
      <c r="C18380" s="2">
        <f>HYPERLINK("https://cao.dolgi.msk.ru/account/1080212509/", 1080212509)</f>
        <v>1080212509</v>
      </c>
      <c r="D18380" t="s">
        <v>15615</v>
      </c>
      <c r="E18380">
        <v>-4156.95</v>
      </c>
      <c r="F18380">
        <v>-1.2</v>
      </c>
      <c r="G18380" t="s">
        <v>12</v>
      </c>
      <c r="I18380" t="s">
        <v>1428</v>
      </c>
    </row>
    <row r="18381" spans="1:9" hidden="1" x14ac:dyDescent="0.25">
      <c r="A18381" t="s">
        <v>15535</v>
      </c>
      <c r="B18381" t="s">
        <v>700</v>
      </c>
      <c r="C18381" s="2">
        <f>HYPERLINK("https://cao.dolgi.msk.ru/account/1080212517/", 1080212517)</f>
        <v>1080212517</v>
      </c>
      <c r="D18381" t="s">
        <v>62</v>
      </c>
      <c r="E18381">
        <v>-867.04</v>
      </c>
      <c r="F18381">
        <v>-7.0000000000000007E-2</v>
      </c>
      <c r="G18381" t="s">
        <v>12</v>
      </c>
      <c r="I18381" t="s">
        <v>1428</v>
      </c>
    </row>
    <row r="18382" spans="1:9" hidden="1" x14ac:dyDescent="0.25">
      <c r="A18382" t="s">
        <v>15535</v>
      </c>
      <c r="B18382" t="s">
        <v>703</v>
      </c>
      <c r="C18382" s="2">
        <f>HYPERLINK("https://cao.dolgi.msk.ru/account/1080212525/", 1080212525)</f>
        <v>1080212525</v>
      </c>
      <c r="D18382" t="s">
        <v>15616</v>
      </c>
      <c r="E18382">
        <v>-1525.93</v>
      </c>
      <c r="F18382">
        <v>-0.19</v>
      </c>
      <c r="G18382" t="s">
        <v>12</v>
      </c>
      <c r="I18382" t="s">
        <v>1428</v>
      </c>
    </row>
    <row r="18383" spans="1:9" hidden="1" x14ac:dyDescent="0.25">
      <c r="A18383" t="s">
        <v>15535</v>
      </c>
      <c r="B18383" t="s">
        <v>705</v>
      </c>
      <c r="C18383" s="2">
        <f>HYPERLINK("https://cao.dolgi.msk.ru/account/1080212533/", 1080212533)</f>
        <v>1080212533</v>
      </c>
      <c r="D18383" t="s">
        <v>15617</v>
      </c>
      <c r="E18383">
        <v>-3954.97</v>
      </c>
      <c r="F18383">
        <v>-1.1499999999999999</v>
      </c>
      <c r="G18383" t="s">
        <v>12</v>
      </c>
      <c r="I18383" t="s">
        <v>1428</v>
      </c>
    </row>
    <row r="18384" spans="1:9" hidden="1" x14ac:dyDescent="0.25">
      <c r="A18384" t="s">
        <v>15535</v>
      </c>
      <c r="B18384" t="s">
        <v>705</v>
      </c>
      <c r="C18384" s="2">
        <f>HYPERLINK("https://cao.dolgi.msk.ru/account/1089131158/", 1089131158)</f>
        <v>1089131158</v>
      </c>
      <c r="D18384" t="s">
        <v>15</v>
      </c>
      <c r="E18384">
        <v>-3031.02</v>
      </c>
      <c r="F18384">
        <v>-1.1100000000000001</v>
      </c>
      <c r="G18384" t="s">
        <v>12</v>
      </c>
      <c r="I18384" t="s">
        <v>1428</v>
      </c>
    </row>
    <row r="18385" spans="1:9" hidden="1" x14ac:dyDescent="0.25">
      <c r="A18385" t="s">
        <v>15535</v>
      </c>
      <c r="B18385" t="s">
        <v>707</v>
      </c>
      <c r="C18385" s="2">
        <f>HYPERLINK("https://cao.dolgi.msk.ru/account/1080212541/", 1080212541)</f>
        <v>1080212541</v>
      </c>
      <c r="D18385" t="s">
        <v>15</v>
      </c>
      <c r="E18385">
        <v>-5224.63</v>
      </c>
      <c r="F18385">
        <v>-1.22</v>
      </c>
      <c r="G18385" t="s">
        <v>12</v>
      </c>
      <c r="I18385" t="s">
        <v>1428</v>
      </c>
    </row>
    <row r="18386" spans="1:9" hidden="1" x14ac:dyDescent="0.25">
      <c r="A18386" t="s">
        <v>15535</v>
      </c>
      <c r="B18386" t="s">
        <v>709</v>
      </c>
      <c r="C18386" s="2">
        <f>HYPERLINK("https://cao.dolgi.msk.ru/account/1080212568/", 1080212568)</f>
        <v>1080212568</v>
      </c>
      <c r="D18386" t="s">
        <v>15618</v>
      </c>
      <c r="E18386">
        <v>-1926.61</v>
      </c>
      <c r="F18386">
        <v>-0.13</v>
      </c>
      <c r="G18386" t="s">
        <v>12</v>
      </c>
      <c r="I18386" t="s">
        <v>1428</v>
      </c>
    </row>
    <row r="18387" spans="1:9" hidden="1" x14ac:dyDescent="0.25">
      <c r="A18387" t="s">
        <v>15535</v>
      </c>
      <c r="B18387" t="s">
        <v>711</v>
      </c>
      <c r="C18387" s="2">
        <f>HYPERLINK("https://cao.dolgi.msk.ru/account/1080212605/", 1080212605)</f>
        <v>1080212605</v>
      </c>
      <c r="D18387" t="s">
        <v>15619</v>
      </c>
      <c r="E18387">
        <v>-6948.62</v>
      </c>
      <c r="F18387">
        <v>-1.32</v>
      </c>
      <c r="G18387" t="s">
        <v>12</v>
      </c>
      <c r="I18387" t="s">
        <v>1428</v>
      </c>
    </row>
    <row r="18388" spans="1:9" hidden="1" x14ac:dyDescent="0.25">
      <c r="A18388" t="s">
        <v>15535</v>
      </c>
      <c r="B18388" t="s">
        <v>713</v>
      </c>
      <c r="C18388" s="2">
        <f>HYPERLINK("https://cao.dolgi.msk.ru/account/1080212613/", 1080212613)</f>
        <v>1080212613</v>
      </c>
      <c r="D18388" t="s">
        <v>15620</v>
      </c>
      <c r="E18388">
        <v>-6578.88</v>
      </c>
      <c r="F18388">
        <v>-1.37</v>
      </c>
      <c r="G18388" t="s">
        <v>12</v>
      </c>
      <c r="I18388" t="s">
        <v>1428</v>
      </c>
    </row>
    <row r="18389" spans="1:9" hidden="1" x14ac:dyDescent="0.25">
      <c r="A18389" t="s">
        <v>15535</v>
      </c>
      <c r="B18389" t="s">
        <v>528</v>
      </c>
      <c r="C18389" s="2">
        <f>HYPERLINK("https://cao.dolgi.msk.ru/account/1080212621/", 1080212621)</f>
        <v>1080212621</v>
      </c>
      <c r="D18389" t="s">
        <v>15621</v>
      </c>
      <c r="E18389">
        <v>-4486.3</v>
      </c>
      <c r="F18389">
        <v>-1.1100000000000001</v>
      </c>
      <c r="G18389" t="s">
        <v>12</v>
      </c>
      <c r="I18389" t="s">
        <v>1428</v>
      </c>
    </row>
    <row r="18390" spans="1:9" hidden="1" x14ac:dyDescent="0.25">
      <c r="A18390" t="s">
        <v>15535</v>
      </c>
      <c r="B18390" t="s">
        <v>530</v>
      </c>
      <c r="C18390" s="2">
        <f>HYPERLINK("https://cao.dolgi.msk.ru/account/1080212648/", 1080212648)</f>
        <v>1080212648</v>
      </c>
      <c r="D18390" t="s">
        <v>15622</v>
      </c>
      <c r="E18390">
        <v>-6080.03</v>
      </c>
      <c r="F18390">
        <v>-1.1299999999999999</v>
      </c>
      <c r="G18390" t="s">
        <v>12</v>
      </c>
      <c r="I18390" t="s">
        <v>1428</v>
      </c>
    </row>
    <row r="18391" spans="1:9" hidden="1" x14ac:dyDescent="0.25">
      <c r="A18391" t="s">
        <v>15535</v>
      </c>
      <c r="B18391" t="s">
        <v>532</v>
      </c>
      <c r="C18391" s="2">
        <f>HYPERLINK("https://cao.dolgi.msk.ru/account/1080212656/", 1080212656)</f>
        <v>1080212656</v>
      </c>
      <c r="D18391" t="s">
        <v>15</v>
      </c>
      <c r="G18391" t="s">
        <v>14</v>
      </c>
      <c r="I18391" t="s">
        <v>1428</v>
      </c>
    </row>
    <row r="18392" spans="1:9" hidden="1" x14ac:dyDescent="0.25">
      <c r="A18392" t="s">
        <v>15535</v>
      </c>
      <c r="B18392" t="s">
        <v>534</v>
      </c>
      <c r="C18392" s="2">
        <f>HYPERLINK("https://cao.dolgi.msk.ru/account/1080212664/", 1080212664)</f>
        <v>1080212664</v>
      </c>
      <c r="D18392" t="s">
        <v>15623</v>
      </c>
      <c r="E18392">
        <v>-4472.34</v>
      </c>
      <c r="F18392">
        <v>-1</v>
      </c>
      <c r="G18392" t="s">
        <v>12</v>
      </c>
      <c r="I18392" t="s">
        <v>1428</v>
      </c>
    </row>
    <row r="18393" spans="1:9" hidden="1" x14ac:dyDescent="0.25">
      <c r="A18393" t="s">
        <v>15535</v>
      </c>
      <c r="B18393" t="s">
        <v>536</v>
      </c>
      <c r="C18393" s="2">
        <f>HYPERLINK("https://cao.dolgi.msk.ru/account/1080212672/", 1080212672)</f>
        <v>1080212672</v>
      </c>
      <c r="D18393" t="s">
        <v>15624</v>
      </c>
      <c r="E18393">
        <v>-7107.74</v>
      </c>
      <c r="F18393">
        <v>-1.28</v>
      </c>
      <c r="G18393" t="s">
        <v>12</v>
      </c>
      <c r="I18393" t="s">
        <v>1428</v>
      </c>
    </row>
    <row r="18394" spans="1:9" hidden="1" x14ac:dyDescent="0.25">
      <c r="A18394" t="s">
        <v>15535</v>
      </c>
      <c r="B18394" t="s">
        <v>538</v>
      </c>
      <c r="C18394" s="2">
        <f>HYPERLINK("https://cao.dolgi.msk.ru/account/1080212699/", 1080212699)</f>
        <v>1080212699</v>
      </c>
      <c r="D18394" t="s">
        <v>15625</v>
      </c>
      <c r="E18394">
        <v>-9.8699999999999992</v>
      </c>
      <c r="F18394">
        <v>0</v>
      </c>
      <c r="G18394" t="s">
        <v>12</v>
      </c>
      <c r="I18394" t="s">
        <v>1428</v>
      </c>
    </row>
    <row r="18395" spans="1:9" hidden="1" x14ac:dyDescent="0.25">
      <c r="A18395" t="s">
        <v>15535</v>
      </c>
      <c r="B18395" t="s">
        <v>539</v>
      </c>
      <c r="C18395" s="2">
        <f>HYPERLINK("https://cao.dolgi.msk.ru/account/1080212592/", 1080212592)</f>
        <v>1080212592</v>
      </c>
      <c r="D18395" t="s">
        <v>15626</v>
      </c>
      <c r="E18395">
        <v>-27680.47</v>
      </c>
      <c r="F18395">
        <v>-1.87</v>
      </c>
      <c r="G18395" t="s">
        <v>12</v>
      </c>
      <c r="I18395" t="s">
        <v>1428</v>
      </c>
    </row>
    <row r="18396" spans="1:9" hidden="1" x14ac:dyDescent="0.25">
      <c r="A18396" t="s">
        <v>15535</v>
      </c>
      <c r="B18396" t="s">
        <v>541</v>
      </c>
      <c r="C18396" s="2">
        <f>HYPERLINK("https://cao.dolgi.msk.ru/account/1080212701/", 1080212701)</f>
        <v>1080212701</v>
      </c>
      <c r="D18396" t="s">
        <v>15627</v>
      </c>
      <c r="E18396">
        <v>-7418.47</v>
      </c>
      <c r="F18396">
        <v>-2.02</v>
      </c>
      <c r="G18396" t="s">
        <v>12</v>
      </c>
      <c r="I18396" t="s">
        <v>1428</v>
      </c>
    </row>
    <row r="18397" spans="1:9" hidden="1" x14ac:dyDescent="0.25">
      <c r="A18397" t="s">
        <v>15535</v>
      </c>
      <c r="B18397" t="s">
        <v>541</v>
      </c>
      <c r="C18397" s="2">
        <f>HYPERLINK("https://cao.dolgi.msk.ru/account/1089126076/", 1089126076)</f>
        <v>1089126076</v>
      </c>
      <c r="D18397" t="s">
        <v>15</v>
      </c>
      <c r="E18397">
        <v>0</v>
      </c>
      <c r="G18397" t="s">
        <v>14</v>
      </c>
      <c r="I18397" t="s">
        <v>1428</v>
      </c>
    </row>
    <row r="18398" spans="1:9" hidden="1" x14ac:dyDescent="0.25">
      <c r="A18398" t="s">
        <v>15535</v>
      </c>
      <c r="B18398" t="s">
        <v>541</v>
      </c>
      <c r="C18398" s="2">
        <f>HYPERLINK("https://cao.dolgi.msk.ru/account/1089126084/", 1089126084)</f>
        <v>1089126084</v>
      </c>
      <c r="D18398" t="s">
        <v>15628</v>
      </c>
      <c r="E18398">
        <v>-1628.13</v>
      </c>
      <c r="F18398">
        <v>-2.38</v>
      </c>
      <c r="G18398" t="s">
        <v>12</v>
      </c>
      <c r="I18398" t="s">
        <v>1428</v>
      </c>
    </row>
    <row r="18399" spans="1:9" hidden="1" x14ac:dyDescent="0.25">
      <c r="A18399" t="s">
        <v>15535</v>
      </c>
      <c r="B18399" t="s">
        <v>543</v>
      </c>
      <c r="C18399" s="2">
        <f>HYPERLINK("https://cao.dolgi.msk.ru/account/1080212728/", 1080212728)</f>
        <v>1080212728</v>
      </c>
      <c r="D18399" t="s">
        <v>15629</v>
      </c>
      <c r="E18399">
        <v>-2258.14</v>
      </c>
      <c r="F18399">
        <v>-0.28999999999999998</v>
      </c>
      <c r="G18399" t="s">
        <v>12</v>
      </c>
      <c r="I18399" t="s">
        <v>1428</v>
      </c>
    </row>
    <row r="18400" spans="1:9" hidden="1" x14ac:dyDescent="0.25">
      <c r="A18400" t="s">
        <v>15535</v>
      </c>
      <c r="B18400" t="s">
        <v>545</v>
      </c>
      <c r="C18400" s="2">
        <f>HYPERLINK("https://cao.dolgi.msk.ru/account/1080212752/", 1080212752)</f>
        <v>1080212752</v>
      </c>
      <c r="D18400" t="s">
        <v>15630</v>
      </c>
      <c r="E18400">
        <v>-9384.34</v>
      </c>
      <c r="F18400">
        <v>-1.03</v>
      </c>
      <c r="G18400" t="s">
        <v>12</v>
      </c>
      <c r="I18400" t="s">
        <v>1428</v>
      </c>
    </row>
    <row r="18401" spans="1:9" hidden="1" x14ac:dyDescent="0.25">
      <c r="A18401" t="s">
        <v>15535</v>
      </c>
      <c r="B18401" t="s">
        <v>546</v>
      </c>
      <c r="C18401" s="2">
        <f>HYPERLINK("https://cao.dolgi.msk.ru/account/1080212736/", 1080212736)</f>
        <v>1080212736</v>
      </c>
      <c r="D18401" t="s">
        <v>15631</v>
      </c>
      <c r="E18401">
        <v>-10189.42</v>
      </c>
      <c r="F18401">
        <v>-1.1200000000000001</v>
      </c>
      <c r="G18401" t="s">
        <v>12</v>
      </c>
      <c r="I18401" t="s">
        <v>1428</v>
      </c>
    </row>
    <row r="18402" spans="1:9" hidden="1" x14ac:dyDescent="0.25">
      <c r="A18402" t="s">
        <v>15535</v>
      </c>
      <c r="B18402" t="s">
        <v>548</v>
      </c>
      <c r="C18402" s="2">
        <f>HYPERLINK("https://cao.dolgi.msk.ru/account/1080212744/", 1080212744)</f>
        <v>1080212744</v>
      </c>
      <c r="D18402" t="s">
        <v>15632</v>
      </c>
      <c r="E18402">
        <v>-5996.33</v>
      </c>
      <c r="F18402">
        <v>-1.1299999999999999</v>
      </c>
      <c r="G18402" t="s">
        <v>12</v>
      </c>
      <c r="I18402" t="s">
        <v>1428</v>
      </c>
    </row>
    <row r="18403" spans="1:9" hidden="1" x14ac:dyDescent="0.25">
      <c r="A18403" t="s">
        <v>15535</v>
      </c>
      <c r="B18403" t="s">
        <v>727</v>
      </c>
      <c r="C18403" s="2">
        <f>HYPERLINK("https://cao.dolgi.msk.ru/account/1080212779/", 1080212779)</f>
        <v>1080212779</v>
      </c>
      <c r="D18403" t="s">
        <v>15633</v>
      </c>
      <c r="E18403">
        <v>-4895.4399999999996</v>
      </c>
      <c r="F18403">
        <v>-1.22</v>
      </c>
      <c r="G18403" t="s">
        <v>12</v>
      </c>
      <c r="I18403" t="s">
        <v>1428</v>
      </c>
    </row>
    <row r="18404" spans="1:9" hidden="1" x14ac:dyDescent="0.25">
      <c r="A18404" t="s">
        <v>15535</v>
      </c>
      <c r="B18404" t="s">
        <v>551</v>
      </c>
      <c r="C18404" s="2">
        <f>HYPERLINK("https://cao.dolgi.msk.ru/account/1080212787/", 1080212787)</f>
        <v>1080212787</v>
      </c>
      <c r="D18404" t="s">
        <v>15634</v>
      </c>
      <c r="E18404">
        <v>-9423.41</v>
      </c>
      <c r="F18404">
        <v>-1.35</v>
      </c>
      <c r="G18404" t="s">
        <v>12</v>
      </c>
      <c r="I18404" t="s">
        <v>1428</v>
      </c>
    </row>
    <row r="18405" spans="1:9" hidden="1" x14ac:dyDescent="0.25">
      <c r="A18405" t="s">
        <v>15535</v>
      </c>
      <c r="B18405" t="s">
        <v>730</v>
      </c>
      <c r="C18405" s="2">
        <f>HYPERLINK("https://cao.dolgi.msk.ru/account/1080212795/", 1080212795)</f>
        <v>1080212795</v>
      </c>
      <c r="D18405" t="s">
        <v>15635</v>
      </c>
      <c r="E18405">
        <v>-11164.98</v>
      </c>
      <c r="F18405">
        <v>-1.23</v>
      </c>
      <c r="G18405" t="s">
        <v>12</v>
      </c>
      <c r="I18405" t="s">
        <v>1428</v>
      </c>
    </row>
    <row r="18406" spans="1:9" x14ac:dyDescent="0.25">
      <c r="A18406" t="s">
        <v>15535</v>
      </c>
      <c r="B18406" t="s">
        <v>732</v>
      </c>
      <c r="C18406" s="2">
        <f>HYPERLINK("https://cao.dolgi.msk.ru/account/1080212808/", 1080212808)</f>
        <v>1080212808</v>
      </c>
      <c r="D18406" t="s">
        <v>15636</v>
      </c>
      <c r="E18406">
        <v>30757.49</v>
      </c>
      <c r="F18406">
        <v>4.8499999999999996</v>
      </c>
      <c r="G18406" t="s">
        <v>12</v>
      </c>
      <c r="I18406" t="s">
        <v>1428</v>
      </c>
    </row>
    <row r="18407" spans="1:9" hidden="1" x14ac:dyDescent="0.25">
      <c r="A18407" t="s">
        <v>15535</v>
      </c>
      <c r="B18407" t="s">
        <v>553</v>
      </c>
      <c r="C18407" s="2">
        <f>HYPERLINK("https://cao.dolgi.msk.ru/account/1080212816/", 1080212816)</f>
        <v>1080212816</v>
      </c>
      <c r="D18407" t="s">
        <v>15637</v>
      </c>
      <c r="E18407">
        <v>-4168.59</v>
      </c>
      <c r="F18407">
        <v>-1.1599999999999999</v>
      </c>
      <c r="G18407" t="s">
        <v>12</v>
      </c>
      <c r="I18407" t="s">
        <v>1428</v>
      </c>
    </row>
    <row r="18408" spans="1:9" hidden="1" x14ac:dyDescent="0.25">
      <c r="A18408" t="s">
        <v>15535</v>
      </c>
      <c r="B18408" t="s">
        <v>555</v>
      </c>
      <c r="C18408" s="2">
        <f>HYPERLINK("https://cao.dolgi.msk.ru/account/1080212824/", 1080212824)</f>
        <v>1080212824</v>
      </c>
      <c r="D18408" t="s">
        <v>15638</v>
      </c>
      <c r="E18408">
        <v>-77.599999999999994</v>
      </c>
      <c r="F18408">
        <v>-0.01</v>
      </c>
      <c r="G18408" t="s">
        <v>12</v>
      </c>
      <c r="I18408" t="s">
        <v>1428</v>
      </c>
    </row>
    <row r="18409" spans="1:9" hidden="1" x14ac:dyDescent="0.25">
      <c r="A18409" t="s">
        <v>15535</v>
      </c>
      <c r="B18409" t="s">
        <v>736</v>
      </c>
      <c r="C18409" s="2">
        <f>HYPERLINK("https://cao.dolgi.msk.ru/account/1080212832/", 1080212832)</f>
        <v>1080212832</v>
      </c>
      <c r="D18409" t="s">
        <v>15639</v>
      </c>
      <c r="E18409">
        <v>-8.5</v>
      </c>
      <c r="F18409">
        <v>0</v>
      </c>
      <c r="G18409" t="s">
        <v>12</v>
      </c>
      <c r="I18409" t="s">
        <v>1428</v>
      </c>
    </row>
    <row r="18410" spans="1:9" hidden="1" x14ac:dyDescent="0.25">
      <c r="A18410" t="s">
        <v>15535</v>
      </c>
      <c r="B18410" t="s">
        <v>738</v>
      </c>
      <c r="C18410" s="2">
        <f>HYPERLINK("https://cao.dolgi.msk.ru/account/1080212859/", 1080212859)</f>
        <v>1080212859</v>
      </c>
      <c r="D18410" t="s">
        <v>15640</v>
      </c>
      <c r="E18410">
        <v>-12743.11</v>
      </c>
      <c r="F18410">
        <v>-1.34</v>
      </c>
      <c r="G18410" t="s">
        <v>12</v>
      </c>
      <c r="I18410" t="s">
        <v>1428</v>
      </c>
    </row>
    <row r="18411" spans="1:9" hidden="1" x14ac:dyDescent="0.25">
      <c r="A18411" t="s">
        <v>15535</v>
      </c>
      <c r="B18411" t="s">
        <v>740</v>
      </c>
      <c r="C18411" s="2">
        <f>HYPERLINK("https://cao.dolgi.msk.ru/account/1080212875/", 1080212875)</f>
        <v>1080212875</v>
      </c>
      <c r="D18411" t="s">
        <v>15641</v>
      </c>
      <c r="E18411">
        <v>-7954.36</v>
      </c>
      <c r="F18411">
        <v>-1.25</v>
      </c>
      <c r="G18411" t="s">
        <v>12</v>
      </c>
      <c r="I18411" t="s">
        <v>1428</v>
      </c>
    </row>
    <row r="18412" spans="1:9" hidden="1" x14ac:dyDescent="0.25">
      <c r="A18412" t="s">
        <v>15535</v>
      </c>
      <c r="B18412" t="s">
        <v>742</v>
      </c>
      <c r="C18412" s="2">
        <f>HYPERLINK("https://cao.dolgi.msk.ru/account/1080212867/", 1080212867)</f>
        <v>1080212867</v>
      </c>
      <c r="D18412" t="s">
        <v>15642</v>
      </c>
      <c r="E18412">
        <v>0</v>
      </c>
      <c r="G18412" t="s">
        <v>14</v>
      </c>
      <c r="I18412" t="s">
        <v>1428</v>
      </c>
    </row>
    <row r="18413" spans="1:9" hidden="1" x14ac:dyDescent="0.25">
      <c r="A18413" t="s">
        <v>15535</v>
      </c>
      <c r="B18413" t="s">
        <v>742</v>
      </c>
      <c r="C18413" s="2">
        <f>HYPERLINK("https://cao.dolgi.msk.ru/account/1080212883/", 1080212883)</f>
        <v>1080212883</v>
      </c>
      <c r="D18413" t="s">
        <v>15642</v>
      </c>
      <c r="E18413">
        <v>0</v>
      </c>
      <c r="G18413" t="s">
        <v>14</v>
      </c>
      <c r="I18413" t="s">
        <v>1428</v>
      </c>
    </row>
    <row r="18414" spans="1:9" x14ac:dyDescent="0.25">
      <c r="A18414" t="s">
        <v>15535</v>
      </c>
      <c r="B18414" t="s">
        <v>742</v>
      </c>
      <c r="C18414" s="2">
        <f>HYPERLINK("https://cao.dolgi.msk.ru/account/1080212891/", 1080212891)</f>
        <v>1080212891</v>
      </c>
      <c r="D18414" t="s">
        <v>15642</v>
      </c>
      <c r="E18414">
        <v>16891.11</v>
      </c>
      <c r="F18414">
        <v>1.47</v>
      </c>
      <c r="G18414" t="s">
        <v>12</v>
      </c>
      <c r="I18414" t="s">
        <v>1428</v>
      </c>
    </row>
    <row r="18415" spans="1:9" hidden="1" x14ac:dyDescent="0.25">
      <c r="A18415" t="s">
        <v>15535</v>
      </c>
      <c r="B18415" t="s">
        <v>557</v>
      </c>
      <c r="C18415" s="2">
        <f>HYPERLINK("https://cao.dolgi.msk.ru/account/1080212904/", 1080212904)</f>
        <v>1080212904</v>
      </c>
      <c r="D18415" t="s">
        <v>15643</v>
      </c>
      <c r="E18415">
        <v>-7172.66</v>
      </c>
      <c r="F18415">
        <v>-1.26</v>
      </c>
      <c r="G18415" t="s">
        <v>12</v>
      </c>
      <c r="I18415" t="s">
        <v>1428</v>
      </c>
    </row>
    <row r="18416" spans="1:9" hidden="1" x14ac:dyDescent="0.25">
      <c r="A18416" t="s">
        <v>15535</v>
      </c>
      <c r="B18416" t="s">
        <v>558</v>
      </c>
      <c r="C18416" s="2">
        <f>HYPERLINK("https://cao.dolgi.msk.ru/account/1080212912/", 1080212912)</f>
        <v>1080212912</v>
      </c>
      <c r="D18416" t="s">
        <v>15644</v>
      </c>
      <c r="E18416">
        <v>-3879.1</v>
      </c>
      <c r="F18416">
        <v>-1.3</v>
      </c>
      <c r="G18416" t="s">
        <v>12</v>
      </c>
      <c r="H18416" t="s">
        <v>7</v>
      </c>
      <c r="I18416" t="s">
        <v>1428</v>
      </c>
    </row>
    <row r="18417" spans="1:9" hidden="1" x14ac:dyDescent="0.25">
      <c r="A18417" t="s">
        <v>15535</v>
      </c>
      <c r="B18417" t="s">
        <v>558</v>
      </c>
      <c r="C18417" s="2">
        <f>HYPERLINK("https://cao.dolgi.msk.ru/account/1080212939/", 1080212939)</f>
        <v>1080212939</v>
      </c>
      <c r="D18417" t="s">
        <v>15645</v>
      </c>
      <c r="E18417">
        <v>-2173.12</v>
      </c>
      <c r="F18417">
        <v>-1.34</v>
      </c>
      <c r="G18417" t="s">
        <v>12</v>
      </c>
      <c r="H18417" t="s">
        <v>7</v>
      </c>
      <c r="I18417" t="s">
        <v>1428</v>
      </c>
    </row>
    <row r="18418" spans="1:9" hidden="1" x14ac:dyDescent="0.25">
      <c r="A18418" t="s">
        <v>15535</v>
      </c>
      <c r="B18418" t="s">
        <v>746</v>
      </c>
      <c r="C18418" s="2">
        <f>HYPERLINK("https://cao.dolgi.msk.ru/account/1080212947/", 1080212947)</f>
        <v>1080212947</v>
      </c>
      <c r="D18418" t="s">
        <v>15646</v>
      </c>
      <c r="E18418">
        <v>-5250.36</v>
      </c>
      <c r="F18418">
        <v>-1.1299999999999999</v>
      </c>
      <c r="G18418" t="s">
        <v>12</v>
      </c>
      <c r="I18418" t="s">
        <v>1428</v>
      </c>
    </row>
    <row r="18419" spans="1:9" hidden="1" x14ac:dyDescent="0.25">
      <c r="A18419" t="s">
        <v>15535</v>
      </c>
      <c r="B18419" t="s">
        <v>748</v>
      </c>
      <c r="C18419" s="2">
        <f>HYPERLINK("https://cao.dolgi.msk.ru/account/1080212955/", 1080212955)</f>
        <v>1080212955</v>
      </c>
      <c r="D18419" t="s">
        <v>15647</v>
      </c>
      <c r="E18419">
        <v>3.5</v>
      </c>
      <c r="F18419">
        <v>0</v>
      </c>
      <c r="G18419" t="s">
        <v>12</v>
      </c>
      <c r="I18419" t="s">
        <v>1428</v>
      </c>
    </row>
    <row r="18420" spans="1:9" hidden="1" x14ac:dyDescent="0.25">
      <c r="A18420" t="s">
        <v>15535</v>
      </c>
      <c r="B18420" t="s">
        <v>748</v>
      </c>
      <c r="C18420" s="2">
        <f>HYPERLINK("https://cao.dolgi.msk.ru/account/1080212963/", 1080212963)</f>
        <v>1080212963</v>
      </c>
      <c r="D18420" t="s">
        <v>15648</v>
      </c>
      <c r="E18420">
        <v>402.71</v>
      </c>
      <c r="G18420" t="s">
        <v>14</v>
      </c>
      <c r="I18420" t="s">
        <v>1428</v>
      </c>
    </row>
    <row r="18421" spans="1:9" hidden="1" x14ac:dyDescent="0.25">
      <c r="A18421" t="s">
        <v>15535</v>
      </c>
      <c r="B18421" t="s">
        <v>750</v>
      </c>
      <c r="C18421" s="2">
        <f>HYPERLINK("https://cao.dolgi.msk.ru/account/1080212971/", 1080212971)</f>
        <v>1080212971</v>
      </c>
      <c r="D18421" t="s">
        <v>15649</v>
      </c>
      <c r="E18421">
        <v>-501.49</v>
      </c>
      <c r="F18421">
        <v>-0.12</v>
      </c>
      <c r="G18421" t="s">
        <v>12</v>
      </c>
      <c r="I18421" t="s">
        <v>1428</v>
      </c>
    </row>
    <row r="18422" spans="1:9" hidden="1" x14ac:dyDescent="0.25">
      <c r="A18422" t="s">
        <v>15535</v>
      </c>
      <c r="B18422" t="s">
        <v>752</v>
      </c>
      <c r="C18422" s="2">
        <f>HYPERLINK("https://cao.dolgi.msk.ru/account/1080212998/", 1080212998)</f>
        <v>1080212998</v>
      </c>
      <c r="D18422" t="s">
        <v>15650</v>
      </c>
      <c r="E18422">
        <v>-6091.66</v>
      </c>
      <c r="F18422">
        <v>-1.17</v>
      </c>
      <c r="G18422" t="s">
        <v>12</v>
      </c>
      <c r="I18422" t="s">
        <v>1428</v>
      </c>
    </row>
    <row r="18423" spans="1:9" hidden="1" x14ac:dyDescent="0.25">
      <c r="A18423" t="s">
        <v>15535</v>
      </c>
      <c r="B18423" t="s">
        <v>754</v>
      </c>
      <c r="C18423" s="2">
        <f>HYPERLINK("https://cao.dolgi.msk.ru/account/1080213018/", 1080213018)</f>
        <v>1080213018</v>
      </c>
      <c r="D18423" t="s">
        <v>15651</v>
      </c>
      <c r="E18423">
        <v>-2947.38</v>
      </c>
      <c r="F18423">
        <v>-1.08</v>
      </c>
      <c r="G18423" t="s">
        <v>12</v>
      </c>
      <c r="I18423" t="s">
        <v>1428</v>
      </c>
    </row>
    <row r="18424" spans="1:9" hidden="1" x14ac:dyDescent="0.25">
      <c r="A18424" t="s">
        <v>15535</v>
      </c>
      <c r="B18424" t="s">
        <v>754</v>
      </c>
      <c r="C18424" s="2">
        <f>HYPERLINK("https://cao.dolgi.msk.ru/account/1080213026/", 1080213026)</f>
        <v>1080213026</v>
      </c>
      <c r="D18424" t="s">
        <v>15651</v>
      </c>
      <c r="E18424">
        <v>-2971.75</v>
      </c>
      <c r="F18424">
        <v>-1.1200000000000001</v>
      </c>
      <c r="G18424" t="s">
        <v>12</v>
      </c>
      <c r="I18424" t="s">
        <v>1428</v>
      </c>
    </row>
    <row r="18425" spans="1:9" hidden="1" x14ac:dyDescent="0.25">
      <c r="A18425" t="s">
        <v>15535</v>
      </c>
      <c r="B18425" t="s">
        <v>756</v>
      </c>
      <c r="C18425" s="2">
        <f>HYPERLINK("https://cao.dolgi.msk.ru/account/1080213042/", 1080213042)</f>
        <v>1080213042</v>
      </c>
      <c r="D18425" t="s">
        <v>15652</v>
      </c>
      <c r="E18425">
        <v>-6293.1</v>
      </c>
      <c r="F18425">
        <v>-1.1000000000000001</v>
      </c>
      <c r="G18425" t="s">
        <v>12</v>
      </c>
      <c r="I18425" t="s">
        <v>1428</v>
      </c>
    </row>
    <row r="18426" spans="1:9" hidden="1" x14ac:dyDescent="0.25">
      <c r="A18426" t="s">
        <v>15535</v>
      </c>
      <c r="B18426" t="s">
        <v>758</v>
      </c>
      <c r="C18426" s="2">
        <f>HYPERLINK("https://cao.dolgi.msk.ru/account/1080213034/", 1080213034)</f>
        <v>1080213034</v>
      </c>
      <c r="D18426" t="s">
        <v>15653</v>
      </c>
      <c r="E18426">
        <v>-11718.98</v>
      </c>
      <c r="F18426">
        <v>-1.01</v>
      </c>
      <c r="G18426" t="s">
        <v>12</v>
      </c>
      <c r="I18426" t="s">
        <v>1428</v>
      </c>
    </row>
    <row r="18427" spans="1:9" hidden="1" x14ac:dyDescent="0.25">
      <c r="A18427" t="s">
        <v>15535</v>
      </c>
      <c r="B18427" t="s">
        <v>760</v>
      </c>
      <c r="C18427" s="2">
        <f>HYPERLINK("https://cao.dolgi.msk.ru/account/1080213077/", 1080213077)</f>
        <v>1080213077</v>
      </c>
      <c r="D18427" t="s">
        <v>15654</v>
      </c>
      <c r="E18427">
        <v>-5918.11</v>
      </c>
      <c r="F18427">
        <v>-1.04</v>
      </c>
      <c r="G18427" t="s">
        <v>12</v>
      </c>
      <c r="I18427" t="s">
        <v>1428</v>
      </c>
    </row>
    <row r="18428" spans="1:9" hidden="1" x14ac:dyDescent="0.25">
      <c r="A18428" t="s">
        <v>15535</v>
      </c>
      <c r="B18428" t="s">
        <v>762</v>
      </c>
      <c r="C18428" s="2">
        <f>HYPERLINK("https://cao.dolgi.msk.ru/account/1080213085/", 1080213085)</f>
        <v>1080213085</v>
      </c>
      <c r="D18428" t="s">
        <v>15655</v>
      </c>
      <c r="E18428">
        <v>19.399999999999999</v>
      </c>
      <c r="F18428">
        <v>0</v>
      </c>
      <c r="G18428" t="s">
        <v>12</v>
      </c>
      <c r="I18428" t="s">
        <v>1428</v>
      </c>
    </row>
    <row r="18429" spans="1:9" hidden="1" x14ac:dyDescent="0.25">
      <c r="A18429" t="s">
        <v>15535</v>
      </c>
      <c r="B18429" t="s">
        <v>764</v>
      </c>
      <c r="C18429" s="2">
        <f>HYPERLINK("https://cao.dolgi.msk.ru/account/1080213093/", 1080213093)</f>
        <v>1080213093</v>
      </c>
      <c r="D18429" t="s">
        <v>15656</v>
      </c>
      <c r="E18429">
        <v>-8383.92</v>
      </c>
      <c r="F18429">
        <v>-1.1100000000000001</v>
      </c>
      <c r="G18429" t="s">
        <v>12</v>
      </c>
      <c r="I18429" t="s">
        <v>1428</v>
      </c>
    </row>
    <row r="18430" spans="1:9" hidden="1" x14ac:dyDescent="0.25">
      <c r="A18430" t="s">
        <v>15657</v>
      </c>
      <c r="B18430" t="s">
        <v>10</v>
      </c>
      <c r="C18430" s="2">
        <f>HYPERLINK("https://cao.dolgi.msk.ru/account/1080213106/", 1080213106)</f>
        <v>1080213106</v>
      </c>
      <c r="D18430" t="s">
        <v>15</v>
      </c>
      <c r="E18430">
        <v>-7480.65</v>
      </c>
      <c r="F18430">
        <v>-4.79</v>
      </c>
      <c r="G18430" t="s">
        <v>12</v>
      </c>
      <c r="H18430" t="s">
        <v>7</v>
      </c>
      <c r="I18430" t="s">
        <v>1428</v>
      </c>
    </row>
    <row r="18431" spans="1:9" hidden="1" x14ac:dyDescent="0.25">
      <c r="A18431" t="s">
        <v>15657</v>
      </c>
      <c r="B18431" t="s">
        <v>10</v>
      </c>
      <c r="C18431" s="2">
        <f>HYPERLINK("https://cao.dolgi.msk.ru/account/1080213114/", 1080213114)</f>
        <v>1080213114</v>
      </c>
      <c r="D18431" t="s">
        <v>15</v>
      </c>
      <c r="E18431">
        <v>-1287.55</v>
      </c>
      <c r="F18431">
        <v>-0.7</v>
      </c>
      <c r="G18431" t="s">
        <v>12</v>
      </c>
      <c r="H18431" t="s">
        <v>7</v>
      </c>
      <c r="I18431" t="s">
        <v>1428</v>
      </c>
    </row>
    <row r="18432" spans="1:9" hidden="1" x14ac:dyDescent="0.25">
      <c r="A18432" t="s">
        <v>15657</v>
      </c>
      <c r="B18432" t="s">
        <v>10</v>
      </c>
      <c r="C18432" s="2">
        <f>HYPERLINK("https://cao.dolgi.msk.ru/account/1080213122/", 1080213122)</f>
        <v>1080213122</v>
      </c>
      <c r="D18432" t="s">
        <v>15</v>
      </c>
      <c r="E18432">
        <v>-495.35</v>
      </c>
      <c r="F18432">
        <v>-0.12</v>
      </c>
      <c r="G18432" t="s">
        <v>12</v>
      </c>
      <c r="H18432" t="s">
        <v>7</v>
      </c>
      <c r="I18432" t="s">
        <v>1428</v>
      </c>
    </row>
    <row r="18433" spans="1:9" hidden="1" x14ac:dyDescent="0.25">
      <c r="A18433" t="s">
        <v>15657</v>
      </c>
      <c r="B18433" t="s">
        <v>16</v>
      </c>
      <c r="C18433" s="2">
        <f>HYPERLINK("https://cao.dolgi.msk.ru/account/1080213149/", 1080213149)</f>
        <v>1080213149</v>
      </c>
      <c r="D18433" t="s">
        <v>15658</v>
      </c>
      <c r="E18433">
        <v>-4910</v>
      </c>
      <c r="F18433">
        <v>-1.1200000000000001</v>
      </c>
      <c r="G18433" t="s">
        <v>12</v>
      </c>
      <c r="I18433" t="s">
        <v>1428</v>
      </c>
    </row>
    <row r="18434" spans="1:9" hidden="1" x14ac:dyDescent="0.25">
      <c r="A18434" t="s">
        <v>15657</v>
      </c>
      <c r="B18434" t="s">
        <v>20</v>
      </c>
      <c r="C18434" s="2">
        <f>HYPERLINK("https://cao.dolgi.msk.ru/account/1080213165/", 1080213165)</f>
        <v>1080213165</v>
      </c>
      <c r="D18434" t="s">
        <v>15659</v>
      </c>
      <c r="E18434">
        <v>-10494.94</v>
      </c>
      <c r="G18434" t="s">
        <v>14</v>
      </c>
      <c r="I18434" t="s">
        <v>1428</v>
      </c>
    </row>
    <row r="18435" spans="1:9" hidden="1" x14ac:dyDescent="0.25">
      <c r="A18435" t="s">
        <v>15657</v>
      </c>
      <c r="B18435" t="s">
        <v>21</v>
      </c>
      <c r="C18435" s="2">
        <f>HYPERLINK("https://cao.dolgi.msk.ru/account/1080213173/", 1080213173)</f>
        <v>1080213173</v>
      </c>
      <c r="D18435" t="s">
        <v>15660</v>
      </c>
      <c r="E18435">
        <v>-7676.73</v>
      </c>
      <c r="F18435">
        <v>-1.2</v>
      </c>
      <c r="G18435" t="s">
        <v>12</v>
      </c>
      <c r="I18435" t="s">
        <v>1428</v>
      </c>
    </row>
    <row r="18436" spans="1:9" hidden="1" x14ac:dyDescent="0.25">
      <c r="A18436" t="s">
        <v>15657</v>
      </c>
      <c r="B18436" t="s">
        <v>22</v>
      </c>
      <c r="C18436" s="2">
        <f>HYPERLINK("https://cao.dolgi.msk.ru/account/1080213181/", 1080213181)</f>
        <v>1080213181</v>
      </c>
      <c r="D18436" t="s">
        <v>15661</v>
      </c>
      <c r="E18436">
        <v>-5747.92</v>
      </c>
      <c r="F18436">
        <v>-1.1100000000000001</v>
      </c>
      <c r="G18436" t="s">
        <v>12</v>
      </c>
      <c r="I18436" t="s">
        <v>1428</v>
      </c>
    </row>
    <row r="18437" spans="1:9" hidden="1" x14ac:dyDescent="0.25">
      <c r="A18437" t="s">
        <v>15657</v>
      </c>
      <c r="B18437" t="s">
        <v>23</v>
      </c>
      <c r="C18437" s="2">
        <f>HYPERLINK("https://cao.dolgi.msk.ru/account/1080213202/", 1080213202)</f>
        <v>1080213202</v>
      </c>
      <c r="D18437" t="s">
        <v>15662</v>
      </c>
      <c r="E18437">
        <v>2710.87</v>
      </c>
      <c r="F18437">
        <v>0.92</v>
      </c>
      <c r="G18437" t="s">
        <v>14</v>
      </c>
      <c r="I18437" t="s">
        <v>1428</v>
      </c>
    </row>
    <row r="18438" spans="1:9" hidden="1" x14ac:dyDescent="0.25">
      <c r="A18438" t="s">
        <v>15657</v>
      </c>
      <c r="B18438" t="s">
        <v>23</v>
      </c>
      <c r="C18438" s="2">
        <f>HYPERLINK("https://cao.dolgi.msk.ru/account/1080213229/", 1080213229)</f>
        <v>1080213229</v>
      </c>
      <c r="D18438" t="s">
        <v>15662</v>
      </c>
      <c r="E18438">
        <v>-5848.25</v>
      </c>
      <c r="F18438">
        <v>-1.19</v>
      </c>
      <c r="G18438" t="s">
        <v>12</v>
      </c>
      <c r="I18438" t="s">
        <v>1428</v>
      </c>
    </row>
    <row r="18439" spans="1:9" hidden="1" x14ac:dyDescent="0.25">
      <c r="A18439" t="s">
        <v>15657</v>
      </c>
      <c r="B18439" t="s">
        <v>24</v>
      </c>
      <c r="C18439" s="2">
        <f>HYPERLINK("https://cao.dolgi.msk.ru/account/1080213237/", 1080213237)</f>
        <v>1080213237</v>
      </c>
      <c r="D18439" t="s">
        <v>15663</v>
      </c>
      <c r="E18439">
        <v>-8953.49</v>
      </c>
      <c r="F18439">
        <v>-1.25</v>
      </c>
      <c r="G18439" t="s">
        <v>12</v>
      </c>
      <c r="I18439" t="s">
        <v>1428</v>
      </c>
    </row>
    <row r="18440" spans="1:9" hidden="1" x14ac:dyDescent="0.25">
      <c r="A18440" t="s">
        <v>15657</v>
      </c>
      <c r="B18440" t="s">
        <v>27</v>
      </c>
      <c r="C18440" s="2">
        <f>HYPERLINK("https://cao.dolgi.msk.ru/account/1080213245/", 1080213245)</f>
        <v>1080213245</v>
      </c>
      <c r="D18440" t="s">
        <v>15664</v>
      </c>
      <c r="E18440">
        <v>-8439.1</v>
      </c>
      <c r="F18440">
        <v>-1.21</v>
      </c>
      <c r="G18440" t="s">
        <v>12</v>
      </c>
      <c r="I18440" t="s">
        <v>1428</v>
      </c>
    </row>
    <row r="18441" spans="1:9" hidden="1" x14ac:dyDescent="0.25">
      <c r="A18441" t="s">
        <v>15657</v>
      </c>
      <c r="B18441" t="s">
        <v>29</v>
      </c>
      <c r="C18441" s="2">
        <f>HYPERLINK("https://cao.dolgi.msk.ru/account/1080213253/", 1080213253)</f>
        <v>1080213253</v>
      </c>
      <c r="D18441" t="s">
        <v>15</v>
      </c>
      <c r="G18441" t="s">
        <v>14</v>
      </c>
      <c r="I18441" t="s">
        <v>1428</v>
      </c>
    </row>
    <row r="18442" spans="1:9" hidden="1" x14ac:dyDescent="0.25">
      <c r="A18442" t="s">
        <v>15657</v>
      </c>
      <c r="B18442" t="s">
        <v>31</v>
      </c>
      <c r="C18442" s="2">
        <f>HYPERLINK("https://cao.dolgi.msk.ru/account/1080213261/", 1080213261)</f>
        <v>1080213261</v>
      </c>
      <c r="D18442" t="s">
        <v>15</v>
      </c>
      <c r="G18442" t="s">
        <v>14</v>
      </c>
      <c r="I18442" t="s">
        <v>1428</v>
      </c>
    </row>
    <row r="18443" spans="1:9" hidden="1" x14ac:dyDescent="0.25">
      <c r="A18443" t="s">
        <v>15657</v>
      </c>
      <c r="B18443" t="s">
        <v>33</v>
      </c>
      <c r="C18443" s="2">
        <f>HYPERLINK("https://cao.dolgi.msk.ru/account/1080213288/", 1080213288)</f>
        <v>1080213288</v>
      </c>
      <c r="D18443" t="s">
        <v>15663</v>
      </c>
      <c r="E18443">
        <v>-26315.52</v>
      </c>
      <c r="F18443">
        <v>-1.1499999999999999</v>
      </c>
      <c r="G18443" t="s">
        <v>12</v>
      </c>
      <c r="I18443" t="s">
        <v>1428</v>
      </c>
    </row>
    <row r="18444" spans="1:9" hidden="1" x14ac:dyDescent="0.25">
      <c r="A18444" t="s">
        <v>15657</v>
      </c>
      <c r="B18444" t="s">
        <v>34</v>
      </c>
      <c r="C18444" s="2">
        <f>HYPERLINK("https://cao.dolgi.msk.ru/account/1080213296/", 1080213296)</f>
        <v>1080213296</v>
      </c>
      <c r="D18444" t="s">
        <v>15665</v>
      </c>
      <c r="E18444">
        <v>-8316.09</v>
      </c>
      <c r="F18444">
        <v>-1.07</v>
      </c>
      <c r="G18444" t="s">
        <v>12</v>
      </c>
      <c r="I18444" t="s">
        <v>1428</v>
      </c>
    </row>
    <row r="18445" spans="1:9" hidden="1" x14ac:dyDescent="0.25">
      <c r="A18445" t="s">
        <v>15657</v>
      </c>
      <c r="B18445" t="s">
        <v>36</v>
      </c>
      <c r="C18445" s="2">
        <f>HYPERLINK("https://cao.dolgi.msk.ru/account/1080213309/", 1080213309)</f>
        <v>1080213309</v>
      </c>
      <c r="D18445" t="s">
        <v>15666</v>
      </c>
      <c r="E18445">
        <v>-781.61</v>
      </c>
      <c r="F18445">
        <v>-0.22</v>
      </c>
      <c r="G18445" t="s">
        <v>12</v>
      </c>
      <c r="I18445" t="s">
        <v>1428</v>
      </c>
    </row>
    <row r="18446" spans="1:9" hidden="1" x14ac:dyDescent="0.25">
      <c r="A18446" t="s">
        <v>15657</v>
      </c>
      <c r="B18446" t="s">
        <v>38</v>
      </c>
      <c r="C18446" s="2">
        <f>HYPERLINK("https://cao.dolgi.msk.ru/account/1080213317/", 1080213317)</f>
        <v>1080213317</v>
      </c>
      <c r="D18446" t="s">
        <v>15667</v>
      </c>
      <c r="E18446">
        <v>-3507.42</v>
      </c>
      <c r="F18446">
        <v>-0.94</v>
      </c>
      <c r="G18446" t="s">
        <v>12</v>
      </c>
      <c r="I18446" t="s">
        <v>1428</v>
      </c>
    </row>
    <row r="18447" spans="1:9" hidden="1" x14ac:dyDescent="0.25">
      <c r="A18447" t="s">
        <v>15657</v>
      </c>
      <c r="B18447" t="s">
        <v>39</v>
      </c>
      <c r="C18447" s="2">
        <f>HYPERLINK("https://cao.dolgi.msk.ru/account/1080213325/", 1080213325)</f>
        <v>1080213325</v>
      </c>
      <c r="D18447" t="s">
        <v>15668</v>
      </c>
      <c r="E18447">
        <v>-8388.16</v>
      </c>
      <c r="F18447">
        <v>-1.1499999999999999</v>
      </c>
      <c r="G18447" t="s">
        <v>12</v>
      </c>
      <c r="I18447" t="s">
        <v>1428</v>
      </c>
    </row>
    <row r="18448" spans="1:9" hidden="1" x14ac:dyDescent="0.25">
      <c r="A18448" t="s">
        <v>15657</v>
      </c>
      <c r="B18448" t="s">
        <v>40</v>
      </c>
      <c r="C18448" s="2">
        <f>HYPERLINK("https://cao.dolgi.msk.ru/account/1080213333/", 1080213333)</f>
        <v>1080213333</v>
      </c>
      <c r="D18448" t="s">
        <v>15669</v>
      </c>
      <c r="E18448">
        <v>-294.87</v>
      </c>
      <c r="F18448">
        <v>-0.03</v>
      </c>
      <c r="G18448" t="s">
        <v>12</v>
      </c>
      <c r="I18448" t="s">
        <v>1428</v>
      </c>
    </row>
    <row r="18449" spans="1:9" hidden="1" x14ac:dyDescent="0.25">
      <c r="A18449" t="s">
        <v>15657</v>
      </c>
      <c r="B18449" t="s">
        <v>41</v>
      </c>
      <c r="C18449" s="2">
        <f>HYPERLINK("https://cao.dolgi.msk.ru/account/1080213341/", 1080213341)</f>
        <v>1080213341</v>
      </c>
      <c r="D18449" t="s">
        <v>15670</v>
      </c>
      <c r="E18449">
        <v>-6159.44</v>
      </c>
      <c r="F18449">
        <v>-1.1599999999999999</v>
      </c>
      <c r="G18449" t="s">
        <v>12</v>
      </c>
      <c r="I18449" t="s">
        <v>1428</v>
      </c>
    </row>
    <row r="18450" spans="1:9" hidden="1" x14ac:dyDescent="0.25">
      <c r="A18450" t="s">
        <v>15657</v>
      </c>
      <c r="B18450" t="s">
        <v>42</v>
      </c>
      <c r="C18450" s="2">
        <f>HYPERLINK("https://cao.dolgi.msk.ru/account/1080213368/", 1080213368)</f>
        <v>1080213368</v>
      </c>
      <c r="D18450" t="s">
        <v>15671</v>
      </c>
      <c r="E18450">
        <v>-5329.37</v>
      </c>
      <c r="F18450">
        <v>-1.06</v>
      </c>
      <c r="G18450" t="s">
        <v>12</v>
      </c>
      <c r="I18450" t="s">
        <v>1428</v>
      </c>
    </row>
    <row r="18451" spans="1:9" hidden="1" x14ac:dyDescent="0.25">
      <c r="A18451" t="s">
        <v>15657</v>
      </c>
      <c r="B18451" t="s">
        <v>42</v>
      </c>
      <c r="C18451" s="2">
        <f>HYPERLINK("https://cao.dolgi.msk.ru/account/1080321561/", 1080321561)</f>
        <v>1080321561</v>
      </c>
      <c r="D18451" t="s">
        <v>15671</v>
      </c>
      <c r="E18451">
        <v>791.83</v>
      </c>
      <c r="F18451">
        <v>0.14000000000000001</v>
      </c>
      <c r="G18451" t="s">
        <v>14</v>
      </c>
      <c r="I18451" t="s">
        <v>1428</v>
      </c>
    </row>
    <row r="18452" spans="1:9" hidden="1" x14ac:dyDescent="0.25">
      <c r="A18452" t="s">
        <v>15657</v>
      </c>
      <c r="B18452" t="s">
        <v>44</v>
      </c>
      <c r="C18452" s="2">
        <f>HYPERLINK("https://cao.dolgi.msk.ru/account/1080213376/", 1080213376)</f>
        <v>1080213376</v>
      </c>
      <c r="D18452" t="s">
        <v>15672</v>
      </c>
      <c r="E18452">
        <v>-67.900000000000006</v>
      </c>
      <c r="F18452">
        <v>-0.01</v>
      </c>
      <c r="G18452" t="s">
        <v>12</v>
      </c>
      <c r="I18452" t="s">
        <v>1428</v>
      </c>
    </row>
    <row r="18453" spans="1:9" hidden="1" x14ac:dyDescent="0.25">
      <c r="A18453" t="s">
        <v>15657</v>
      </c>
      <c r="B18453" t="s">
        <v>66</v>
      </c>
      <c r="C18453" s="2">
        <f>HYPERLINK("https://cao.dolgi.msk.ru/account/1080213384/", 1080213384)</f>
        <v>1080213384</v>
      </c>
      <c r="D18453" t="s">
        <v>15673</v>
      </c>
      <c r="E18453">
        <v>-9309.19</v>
      </c>
      <c r="F18453">
        <v>-1.29</v>
      </c>
      <c r="G18453" t="s">
        <v>12</v>
      </c>
      <c r="I18453" t="s">
        <v>1428</v>
      </c>
    </row>
    <row r="18454" spans="1:9" hidden="1" x14ac:dyDescent="0.25">
      <c r="A18454" t="s">
        <v>15657</v>
      </c>
      <c r="B18454" t="s">
        <v>70</v>
      </c>
      <c r="C18454" s="2">
        <f>HYPERLINK("https://cao.dolgi.msk.ru/account/1080213405/", 1080213405)</f>
        <v>1080213405</v>
      </c>
      <c r="D18454" t="s">
        <v>15674</v>
      </c>
      <c r="E18454">
        <v>-8554.7199999999993</v>
      </c>
      <c r="F18454">
        <v>-1.17</v>
      </c>
      <c r="G18454" t="s">
        <v>12</v>
      </c>
      <c r="I18454" t="s">
        <v>1428</v>
      </c>
    </row>
    <row r="18455" spans="1:9" hidden="1" x14ac:dyDescent="0.25">
      <c r="A18455" t="s">
        <v>15657</v>
      </c>
      <c r="B18455" t="s">
        <v>72</v>
      </c>
      <c r="C18455" s="2">
        <f>HYPERLINK("https://cao.dolgi.msk.ru/account/1080213413/", 1080213413)</f>
        <v>1080213413</v>
      </c>
      <c r="D18455" t="s">
        <v>15675</v>
      </c>
      <c r="E18455">
        <v>-8546.35</v>
      </c>
      <c r="F18455">
        <v>-1.0900000000000001</v>
      </c>
      <c r="G18455" t="s">
        <v>12</v>
      </c>
      <c r="I18455" t="s">
        <v>1428</v>
      </c>
    </row>
    <row r="18456" spans="1:9" hidden="1" x14ac:dyDescent="0.25">
      <c r="A18456" t="s">
        <v>15657</v>
      </c>
      <c r="B18456" t="s">
        <v>74</v>
      </c>
      <c r="C18456" s="2">
        <f>HYPERLINK("https://cao.dolgi.msk.ru/account/1080213421/", 1080213421)</f>
        <v>1080213421</v>
      </c>
      <c r="D18456" t="s">
        <v>15676</v>
      </c>
      <c r="E18456">
        <v>-94.95</v>
      </c>
      <c r="F18456">
        <v>-0.01</v>
      </c>
      <c r="G18456" t="s">
        <v>12</v>
      </c>
      <c r="I18456" t="s">
        <v>1428</v>
      </c>
    </row>
    <row r="18457" spans="1:9" hidden="1" x14ac:dyDescent="0.25">
      <c r="A18457" t="s">
        <v>15657</v>
      </c>
      <c r="B18457" t="s">
        <v>76</v>
      </c>
      <c r="C18457" s="2">
        <f>HYPERLINK("https://cao.dolgi.msk.ru/account/1080213448/", 1080213448)</f>
        <v>1080213448</v>
      </c>
      <c r="D18457" t="s">
        <v>15677</v>
      </c>
      <c r="E18457">
        <v>-4227.3</v>
      </c>
      <c r="F18457">
        <v>-1.1100000000000001</v>
      </c>
      <c r="G18457" t="s">
        <v>12</v>
      </c>
      <c r="I18457" t="s">
        <v>1428</v>
      </c>
    </row>
    <row r="18458" spans="1:9" hidden="1" x14ac:dyDescent="0.25">
      <c r="A18458" t="s">
        <v>15657</v>
      </c>
      <c r="B18458" t="s">
        <v>78</v>
      </c>
      <c r="C18458" s="2">
        <f>HYPERLINK("https://cao.dolgi.msk.ru/account/1080213456/", 1080213456)</f>
        <v>1080213456</v>
      </c>
      <c r="D18458" t="s">
        <v>15678</v>
      </c>
      <c r="E18458">
        <v>-5351.84</v>
      </c>
      <c r="F18458">
        <v>-1.05</v>
      </c>
      <c r="G18458" t="s">
        <v>12</v>
      </c>
      <c r="I18458" t="s">
        <v>1428</v>
      </c>
    </row>
    <row r="18459" spans="1:9" hidden="1" x14ac:dyDescent="0.25">
      <c r="A18459" t="s">
        <v>15657</v>
      </c>
      <c r="B18459" t="s">
        <v>80</v>
      </c>
      <c r="C18459" s="2">
        <f>HYPERLINK("https://cao.dolgi.msk.ru/account/1080213464/", 1080213464)</f>
        <v>1080213464</v>
      </c>
      <c r="D18459" t="s">
        <v>15679</v>
      </c>
      <c r="E18459">
        <v>-9011.44</v>
      </c>
      <c r="F18459">
        <v>-1.1200000000000001</v>
      </c>
      <c r="G18459" t="s">
        <v>12</v>
      </c>
      <c r="I18459" t="s">
        <v>1428</v>
      </c>
    </row>
    <row r="18460" spans="1:9" hidden="1" x14ac:dyDescent="0.25">
      <c r="A18460" t="s">
        <v>15657</v>
      </c>
      <c r="B18460" t="s">
        <v>82</v>
      </c>
      <c r="C18460" s="2">
        <f>HYPERLINK("https://cao.dolgi.msk.ru/account/1080213472/", 1080213472)</f>
        <v>1080213472</v>
      </c>
      <c r="D18460" t="s">
        <v>15680</v>
      </c>
      <c r="E18460">
        <v>-5640.46</v>
      </c>
      <c r="F18460">
        <v>-1.1399999999999999</v>
      </c>
      <c r="G18460" t="s">
        <v>12</v>
      </c>
      <c r="I18460" t="s">
        <v>1428</v>
      </c>
    </row>
    <row r="18461" spans="1:9" hidden="1" x14ac:dyDescent="0.25">
      <c r="A18461" t="s">
        <v>15657</v>
      </c>
      <c r="B18461" t="s">
        <v>84</v>
      </c>
      <c r="C18461" s="2">
        <f>HYPERLINK("https://cao.dolgi.msk.ru/account/1080213499/", 1080213499)</f>
        <v>1080213499</v>
      </c>
      <c r="D18461" t="s">
        <v>15681</v>
      </c>
      <c r="E18461">
        <v>-5421.36</v>
      </c>
      <c r="F18461">
        <v>-1.42</v>
      </c>
      <c r="G18461" t="s">
        <v>12</v>
      </c>
      <c r="I18461" t="s">
        <v>1428</v>
      </c>
    </row>
    <row r="18462" spans="1:9" hidden="1" x14ac:dyDescent="0.25">
      <c r="A18462" t="s">
        <v>15657</v>
      </c>
      <c r="B18462" t="s">
        <v>86</v>
      </c>
      <c r="C18462" s="2">
        <f>HYPERLINK("https://cao.dolgi.msk.ru/account/1080213501/", 1080213501)</f>
        <v>1080213501</v>
      </c>
      <c r="D18462" t="s">
        <v>15682</v>
      </c>
      <c r="E18462">
        <v>-3182.08</v>
      </c>
      <c r="F18462">
        <v>-1.1499999999999999</v>
      </c>
      <c r="G18462" t="s">
        <v>12</v>
      </c>
      <c r="I18462" t="s">
        <v>1428</v>
      </c>
    </row>
    <row r="18463" spans="1:9" hidden="1" x14ac:dyDescent="0.25">
      <c r="A18463" t="s">
        <v>15657</v>
      </c>
      <c r="B18463" t="s">
        <v>88</v>
      </c>
      <c r="C18463" s="2">
        <f>HYPERLINK("https://cao.dolgi.msk.ru/account/1080213528/", 1080213528)</f>
        <v>1080213528</v>
      </c>
      <c r="D18463" t="s">
        <v>15683</v>
      </c>
      <c r="E18463">
        <v>-9311.65</v>
      </c>
      <c r="F18463">
        <v>-1.37</v>
      </c>
      <c r="G18463" t="s">
        <v>12</v>
      </c>
      <c r="I18463" t="s">
        <v>1428</v>
      </c>
    </row>
    <row r="18464" spans="1:9" hidden="1" x14ac:dyDescent="0.25">
      <c r="A18464" t="s">
        <v>15657</v>
      </c>
      <c r="B18464" t="s">
        <v>96</v>
      </c>
      <c r="C18464" s="2">
        <f>HYPERLINK("https://cao.dolgi.msk.ru/account/1080213536/", 1080213536)</f>
        <v>1080213536</v>
      </c>
      <c r="D18464" t="s">
        <v>15684</v>
      </c>
      <c r="E18464">
        <v>-10918.53</v>
      </c>
      <c r="F18464">
        <v>-1.1100000000000001</v>
      </c>
      <c r="G18464" t="s">
        <v>12</v>
      </c>
      <c r="I18464" t="s">
        <v>1428</v>
      </c>
    </row>
    <row r="18465" spans="1:9" hidden="1" x14ac:dyDescent="0.25">
      <c r="A18465" t="s">
        <v>15657</v>
      </c>
      <c r="B18465" t="s">
        <v>98</v>
      </c>
      <c r="C18465" s="2">
        <f>HYPERLINK("https://cao.dolgi.msk.ru/account/1080213544/", 1080213544)</f>
        <v>1080213544</v>
      </c>
      <c r="D18465" t="s">
        <v>15685</v>
      </c>
      <c r="E18465">
        <v>12.19</v>
      </c>
      <c r="F18465">
        <v>0</v>
      </c>
      <c r="G18465" t="s">
        <v>12</v>
      </c>
      <c r="I18465" t="s">
        <v>1428</v>
      </c>
    </row>
    <row r="18466" spans="1:9" hidden="1" x14ac:dyDescent="0.25">
      <c r="A18466" t="s">
        <v>15657</v>
      </c>
      <c r="B18466" t="s">
        <v>100</v>
      </c>
      <c r="C18466" s="2">
        <f>HYPERLINK("https://cao.dolgi.msk.ru/account/1080213552/", 1080213552)</f>
        <v>1080213552</v>
      </c>
      <c r="D18466" t="s">
        <v>15686</v>
      </c>
      <c r="E18466">
        <v>-3628.14</v>
      </c>
      <c r="F18466">
        <v>-1.04</v>
      </c>
      <c r="G18466" t="s">
        <v>12</v>
      </c>
      <c r="I18466" t="s">
        <v>1428</v>
      </c>
    </row>
    <row r="18467" spans="1:9" hidden="1" x14ac:dyDescent="0.25">
      <c r="A18467" t="s">
        <v>15657</v>
      </c>
      <c r="B18467" t="s">
        <v>102</v>
      </c>
      <c r="C18467" s="2">
        <f>HYPERLINK("https://cao.dolgi.msk.ru/account/1080213579/", 1080213579)</f>
        <v>1080213579</v>
      </c>
      <c r="D18467" t="s">
        <v>15687</v>
      </c>
      <c r="E18467">
        <v>-10338.23</v>
      </c>
      <c r="F18467">
        <v>-1.02</v>
      </c>
      <c r="G18467" t="s">
        <v>12</v>
      </c>
      <c r="I18467" t="s">
        <v>1428</v>
      </c>
    </row>
    <row r="18468" spans="1:9" hidden="1" x14ac:dyDescent="0.25">
      <c r="A18468" t="s">
        <v>15657</v>
      </c>
      <c r="B18468" t="s">
        <v>104</v>
      </c>
      <c r="C18468" s="2">
        <f>HYPERLINK("https://cao.dolgi.msk.ru/account/1080213587/", 1080213587)</f>
        <v>1080213587</v>
      </c>
      <c r="D18468" t="s">
        <v>15</v>
      </c>
      <c r="G18468" t="s">
        <v>14</v>
      </c>
      <c r="I18468" t="s">
        <v>1428</v>
      </c>
    </row>
    <row r="18469" spans="1:9" hidden="1" x14ac:dyDescent="0.25">
      <c r="A18469" t="s">
        <v>15657</v>
      </c>
      <c r="B18469" t="s">
        <v>106</v>
      </c>
      <c r="C18469" s="2">
        <f>HYPERLINK("https://cao.dolgi.msk.ru/account/1080213595/", 1080213595)</f>
        <v>1080213595</v>
      </c>
      <c r="D18469" t="s">
        <v>15688</v>
      </c>
      <c r="E18469">
        <v>-402.36</v>
      </c>
      <c r="F18469">
        <v>-0.09</v>
      </c>
      <c r="G18469" t="s">
        <v>12</v>
      </c>
      <c r="I18469" t="s">
        <v>1428</v>
      </c>
    </row>
    <row r="18470" spans="1:9" hidden="1" x14ac:dyDescent="0.25">
      <c r="A18470" t="s">
        <v>15657</v>
      </c>
      <c r="B18470" t="s">
        <v>108</v>
      </c>
      <c r="C18470" s="2">
        <f>HYPERLINK("https://cao.dolgi.msk.ru/account/1080213608/", 1080213608)</f>
        <v>1080213608</v>
      </c>
      <c r="D18470" t="s">
        <v>15689</v>
      </c>
      <c r="E18470">
        <v>-6160.74</v>
      </c>
      <c r="F18470">
        <v>-1.22</v>
      </c>
      <c r="G18470" t="s">
        <v>12</v>
      </c>
      <c r="I18470" t="s">
        <v>1428</v>
      </c>
    </row>
    <row r="18471" spans="1:9" hidden="1" x14ac:dyDescent="0.25">
      <c r="A18471" t="s">
        <v>15657</v>
      </c>
      <c r="B18471" t="s">
        <v>110</v>
      </c>
      <c r="C18471" s="2">
        <f>HYPERLINK("https://cao.dolgi.msk.ru/account/1080213616/", 1080213616)</f>
        <v>1080213616</v>
      </c>
      <c r="D18471" t="s">
        <v>15690</v>
      </c>
      <c r="E18471">
        <v>-5833.69</v>
      </c>
      <c r="F18471">
        <v>-1.1399999999999999</v>
      </c>
      <c r="G18471" t="s">
        <v>12</v>
      </c>
      <c r="I18471" t="s">
        <v>1428</v>
      </c>
    </row>
    <row r="18472" spans="1:9" hidden="1" x14ac:dyDescent="0.25">
      <c r="A18472" t="s">
        <v>15657</v>
      </c>
      <c r="B18472" t="s">
        <v>112</v>
      </c>
      <c r="C18472" s="2">
        <f>HYPERLINK("https://cao.dolgi.msk.ru/account/1080213632/", 1080213632)</f>
        <v>1080213632</v>
      </c>
      <c r="D18472" t="s">
        <v>15691</v>
      </c>
      <c r="E18472">
        <v>-6497.29</v>
      </c>
      <c r="F18472">
        <v>-1.17</v>
      </c>
      <c r="G18472" t="s">
        <v>12</v>
      </c>
      <c r="I18472" t="s">
        <v>1428</v>
      </c>
    </row>
    <row r="18473" spans="1:9" hidden="1" x14ac:dyDescent="0.25">
      <c r="A18473" t="s">
        <v>15657</v>
      </c>
      <c r="B18473" t="s">
        <v>114</v>
      </c>
      <c r="C18473" s="2">
        <f>HYPERLINK("https://cao.dolgi.msk.ru/account/1080213624/", 1080213624)</f>
        <v>1080213624</v>
      </c>
      <c r="D18473" t="s">
        <v>15692</v>
      </c>
      <c r="E18473">
        <v>-114.87</v>
      </c>
      <c r="F18473">
        <v>-0.02</v>
      </c>
      <c r="G18473" t="s">
        <v>12</v>
      </c>
      <c r="I18473" t="s">
        <v>1428</v>
      </c>
    </row>
    <row r="18474" spans="1:9" hidden="1" x14ac:dyDescent="0.25">
      <c r="A18474" t="s">
        <v>15657</v>
      </c>
      <c r="B18474" t="s">
        <v>116</v>
      </c>
      <c r="C18474" s="2">
        <f>HYPERLINK("https://cao.dolgi.msk.ru/account/1080213659/", 1080213659)</f>
        <v>1080213659</v>
      </c>
      <c r="D18474" t="s">
        <v>15693</v>
      </c>
      <c r="E18474">
        <v>-3524.13</v>
      </c>
      <c r="F18474">
        <v>-1.17</v>
      </c>
      <c r="G18474" t="s">
        <v>12</v>
      </c>
      <c r="I18474" t="s">
        <v>1428</v>
      </c>
    </row>
    <row r="18475" spans="1:9" hidden="1" x14ac:dyDescent="0.25">
      <c r="A18475" t="s">
        <v>15657</v>
      </c>
      <c r="B18475" t="s">
        <v>118</v>
      </c>
      <c r="C18475" s="2">
        <f>HYPERLINK("https://cao.dolgi.msk.ru/account/1080213667/", 1080213667)</f>
        <v>1080213667</v>
      </c>
      <c r="D18475" t="s">
        <v>15694</v>
      </c>
      <c r="E18475">
        <v>-5810.49</v>
      </c>
      <c r="F18475">
        <v>-1.1100000000000001</v>
      </c>
      <c r="G18475" t="s">
        <v>12</v>
      </c>
      <c r="H18475" t="s">
        <v>7</v>
      </c>
      <c r="I18475" t="s">
        <v>1428</v>
      </c>
    </row>
    <row r="18476" spans="1:9" hidden="1" x14ac:dyDescent="0.25">
      <c r="A18476" t="s">
        <v>15657</v>
      </c>
      <c r="B18476" t="s">
        <v>118</v>
      </c>
      <c r="C18476" s="2">
        <f>HYPERLINK("https://cao.dolgi.msk.ru/account/1080213675/", 1080213675)</f>
        <v>1080213675</v>
      </c>
      <c r="D18476" t="s">
        <v>15695</v>
      </c>
      <c r="E18476">
        <v>-2108.6999999999998</v>
      </c>
      <c r="F18476">
        <v>-1.08</v>
      </c>
      <c r="G18476" t="s">
        <v>12</v>
      </c>
      <c r="H18476" t="s">
        <v>7</v>
      </c>
      <c r="I18476" t="s">
        <v>1428</v>
      </c>
    </row>
    <row r="18477" spans="1:9" hidden="1" x14ac:dyDescent="0.25">
      <c r="A18477" t="s">
        <v>15657</v>
      </c>
      <c r="B18477" t="s">
        <v>120</v>
      </c>
      <c r="C18477" s="2">
        <f>HYPERLINK("https://cao.dolgi.msk.ru/account/1080213683/", 1080213683)</f>
        <v>1080213683</v>
      </c>
      <c r="D18477" t="s">
        <v>15696</v>
      </c>
      <c r="E18477">
        <v>-4772.97</v>
      </c>
      <c r="F18477">
        <v>-1.1399999999999999</v>
      </c>
      <c r="G18477" t="s">
        <v>12</v>
      </c>
      <c r="I18477" t="s">
        <v>1428</v>
      </c>
    </row>
    <row r="18478" spans="1:9" hidden="1" x14ac:dyDescent="0.25">
      <c r="A18478" t="s">
        <v>15657</v>
      </c>
      <c r="B18478" t="s">
        <v>122</v>
      </c>
      <c r="C18478" s="2">
        <f>HYPERLINK("https://cao.dolgi.msk.ru/account/1080213691/", 1080213691)</f>
        <v>1080213691</v>
      </c>
      <c r="D18478" t="s">
        <v>15697</v>
      </c>
      <c r="E18478">
        <v>-4140.96</v>
      </c>
      <c r="F18478">
        <v>-1.0900000000000001</v>
      </c>
      <c r="G18478" t="s">
        <v>12</v>
      </c>
      <c r="I18478" t="s">
        <v>1428</v>
      </c>
    </row>
    <row r="18479" spans="1:9" hidden="1" x14ac:dyDescent="0.25">
      <c r="A18479" t="s">
        <v>15657</v>
      </c>
      <c r="B18479" t="s">
        <v>124</v>
      </c>
      <c r="C18479" s="2">
        <f>HYPERLINK("https://cao.dolgi.msk.ru/account/1080213704/", 1080213704)</f>
        <v>1080213704</v>
      </c>
      <c r="D18479" t="s">
        <v>15698</v>
      </c>
      <c r="E18479">
        <v>0</v>
      </c>
      <c r="F18479">
        <v>0</v>
      </c>
      <c r="G18479" t="s">
        <v>12</v>
      </c>
      <c r="I18479" t="s">
        <v>1428</v>
      </c>
    </row>
    <row r="18480" spans="1:9" hidden="1" x14ac:dyDescent="0.25">
      <c r="A18480" t="s">
        <v>15657</v>
      </c>
      <c r="B18480" t="s">
        <v>126</v>
      </c>
      <c r="C18480" s="2">
        <f>HYPERLINK("https://cao.dolgi.msk.ru/account/1080213712/", 1080213712)</f>
        <v>1080213712</v>
      </c>
      <c r="D18480" t="s">
        <v>15699</v>
      </c>
      <c r="E18480">
        <v>-5835.24</v>
      </c>
      <c r="F18480">
        <v>-1.17</v>
      </c>
      <c r="G18480" t="s">
        <v>12</v>
      </c>
      <c r="I18480" t="s">
        <v>1428</v>
      </c>
    </row>
    <row r="18481" spans="1:9" hidden="1" x14ac:dyDescent="0.25">
      <c r="A18481" t="s">
        <v>15657</v>
      </c>
      <c r="B18481" t="s">
        <v>126</v>
      </c>
      <c r="C18481" s="2">
        <f>HYPERLINK("https://cao.dolgi.msk.ru/account/1083283302/", 1083283302)</f>
        <v>1083283302</v>
      </c>
      <c r="D18481" t="s">
        <v>15</v>
      </c>
      <c r="E18481">
        <v>-1706.61</v>
      </c>
      <c r="F18481">
        <v>-1.17</v>
      </c>
      <c r="G18481" t="s">
        <v>12</v>
      </c>
      <c r="I18481" t="s">
        <v>1428</v>
      </c>
    </row>
    <row r="18482" spans="1:9" x14ac:dyDescent="0.25">
      <c r="A18482" t="s">
        <v>15657</v>
      </c>
      <c r="B18482" t="s">
        <v>128</v>
      </c>
      <c r="C18482" s="2">
        <f>HYPERLINK("https://cao.dolgi.msk.ru/account/1080213739/", 1080213739)</f>
        <v>1080213739</v>
      </c>
      <c r="D18482" t="s">
        <v>15700</v>
      </c>
      <c r="E18482">
        <v>7802.61</v>
      </c>
      <c r="F18482">
        <v>1.53</v>
      </c>
      <c r="G18482" t="s">
        <v>12</v>
      </c>
      <c r="I18482" t="s">
        <v>1428</v>
      </c>
    </row>
    <row r="18483" spans="1:9" hidden="1" x14ac:dyDescent="0.25">
      <c r="A18483" t="s">
        <v>15657</v>
      </c>
      <c r="B18483" t="s">
        <v>130</v>
      </c>
      <c r="C18483" s="2">
        <f>HYPERLINK("https://cao.dolgi.msk.ru/account/1080213747/", 1080213747)</f>
        <v>1080213747</v>
      </c>
      <c r="D18483" t="s">
        <v>15701</v>
      </c>
      <c r="E18483">
        <v>-6519.65</v>
      </c>
      <c r="F18483">
        <v>-1.1000000000000001</v>
      </c>
      <c r="G18483" t="s">
        <v>12</v>
      </c>
      <c r="I18483" t="s">
        <v>1428</v>
      </c>
    </row>
    <row r="18484" spans="1:9" hidden="1" x14ac:dyDescent="0.25">
      <c r="A18484" t="s">
        <v>15657</v>
      </c>
      <c r="B18484" t="s">
        <v>132</v>
      </c>
      <c r="C18484" s="2">
        <f>HYPERLINK("https://cao.dolgi.msk.ru/account/1080213755/", 1080213755)</f>
        <v>1080213755</v>
      </c>
      <c r="D18484" t="s">
        <v>15702</v>
      </c>
      <c r="E18484">
        <v>-4216.83</v>
      </c>
      <c r="F18484">
        <v>-1.07</v>
      </c>
      <c r="G18484" t="s">
        <v>12</v>
      </c>
      <c r="I18484" t="s">
        <v>1428</v>
      </c>
    </row>
    <row r="18485" spans="1:9" hidden="1" x14ac:dyDescent="0.25">
      <c r="A18485" t="s">
        <v>15657</v>
      </c>
      <c r="B18485" t="s">
        <v>133</v>
      </c>
      <c r="C18485" s="2">
        <f>HYPERLINK("https://cao.dolgi.msk.ru/account/1080213763/", 1080213763)</f>
        <v>1080213763</v>
      </c>
      <c r="D18485" t="s">
        <v>15703</v>
      </c>
      <c r="E18485">
        <v>6008.69</v>
      </c>
      <c r="F18485">
        <v>0.9</v>
      </c>
      <c r="G18485" t="s">
        <v>12</v>
      </c>
      <c r="I18485" t="s">
        <v>1428</v>
      </c>
    </row>
    <row r="18486" spans="1:9" hidden="1" x14ac:dyDescent="0.25">
      <c r="A18486" t="s">
        <v>15657</v>
      </c>
      <c r="B18486" t="s">
        <v>135</v>
      </c>
      <c r="C18486" s="2">
        <f>HYPERLINK("https://cao.dolgi.msk.ru/account/1080213771/", 1080213771)</f>
        <v>1080213771</v>
      </c>
      <c r="D18486" t="s">
        <v>15704</v>
      </c>
      <c r="E18486">
        <v>-8971.85</v>
      </c>
      <c r="F18486">
        <v>-1.2</v>
      </c>
      <c r="G18486" t="s">
        <v>12</v>
      </c>
      <c r="I18486" t="s">
        <v>1428</v>
      </c>
    </row>
    <row r="18487" spans="1:9" hidden="1" x14ac:dyDescent="0.25">
      <c r="A18487" t="s">
        <v>15657</v>
      </c>
      <c r="B18487" t="s">
        <v>137</v>
      </c>
      <c r="C18487" s="2">
        <f>HYPERLINK("https://cao.dolgi.msk.ru/account/1080213798/", 1080213798)</f>
        <v>1080213798</v>
      </c>
      <c r="D18487" t="s">
        <v>15705</v>
      </c>
      <c r="E18487">
        <v>-7056.77</v>
      </c>
      <c r="F18487">
        <v>-1.08</v>
      </c>
      <c r="G18487" t="s">
        <v>12</v>
      </c>
      <c r="I18487" t="s">
        <v>1428</v>
      </c>
    </row>
    <row r="18488" spans="1:9" hidden="1" x14ac:dyDescent="0.25">
      <c r="A18488" t="s">
        <v>15657</v>
      </c>
      <c r="B18488" t="s">
        <v>139</v>
      </c>
      <c r="C18488" s="2">
        <f>HYPERLINK("https://cao.dolgi.msk.ru/account/1080213819/", 1080213819)</f>
        <v>1080213819</v>
      </c>
      <c r="D18488" t="s">
        <v>15706</v>
      </c>
      <c r="E18488">
        <v>-8448.64</v>
      </c>
      <c r="F18488">
        <v>-1.1000000000000001</v>
      </c>
      <c r="G18488" t="s">
        <v>12</v>
      </c>
      <c r="I18488" t="s">
        <v>1428</v>
      </c>
    </row>
    <row r="18489" spans="1:9" hidden="1" x14ac:dyDescent="0.25">
      <c r="A18489" t="s">
        <v>15657</v>
      </c>
      <c r="B18489" t="s">
        <v>141</v>
      </c>
      <c r="C18489" s="2">
        <f>HYPERLINK("https://cao.dolgi.msk.ru/account/1080213827/", 1080213827)</f>
        <v>1080213827</v>
      </c>
      <c r="D18489" t="s">
        <v>15707</v>
      </c>
      <c r="E18489">
        <v>-549.88</v>
      </c>
      <c r="F18489">
        <v>-7.0000000000000007E-2</v>
      </c>
      <c r="G18489" t="s">
        <v>12</v>
      </c>
      <c r="I18489" t="s">
        <v>1428</v>
      </c>
    </row>
    <row r="18490" spans="1:9" hidden="1" x14ac:dyDescent="0.25">
      <c r="A18490" t="s">
        <v>15657</v>
      </c>
      <c r="B18490" t="s">
        <v>143</v>
      </c>
      <c r="C18490" s="2">
        <f>HYPERLINK("https://cao.dolgi.msk.ru/account/1080213843/", 1080213843)</f>
        <v>1080213843</v>
      </c>
      <c r="D18490" t="s">
        <v>15708</v>
      </c>
      <c r="E18490">
        <v>-9278.11</v>
      </c>
      <c r="F18490">
        <v>-1.26</v>
      </c>
      <c r="G18490" t="s">
        <v>12</v>
      </c>
      <c r="I18490" t="s">
        <v>1428</v>
      </c>
    </row>
    <row r="18491" spans="1:9" hidden="1" x14ac:dyDescent="0.25">
      <c r="A18491" t="s">
        <v>15657</v>
      </c>
      <c r="B18491" t="s">
        <v>145</v>
      </c>
      <c r="C18491" s="2">
        <f>HYPERLINK("https://cao.dolgi.msk.ru/account/1080213851/", 1080213851)</f>
        <v>1080213851</v>
      </c>
      <c r="D18491" t="s">
        <v>15709</v>
      </c>
      <c r="E18491">
        <v>37.9</v>
      </c>
      <c r="F18491">
        <v>0.01</v>
      </c>
      <c r="G18491" t="s">
        <v>12</v>
      </c>
      <c r="I18491" t="s">
        <v>1428</v>
      </c>
    </row>
    <row r="18492" spans="1:9" hidden="1" x14ac:dyDescent="0.25">
      <c r="A18492" t="s">
        <v>15657</v>
      </c>
      <c r="B18492" t="s">
        <v>147</v>
      </c>
      <c r="C18492" s="2">
        <f>HYPERLINK("https://cao.dolgi.msk.ru/account/1080213878/", 1080213878)</f>
        <v>1080213878</v>
      </c>
      <c r="D18492" t="s">
        <v>15710</v>
      </c>
      <c r="E18492">
        <v>-5590.38</v>
      </c>
      <c r="F18492">
        <v>-1.1299999999999999</v>
      </c>
      <c r="G18492" t="s">
        <v>12</v>
      </c>
      <c r="I18492" t="s">
        <v>1428</v>
      </c>
    </row>
    <row r="18493" spans="1:9" x14ac:dyDescent="0.25">
      <c r="A18493" t="s">
        <v>15657</v>
      </c>
      <c r="B18493" t="s">
        <v>149</v>
      </c>
      <c r="C18493" s="2">
        <f>HYPERLINK("https://cao.dolgi.msk.ru/account/1080213886/", 1080213886)</f>
        <v>1080213886</v>
      </c>
      <c r="D18493" t="s">
        <v>15711</v>
      </c>
      <c r="E18493">
        <v>189513.31</v>
      </c>
      <c r="F18493">
        <v>45.19</v>
      </c>
      <c r="G18493" t="s">
        <v>12</v>
      </c>
      <c r="H18493" t="s">
        <v>7</v>
      </c>
      <c r="I18493" t="s">
        <v>1428</v>
      </c>
    </row>
    <row r="18494" spans="1:9" hidden="1" x14ac:dyDescent="0.25">
      <c r="A18494" t="s">
        <v>15657</v>
      </c>
      <c r="B18494" t="s">
        <v>149</v>
      </c>
      <c r="C18494" s="2">
        <f>HYPERLINK("https://cao.dolgi.msk.ru/account/1080213894/", 1080213894)</f>
        <v>1080213894</v>
      </c>
      <c r="D18494" t="s">
        <v>15712</v>
      </c>
      <c r="E18494">
        <v>-1754.22</v>
      </c>
      <c r="F18494">
        <v>-1.18</v>
      </c>
      <c r="G18494" t="s">
        <v>12</v>
      </c>
      <c r="H18494" t="s">
        <v>7</v>
      </c>
      <c r="I18494" t="s">
        <v>1428</v>
      </c>
    </row>
    <row r="18495" spans="1:9" x14ac:dyDescent="0.25">
      <c r="A18495" t="s">
        <v>15657</v>
      </c>
      <c r="B18495" t="s">
        <v>151</v>
      </c>
      <c r="C18495" s="2">
        <f>HYPERLINK("https://cao.dolgi.msk.ru/account/1080213907/", 1080213907)</f>
        <v>1080213907</v>
      </c>
      <c r="D18495" t="s">
        <v>15713</v>
      </c>
      <c r="E18495">
        <v>6295.33</v>
      </c>
      <c r="F18495">
        <v>1.02</v>
      </c>
      <c r="G18495" t="s">
        <v>12</v>
      </c>
      <c r="I18495" t="s">
        <v>1428</v>
      </c>
    </row>
    <row r="18496" spans="1:9" hidden="1" x14ac:dyDescent="0.25">
      <c r="A18496" t="s">
        <v>15657</v>
      </c>
      <c r="B18496" t="s">
        <v>153</v>
      </c>
      <c r="C18496" s="2">
        <f>HYPERLINK("https://cao.dolgi.msk.ru/account/1080213915/", 1080213915)</f>
        <v>1080213915</v>
      </c>
      <c r="D18496" t="s">
        <v>15714</v>
      </c>
      <c r="E18496">
        <v>-1026.08</v>
      </c>
      <c r="G18496" t="s">
        <v>14</v>
      </c>
      <c r="I18496" t="s">
        <v>1428</v>
      </c>
    </row>
    <row r="18497" spans="1:9" hidden="1" x14ac:dyDescent="0.25">
      <c r="A18497" t="s">
        <v>15657</v>
      </c>
      <c r="B18497" t="s">
        <v>155</v>
      </c>
      <c r="C18497" s="2">
        <f>HYPERLINK("https://cao.dolgi.msk.ru/account/1080213923/", 1080213923)</f>
        <v>1080213923</v>
      </c>
      <c r="D18497" t="s">
        <v>15715</v>
      </c>
      <c r="E18497">
        <v>-13751.33</v>
      </c>
      <c r="F18497">
        <v>-1.4</v>
      </c>
      <c r="G18497" t="s">
        <v>12</v>
      </c>
      <c r="I18497" t="s">
        <v>1428</v>
      </c>
    </row>
    <row r="18498" spans="1:9" hidden="1" x14ac:dyDescent="0.25">
      <c r="A18498" t="s">
        <v>15657</v>
      </c>
      <c r="B18498" t="s">
        <v>157</v>
      </c>
      <c r="C18498" s="2">
        <f>HYPERLINK("https://cao.dolgi.msk.ru/account/1080213931/", 1080213931)</f>
        <v>1080213931</v>
      </c>
      <c r="D18498" t="s">
        <v>15716</v>
      </c>
      <c r="E18498">
        <v>9873.93</v>
      </c>
      <c r="F18498">
        <v>0.99</v>
      </c>
      <c r="G18498" t="s">
        <v>12</v>
      </c>
      <c r="I18498" t="s">
        <v>1428</v>
      </c>
    </row>
    <row r="18499" spans="1:9" hidden="1" x14ac:dyDescent="0.25">
      <c r="A18499" t="s">
        <v>15657</v>
      </c>
      <c r="B18499" t="s">
        <v>159</v>
      </c>
      <c r="C18499" s="2">
        <f>HYPERLINK("https://cao.dolgi.msk.ru/account/1080213958/", 1080213958)</f>
        <v>1080213958</v>
      </c>
      <c r="D18499" t="s">
        <v>15717</v>
      </c>
      <c r="E18499">
        <v>-3945.02</v>
      </c>
      <c r="F18499">
        <v>-1.18</v>
      </c>
      <c r="G18499" t="s">
        <v>12</v>
      </c>
      <c r="I18499" t="s">
        <v>1428</v>
      </c>
    </row>
    <row r="18500" spans="1:9" hidden="1" x14ac:dyDescent="0.25">
      <c r="A18500" t="s">
        <v>15657</v>
      </c>
      <c r="B18500" t="s">
        <v>161</v>
      </c>
      <c r="C18500" s="2">
        <f>HYPERLINK("https://cao.dolgi.msk.ru/account/1080213966/", 1080213966)</f>
        <v>1080213966</v>
      </c>
      <c r="D18500" t="s">
        <v>15718</v>
      </c>
      <c r="E18500">
        <v>-9409.99</v>
      </c>
      <c r="F18500">
        <v>-1.08</v>
      </c>
      <c r="G18500" t="s">
        <v>12</v>
      </c>
      <c r="I18500" t="s">
        <v>1428</v>
      </c>
    </row>
    <row r="18501" spans="1:9" hidden="1" x14ac:dyDescent="0.25">
      <c r="A18501" t="s">
        <v>15657</v>
      </c>
      <c r="B18501" t="s">
        <v>163</v>
      </c>
      <c r="C18501" s="2">
        <f>HYPERLINK("https://cao.dolgi.msk.ru/account/1080213974/", 1080213974)</f>
        <v>1080213974</v>
      </c>
      <c r="D18501" t="s">
        <v>15719</v>
      </c>
      <c r="E18501">
        <v>-6026.72</v>
      </c>
      <c r="F18501">
        <v>-1.27</v>
      </c>
      <c r="G18501" t="s">
        <v>12</v>
      </c>
      <c r="I18501" t="s">
        <v>1428</v>
      </c>
    </row>
    <row r="18502" spans="1:9" hidden="1" x14ac:dyDescent="0.25">
      <c r="A18502" t="s">
        <v>15657</v>
      </c>
      <c r="B18502" t="s">
        <v>163</v>
      </c>
      <c r="C18502" s="2">
        <f>HYPERLINK("https://cao.dolgi.msk.ru/account/1083274043/", 1083274043)</f>
        <v>1083274043</v>
      </c>
      <c r="D18502" t="s">
        <v>15</v>
      </c>
      <c r="E18502">
        <v>-3015.68</v>
      </c>
      <c r="F18502">
        <v>-1.27</v>
      </c>
      <c r="G18502" t="s">
        <v>12</v>
      </c>
      <c r="I18502" t="s">
        <v>1428</v>
      </c>
    </row>
    <row r="18503" spans="1:9" hidden="1" x14ac:dyDescent="0.25">
      <c r="A18503" t="s">
        <v>15657</v>
      </c>
      <c r="B18503" t="s">
        <v>571</v>
      </c>
      <c r="C18503" s="2">
        <f>HYPERLINK("https://cao.dolgi.msk.ru/account/1080213982/", 1080213982)</f>
        <v>1080213982</v>
      </c>
      <c r="D18503" t="s">
        <v>15720</v>
      </c>
      <c r="E18503">
        <v>9041.69</v>
      </c>
      <c r="F18503">
        <v>0.88</v>
      </c>
      <c r="G18503" t="s">
        <v>12</v>
      </c>
      <c r="I18503" t="s">
        <v>1428</v>
      </c>
    </row>
    <row r="18504" spans="1:9" hidden="1" x14ac:dyDescent="0.25">
      <c r="A18504" t="s">
        <v>15657</v>
      </c>
      <c r="B18504" t="s">
        <v>682</v>
      </c>
      <c r="C18504" s="2">
        <f>HYPERLINK("https://cao.dolgi.msk.ru/account/1080214002/", 1080214002)</f>
        <v>1080214002</v>
      </c>
      <c r="D18504" t="s">
        <v>15721</v>
      </c>
      <c r="E18504">
        <v>-7233.85</v>
      </c>
      <c r="F18504">
        <v>-1.53</v>
      </c>
      <c r="G18504" t="s">
        <v>12</v>
      </c>
      <c r="I18504" t="s">
        <v>1428</v>
      </c>
    </row>
    <row r="18505" spans="1:9" hidden="1" x14ac:dyDescent="0.25">
      <c r="A18505" t="s">
        <v>15657</v>
      </c>
      <c r="B18505" t="s">
        <v>578</v>
      </c>
      <c r="C18505" s="2">
        <f>HYPERLINK("https://cao.dolgi.msk.ru/account/1080214029/", 1080214029)</f>
        <v>1080214029</v>
      </c>
      <c r="D18505" t="s">
        <v>15722</v>
      </c>
      <c r="E18505">
        <v>-12296.57</v>
      </c>
      <c r="F18505">
        <v>-2.44</v>
      </c>
      <c r="G18505" t="s">
        <v>12</v>
      </c>
      <c r="I18505" t="s">
        <v>1428</v>
      </c>
    </row>
    <row r="18506" spans="1:9" hidden="1" x14ac:dyDescent="0.25">
      <c r="A18506" t="s">
        <v>15657</v>
      </c>
      <c r="B18506" t="s">
        <v>580</v>
      </c>
      <c r="C18506" s="2">
        <f>HYPERLINK("https://cao.dolgi.msk.ru/account/1080214053/", 1080214053)</f>
        <v>1080214053</v>
      </c>
      <c r="D18506" t="s">
        <v>15723</v>
      </c>
      <c r="E18506">
        <v>-7828.99</v>
      </c>
      <c r="F18506">
        <v>-0.98</v>
      </c>
      <c r="G18506" t="s">
        <v>12</v>
      </c>
      <c r="I18506" t="s">
        <v>1428</v>
      </c>
    </row>
    <row r="18507" spans="1:9" hidden="1" x14ac:dyDescent="0.25">
      <c r="A18507" t="s">
        <v>15657</v>
      </c>
      <c r="B18507" t="s">
        <v>686</v>
      </c>
      <c r="C18507" s="2">
        <f>HYPERLINK("https://cao.dolgi.msk.ru/account/1080214045/", 1080214045)</f>
        <v>1080214045</v>
      </c>
      <c r="D18507" t="s">
        <v>15724</v>
      </c>
      <c r="E18507">
        <v>-4387.7700000000004</v>
      </c>
      <c r="F18507">
        <v>-1.1599999999999999</v>
      </c>
      <c r="G18507" t="s">
        <v>12</v>
      </c>
      <c r="I18507" t="s">
        <v>1428</v>
      </c>
    </row>
    <row r="18508" spans="1:9" hidden="1" x14ac:dyDescent="0.25">
      <c r="A18508" t="s">
        <v>15657</v>
      </c>
      <c r="B18508" t="s">
        <v>582</v>
      </c>
      <c r="C18508" s="2">
        <f>HYPERLINK("https://cao.dolgi.msk.ru/account/1080214061/", 1080214061)</f>
        <v>1080214061</v>
      </c>
      <c r="D18508" t="s">
        <v>15725</v>
      </c>
      <c r="E18508">
        <v>-5475.09</v>
      </c>
      <c r="F18508">
        <v>-1.22</v>
      </c>
      <c r="G18508" t="s">
        <v>12</v>
      </c>
      <c r="I18508" t="s">
        <v>1428</v>
      </c>
    </row>
    <row r="18509" spans="1:9" hidden="1" x14ac:dyDescent="0.25">
      <c r="A18509" t="s">
        <v>15657</v>
      </c>
      <c r="B18509" t="s">
        <v>584</v>
      </c>
      <c r="C18509" s="2">
        <f>HYPERLINK("https://cao.dolgi.msk.ru/account/1080214088/", 1080214088)</f>
        <v>1080214088</v>
      </c>
      <c r="D18509" t="s">
        <v>15726</v>
      </c>
      <c r="E18509">
        <v>-8847.02</v>
      </c>
      <c r="F18509">
        <v>-1.1200000000000001</v>
      </c>
      <c r="G18509" t="s">
        <v>12</v>
      </c>
      <c r="I18509" t="s">
        <v>1428</v>
      </c>
    </row>
    <row r="18510" spans="1:9" hidden="1" x14ac:dyDescent="0.25">
      <c r="A18510" t="s">
        <v>15657</v>
      </c>
      <c r="B18510" t="s">
        <v>584</v>
      </c>
      <c r="C18510" s="2">
        <f>HYPERLINK("https://cao.dolgi.msk.ru/account/1083378053/", 1083378053)</f>
        <v>1083378053</v>
      </c>
      <c r="D18510" t="s">
        <v>15</v>
      </c>
      <c r="E18510">
        <v>-284.93</v>
      </c>
      <c r="G18510" t="s">
        <v>14</v>
      </c>
      <c r="I18510" t="s">
        <v>1428</v>
      </c>
    </row>
    <row r="18511" spans="1:9" hidden="1" x14ac:dyDescent="0.25">
      <c r="A18511" t="s">
        <v>15657</v>
      </c>
      <c r="B18511" t="s">
        <v>586</v>
      </c>
      <c r="C18511" s="2">
        <f>HYPERLINK("https://cao.dolgi.msk.ru/account/1080214096/", 1080214096)</f>
        <v>1080214096</v>
      </c>
      <c r="D18511" t="s">
        <v>15727</v>
      </c>
      <c r="E18511">
        <v>-960.88</v>
      </c>
      <c r="F18511">
        <v>-0.1</v>
      </c>
      <c r="G18511" t="s">
        <v>12</v>
      </c>
      <c r="I18511" t="s">
        <v>1428</v>
      </c>
    </row>
    <row r="18512" spans="1:9" hidden="1" x14ac:dyDescent="0.25">
      <c r="A18512" t="s">
        <v>15657</v>
      </c>
      <c r="B18512" t="s">
        <v>588</v>
      </c>
      <c r="C18512" s="2">
        <f>HYPERLINK("https://cao.dolgi.msk.ru/account/1080214109/", 1080214109)</f>
        <v>1080214109</v>
      </c>
      <c r="D18512" t="s">
        <v>15728</v>
      </c>
      <c r="E18512">
        <v>2334.36</v>
      </c>
      <c r="F18512">
        <v>0.28999999999999998</v>
      </c>
      <c r="G18512" t="s">
        <v>12</v>
      </c>
      <c r="I18512" t="s">
        <v>1428</v>
      </c>
    </row>
    <row r="18513" spans="1:9" hidden="1" x14ac:dyDescent="0.25">
      <c r="A18513" t="s">
        <v>15657</v>
      </c>
      <c r="B18513" t="s">
        <v>590</v>
      </c>
      <c r="C18513" s="2">
        <f>HYPERLINK("https://cao.dolgi.msk.ru/account/1080214117/", 1080214117)</f>
        <v>1080214117</v>
      </c>
      <c r="D18513" t="s">
        <v>15729</v>
      </c>
      <c r="E18513">
        <v>-8106.25</v>
      </c>
      <c r="F18513">
        <v>-1.1599999999999999</v>
      </c>
      <c r="G18513" t="s">
        <v>12</v>
      </c>
      <c r="I18513" t="s">
        <v>1428</v>
      </c>
    </row>
    <row r="18514" spans="1:9" hidden="1" x14ac:dyDescent="0.25">
      <c r="A18514" t="s">
        <v>15657</v>
      </c>
      <c r="B18514" t="s">
        <v>693</v>
      </c>
      <c r="C18514" s="2">
        <f>HYPERLINK("https://cao.dolgi.msk.ru/account/1080214125/", 1080214125)</f>
        <v>1080214125</v>
      </c>
      <c r="D18514" t="s">
        <v>15730</v>
      </c>
      <c r="E18514">
        <v>1886.27</v>
      </c>
      <c r="F18514">
        <v>0.31</v>
      </c>
      <c r="G18514" t="s">
        <v>12</v>
      </c>
      <c r="I18514" t="s">
        <v>1428</v>
      </c>
    </row>
    <row r="18515" spans="1:9" hidden="1" x14ac:dyDescent="0.25">
      <c r="A18515" t="s">
        <v>15657</v>
      </c>
      <c r="B18515" t="s">
        <v>694</v>
      </c>
      <c r="C18515" s="2">
        <f>HYPERLINK("https://cao.dolgi.msk.ru/account/1080214133/", 1080214133)</f>
        <v>1080214133</v>
      </c>
      <c r="D18515" t="s">
        <v>15731</v>
      </c>
      <c r="E18515">
        <v>1823.29</v>
      </c>
      <c r="F18515">
        <v>0.23</v>
      </c>
      <c r="G18515" t="s">
        <v>12</v>
      </c>
      <c r="I18515" t="s">
        <v>1428</v>
      </c>
    </row>
    <row r="18516" spans="1:9" hidden="1" x14ac:dyDescent="0.25">
      <c r="A18516" t="s">
        <v>15657</v>
      </c>
      <c r="B18516" t="s">
        <v>696</v>
      </c>
      <c r="C18516" s="2">
        <f>HYPERLINK("https://cao.dolgi.msk.ru/account/1080214141/", 1080214141)</f>
        <v>1080214141</v>
      </c>
      <c r="D18516" t="s">
        <v>15732</v>
      </c>
      <c r="E18516">
        <v>-9333.19</v>
      </c>
      <c r="F18516">
        <v>-1.1299999999999999</v>
      </c>
      <c r="G18516" t="s">
        <v>12</v>
      </c>
      <c r="I18516" t="s">
        <v>1428</v>
      </c>
    </row>
    <row r="18517" spans="1:9" hidden="1" x14ac:dyDescent="0.25">
      <c r="A18517" t="s">
        <v>15657</v>
      </c>
      <c r="B18517" t="s">
        <v>698</v>
      </c>
      <c r="C18517" s="2">
        <f>HYPERLINK("https://cao.dolgi.msk.ru/account/1080214168/", 1080214168)</f>
        <v>1080214168</v>
      </c>
      <c r="D18517" t="s">
        <v>15733</v>
      </c>
      <c r="E18517">
        <v>-3718.36</v>
      </c>
      <c r="F18517">
        <v>-1.0900000000000001</v>
      </c>
      <c r="G18517" t="s">
        <v>12</v>
      </c>
      <c r="I18517" t="s">
        <v>1428</v>
      </c>
    </row>
    <row r="18518" spans="1:9" hidden="1" x14ac:dyDescent="0.25">
      <c r="A18518" t="s">
        <v>15657</v>
      </c>
      <c r="B18518" t="s">
        <v>700</v>
      </c>
      <c r="C18518" s="2">
        <f>HYPERLINK("https://cao.dolgi.msk.ru/account/1080214176/", 1080214176)</f>
        <v>1080214176</v>
      </c>
      <c r="D18518" t="s">
        <v>15734</v>
      </c>
      <c r="G18518" t="s">
        <v>14</v>
      </c>
      <c r="I18518" t="s">
        <v>1428</v>
      </c>
    </row>
    <row r="18519" spans="1:9" hidden="1" x14ac:dyDescent="0.25">
      <c r="A18519" t="s">
        <v>15657</v>
      </c>
      <c r="B18519" t="s">
        <v>700</v>
      </c>
      <c r="C18519" s="2">
        <f>HYPERLINK("https://cao.dolgi.msk.ru/account/1089123844/", 1089123844)</f>
        <v>1089123844</v>
      </c>
      <c r="D18519" t="s">
        <v>15735</v>
      </c>
      <c r="E18519">
        <v>-6150.1</v>
      </c>
      <c r="F18519">
        <v>-1.08</v>
      </c>
      <c r="G18519" t="s">
        <v>12</v>
      </c>
      <c r="I18519" t="s">
        <v>1428</v>
      </c>
    </row>
    <row r="18520" spans="1:9" hidden="1" x14ac:dyDescent="0.25">
      <c r="A18520" t="s">
        <v>15657</v>
      </c>
      <c r="B18520" t="s">
        <v>702</v>
      </c>
      <c r="C18520" s="2">
        <f>HYPERLINK("https://cao.dolgi.msk.ru/account/1080214192/", 1080214192)</f>
        <v>1080214192</v>
      </c>
      <c r="D18520" t="s">
        <v>15736</v>
      </c>
      <c r="E18520">
        <v>-2162.6999999999998</v>
      </c>
      <c r="F18520">
        <v>-0.22</v>
      </c>
      <c r="G18520" t="s">
        <v>12</v>
      </c>
      <c r="I18520" t="s">
        <v>1428</v>
      </c>
    </row>
    <row r="18521" spans="1:9" hidden="1" x14ac:dyDescent="0.25">
      <c r="A18521" t="s">
        <v>15657</v>
      </c>
      <c r="B18521" t="s">
        <v>703</v>
      </c>
      <c r="C18521" s="2">
        <f>HYPERLINK("https://cao.dolgi.msk.ru/account/1080214205/", 1080214205)</f>
        <v>1080214205</v>
      </c>
      <c r="D18521" t="s">
        <v>15</v>
      </c>
      <c r="E18521">
        <v>7631.79</v>
      </c>
      <c r="F18521">
        <v>1</v>
      </c>
      <c r="G18521" t="s">
        <v>12</v>
      </c>
      <c r="I18521" t="s">
        <v>1428</v>
      </c>
    </row>
    <row r="18522" spans="1:9" hidden="1" x14ac:dyDescent="0.25">
      <c r="A18522" t="s">
        <v>15657</v>
      </c>
      <c r="B18522" t="s">
        <v>705</v>
      </c>
      <c r="C18522" s="2">
        <f>HYPERLINK("https://cao.dolgi.msk.ru/account/1080214213/", 1080214213)</f>
        <v>1080214213</v>
      </c>
      <c r="D18522" t="s">
        <v>15737</v>
      </c>
      <c r="E18522">
        <v>27.89</v>
      </c>
      <c r="F18522">
        <v>0.01</v>
      </c>
      <c r="G18522" t="s">
        <v>12</v>
      </c>
      <c r="I18522" t="s">
        <v>1428</v>
      </c>
    </row>
    <row r="18523" spans="1:9" hidden="1" x14ac:dyDescent="0.25">
      <c r="A18523" t="s">
        <v>15657</v>
      </c>
      <c r="B18523" t="s">
        <v>707</v>
      </c>
      <c r="C18523" s="2">
        <f>HYPERLINK("https://cao.dolgi.msk.ru/account/1080214221/", 1080214221)</f>
        <v>1080214221</v>
      </c>
      <c r="D18523" t="s">
        <v>15</v>
      </c>
      <c r="E18523">
        <v>-5315.27</v>
      </c>
      <c r="F18523">
        <v>-0.96</v>
      </c>
      <c r="G18523" t="s">
        <v>12</v>
      </c>
      <c r="H18523" t="s">
        <v>7</v>
      </c>
      <c r="I18523" t="s">
        <v>1428</v>
      </c>
    </row>
    <row r="18524" spans="1:9" hidden="1" x14ac:dyDescent="0.25">
      <c r="A18524" t="s">
        <v>15657</v>
      </c>
      <c r="B18524" t="s">
        <v>707</v>
      </c>
      <c r="C18524" s="2">
        <f>HYPERLINK("https://cao.dolgi.msk.ru/account/1089122382/", 1089122382)</f>
        <v>1089122382</v>
      </c>
      <c r="D18524" t="s">
        <v>15</v>
      </c>
      <c r="E18524">
        <v>-2641.85</v>
      </c>
      <c r="F18524">
        <v>-1.07</v>
      </c>
      <c r="G18524" t="s">
        <v>12</v>
      </c>
      <c r="H18524" t="s">
        <v>7</v>
      </c>
      <c r="I18524" t="s">
        <v>1428</v>
      </c>
    </row>
    <row r="18525" spans="1:9" hidden="1" x14ac:dyDescent="0.25">
      <c r="A18525" t="s">
        <v>15657</v>
      </c>
      <c r="B18525" t="s">
        <v>709</v>
      </c>
      <c r="C18525" s="2">
        <f>HYPERLINK("https://cao.dolgi.msk.ru/account/1080214248/", 1080214248)</f>
        <v>1080214248</v>
      </c>
      <c r="D18525" t="s">
        <v>15738</v>
      </c>
      <c r="E18525">
        <v>85.22</v>
      </c>
      <c r="G18525" t="s">
        <v>14</v>
      </c>
      <c r="I18525" t="s">
        <v>1428</v>
      </c>
    </row>
    <row r="18526" spans="1:9" hidden="1" x14ac:dyDescent="0.25">
      <c r="A18526" t="s">
        <v>15657</v>
      </c>
      <c r="B18526" t="s">
        <v>709</v>
      </c>
      <c r="C18526" s="2">
        <f>HYPERLINK("https://cao.dolgi.msk.ru/account/1089130753/", 1089130753)</f>
        <v>1089130753</v>
      </c>
      <c r="D18526" t="s">
        <v>15739</v>
      </c>
      <c r="E18526">
        <v>-7953.64</v>
      </c>
      <c r="F18526">
        <v>-1.1200000000000001</v>
      </c>
      <c r="G18526" t="s">
        <v>12</v>
      </c>
      <c r="I18526" t="s">
        <v>1428</v>
      </c>
    </row>
    <row r="18527" spans="1:9" hidden="1" x14ac:dyDescent="0.25">
      <c r="A18527" t="s">
        <v>15657</v>
      </c>
      <c r="B18527" t="s">
        <v>711</v>
      </c>
      <c r="C18527" s="2">
        <f>HYPERLINK("https://cao.dolgi.msk.ru/account/1080214256/", 1080214256)</f>
        <v>1080214256</v>
      </c>
      <c r="D18527" t="s">
        <v>62</v>
      </c>
      <c r="E18527">
        <v>-8139.77</v>
      </c>
      <c r="F18527">
        <v>-1.1599999999999999</v>
      </c>
      <c r="G18527" t="s">
        <v>12</v>
      </c>
      <c r="I18527" t="s">
        <v>1428</v>
      </c>
    </row>
    <row r="18528" spans="1:9" hidden="1" x14ac:dyDescent="0.25">
      <c r="A18528" t="s">
        <v>15657</v>
      </c>
      <c r="B18528" t="s">
        <v>713</v>
      </c>
      <c r="C18528" s="2">
        <f>HYPERLINK("https://cao.dolgi.msk.ru/account/1080214264/", 1080214264)</f>
        <v>1080214264</v>
      </c>
      <c r="D18528" t="s">
        <v>15740</v>
      </c>
      <c r="E18528">
        <v>32.56</v>
      </c>
      <c r="F18528">
        <v>0.01</v>
      </c>
      <c r="G18528" t="s">
        <v>12</v>
      </c>
      <c r="I18528" t="s">
        <v>1428</v>
      </c>
    </row>
    <row r="18529" spans="1:9" hidden="1" x14ac:dyDescent="0.25">
      <c r="A18529" t="s">
        <v>15657</v>
      </c>
      <c r="B18529" t="s">
        <v>528</v>
      </c>
      <c r="C18529" s="2">
        <f>HYPERLINK("https://cao.dolgi.msk.ru/account/1080214272/", 1080214272)</f>
        <v>1080214272</v>
      </c>
      <c r="D18529" t="s">
        <v>15741</v>
      </c>
      <c r="E18529">
        <v>-6379.14</v>
      </c>
      <c r="F18529">
        <v>-1.19</v>
      </c>
      <c r="G18529" t="s">
        <v>12</v>
      </c>
      <c r="I18529" t="s">
        <v>1428</v>
      </c>
    </row>
    <row r="18530" spans="1:9" hidden="1" x14ac:dyDescent="0.25">
      <c r="A18530" t="s">
        <v>15657</v>
      </c>
      <c r="B18530" t="s">
        <v>530</v>
      </c>
      <c r="C18530" s="2">
        <f>HYPERLINK("https://cao.dolgi.msk.ru/account/1080214299/", 1080214299)</f>
        <v>1080214299</v>
      </c>
      <c r="D18530" t="s">
        <v>15742</v>
      </c>
      <c r="E18530">
        <v>-8520.36</v>
      </c>
      <c r="F18530">
        <v>-1.17</v>
      </c>
      <c r="G18530" t="s">
        <v>12</v>
      </c>
      <c r="I18530" t="s">
        <v>1428</v>
      </c>
    </row>
    <row r="18531" spans="1:9" hidden="1" x14ac:dyDescent="0.25">
      <c r="A18531" t="s">
        <v>15657</v>
      </c>
      <c r="B18531" t="s">
        <v>532</v>
      </c>
      <c r="C18531" s="2">
        <f>HYPERLINK("https://cao.dolgi.msk.ru/account/1080214301/", 1080214301)</f>
        <v>1080214301</v>
      </c>
      <c r="D18531" t="s">
        <v>15743</v>
      </c>
      <c r="E18531">
        <v>-6925.3</v>
      </c>
      <c r="F18531">
        <v>-1.1499999999999999</v>
      </c>
      <c r="G18531" t="s">
        <v>12</v>
      </c>
      <c r="I18531" t="s">
        <v>1428</v>
      </c>
    </row>
    <row r="18532" spans="1:9" hidden="1" x14ac:dyDescent="0.25">
      <c r="A18532" t="s">
        <v>15657</v>
      </c>
      <c r="B18532" t="s">
        <v>534</v>
      </c>
      <c r="C18532" s="2">
        <f>HYPERLINK("https://cao.dolgi.msk.ru/account/1080214328/", 1080214328)</f>
        <v>1080214328</v>
      </c>
      <c r="D18532" t="s">
        <v>15744</v>
      </c>
      <c r="E18532">
        <v>-4706.1899999999996</v>
      </c>
      <c r="F18532">
        <v>-1.04</v>
      </c>
      <c r="G18532" t="s">
        <v>12</v>
      </c>
      <c r="I18532" t="s">
        <v>1428</v>
      </c>
    </row>
    <row r="18533" spans="1:9" x14ac:dyDescent="0.25">
      <c r="A18533" t="s">
        <v>15657</v>
      </c>
      <c r="B18533" t="s">
        <v>536</v>
      </c>
      <c r="C18533" s="2">
        <f>HYPERLINK("https://cao.dolgi.msk.ru/account/1080214336/", 1080214336)</f>
        <v>1080214336</v>
      </c>
      <c r="D18533" t="s">
        <v>15745</v>
      </c>
      <c r="E18533">
        <v>13217.45</v>
      </c>
      <c r="F18533">
        <v>1.79</v>
      </c>
      <c r="G18533" t="s">
        <v>12</v>
      </c>
      <c r="I18533" t="s">
        <v>1428</v>
      </c>
    </row>
    <row r="18534" spans="1:9" hidden="1" x14ac:dyDescent="0.25">
      <c r="A18534" t="s">
        <v>15657</v>
      </c>
      <c r="B18534" t="s">
        <v>538</v>
      </c>
      <c r="C18534" s="2">
        <f>HYPERLINK("https://cao.dolgi.msk.ru/account/1080214344/", 1080214344)</f>
        <v>1080214344</v>
      </c>
      <c r="D18534" t="s">
        <v>15746</v>
      </c>
      <c r="E18534">
        <v>-231.4</v>
      </c>
      <c r="F18534">
        <v>-0.04</v>
      </c>
      <c r="G18534" t="s">
        <v>12</v>
      </c>
      <c r="I18534" t="s">
        <v>1428</v>
      </c>
    </row>
    <row r="18535" spans="1:9" hidden="1" x14ac:dyDescent="0.25">
      <c r="A18535" t="s">
        <v>15657</v>
      </c>
      <c r="B18535" t="s">
        <v>539</v>
      </c>
      <c r="C18535" s="2">
        <f>HYPERLINK("https://cao.dolgi.msk.ru/account/1080214352/", 1080214352)</f>
        <v>1080214352</v>
      </c>
      <c r="D18535" t="s">
        <v>15747</v>
      </c>
      <c r="E18535">
        <v>-5813.97</v>
      </c>
      <c r="F18535">
        <v>-1.1499999999999999</v>
      </c>
      <c r="G18535" t="s">
        <v>12</v>
      </c>
      <c r="I18535" t="s">
        <v>1428</v>
      </c>
    </row>
    <row r="18536" spans="1:9" hidden="1" x14ac:dyDescent="0.25">
      <c r="A18536" t="s">
        <v>15657</v>
      </c>
      <c r="B18536" t="s">
        <v>541</v>
      </c>
      <c r="C18536" s="2">
        <f>HYPERLINK("https://cao.dolgi.msk.ru/account/1080214379/", 1080214379)</f>
        <v>1080214379</v>
      </c>
      <c r="D18536" t="s">
        <v>15748</v>
      </c>
      <c r="E18536">
        <v>-3682.21</v>
      </c>
      <c r="F18536">
        <v>-1.1599999999999999</v>
      </c>
      <c r="G18536" t="s">
        <v>12</v>
      </c>
      <c r="I18536" t="s">
        <v>1428</v>
      </c>
    </row>
    <row r="18537" spans="1:9" hidden="1" x14ac:dyDescent="0.25">
      <c r="A18537" t="s">
        <v>15657</v>
      </c>
      <c r="B18537" t="s">
        <v>543</v>
      </c>
      <c r="C18537" s="2">
        <f>HYPERLINK("https://cao.dolgi.msk.ru/account/1080214387/", 1080214387)</f>
        <v>1080214387</v>
      </c>
      <c r="D18537" t="s">
        <v>15749</v>
      </c>
      <c r="E18537">
        <v>-48.5</v>
      </c>
      <c r="F18537">
        <v>-0.01</v>
      </c>
      <c r="G18537" t="s">
        <v>12</v>
      </c>
      <c r="I18537" t="s">
        <v>1428</v>
      </c>
    </row>
    <row r="18538" spans="1:9" hidden="1" x14ac:dyDescent="0.25">
      <c r="A18538" t="s">
        <v>15657</v>
      </c>
      <c r="B18538" t="s">
        <v>545</v>
      </c>
      <c r="C18538" s="2">
        <f>HYPERLINK("https://cao.dolgi.msk.ru/account/1080214395/", 1080214395)</f>
        <v>1080214395</v>
      </c>
      <c r="D18538" t="s">
        <v>15750</v>
      </c>
      <c r="E18538">
        <v>45.93</v>
      </c>
      <c r="F18538">
        <v>0.01</v>
      </c>
      <c r="G18538" t="s">
        <v>12</v>
      </c>
      <c r="I18538" t="s">
        <v>1428</v>
      </c>
    </row>
    <row r="18539" spans="1:9" hidden="1" x14ac:dyDescent="0.25">
      <c r="A18539" t="s">
        <v>15657</v>
      </c>
      <c r="B18539" t="s">
        <v>546</v>
      </c>
      <c r="C18539" s="2">
        <f>HYPERLINK("https://cao.dolgi.msk.ru/account/1080214408/", 1080214408)</f>
        <v>1080214408</v>
      </c>
      <c r="D18539" t="s">
        <v>15751</v>
      </c>
      <c r="E18539">
        <v>-845.09</v>
      </c>
      <c r="F18539">
        <v>-0.21</v>
      </c>
      <c r="G18539" t="s">
        <v>12</v>
      </c>
      <c r="H18539" t="s">
        <v>7</v>
      </c>
      <c r="I18539" t="s">
        <v>1428</v>
      </c>
    </row>
    <row r="18540" spans="1:9" hidden="1" x14ac:dyDescent="0.25">
      <c r="A18540" t="s">
        <v>15657</v>
      </c>
      <c r="B18540" t="s">
        <v>546</v>
      </c>
      <c r="C18540" s="2">
        <f>HYPERLINK("https://cao.dolgi.msk.ru/account/1080214416/", 1080214416)</f>
        <v>1080214416</v>
      </c>
      <c r="D18540" t="s">
        <v>15752</v>
      </c>
      <c r="E18540">
        <v>-1022.84</v>
      </c>
      <c r="F18540">
        <v>-0.39</v>
      </c>
      <c r="G18540" t="s">
        <v>12</v>
      </c>
      <c r="H18540" t="s">
        <v>7</v>
      </c>
      <c r="I18540" t="s">
        <v>1428</v>
      </c>
    </row>
    <row r="18541" spans="1:9" hidden="1" x14ac:dyDescent="0.25">
      <c r="A18541" t="s">
        <v>15657</v>
      </c>
      <c r="B18541" t="s">
        <v>548</v>
      </c>
      <c r="C18541" s="2">
        <f>HYPERLINK("https://cao.dolgi.msk.ru/account/1080214424/", 1080214424)</f>
        <v>1080214424</v>
      </c>
      <c r="D18541" t="s">
        <v>15753</v>
      </c>
      <c r="E18541">
        <v>-6187.66</v>
      </c>
      <c r="F18541">
        <v>-1.0900000000000001</v>
      </c>
      <c r="G18541" t="s">
        <v>12</v>
      </c>
      <c r="I18541" t="s">
        <v>1428</v>
      </c>
    </row>
    <row r="18542" spans="1:9" x14ac:dyDescent="0.25">
      <c r="A18542" t="s">
        <v>15657</v>
      </c>
      <c r="B18542" t="s">
        <v>727</v>
      </c>
      <c r="C18542" s="2">
        <f>HYPERLINK("https://cao.dolgi.msk.ru/account/1080214432/", 1080214432)</f>
        <v>1080214432</v>
      </c>
      <c r="D18542" t="s">
        <v>15754</v>
      </c>
      <c r="E18542">
        <v>43631.46</v>
      </c>
      <c r="F18542">
        <v>10.32</v>
      </c>
      <c r="G18542" t="s">
        <v>12</v>
      </c>
      <c r="I18542" t="s">
        <v>1428</v>
      </c>
    </row>
    <row r="18543" spans="1:9" hidden="1" x14ac:dyDescent="0.25">
      <c r="A18543" t="s">
        <v>15657</v>
      </c>
      <c r="B18543" t="s">
        <v>551</v>
      </c>
      <c r="C18543" s="2">
        <f>HYPERLINK("https://cao.dolgi.msk.ru/account/1080214459/", 1080214459)</f>
        <v>1080214459</v>
      </c>
      <c r="D18543" t="s">
        <v>15755</v>
      </c>
      <c r="E18543">
        <v>-948.32</v>
      </c>
      <c r="F18543">
        <v>-0.25</v>
      </c>
      <c r="G18543" t="s">
        <v>12</v>
      </c>
      <c r="I18543" t="s">
        <v>1428</v>
      </c>
    </row>
    <row r="18544" spans="1:9" hidden="1" x14ac:dyDescent="0.25">
      <c r="A18544" t="s">
        <v>15657</v>
      </c>
      <c r="B18544" t="s">
        <v>551</v>
      </c>
      <c r="C18544" s="2">
        <f>HYPERLINK("https://cao.dolgi.msk.ru/account/1083392023/", 1083392023)</f>
        <v>1083392023</v>
      </c>
      <c r="D18544" t="s">
        <v>189</v>
      </c>
      <c r="E18544">
        <v>0</v>
      </c>
      <c r="F18544">
        <v>0</v>
      </c>
      <c r="G18544" t="s">
        <v>12</v>
      </c>
      <c r="I18544" t="s">
        <v>1428</v>
      </c>
    </row>
    <row r="18545" spans="1:9" x14ac:dyDescent="0.25">
      <c r="A18545" t="s">
        <v>15657</v>
      </c>
      <c r="B18545" t="s">
        <v>730</v>
      </c>
      <c r="C18545" s="2">
        <f>HYPERLINK("https://cao.dolgi.msk.ru/account/1080214467/", 1080214467)</f>
        <v>1080214467</v>
      </c>
      <c r="D18545" t="s">
        <v>15756</v>
      </c>
      <c r="E18545">
        <v>26359.48</v>
      </c>
      <c r="F18545">
        <v>2</v>
      </c>
      <c r="G18545" t="s">
        <v>12</v>
      </c>
      <c r="I18545" t="s">
        <v>1428</v>
      </c>
    </row>
    <row r="18546" spans="1:9" hidden="1" x14ac:dyDescent="0.25">
      <c r="A18546" t="s">
        <v>15657</v>
      </c>
      <c r="B18546" t="s">
        <v>732</v>
      </c>
      <c r="C18546" s="2">
        <f>HYPERLINK("https://cao.dolgi.msk.ru/account/1080214475/", 1080214475)</f>
        <v>1080214475</v>
      </c>
      <c r="D18546" t="s">
        <v>15757</v>
      </c>
      <c r="E18546">
        <v>-5548.58</v>
      </c>
      <c r="F18546">
        <v>-1.0900000000000001</v>
      </c>
      <c r="G18546" t="s">
        <v>12</v>
      </c>
      <c r="I18546" t="s">
        <v>1428</v>
      </c>
    </row>
    <row r="18547" spans="1:9" hidden="1" x14ac:dyDescent="0.25">
      <c r="A18547" t="s">
        <v>15657</v>
      </c>
      <c r="B18547" t="s">
        <v>553</v>
      </c>
      <c r="C18547" s="2">
        <f>HYPERLINK("https://cao.dolgi.msk.ru/account/1080214483/", 1080214483)</f>
        <v>1080214483</v>
      </c>
      <c r="D18547" t="s">
        <v>15758</v>
      </c>
      <c r="E18547">
        <v>0</v>
      </c>
      <c r="F18547">
        <v>0</v>
      </c>
      <c r="G18547" t="s">
        <v>14</v>
      </c>
      <c r="I18547" t="s">
        <v>1428</v>
      </c>
    </row>
    <row r="18548" spans="1:9" hidden="1" x14ac:dyDescent="0.25">
      <c r="A18548" t="s">
        <v>15657</v>
      </c>
      <c r="B18548" t="s">
        <v>553</v>
      </c>
      <c r="C18548" s="2">
        <f>HYPERLINK("https://cao.dolgi.msk.ru/account/1083270771/", 1083270771)</f>
        <v>1083270771</v>
      </c>
      <c r="D18548" t="s">
        <v>15759</v>
      </c>
      <c r="E18548">
        <v>-8128.65</v>
      </c>
      <c r="F18548">
        <v>-1.1000000000000001</v>
      </c>
      <c r="G18548" t="s">
        <v>12</v>
      </c>
      <c r="I18548" t="s">
        <v>1428</v>
      </c>
    </row>
    <row r="18549" spans="1:9" hidden="1" x14ac:dyDescent="0.25">
      <c r="A18549" t="s">
        <v>15657</v>
      </c>
      <c r="B18549" t="s">
        <v>555</v>
      </c>
      <c r="C18549" s="2">
        <f>HYPERLINK("https://cao.dolgi.msk.ru/account/1080214491/", 1080214491)</f>
        <v>1080214491</v>
      </c>
      <c r="D18549" t="s">
        <v>15760</v>
      </c>
      <c r="E18549">
        <v>-9042.66</v>
      </c>
      <c r="F18549">
        <v>-1.06</v>
      </c>
      <c r="G18549" t="s">
        <v>12</v>
      </c>
      <c r="I18549" t="s">
        <v>1428</v>
      </c>
    </row>
    <row r="18550" spans="1:9" hidden="1" x14ac:dyDescent="0.25">
      <c r="A18550" t="s">
        <v>15657</v>
      </c>
      <c r="B18550" t="s">
        <v>736</v>
      </c>
      <c r="C18550" s="2">
        <f>HYPERLINK("https://cao.dolgi.msk.ru/account/1080214504/", 1080214504)</f>
        <v>1080214504</v>
      </c>
      <c r="D18550" t="s">
        <v>15761</v>
      </c>
      <c r="E18550">
        <v>-7561.19</v>
      </c>
      <c r="F18550">
        <v>-1.18</v>
      </c>
      <c r="G18550" t="s">
        <v>12</v>
      </c>
      <c r="I18550" t="s">
        <v>1428</v>
      </c>
    </row>
    <row r="18551" spans="1:9" hidden="1" x14ac:dyDescent="0.25">
      <c r="A18551" t="s">
        <v>15657</v>
      </c>
      <c r="B18551" t="s">
        <v>738</v>
      </c>
      <c r="C18551" s="2">
        <f>HYPERLINK("https://cao.dolgi.msk.ru/account/1080214512/", 1080214512)</f>
        <v>1080214512</v>
      </c>
      <c r="D18551" t="s">
        <v>15762</v>
      </c>
      <c r="E18551">
        <v>-12259.17</v>
      </c>
      <c r="F18551">
        <v>-2.42</v>
      </c>
      <c r="G18551" t="s">
        <v>12</v>
      </c>
      <c r="I18551" t="s">
        <v>1428</v>
      </c>
    </row>
    <row r="18552" spans="1:9" hidden="1" x14ac:dyDescent="0.25">
      <c r="A18552" t="s">
        <v>15657</v>
      </c>
      <c r="B18552" t="s">
        <v>740</v>
      </c>
      <c r="C18552" s="2">
        <f>HYPERLINK("https://cao.dolgi.msk.ru/account/1080214539/", 1080214539)</f>
        <v>1080214539</v>
      </c>
      <c r="D18552" t="s">
        <v>15763</v>
      </c>
      <c r="E18552">
        <v>-3663.1</v>
      </c>
      <c r="F18552">
        <v>-1.26</v>
      </c>
      <c r="G18552" t="s">
        <v>12</v>
      </c>
      <c r="I18552" t="s">
        <v>1428</v>
      </c>
    </row>
    <row r="18553" spans="1:9" hidden="1" x14ac:dyDescent="0.25">
      <c r="A18553" t="s">
        <v>15657</v>
      </c>
      <c r="B18553" t="s">
        <v>742</v>
      </c>
      <c r="C18553" s="2">
        <f>HYPERLINK("https://cao.dolgi.msk.ru/account/1080214547/", 1080214547)</f>
        <v>1080214547</v>
      </c>
      <c r="D18553" t="s">
        <v>15764</v>
      </c>
      <c r="E18553">
        <v>744.88</v>
      </c>
      <c r="G18553" t="s">
        <v>14</v>
      </c>
      <c r="I18553" t="s">
        <v>1428</v>
      </c>
    </row>
    <row r="18554" spans="1:9" hidden="1" x14ac:dyDescent="0.25">
      <c r="A18554" t="s">
        <v>15657</v>
      </c>
      <c r="B18554" t="s">
        <v>742</v>
      </c>
      <c r="C18554" s="2">
        <f>HYPERLINK("https://cao.dolgi.msk.ru/account/1080214555/", 1080214555)</f>
        <v>1080214555</v>
      </c>
      <c r="D18554" t="s">
        <v>15764</v>
      </c>
      <c r="E18554">
        <v>-8064.88</v>
      </c>
      <c r="F18554">
        <v>-1.18</v>
      </c>
      <c r="G18554" t="s">
        <v>12</v>
      </c>
      <c r="I18554" t="s">
        <v>1428</v>
      </c>
    </row>
    <row r="18555" spans="1:9" hidden="1" x14ac:dyDescent="0.25">
      <c r="A18555" t="s">
        <v>15657</v>
      </c>
      <c r="B18555" t="s">
        <v>557</v>
      </c>
      <c r="C18555" s="2">
        <f>HYPERLINK("https://cao.dolgi.msk.ru/account/1080214563/", 1080214563)</f>
        <v>1080214563</v>
      </c>
      <c r="D18555" t="s">
        <v>15765</v>
      </c>
      <c r="E18555">
        <v>-8.81</v>
      </c>
      <c r="F18555">
        <v>0</v>
      </c>
      <c r="G18555" t="s">
        <v>12</v>
      </c>
      <c r="I18555" t="s">
        <v>1428</v>
      </c>
    </row>
    <row r="18556" spans="1:9" hidden="1" x14ac:dyDescent="0.25">
      <c r="A18556" t="s">
        <v>15657</v>
      </c>
      <c r="B18556" t="s">
        <v>558</v>
      </c>
      <c r="C18556" s="2">
        <f>HYPERLINK("https://cao.dolgi.msk.ru/account/1080214571/", 1080214571)</f>
        <v>1080214571</v>
      </c>
      <c r="D18556" t="s">
        <v>15766</v>
      </c>
      <c r="E18556">
        <v>-5010.6499999999996</v>
      </c>
      <c r="F18556">
        <v>-1.05</v>
      </c>
      <c r="G18556" t="s">
        <v>12</v>
      </c>
      <c r="I18556" t="s">
        <v>1428</v>
      </c>
    </row>
    <row r="18557" spans="1:9" hidden="1" x14ac:dyDescent="0.25">
      <c r="A18557" t="s">
        <v>15657</v>
      </c>
      <c r="B18557" t="s">
        <v>746</v>
      </c>
      <c r="C18557" s="2">
        <f>HYPERLINK("https://cao.dolgi.msk.ru/account/1080214598/", 1080214598)</f>
        <v>1080214598</v>
      </c>
      <c r="D18557" t="s">
        <v>15767</v>
      </c>
      <c r="E18557">
        <v>4018.47</v>
      </c>
      <c r="F18557">
        <v>0.84</v>
      </c>
      <c r="G18557" t="s">
        <v>12</v>
      </c>
      <c r="I18557" t="s">
        <v>1428</v>
      </c>
    </row>
    <row r="18558" spans="1:9" hidden="1" x14ac:dyDescent="0.25">
      <c r="A18558" t="s">
        <v>15657</v>
      </c>
      <c r="B18558" t="s">
        <v>748</v>
      </c>
      <c r="C18558" s="2">
        <f>HYPERLINK("https://cao.dolgi.msk.ru/account/1080214619/", 1080214619)</f>
        <v>1080214619</v>
      </c>
      <c r="D18558" t="s">
        <v>15768</v>
      </c>
      <c r="E18558">
        <v>-3858.38</v>
      </c>
      <c r="F18558">
        <v>-0.5</v>
      </c>
      <c r="G18558" t="s">
        <v>12</v>
      </c>
      <c r="I18558" t="s">
        <v>1428</v>
      </c>
    </row>
    <row r="18559" spans="1:9" hidden="1" x14ac:dyDescent="0.25">
      <c r="A18559" t="s">
        <v>15657</v>
      </c>
      <c r="B18559" t="s">
        <v>750</v>
      </c>
      <c r="C18559" s="2">
        <f>HYPERLINK("https://cao.dolgi.msk.ru/account/1080214627/", 1080214627)</f>
        <v>1080214627</v>
      </c>
      <c r="D18559" t="s">
        <v>15769</v>
      </c>
      <c r="E18559">
        <v>-6013.92</v>
      </c>
      <c r="F18559">
        <v>-0.94</v>
      </c>
      <c r="G18559" t="s">
        <v>12</v>
      </c>
      <c r="I18559" t="s">
        <v>1428</v>
      </c>
    </row>
    <row r="18560" spans="1:9" x14ac:dyDescent="0.25">
      <c r="A18560" t="s">
        <v>15657</v>
      </c>
      <c r="B18560" t="s">
        <v>752</v>
      </c>
      <c r="C18560" s="2">
        <f>HYPERLINK("https://cao.dolgi.msk.ru/account/1080214635/", 1080214635)</f>
        <v>1080214635</v>
      </c>
      <c r="D18560" t="s">
        <v>15770</v>
      </c>
      <c r="E18560">
        <v>19976.89</v>
      </c>
      <c r="F18560">
        <v>2.61</v>
      </c>
      <c r="G18560" t="s">
        <v>12</v>
      </c>
      <c r="I18560" t="s">
        <v>1428</v>
      </c>
    </row>
    <row r="18561" spans="1:9" x14ac:dyDescent="0.25">
      <c r="A18561" t="s">
        <v>15657</v>
      </c>
      <c r="B18561" t="s">
        <v>754</v>
      </c>
      <c r="C18561" s="2">
        <f>HYPERLINK("https://cao.dolgi.msk.ru/account/1080214651/", 1080214651)</f>
        <v>1080214651</v>
      </c>
      <c r="D18561" t="s">
        <v>15771</v>
      </c>
      <c r="E18561">
        <v>59510.44</v>
      </c>
      <c r="F18561">
        <v>10.96</v>
      </c>
      <c r="G18561" t="s">
        <v>12</v>
      </c>
      <c r="I18561" t="s">
        <v>1428</v>
      </c>
    </row>
    <row r="18562" spans="1:9" hidden="1" x14ac:dyDescent="0.25">
      <c r="A18562" t="s">
        <v>15657</v>
      </c>
      <c r="B18562" t="s">
        <v>756</v>
      </c>
      <c r="C18562" s="2">
        <f>HYPERLINK("https://cao.dolgi.msk.ru/account/1080214678/", 1080214678)</f>
        <v>1080214678</v>
      </c>
      <c r="D18562" t="s">
        <v>15772</v>
      </c>
      <c r="E18562">
        <v>-5099.74</v>
      </c>
      <c r="F18562">
        <v>-0.79</v>
      </c>
      <c r="G18562" t="s">
        <v>12</v>
      </c>
      <c r="I18562" t="s">
        <v>1428</v>
      </c>
    </row>
    <row r="18563" spans="1:9" hidden="1" x14ac:dyDescent="0.25">
      <c r="A18563" t="s">
        <v>15657</v>
      </c>
      <c r="B18563" t="s">
        <v>758</v>
      </c>
      <c r="C18563" s="2">
        <f>HYPERLINK("https://cao.dolgi.msk.ru/account/1080214686/", 1080214686)</f>
        <v>1080214686</v>
      </c>
      <c r="D18563" t="s">
        <v>15773</v>
      </c>
      <c r="E18563">
        <v>-9711.82</v>
      </c>
      <c r="F18563">
        <v>-1.1299999999999999</v>
      </c>
      <c r="G18563" t="s">
        <v>12</v>
      </c>
      <c r="I18563" t="s">
        <v>1428</v>
      </c>
    </row>
    <row r="18564" spans="1:9" hidden="1" x14ac:dyDescent="0.25">
      <c r="A18564" t="s">
        <v>15657</v>
      </c>
      <c r="B18564" t="s">
        <v>760</v>
      </c>
      <c r="C18564" s="2">
        <f>HYPERLINK("https://cao.dolgi.msk.ru/account/1080214694/", 1080214694)</f>
        <v>1080214694</v>
      </c>
      <c r="D18564" t="s">
        <v>15774</v>
      </c>
      <c r="E18564">
        <v>-10361.94</v>
      </c>
      <c r="F18564">
        <v>-1.35</v>
      </c>
      <c r="G18564" t="s">
        <v>12</v>
      </c>
      <c r="I18564" t="s">
        <v>1428</v>
      </c>
    </row>
    <row r="18565" spans="1:9" hidden="1" x14ac:dyDescent="0.25">
      <c r="A18565" t="s">
        <v>15657</v>
      </c>
      <c r="B18565" t="s">
        <v>762</v>
      </c>
      <c r="C18565" s="2">
        <f>HYPERLINK("https://cao.dolgi.msk.ru/account/1080214707/", 1080214707)</f>
        <v>1080214707</v>
      </c>
      <c r="D18565" t="s">
        <v>15775</v>
      </c>
      <c r="E18565">
        <v>-3751.2</v>
      </c>
      <c r="F18565">
        <v>-0.71</v>
      </c>
      <c r="G18565" t="s">
        <v>12</v>
      </c>
      <c r="I18565" t="s">
        <v>1428</v>
      </c>
    </row>
    <row r="18566" spans="1:9" hidden="1" x14ac:dyDescent="0.25">
      <c r="A18566" t="s">
        <v>15657</v>
      </c>
      <c r="B18566" t="s">
        <v>764</v>
      </c>
      <c r="C18566" s="2">
        <f>HYPERLINK("https://cao.dolgi.msk.ru/account/1080214715/", 1080214715)</f>
        <v>1080214715</v>
      </c>
      <c r="D18566" t="s">
        <v>15776</v>
      </c>
      <c r="E18566">
        <v>-8735.17</v>
      </c>
      <c r="F18566">
        <v>-1.1599999999999999</v>
      </c>
      <c r="G18566" t="s">
        <v>12</v>
      </c>
      <c r="I18566" t="s">
        <v>1428</v>
      </c>
    </row>
    <row r="18567" spans="1:9" hidden="1" x14ac:dyDescent="0.25">
      <c r="A18567" t="s">
        <v>15777</v>
      </c>
      <c r="B18567" t="s">
        <v>10</v>
      </c>
      <c r="C18567" s="2">
        <f>HYPERLINK("https://cao.dolgi.msk.ru/account/1080214723/", 1080214723)</f>
        <v>1080214723</v>
      </c>
      <c r="D18567" t="s">
        <v>15778</v>
      </c>
      <c r="E18567">
        <v>-8020.28</v>
      </c>
      <c r="F18567">
        <v>-0.98</v>
      </c>
      <c r="G18567" t="s">
        <v>12</v>
      </c>
      <c r="I18567" t="s">
        <v>1428</v>
      </c>
    </row>
    <row r="18568" spans="1:9" hidden="1" x14ac:dyDescent="0.25">
      <c r="A18568" t="s">
        <v>15777</v>
      </c>
      <c r="B18568" t="s">
        <v>16</v>
      </c>
      <c r="C18568" s="2">
        <f>HYPERLINK("https://cao.dolgi.msk.ru/account/1080214731/", 1080214731)</f>
        <v>1080214731</v>
      </c>
      <c r="D18568" t="s">
        <v>15779</v>
      </c>
      <c r="E18568">
        <v>-407.55</v>
      </c>
      <c r="G18568" t="s">
        <v>14</v>
      </c>
      <c r="I18568" t="s">
        <v>1428</v>
      </c>
    </row>
    <row r="18569" spans="1:9" hidden="1" x14ac:dyDescent="0.25">
      <c r="A18569" t="s">
        <v>15777</v>
      </c>
      <c r="B18569" t="s">
        <v>16</v>
      </c>
      <c r="C18569" s="2">
        <f>HYPERLINK("https://cao.dolgi.msk.ru/account/1080214758/", 1080214758)</f>
        <v>1080214758</v>
      </c>
      <c r="D18569" t="s">
        <v>15</v>
      </c>
      <c r="G18569" t="s">
        <v>14</v>
      </c>
      <c r="I18569" t="s">
        <v>1428</v>
      </c>
    </row>
    <row r="18570" spans="1:9" hidden="1" x14ac:dyDescent="0.25">
      <c r="A18570" t="s">
        <v>15777</v>
      </c>
      <c r="B18570" t="s">
        <v>18</v>
      </c>
      <c r="C18570" s="2">
        <f>HYPERLINK("https://cao.dolgi.msk.ru/account/1080214766/", 1080214766)</f>
        <v>1080214766</v>
      </c>
      <c r="D18570" t="s">
        <v>15780</v>
      </c>
      <c r="E18570">
        <v>-7484.87</v>
      </c>
      <c r="F18570">
        <v>-1.73</v>
      </c>
      <c r="G18570" t="s">
        <v>12</v>
      </c>
      <c r="I18570" t="s">
        <v>1428</v>
      </c>
    </row>
    <row r="18571" spans="1:9" hidden="1" x14ac:dyDescent="0.25">
      <c r="A18571" t="s">
        <v>15777</v>
      </c>
      <c r="B18571" t="s">
        <v>20</v>
      </c>
      <c r="C18571" s="2">
        <f>HYPERLINK("https://cao.dolgi.msk.ru/account/1080214774/", 1080214774)</f>
        <v>1080214774</v>
      </c>
      <c r="D18571" t="s">
        <v>15</v>
      </c>
      <c r="G18571" t="s">
        <v>14</v>
      </c>
      <c r="I18571" t="s">
        <v>1428</v>
      </c>
    </row>
    <row r="18572" spans="1:9" hidden="1" x14ac:dyDescent="0.25">
      <c r="A18572" t="s">
        <v>15777</v>
      </c>
      <c r="B18572" t="s">
        <v>20</v>
      </c>
      <c r="C18572" s="2">
        <f>HYPERLINK("https://cao.dolgi.msk.ru/account/1080214782/", 1080214782)</f>
        <v>1080214782</v>
      </c>
      <c r="D18572" t="s">
        <v>15</v>
      </c>
      <c r="G18572" t="s">
        <v>14</v>
      </c>
      <c r="I18572" t="s">
        <v>1428</v>
      </c>
    </row>
    <row r="18573" spans="1:9" hidden="1" x14ac:dyDescent="0.25">
      <c r="A18573" t="s">
        <v>15777</v>
      </c>
      <c r="B18573" t="s">
        <v>21</v>
      </c>
      <c r="C18573" s="2">
        <f>HYPERLINK("https://cao.dolgi.msk.ru/account/1080214803/", 1080214803)</f>
        <v>1080214803</v>
      </c>
      <c r="D18573" t="s">
        <v>15781</v>
      </c>
      <c r="E18573">
        <v>-10912.68</v>
      </c>
      <c r="F18573">
        <v>-1.22</v>
      </c>
      <c r="G18573" t="s">
        <v>12</v>
      </c>
      <c r="I18573" t="s">
        <v>1428</v>
      </c>
    </row>
    <row r="18574" spans="1:9" hidden="1" x14ac:dyDescent="0.25">
      <c r="A18574" t="s">
        <v>15777</v>
      </c>
      <c r="B18574" t="s">
        <v>22</v>
      </c>
      <c r="C18574" s="2">
        <f>HYPERLINK("https://cao.dolgi.msk.ru/account/1080214811/", 1080214811)</f>
        <v>1080214811</v>
      </c>
      <c r="D18574" t="s">
        <v>15782</v>
      </c>
      <c r="E18574">
        <v>2.08</v>
      </c>
      <c r="F18574">
        <v>0</v>
      </c>
      <c r="G18574" t="s">
        <v>12</v>
      </c>
      <c r="I18574" t="s">
        <v>1428</v>
      </c>
    </row>
    <row r="18575" spans="1:9" hidden="1" x14ac:dyDescent="0.25">
      <c r="A18575" t="s">
        <v>15777</v>
      </c>
      <c r="B18575" t="s">
        <v>23</v>
      </c>
      <c r="C18575" s="2">
        <f>HYPERLINK("https://cao.dolgi.msk.ru/account/1080214838/", 1080214838)</f>
        <v>1080214838</v>
      </c>
      <c r="D18575" t="s">
        <v>15783</v>
      </c>
      <c r="E18575">
        <v>-8478.42</v>
      </c>
      <c r="F18575">
        <v>-0.97</v>
      </c>
      <c r="G18575" t="s">
        <v>12</v>
      </c>
      <c r="I18575" t="s">
        <v>1428</v>
      </c>
    </row>
    <row r="18576" spans="1:9" x14ac:dyDescent="0.25">
      <c r="A18576" t="s">
        <v>15777</v>
      </c>
      <c r="B18576" t="s">
        <v>24</v>
      </c>
      <c r="C18576" s="2">
        <f>HYPERLINK("https://cao.dolgi.msk.ru/account/1080214846/", 1080214846)</f>
        <v>1080214846</v>
      </c>
      <c r="D18576" t="s">
        <v>15784</v>
      </c>
      <c r="E18576">
        <v>42501.64</v>
      </c>
      <c r="F18576">
        <v>11.56</v>
      </c>
      <c r="G18576" t="s">
        <v>12</v>
      </c>
      <c r="H18576" t="s">
        <v>7</v>
      </c>
      <c r="I18576" t="s">
        <v>1428</v>
      </c>
    </row>
    <row r="18577" spans="1:9" hidden="1" x14ac:dyDescent="0.25">
      <c r="A18577" t="s">
        <v>15777</v>
      </c>
      <c r="B18577" t="s">
        <v>24</v>
      </c>
      <c r="C18577" s="2">
        <f>HYPERLINK("https://cao.dolgi.msk.ru/account/1080214854/", 1080214854)</f>
        <v>1080214854</v>
      </c>
      <c r="D18577" t="s">
        <v>15785</v>
      </c>
      <c r="E18577">
        <v>-6999.2</v>
      </c>
      <c r="F18577">
        <v>-1.07</v>
      </c>
      <c r="G18577" t="s">
        <v>12</v>
      </c>
      <c r="H18577" t="s">
        <v>7</v>
      </c>
      <c r="I18577" t="s">
        <v>1428</v>
      </c>
    </row>
    <row r="18578" spans="1:9" hidden="1" x14ac:dyDescent="0.25">
      <c r="A18578" t="s">
        <v>15777</v>
      </c>
      <c r="B18578" t="s">
        <v>27</v>
      </c>
      <c r="C18578" s="2">
        <f>HYPERLINK("https://cao.dolgi.msk.ru/account/1080214862/", 1080214862)</f>
        <v>1080214862</v>
      </c>
      <c r="D18578" t="s">
        <v>15786</v>
      </c>
      <c r="E18578">
        <v>-77.88</v>
      </c>
      <c r="F18578">
        <v>-0.01</v>
      </c>
      <c r="G18578" t="s">
        <v>12</v>
      </c>
      <c r="I18578" t="s">
        <v>1428</v>
      </c>
    </row>
    <row r="18579" spans="1:9" hidden="1" x14ac:dyDescent="0.25">
      <c r="A18579" t="s">
        <v>15777</v>
      </c>
      <c r="B18579" t="s">
        <v>29</v>
      </c>
      <c r="C18579" s="2">
        <f>HYPERLINK("https://cao.dolgi.msk.ru/account/1080214889/", 1080214889)</f>
        <v>1080214889</v>
      </c>
      <c r="D18579" t="s">
        <v>15787</v>
      </c>
      <c r="E18579">
        <v>45.69</v>
      </c>
      <c r="F18579">
        <v>0.01</v>
      </c>
      <c r="G18579" t="s">
        <v>12</v>
      </c>
      <c r="I18579" t="s">
        <v>1428</v>
      </c>
    </row>
    <row r="18580" spans="1:9" hidden="1" x14ac:dyDescent="0.25">
      <c r="A18580" t="s">
        <v>15777</v>
      </c>
      <c r="B18580" t="s">
        <v>31</v>
      </c>
      <c r="C18580" s="2">
        <f>HYPERLINK("https://cao.dolgi.msk.ru/account/1080214897/", 1080214897)</f>
        <v>1080214897</v>
      </c>
      <c r="D18580" t="s">
        <v>15788</v>
      </c>
      <c r="E18580">
        <v>0</v>
      </c>
      <c r="F18580">
        <v>0</v>
      </c>
      <c r="G18580" t="s">
        <v>12</v>
      </c>
      <c r="I18580" t="s">
        <v>1428</v>
      </c>
    </row>
    <row r="18581" spans="1:9" hidden="1" x14ac:dyDescent="0.25">
      <c r="A18581" t="s">
        <v>15777</v>
      </c>
      <c r="B18581" t="s">
        <v>33</v>
      </c>
      <c r="C18581" s="2">
        <f>HYPERLINK("https://cao.dolgi.msk.ru/account/1080214918/", 1080214918)</f>
        <v>1080214918</v>
      </c>
      <c r="D18581" t="s">
        <v>15789</v>
      </c>
      <c r="E18581">
        <v>-15.91</v>
      </c>
      <c r="F18581">
        <v>0</v>
      </c>
      <c r="G18581" t="s">
        <v>12</v>
      </c>
      <c r="I18581" t="s">
        <v>1428</v>
      </c>
    </row>
    <row r="18582" spans="1:9" hidden="1" x14ac:dyDescent="0.25">
      <c r="A18582" t="s">
        <v>15777</v>
      </c>
      <c r="B18582" t="s">
        <v>34</v>
      </c>
      <c r="C18582" s="2">
        <f>HYPERLINK("https://cao.dolgi.msk.ru/account/1080214926/", 1080214926)</f>
        <v>1080214926</v>
      </c>
      <c r="D18582" t="s">
        <v>15790</v>
      </c>
      <c r="E18582">
        <v>-11373.21</v>
      </c>
      <c r="F18582">
        <v>-1.06</v>
      </c>
      <c r="G18582" t="s">
        <v>12</v>
      </c>
      <c r="I18582" t="s">
        <v>1428</v>
      </c>
    </row>
    <row r="18583" spans="1:9" hidden="1" x14ac:dyDescent="0.25">
      <c r="A18583" t="s">
        <v>15777</v>
      </c>
      <c r="B18583" t="s">
        <v>36</v>
      </c>
      <c r="C18583" s="2">
        <f>HYPERLINK("https://cao.dolgi.msk.ru/account/1080214934/", 1080214934)</f>
        <v>1080214934</v>
      </c>
      <c r="D18583" t="s">
        <v>15791</v>
      </c>
      <c r="E18583">
        <v>-8812.35</v>
      </c>
      <c r="F18583">
        <v>-1.08</v>
      </c>
      <c r="G18583" t="s">
        <v>12</v>
      </c>
      <c r="I18583" t="s">
        <v>1428</v>
      </c>
    </row>
    <row r="18584" spans="1:9" hidden="1" x14ac:dyDescent="0.25">
      <c r="A18584" t="s">
        <v>15777</v>
      </c>
      <c r="B18584" t="s">
        <v>38</v>
      </c>
      <c r="C18584" s="2">
        <f>HYPERLINK("https://cao.dolgi.msk.ru/account/1080214942/", 1080214942)</f>
        <v>1080214942</v>
      </c>
      <c r="D18584" t="s">
        <v>15792</v>
      </c>
      <c r="E18584">
        <v>-8350.2099999999991</v>
      </c>
      <c r="F18584">
        <v>-1.1200000000000001</v>
      </c>
      <c r="G18584" t="s">
        <v>12</v>
      </c>
      <c r="I18584" t="s">
        <v>1428</v>
      </c>
    </row>
    <row r="18585" spans="1:9" hidden="1" x14ac:dyDescent="0.25">
      <c r="A18585" t="s">
        <v>15777</v>
      </c>
      <c r="B18585" t="s">
        <v>39</v>
      </c>
      <c r="C18585" s="2">
        <f>HYPERLINK("https://cao.dolgi.msk.ru/account/1080214969/", 1080214969)</f>
        <v>1080214969</v>
      </c>
      <c r="D18585" t="s">
        <v>15793</v>
      </c>
      <c r="E18585">
        <v>-12426.66</v>
      </c>
      <c r="F18585">
        <v>-1.07</v>
      </c>
      <c r="G18585" t="s">
        <v>12</v>
      </c>
      <c r="I18585" t="s">
        <v>1428</v>
      </c>
    </row>
    <row r="18586" spans="1:9" hidden="1" x14ac:dyDescent="0.25">
      <c r="A18586" t="s">
        <v>15777</v>
      </c>
      <c r="B18586" t="s">
        <v>40</v>
      </c>
      <c r="C18586" s="2">
        <f>HYPERLINK("https://cao.dolgi.msk.ru/account/1080214977/", 1080214977)</f>
        <v>1080214977</v>
      </c>
      <c r="D18586" t="s">
        <v>15794</v>
      </c>
      <c r="E18586">
        <v>-8790.6200000000008</v>
      </c>
      <c r="F18586">
        <v>-1.0900000000000001</v>
      </c>
      <c r="G18586" t="s">
        <v>12</v>
      </c>
      <c r="I18586" t="s">
        <v>1428</v>
      </c>
    </row>
    <row r="18587" spans="1:9" x14ac:dyDescent="0.25">
      <c r="A18587" t="s">
        <v>15777</v>
      </c>
      <c r="B18587" t="s">
        <v>41</v>
      </c>
      <c r="C18587" s="2">
        <f>HYPERLINK("https://cao.dolgi.msk.ru/account/1080214985/", 1080214985)</f>
        <v>1080214985</v>
      </c>
      <c r="D18587" t="s">
        <v>15795</v>
      </c>
      <c r="E18587">
        <v>34862.26</v>
      </c>
      <c r="F18587">
        <v>2.36</v>
      </c>
      <c r="G18587" t="s">
        <v>12</v>
      </c>
      <c r="I18587" t="s">
        <v>1428</v>
      </c>
    </row>
    <row r="18588" spans="1:9" hidden="1" x14ac:dyDescent="0.25">
      <c r="A18588" t="s">
        <v>15777</v>
      </c>
      <c r="B18588" t="s">
        <v>42</v>
      </c>
      <c r="C18588" s="2">
        <f>HYPERLINK("https://cao.dolgi.msk.ru/account/1080214993/", 1080214993)</f>
        <v>1080214993</v>
      </c>
      <c r="D18588" t="s">
        <v>15796</v>
      </c>
      <c r="E18588">
        <v>-5831.45</v>
      </c>
      <c r="F18588">
        <v>-1.1100000000000001</v>
      </c>
      <c r="G18588" t="s">
        <v>12</v>
      </c>
      <c r="I18588" t="s">
        <v>1428</v>
      </c>
    </row>
    <row r="18589" spans="1:9" hidden="1" x14ac:dyDescent="0.25">
      <c r="A18589" t="s">
        <v>15777</v>
      </c>
      <c r="B18589" t="s">
        <v>44</v>
      </c>
      <c r="C18589" s="2">
        <f>HYPERLINK("https://cao.dolgi.msk.ru/account/1080215005/", 1080215005)</f>
        <v>1080215005</v>
      </c>
      <c r="D18589" t="s">
        <v>15797</v>
      </c>
      <c r="E18589">
        <v>-10223.209999999999</v>
      </c>
      <c r="F18589">
        <v>-1.24</v>
      </c>
      <c r="G18589" t="s">
        <v>12</v>
      </c>
      <c r="I18589" t="s">
        <v>1428</v>
      </c>
    </row>
    <row r="18590" spans="1:9" hidden="1" x14ac:dyDescent="0.25">
      <c r="A18590" t="s">
        <v>15777</v>
      </c>
      <c r="B18590" t="s">
        <v>66</v>
      </c>
      <c r="C18590" s="2">
        <f>HYPERLINK("https://cao.dolgi.msk.ru/account/1080215013/", 1080215013)</f>
        <v>1080215013</v>
      </c>
      <c r="D18590" t="s">
        <v>15798</v>
      </c>
      <c r="E18590">
        <v>6246.44</v>
      </c>
      <c r="F18590">
        <v>0.73</v>
      </c>
      <c r="G18590" t="s">
        <v>12</v>
      </c>
      <c r="I18590" t="s">
        <v>1428</v>
      </c>
    </row>
    <row r="18591" spans="1:9" hidden="1" x14ac:dyDescent="0.25">
      <c r="A18591" t="s">
        <v>15777</v>
      </c>
      <c r="B18591" t="s">
        <v>68</v>
      </c>
      <c r="C18591" s="2">
        <f>HYPERLINK("https://cao.dolgi.msk.ru/account/1080215021/", 1080215021)</f>
        <v>1080215021</v>
      </c>
      <c r="D18591" t="s">
        <v>15799</v>
      </c>
      <c r="E18591">
        <v>-5555.51</v>
      </c>
      <c r="F18591">
        <v>-1.0900000000000001</v>
      </c>
      <c r="G18591" t="s">
        <v>12</v>
      </c>
      <c r="I18591" t="s">
        <v>1428</v>
      </c>
    </row>
    <row r="18592" spans="1:9" hidden="1" x14ac:dyDescent="0.25">
      <c r="A18592" t="s">
        <v>15777</v>
      </c>
      <c r="B18592" t="s">
        <v>70</v>
      </c>
      <c r="C18592" s="2">
        <f>HYPERLINK("https://cao.dolgi.msk.ru/account/1080215048/", 1080215048)</f>
        <v>1080215048</v>
      </c>
      <c r="D18592" t="s">
        <v>15</v>
      </c>
      <c r="E18592">
        <v>0</v>
      </c>
      <c r="F18592">
        <v>0</v>
      </c>
      <c r="G18592" t="s">
        <v>14</v>
      </c>
      <c r="I18592" t="s">
        <v>1428</v>
      </c>
    </row>
    <row r="18593" spans="1:9" hidden="1" x14ac:dyDescent="0.25">
      <c r="A18593" t="s">
        <v>15777</v>
      </c>
      <c r="B18593" t="s">
        <v>70</v>
      </c>
      <c r="C18593" s="2">
        <f>HYPERLINK("https://cao.dolgi.msk.ru/account/1083273649/", 1083273649)</f>
        <v>1083273649</v>
      </c>
      <c r="D18593" t="s">
        <v>15</v>
      </c>
      <c r="E18593">
        <v>-6141.7</v>
      </c>
      <c r="F18593">
        <v>-1.1200000000000001</v>
      </c>
      <c r="G18593" t="s">
        <v>12</v>
      </c>
      <c r="I18593" t="s">
        <v>1428</v>
      </c>
    </row>
    <row r="18594" spans="1:9" hidden="1" x14ac:dyDescent="0.25">
      <c r="A18594" t="s">
        <v>15777</v>
      </c>
      <c r="B18594" t="s">
        <v>72</v>
      </c>
      <c r="C18594" s="2">
        <f>HYPERLINK("https://cao.dolgi.msk.ru/account/1080215056/", 1080215056)</f>
        <v>1080215056</v>
      </c>
      <c r="D18594" t="s">
        <v>15800</v>
      </c>
      <c r="E18594">
        <v>-6454.02</v>
      </c>
      <c r="F18594">
        <v>-1</v>
      </c>
      <c r="G18594" t="s">
        <v>12</v>
      </c>
      <c r="I18594" t="s">
        <v>1428</v>
      </c>
    </row>
    <row r="18595" spans="1:9" hidden="1" x14ac:dyDescent="0.25">
      <c r="A18595" t="s">
        <v>15777</v>
      </c>
      <c r="B18595" t="s">
        <v>74</v>
      </c>
      <c r="C18595" s="2">
        <f>HYPERLINK("https://cao.dolgi.msk.ru/account/1080215064/", 1080215064)</f>
        <v>1080215064</v>
      </c>
      <c r="D18595" t="s">
        <v>15801</v>
      </c>
      <c r="E18595">
        <v>-9759.7099999999991</v>
      </c>
      <c r="F18595">
        <v>-1.1100000000000001</v>
      </c>
      <c r="G18595" t="s">
        <v>12</v>
      </c>
      <c r="I18595" t="s">
        <v>1428</v>
      </c>
    </row>
    <row r="18596" spans="1:9" hidden="1" x14ac:dyDescent="0.25">
      <c r="A18596" t="s">
        <v>15777</v>
      </c>
      <c r="B18596" t="s">
        <v>76</v>
      </c>
      <c r="C18596" s="2">
        <f>HYPERLINK("https://cao.dolgi.msk.ru/account/1080215072/", 1080215072)</f>
        <v>1080215072</v>
      </c>
      <c r="D18596" t="s">
        <v>15802</v>
      </c>
      <c r="E18596">
        <v>10.66</v>
      </c>
      <c r="F18596">
        <v>0</v>
      </c>
      <c r="G18596" t="s">
        <v>12</v>
      </c>
      <c r="I18596" t="s">
        <v>1428</v>
      </c>
    </row>
    <row r="18597" spans="1:9" hidden="1" x14ac:dyDescent="0.25">
      <c r="A18597" t="s">
        <v>15777</v>
      </c>
      <c r="B18597" t="s">
        <v>78</v>
      </c>
      <c r="C18597" s="2">
        <f>HYPERLINK("https://cao.dolgi.msk.ru/account/1080215099/", 1080215099)</f>
        <v>1080215099</v>
      </c>
      <c r="D18597" t="s">
        <v>15803</v>
      </c>
      <c r="E18597">
        <v>-6021.16</v>
      </c>
      <c r="F18597">
        <v>-1.05</v>
      </c>
      <c r="G18597" t="s">
        <v>12</v>
      </c>
      <c r="I18597" t="s">
        <v>1428</v>
      </c>
    </row>
    <row r="18598" spans="1:9" hidden="1" x14ac:dyDescent="0.25">
      <c r="A18598" t="s">
        <v>15777</v>
      </c>
      <c r="B18598" t="s">
        <v>80</v>
      </c>
      <c r="C18598" s="2">
        <f>HYPERLINK("https://cao.dolgi.msk.ru/account/1080215101/", 1080215101)</f>
        <v>1080215101</v>
      </c>
      <c r="D18598" t="s">
        <v>15804</v>
      </c>
      <c r="E18598">
        <v>-7104.14</v>
      </c>
      <c r="F18598">
        <v>-1.03</v>
      </c>
      <c r="G18598" t="s">
        <v>12</v>
      </c>
      <c r="I18598" t="s">
        <v>1428</v>
      </c>
    </row>
    <row r="18599" spans="1:9" hidden="1" x14ac:dyDescent="0.25">
      <c r="A18599" t="s">
        <v>15777</v>
      </c>
      <c r="B18599" t="s">
        <v>82</v>
      </c>
      <c r="C18599" s="2">
        <f>HYPERLINK("https://cao.dolgi.msk.ru/account/1080215136/", 1080215136)</f>
        <v>1080215136</v>
      </c>
      <c r="D18599" t="s">
        <v>15805</v>
      </c>
      <c r="E18599">
        <v>-4158.1899999999996</v>
      </c>
      <c r="F18599">
        <v>-2.4</v>
      </c>
      <c r="G18599" t="s">
        <v>12</v>
      </c>
      <c r="H18599" t="s">
        <v>7</v>
      </c>
      <c r="I18599" t="s">
        <v>1428</v>
      </c>
    </row>
    <row r="18600" spans="1:9" hidden="1" x14ac:dyDescent="0.25">
      <c r="A18600" t="s">
        <v>15777</v>
      </c>
      <c r="B18600" t="s">
        <v>84</v>
      </c>
      <c r="C18600" s="2">
        <f>HYPERLINK("https://cao.dolgi.msk.ru/account/1080215144/", 1080215144)</f>
        <v>1080215144</v>
      </c>
      <c r="D18600" t="s">
        <v>15806</v>
      </c>
      <c r="E18600">
        <v>-4042.9</v>
      </c>
      <c r="F18600">
        <v>-1.17</v>
      </c>
      <c r="G18600" t="s">
        <v>12</v>
      </c>
      <c r="I18600" t="s">
        <v>1428</v>
      </c>
    </row>
    <row r="18601" spans="1:9" hidden="1" x14ac:dyDescent="0.25">
      <c r="A18601" t="s">
        <v>15777</v>
      </c>
      <c r="B18601" t="s">
        <v>86</v>
      </c>
      <c r="C18601" s="2">
        <f>HYPERLINK("https://cao.dolgi.msk.ru/account/1080215152/", 1080215152)</f>
        <v>1080215152</v>
      </c>
      <c r="D18601" t="s">
        <v>15807</v>
      </c>
      <c r="E18601">
        <v>-5921.13</v>
      </c>
      <c r="F18601">
        <v>-1.1000000000000001</v>
      </c>
      <c r="G18601" t="s">
        <v>12</v>
      </c>
      <c r="I18601" t="s">
        <v>1428</v>
      </c>
    </row>
    <row r="18602" spans="1:9" x14ac:dyDescent="0.25">
      <c r="A18602" t="s">
        <v>15777</v>
      </c>
      <c r="B18602" t="s">
        <v>88</v>
      </c>
      <c r="C18602" s="2">
        <f>HYPERLINK("https://cao.dolgi.msk.ru/account/1080215179/", 1080215179)</f>
        <v>1080215179</v>
      </c>
      <c r="D18602" t="s">
        <v>15808</v>
      </c>
      <c r="E18602">
        <v>12200.68</v>
      </c>
      <c r="F18602">
        <v>2</v>
      </c>
      <c r="G18602" t="s">
        <v>12</v>
      </c>
      <c r="I18602" t="s">
        <v>1428</v>
      </c>
    </row>
    <row r="18603" spans="1:9" hidden="1" x14ac:dyDescent="0.25">
      <c r="A18603" t="s">
        <v>15777</v>
      </c>
      <c r="B18603" t="s">
        <v>90</v>
      </c>
      <c r="C18603" s="2">
        <f>HYPERLINK("https://cao.dolgi.msk.ru/account/1080215187/", 1080215187)</f>
        <v>1080215187</v>
      </c>
      <c r="D18603" t="s">
        <v>15809</v>
      </c>
      <c r="E18603">
        <v>-9981.2900000000009</v>
      </c>
      <c r="F18603">
        <v>-1.0900000000000001</v>
      </c>
      <c r="G18603" t="s">
        <v>12</v>
      </c>
      <c r="I18603" t="s">
        <v>1428</v>
      </c>
    </row>
    <row r="18604" spans="1:9" hidden="1" x14ac:dyDescent="0.25">
      <c r="A18604" t="s">
        <v>15777</v>
      </c>
      <c r="B18604" t="s">
        <v>92</v>
      </c>
      <c r="C18604" s="2">
        <f>HYPERLINK("https://cao.dolgi.msk.ru/account/1080215195/", 1080215195)</f>
        <v>1080215195</v>
      </c>
      <c r="D18604" t="s">
        <v>15810</v>
      </c>
      <c r="E18604">
        <v>-6386.99</v>
      </c>
      <c r="F18604">
        <v>-1.07</v>
      </c>
      <c r="G18604" t="s">
        <v>12</v>
      </c>
      <c r="I18604" t="s">
        <v>1428</v>
      </c>
    </row>
    <row r="18605" spans="1:9" hidden="1" x14ac:dyDescent="0.25">
      <c r="A18605" t="s">
        <v>15777</v>
      </c>
      <c r="B18605" t="s">
        <v>94</v>
      </c>
      <c r="C18605" s="2">
        <f>HYPERLINK("https://cao.dolgi.msk.ru/account/1080215208/", 1080215208)</f>
        <v>1080215208</v>
      </c>
      <c r="D18605" t="s">
        <v>15811</v>
      </c>
      <c r="E18605">
        <v>-10853.7</v>
      </c>
      <c r="F18605">
        <v>-3.25</v>
      </c>
      <c r="G18605" t="s">
        <v>12</v>
      </c>
      <c r="I18605" t="s">
        <v>1428</v>
      </c>
    </row>
    <row r="18606" spans="1:9" hidden="1" x14ac:dyDescent="0.25">
      <c r="A18606" t="s">
        <v>15777</v>
      </c>
      <c r="B18606" t="s">
        <v>96</v>
      </c>
      <c r="C18606" s="2">
        <f>HYPERLINK("https://cao.dolgi.msk.ru/account/1080215216/", 1080215216)</f>
        <v>1080215216</v>
      </c>
      <c r="D18606" t="s">
        <v>15812</v>
      </c>
      <c r="E18606">
        <v>-6588.42</v>
      </c>
      <c r="F18606">
        <v>-1.31</v>
      </c>
      <c r="G18606" t="s">
        <v>12</v>
      </c>
      <c r="I18606" t="s">
        <v>1428</v>
      </c>
    </row>
    <row r="18607" spans="1:9" hidden="1" x14ac:dyDescent="0.25">
      <c r="A18607" t="s">
        <v>15777</v>
      </c>
      <c r="B18607" t="s">
        <v>98</v>
      </c>
      <c r="C18607" s="2">
        <f>HYPERLINK("https://cao.dolgi.msk.ru/account/1080215232/", 1080215232)</f>
        <v>1080215232</v>
      </c>
      <c r="D18607" t="s">
        <v>15813</v>
      </c>
      <c r="E18607">
        <v>-489.47</v>
      </c>
      <c r="F18607">
        <v>-0.08</v>
      </c>
      <c r="G18607" t="s">
        <v>12</v>
      </c>
      <c r="I18607" t="s">
        <v>1428</v>
      </c>
    </row>
    <row r="18608" spans="1:9" hidden="1" x14ac:dyDescent="0.25">
      <c r="A18608" t="s">
        <v>15777</v>
      </c>
      <c r="B18608" t="s">
        <v>100</v>
      </c>
      <c r="C18608" s="2">
        <f>HYPERLINK("https://cao.dolgi.msk.ru/account/1080215259/", 1080215259)</f>
        <v>1080215259</v>
      </c>
      <c r="D18608" t="s">
        <v>15814</v>
      </c>
      <c r="E18608">
        <v>-7212.49</v>
      </c>
      <c r="F18608">
        <v>-1.03</v>
      </c>
      <c r="G18608" t="s">
        <v>12</v>
      </c>
      <c r="I18608" t="s">
        <v>1428</v>
      </c>
    </row>
    <row r="18609" spans="1:9" hidden="1" x14ac:dyDescent="0.25">
      <c r="A18609" t="s">
        <v>15777</v>
      </c>
      <c r="B18609" t="s">
        <v>102</v>
      </c>
      <c r="C18609" s="2">
        <f>HYPERLINK("https://cao.dolgi.msk.ru/account/1080215267/", 1080215267)</f>
        <v>1080215267</v>
      </c>
      <c r="D18609" t="s">
        <v>15815</v>
      </c>
      <c r="E18609">
        <v>-3790.12</v>
      </c>
      <c r="F18609">
        <v>-1.17</v>
      </c>
      <c r="G18609" t="s">
        <v>12</v>
      </c>
      <c r="I18609" t="s">
        <v>1428</v>
      </c>
    </row>
    <row r="18610" spans="1:9" hidden="1" x14ac:dyDescent="0.25">
      <c r="A18610" t="s">
        <v>15777</v>
      </c>
      <c r="B18610" t="s">
        <v>104</v>
      </c>
      <c r="C18610" s="2">
        <f>HYPERLINK("https://cao.dolgi.msk.ru/account/1080215275/", 1080215275)</f>
        <v>1080215275</v>
      </c>
      <c r="D18610" t="s">
        <v>15816</v>
      </c>
      <c r="E18610">
        <v>-7455.84</v>
      </c>
      <c r="F18610">
        <v>-1.0900000000000001</v>
      </c>
      <c r="G18610" t="s">
        <v>12</v>
      </c>
      <c r="I18610" t="s">
        <v>1428</v>
      </c>
    </row>
    <row r="18611" spans="1:9" x14ac:dyDescent="0.25">
      <c r="A18611" t="s">
        <v>15777</v>
      </c>
      <c r="B18611" t="s">
        <v>106</v>
      </c>
      <c r="C18611" s="2">
        <f>HYPERLINK("https://cao.dolgi.msk.ru/account/1080215283/", 1080215283)</f>
        <v>1080215283</v>
      </c>
      <c r="D18611" t="s">
        <v>15817</v>
      </c>
      <c r="E18611">
        <v>15520.37</v>
      </c>
      <c r="F18611">
        <v>2.27</v>
      </c>
      <c r="G18611" t="s">
        <v>12</v>
      </c>
      <c r="I18611" t="s">
        <v>1428</v>
      </c>
    </row>
    <row r="18612" spans="1:9" hidden="1" x14ac:dyDescent="0.25">
      <c r="A18612" t="s">
        <v>15777</v>
      </c>
      <c r="B18612" t="s">
        <v>108</v>
      </c>
      <c r="C18612" s="2">
        <f>HYPERLINK("https://cao.dolgi.msk.ru/account/1080215291/", 1080215291)</f>
        <v>1080215291</v>
      </c>
      <c r="D18612" t="s">
        <v>15818</v>
      </c>
      <c r="E18612">
        <v>-5465.61</v>
      </c>
      <c r="F18612">
        <v>-1.1200000000000001</v>
      </c>
      <c r="G18612" t="s">
        <v>12</v>
      </c>
      <c r="I18612" t="s">
        <v>1428</v>
      </c>
    </row>
    <row r="18613" spans="1:9" hidden="1" x14ac:dyDescent="0.25">
      <c r="A18613" t="s">
        <v>15777</v>
      </c>
      <c r="B18613" t="s">
        <v>110</v>
      </c>
      <c r="C18613" s="2">
        <f>HYPERLINK("https://cao.dolgi.msk.ru/account/1080215304/", 1080215304)</f>
        <v>1080215304</v>
      </c>
      <c r="D18613" t="s">
        <v>15819</v>
      </c>
      <c r="E18613">
        <v>50.85</v>
      </c>
      <c r="F18613">
        <v>0.01</v>
      </c>
      <c r="G18613" t="s">
        <v>12</v>
      </c>
      <c r="I18613" t="s">
        <v>1428</v>
      </c>
    </row>
    <row r="18614" spans="1:9" hidden="1" x14ac:dyDescent="0.25">
      <c r="A18614" t="s">
        <v>15777</v>
      </c>
      <c r="B18614" t="s">
        <v>112</v>
      </c>
      <c r="C18614" s="2">
        <f>HYPERLINK("https://cao.dolgi.msk.ru/account/1080215312/", 1080215312)</f>
        <v>1080215312</v>
      </c>
      <c r="D18614" t="s">
        <v>15820</v>
      </c>
      <c r="E18614">
        <v>-8013.08</v>
      </c>
      <c r="F18614">
        <v>-1.06</v>
      </c>
      <c r="G18614" t="s">
        <v>12</v>
      </c>
      <c r="I18614" t="s">
        <v>1428</v>
      </c>
    </row>
    <row r="18615" spans="1:9" hidden="1" x14ac:dyDescent="0.25">
      <c r="A18615" t="s">
        <v>15777</v>
      </c>
      <c r="B18615" t="s">
        <v>114</v>
      </c>
      <c r="C18615" s="2">
        <f>HYPERLINK("https://cao.dolgi.msk.ru/account/1080215339/", 1080215339)</f>
        <v>1080215339</v>
      </c>
      <c r="D18615" t="s">
        <v>15821</v>
      </c>
      <c r="E18615">
        <v>-10425.549999999999</v>
      </c>
      <c r="F18615">
        <v>-1.0900000000000001</v>
      </c>
      <c r="G18615" t="s">
        <v>12</v>
      </c>
      <c r="I18615" t="s">
        <v>1428</v>
      </c>
    </row>
    <row r="18616" spans="1:9" hidden="1" x14ac:dyDescent="0.25">
      <c r="A18616" t="s">
        <v>15777</v>
      </c>
      <c r="B18616" t="s">
        <v>116</v>
      </c>
      <c r="C18616" s="2">
        <f>HYPERLINK("https://cao.dolgi.msk.ru/account/1080215355/", 1080215355)</f>
        <v>1080215355</v>
      </c>
      <c r="D18616" t="s">
        <v>15822</v>
      </c>
      <c r="E18616">
        <v>-4575.8500000000004</v>
      </c>
      <c r="F18616">
        <v>-1.05</v>
      </c>
      <c r="G18616" t="s">
        <v>12</v>
      </c>
      <c r="I18616" t="s">
        <v>1428</v>
      </c>
    </row>
    <row r="18617" spans="1:9" hidden="1" x14ac:dyDescent="0.25">
      <c r="A18617" t="s">
        <v>15777</v>
      </c>
      <c r="B18617" t="s">
        <v>118</v>
      </c>
      <c r="C18617" s="2">
        <f>HYPERLINK("https://cao.dolgi.msk.ru/account/1080215363/", 1080215363)</f>
        <v>1080215363</v>
      </c>
      <c r="D18617" t="s">
        <v>15823</v>
      </c>
      <c r="E18617">
        <v>-5487.09</v>
      </c>
      <c r="F18617">
        <v>-1.1000000000000001</v>
      </c>
      <c r="G18617" t="s">
        <v>12</v>
      </c>
      <c r="I18617" t="s">
        <v>1428</v>
      </c>
    </row>
    <row r="18618" spans="1:9" hidden="1" x14ac:dyDescent="0.25">
      <c r="A18618" t="s">
        <v>15777</v>
      </c>
      <c r="B18618" t="s">
        <v>120</v>
      </c>
      <c r="C18618" s="2">
        <f>HYPERLINK("https://cao.dolgi.msk.ru/account/1080215371/", 1080215371)</f>
        <v>1080215371</v>
      </c>
      <c r="D18618" t="s">
        <v>15824</v>
      </c>
      <c r="E18618">
        <v>-8405.9500000000007</v>
      </c>
      <c r="F18618">
        <v>-1.1200000000000001</v>
      </c>
      <c r="G18618" t="s">
        <v>12</v>
      </c>
      <c r="I18618" t="s">
        <v>1428</v>
      </c>
    </row>
    <row r="18619" spans="1:9" x14ac:dyDescent="0.25">
      <c r="A18619" t="s">
        <v>15777</v>
      </c>
      <c r="B18619" t="s">
        <v>122</v>
      </c>
      <c r="C18619" s="2">
        <f>HYPERLINK("https://cao.dolgi.msk.ru/account/1080215398/", 1080215398)</f>
        <v>1080215398</v>
      </c>
      <c r="D18619" t="s">
        <v>15825</v>
      </c>
      <c r="E18619">
        <v>30860.78</v>
      </c>
      <c r="F18619">
        <v>3.55</v>
      </c>
      <c r="G18619" t="s">
        <v>12</v>
      </c>
      <c r="I18619" t="s">
        <v>1428</v>
      </c>
    </row>
    <row r="18620" spans="1:9" hidden="1" x14ac:dyDescent="0.25">
      <c r="A18620" t="s">
        <v>15777</v>
      </c>
      <c r="B18620" t="s">
        <v>124</v>
      </c>
      <c r="C18620" s="2">
        <f>HYPERLINK("https://cao.dolgi.msk.ru/account/1080215419/", 1080215419)</f>
        <v>1080215419</v>
      </c>
      <c r="D18620" t="s">
        <v>15826</v>
      </c>
      <c r="E18620">
        <v>-9970.66</v>
      </c>
      <c r="F18620">
        <v>-2.89</v>
      </c>
      <c r="G18620" t="s">
        <v>12</v>
      </c>
      <c r="I18620" t="s">
        <v>1428</v>
      </c>
    </row>
    <row r="18621" spans="1:9" hidden="1" x14ac:dyDescent="0.25">
      <c r="A18621" t="s">
        <v>15777</v>
      </c>
      <c r="B18621" t="s">
        <v>126</v>
      </c>
      <c r="C18621" s="2">
        <f>HYPERLINK("https://cao.dolgi.msk.ru/account/1080215427/", 1080215427)</f>
        <v>1080215427</v>
      </c>
      <c r="D18621" t="s">
        <v>15827</v>
      </c>
      <c r="E18621">
        <v>-6252.22</v>
      </c>
      <c r="F18621">
        <v>-1.19</v>
      </c>
      <c r="G18621" t="s">
        <v>12</v>
      </c>
      <c r="I18621" t="s">
        <v>1428</v>
      </c>
    </row>
    <row r="18622" spans="1:9" hidden="1" x14ac:dyDescent="0.25">
      <c r="A18622" t="s">
        <v>15777</v>
      </c>
      <c r="B18622" t="s">
        <v>128</v>
      </c>
      <c r="C18622" s="2">
        <f>HYPERLINK("https://cao.dolgi.msk.ru/account/1080215435/", 1080215435)</f>
        <v>1080215435</v>
      </c>
      <c r="D18622" t="s">
        <v>15828</v>
      </c>
      <c r="E18622">
        <v>-7881.4</v>
      </c>
      <c r="F18622">
        <v>-1.1499999999999999</v>
      </c>
      <c r="G18622" t="s">
        <v>12</v>
      </c>
      <c r="I18622" t="s">
        <v>1428</v>
      </c>
    </row>
    <row r="18623" spans="1:9" hidden="1" x14ac:dyDescent="0.25">
      <c r="A18623" t="s">
        <v>15777</v>
      </c>
      <c r="B18623" t="s">
        <v>130</v>
      </c>
      <c r="C18623" s="2">
        <f>HYPERLINK("https://cao.dolgi.msk.ru/account/1080215443/", 1080215443)</f>
        <v>1080215443</v>
      </c>
      <c r="D18623" t="s">
        <v>15829</v>
      </c>
      <c r="E18623">
        <v>-6855.96</v>
      </c>
      <c r="F18623">
        <v>-1.1100000000000001</v>
      </c>
      <c r="G18623" t="s">
        <v>12</v>
      </c>
      <c r="I18623" t="s">
        <v>1428</v>
      </c>
    </row>
    <row r="18624" spans="1:9" hidden="1" x14ac:dyDescent="0.25">
      <c r="A18624" t="s">
        <v>15777</v>
      </c>
      <c r="B18624" t="s">
        <v>132</v>
      </c>
      <c r="C18624" s="2">
        <f>HYPERLINK("https://cao.dolgi.msk.ru/account/1080215451/", 1080215451)</f>
        <v>1080215451</v>
      </c>
      <c r="D18624" t="s">
        <v>15830</v>
      </c>
      <c r="E18624">
        <v>1595.5</v>
      </c>
      <c r="F18624">
        <v>0.24</v>
      </c>
      <c r="G18624" t="s">
        <v>12</v>
      </c>
      <c r="I18624" t="s">
        <v>1428</v>
      </c>
    </row>
    <row r="18625" spans="1:9" hidden="1" x14ac:dyDescent="0.25">
      <c r="A18625" t="s">
        <v>15777</v>
      </c>
      <c r="B18625" t="s">
        <v>133</v>
      </c>
      <c r="C18625" s="2">
        <f>HYPERLINK("https://cao.dolgi.msk.ru/account/1080215478/", 1080215478)</f>
        <v>1080215478</v>
      </c>
      <c r="D18625" t="s">
        <v>15831</v>
      </c>
      <c r="E18625">
        <v>-8727.4699999999993</v>
      </c>
      <c r="F18625">
        <v>-1.07</v>
      </c>
      <c r="G18625" t="s">
        <v>12</v>
      </c>
      <c r="I18625" t="s">
        <v>1428</v>
      </c>
    </row>
    <row r="18626" spans="1:9" hidden="1" x14ac:dyDescent="0.25">
      <c r="A18626" t="s">
        <v>15777</v>
      </c>
      <c r="B18626" t="s">
        <v>135</v>
      </c>
      <c r="C18626" s="2">
        <f>HYPERLINK("https://cao.dolgi.msk.ru/account/1080215486/", 1080215486)</f>
        <v>1080215486</v>
      </c>
      <c r="D18626" t="s">
        <v>15832</v>
      </c>
      <c r="E18626">
        <v>-9084.69</v>
      </c>
      <c r="F18626">
        <v>-1.1200000000000001</v>
      </c>
      <c r="G18626" t="s">
        <v>12</v>
      </c>
      <c r="I18626" t="s">
        <v>1428</v>
      </c>
    </row>
    <row r="18627" spans="1:9" x14ac:dyDescent="0.25">
      <c r="A18627" t="s">
        <v>15777</v>
      </c>
      <c r="B18627" t="s">
        <v>137</v>
      </c>
      <c r="C18627" s="2">
        <f>HYPERLINK("https://cao.dolgi.msk.ru/account/1080215494/", 1080215494)</f>
        <v>1080215494</v>
      </c>
      <c r="D18627" t="s">
        <v>15833</v>
      </c>
      <c r="E18627">
        <v>6485.88</v>
      </c>
      <c r="F18627">
        <v>1.26</v>
      </c>
      <c r="G18627" t="s">
        <v>12</v>
      </c>
      <c r="H18627" t="s">
        <v>7</v>
      </c>
      <c r="I18627" t="s">
        <v>1428</v>
      </c>
    </row>
    <row r="18628" spans="1:9" x14ac:dyDescent="0.25">
      <c r="A18628" t="s">
        <v>15777</v>
      </c>
      <c r="B18628" t="s">
        <v>137</v>
      </c>
      <c r="C18628" s="2">
        <f>HYPERLINK("https://cao.dolgi.msk.ru/account/1080215507/", 1080215507)</f>
        <v>1080215507</v>
      </c>
      <c r="D18628" t="s">
        <v>15833</v>
      </c>
      <c r="E18628">
        <v>5106.93</v>
      </c>
      <c r="F18628">
        <v>1.36</v>
      </c>
      <c r="G18628" t="s">
        <v>12</v>
      </c>
      <c r="H18628" t="s">
        <v>7</v>
      </c>
      <c r="I18628" t="s">
        <v>1428</v>
      </c>
    </row>
    <row r="18629" spans="1:9" x14ac:dyDescent="0.25">
      <c r="A18629" t="s">
        <v>15777</v>
      </c>
      <c r="B18629" t="s">
        <v>139</v>
      </c>
      <c r="C18629" s="2">
        <f>HYPERLINK("https://cao.dolgi.msk.ru/account/1080215515/", 1080215515)</f>
        <v>1080215515</v>
      </c>
      <c r="D18629" t="s">
        <v>15834</v>
      </c>
      <c r="E18629">
        <v>11426.29</v>
      </c>
      <c r="F18629">
        <v>1.78</v>
      </c>
      <c r="G18629" t="s">
        <v>12</v>
      </c>
      <c r="I18629" t="s">
        <v>1428</v>
      </c>
    </row>
    <row r="18630" spans="1:9" hidden="1" x14ac:dyDescent="0.25">
      <c r="A18630" t="s">
        <v>15777</v>
      </c>
      <c r="B18630" t="s">
        <v>141</v>
      </c>
      <c r="C18630" s="2">
        <f>HYPERLINK("https://cao.dolgi.msk.ru/account/1080215523/", 1080215523)</f>
        <v>1080215523</v>
      </c>
      <c r="D18630" t="s">
        <v>15835</v>
      </c>
      <c r="E18630">
        <v>-941.81</v>
      </c>
      <c r="F18630">
        <v>-0.57999999999999996</v>
      </c>
      <c r="G18630" t="s">
        <v>12</v>
      </c>
      <c r="H18630" t="s">
        <v>7</v>
      </c>
      <c r="I18630" t="s">
        <v>1428</v>
      </c>
    </row>
    <row r="18631" spans="1:9" hidden="1" x14ac:dyDescent="0.25">
      <c r="A18631" t="s">
        <v>15777</v>
      </c>
      <c r="B18631" t="s">
        <v>141</v>
      </c>
      <c r="C18631" s="2">
        <f>HYPERLINK("https://cao.dolgi.msk.ru/account/1080215531/", 1080215531)</f>
        <v>1080215531</v>
      </c>
      <c r="D18631" t="s">
        <v>15836</v>
      </c>
      <c r="E18631">
        <v>-15830.07</v>
      </c>
      <c r="F18631">
        <v>-4.8499999999999996</v>
      </c>
      <c r="G18631" t="s">
        <v>12</v>
      </c>
      <c r="H18631" t="s">
        <v>7</v>
      </c>
      <c r="I18631" t="s">
        <v>1428</v>
      </c>
    </row>
    <row r="18632" spans="1:9" hidden="1" x14ac:dyDescent="0.25">
      <c r="A18632" t="s">
        <v>15777</v>
      </c>
      <c r="B18632" t="s">
        <v>143</v>
      </c>
      <c r="C18632" s="2">
        <f>HYPERLINK("https://cao.dolgi.msk.ru/account/1080215558/", 1080215558)</f>
        <v>1080215558</v>
      </c>
      <c r="D18632" t="s">
        <v>15837</v>
      </c>
      <c r="E18632">
        <v>-10621.9</v>
      </c>
      <c r="F18632">
        <v>-1.1000000000000001</v>
      </c>
      <c r="G18632" t="s">
        <v>12</v>
      </c>
      <c r="I18632" t="s">
        <v>1428</v>
      </c>
    </row>
    <row r="18633" spans="1:9" hidden="1" x14ac:dyDescent="0.25">
      <c r="A18633" t="s">
        <v>15777</v>
      </c>
      <c r="B18633" t="s">
        <v>145</v>
      </c>
      <c r="C18633" s="2">
        <f>HYPERLINK("https://cao.dolgi.msk.ru/account/1080215566/", 1080215566)</f>
        <v>1080215566</v>
      </c>
      <c r="D18633" t="s">
        <v>15838</v>
      </c>
      <c r="E18633">
        <v>-10184.27</v>
      </c>
      <c r="F18633">
        <v>-0.99</v>
      </c>
      <c r="G18633" t="s">
        <v>12</v>
      </c>
      <c r="I18633" t="s">
        <v>1428</v>
      </c>
    </row>
    <row r="18634" spans="1:9" hidden="1" x14ac:dyDescent="0.25">
      <c r="A18634" t="s">
        <v>15777</v>
      </c>
      <c r="B18634" t="s">
        <v>147</v>
      </c>
      <c r="C18634" s="2">
        <f>HYPERLINK("https://cao.dolgi.msk.ru/account/1080215574/", 1080215574)</f>
        <v>1080215574</v>
      </c>
      <c r="D18634" t="s">
        <v>15839</v>
      </c>
      <c r="E18634">
        <v>-5497.12</v>
      </c>
      <c r="F18634">
        <v>-1.1499999999999999</v>
      </c>
      <c r="G18634" t="s">
        <v>12</v>
      </c>
      <c r="I18634" t="s">
        <v>1428</v>
      </c>
    </row>
    <row r="18635" spans="1:9" hidden="1" x14ac:dyDescent="0.25">
      <c r="A18635" t="s">
        <v>15777</v>
      </c>
      <c r="B18635" t="s">
        <v>149</v>
      </c>
      <c r="C18635" s="2">
        <f>HYPERLINK("https://cao.dolgi.msk.ru/account/1080215582/", 1080215582)</f>
        <v>1080215582</v>
      </c>
      <c r="D18635" t="s">
        <v>15840</v>
      </c>
      <c r="E18635">
        <v>-4336.41</v>
      </c>
      <c r="F18635">
        <v>-1.0900000000000001</v>
      </c>
      <c r="G18635" t="s">
        <v>12</v>
      </c>
      <c r="I18635" t="s">
        <v>1428</v>
      </c>
    </row>
    <row r="18636" spans="1:9" hidden="1" x14ac:dyDescent="0.25">
      <c r="A18636" t="s">
        <v>15777</v>
      </c>
      <c r="B18636" t="s">
        <v>151</v>
      </c>
      <c r="C18636" s="2">
        <f>HYPERLINK("https://cao.dolgi.msk.ru/account/1080215603/", 1080215603)</f>
        <v>1080215603</v>
      </c>
      <c r="D18636" t="s">
        <v>15841</v>
      </c>
      <c r="E18636">
        <v>0</v>
      </c>
      <c r="F18636">
        <v>0</v>
      </c>
      <c r="G18636" t="s">
        <v>12</v>
      </c>
      <c r="I18636" t="s">
        <v>1428</v>
      </c>
    </row>
    <row r="18637" spans="1:9" hidden="1" x14ac:dyDescent="0.25">
      <c r="A18637" t="s">
        <v>15842</v>
      </c>
      <c r="B18637" t="s">
        <v>10</v>
      </c>
      <c r="C18637" s="2">
        <f>HYPERLINK("https://cao.dolgi.msk.ru/account/1080234804/", 1080234804)</f>
        <v>1080234804</v>
      </c>
      <c r="D18637" t="s">
        <v>15</v>
      </c>
      <c r="G18637" t="s">
        <v>14</v>
      </c>
      <c r="I18637" t="s">
        <v>1428</v>
      </c>
    </row>
    <row r="18638" spans="1:9" hidden="1" x14ac:dyDescent="0.25">
      <c r="A18638" t="s">
        <v>15842</v>
      </c>
      <c r="B18638" t="s">
        <v>10</v>
      </c>
      <c r="C18638" s="2">
        <f>HYPERLINK("https://cao.dolgi.msk.ru/account/1080234812/", 1080234812)</f>
        <v>1080234812</v>
      </c>
      <c r="D18638" t="s">
        <v>15843</v>
      </c>
      <c r="E18638">
        <v>-19301.3</v>
      </c>
      <c r="G18638" t="s">
        <v>12</v>
      </c>
      <c r="I18638" t="s">
        <v>1428</v>
      </c>
    </row>
    <row r="18639" spans="1:9" hidden="1" x14ac:dyDescent="0.25">
      <c r="A18639" t="s">
        <v>15842</v>
      </c>
      <c r="B18639" t="s">
        <v>16</v>
      </c>
      <c r="C18639" s="2">
        <f>HYPERLINK("https://cao.dolgi.msk.ru/account/1080234839/", 1080234839)</f>
        <v>1080234839</v>
      </c>
      <c r="D18639" t="s">
        <v>15844</v>
      </c>
      <c r="E18639">
        <v>-11271.48</v>
      </c>
      <c r="F18639">
        <v>-1.87</v>
      </c>
      <c r="G18639" t="s">
        <v>12</v>
      </c>
      <c r="I18639" t="s">
        <v>1428</v>
      </c>
    </row>
    <row r="18640" spans="1:9" x14ac:dyDescent="0.25">
      <c r="A18640" t="s">
        <v>15842</v>
      </c>
      <c r="B18640" t="s">
        <v>18</v>
      </c>
      <c r="C18640" s="2">
        <f>HYPERLINK("https://cao.dolgi.msk.ru/account/1083272486/", 1083272486)</f>
        <v>1083272486</v>
      </c>
      <c r="D18640" t="s">
        <v>15</v>
      </c>
      <c r="E18640">
        <v>302314.76</v>
      </c>
      <c r="F18640">
        <v>57.18</v>
      </c>
      <c r="G18640" t="s">
        <v>12</v>
      </c>
      <c r="I18640" t="s">
        <v>1428</v>
      </c>
    </row>
    <row r="18641" spans="1:9" hidden="1" x14ac:dyDescent="0.25">
      <c r="A18641" t="s">
        <v>15842</v>
      </c>
      <c r="B18641" t="s">
        <v>21</v>
      </c>
      <c r="C18641" s="2">
        <f>HYPERLINK("https://cao.dolgi.msk.ru/account/1080234847/", 1080234847)</f>
        <v>1080234847</v>
      </c>
      <c r="D18641" t="s">
        <v>15845</v>
      </c>
      <c r="E18641">
        <v>-3280.61</v>
      </c>
      <c r="F18641">
        <v>-1.17</v>
      </c>
      <c r="G18641" t="s">
        <v>12</v>
      </c>
      <c r="I18641" t="s">
        <v>1428</v>
      </c>
    </row>
    <row r="18642" spans="1:9" hidden="1" x14ac:dyDescent="0.25">
      <c r="A18642" t="s">
        <v>15842</v>
      </c>
      <c r="B18642" t="s">
        <v>21</v>
      </c>
      <c r="C18642" s="2">
        <f>HYPERLINK("https://cao.dolgi.msk.ru/account/1089123123/", 1089123123)</f>
        <v>1089123123</v>
      </c>
      <c r="D18642" t="s">
        <v>15</v>
      </c>
      <c r="E18642">
        <v>-4451.6499999999996</v>
      </c>
      <c r="F18642">
        <v>-1.03</v>
      </c>
      <c r="G18642" t="s">
        <v>12</v>
      </c>
      <c r="I18642" t="s">
        <v>1428</v>
      </c>
    </row>
    <row r="18643" spans="1:9" hidden="1" x14ac:dyDescent="0.25">
      <c r="A18643" t="s">
        <v>15842</v>
      </c>
      <c r="B18643" t="s">
        <v>22</v>
      </c>
      <c r="C18643" s="2">
        <f>HYPERLINK("https://cao.dolgi.msk.ru/account/1080234855/", 1080234855)</f>
        <v>1080234855</v>
      </c>
      <c r="D18643" t="s">
        <v>15846</v>
      </c>
      <c r="E18643">
        <v>-6440.29</v>
      </c>
      <c r="F18643">
        <v>-1.26</v>
      </c>
      <c r="G18643" t="s">
        <v>12</v>
      </c>
      <c r="I18643" t="s">
        <v>1428</v>
      </c>
    </row>
    <row r="18644" spans="1:9" hidden="1" x14ac:dyDescent="0.25">
      <c r="A18644" t="s">
        <v>15842</v>
      </c>
      <c r="B18644" t="s">
        <v>23</v>
      </c>
      <c r="C18644" s="2">
        <f>HYPERLINK("https://cao.dolgi.msk.ru/account/1080234863/", 1080234863)</f>
        <v>1080234863</v>
      </c>
      <c r="D18644" t="s">
        <v>15847</v>
      </c>
      <c r="E18644">
        <v>-7061.58</v>
      </c>
      <c r="F18644">
        <v>-1.1100000000000001</v>
      </c>
      <c r="G18644" t="s">
        <v>12</v>
      </c>
      <c r="I18644" t="s">
        <v>1428</v>
      </c>
    </row>
    <row r="18645" spans="1:9" hidden="1" x14ac:dyDescent="0.25">
      <c r="A18645" t="s">
        <v>15842</v>
      </c>
      <c r="B18645" t="s">
        <v>24</v>
      </c>
      <c r="C18645" s="2">
        <f>HYPERLINK("https://cao.dolgi.msk.ru/account/1080234871/", 1080234871)</f>
        <v>1080234871</v>
      </c>
      <c r="D18645" t="s">
        <v>15848</v>
      </c>
      <c r="E18645">
        <v>-6956.2</v>
      </c>
      <c r="F18645">
        <v>-1.02</v>
      </c>
      <c r="G18645" t="s">
        <v>12</v>
      </c>
      <c r="I18645" t="s">
        <v>1428</v>
      </c>
    </row>
    <row r="18646" spans="1:9" hidden="1" x14ac:dyDescent="0.25">
      <c r="A18646" t="s">
        <v>15842</v>
      </c>
      <c r="B18646" t="s">
        <v>27</v>
      </c>
      <c r="C18646" s="2">
        <f>HYPERLINK("https://cao.dolgi.msk.ru/account/1080234898/", 1080234898)</f>
        <v>1080234898</v>
      </c>
      <c r="D18646" t="s">
        <v>15849</v>
      </c>
      <c r="E18646">
        <v>-6527.28</v>
      </c>
      <c r="F18646">
        <v>-1.2</v>
      </c>
      <c r="G18646" t="s">
        <v>12</v>
      </c>
      <c r="I18646" t="s">
        <v>1428</v>
      </c>
    </row>
    <row r="18647" spans="1:9" hidden="1" x14ac:dyDescent="0.25">
      <c r="A18647" t="s">
        <v>15842</v>
      </c>
      <c r="B18647" t="s">
        <v>29</v>
      </c>
      <c r="C18647" s="2">
        <f>HYPERLINK("https://cao.dolgi.msk.ru/account/1080234919/", 1080234919)</f>
        <v>1080234919</v>
      </c>
      <c r="D18647" t="s">
        <v>15850</v>
      </c>
      <c r="E18647">
        <v>-6336.66</v>
      </c>
      <c r="F18647">
        <v>-0.97</v>
      </c>
      <c r="G18647" t="s">
        <v>12</v>
      </c>
      <c r="I18647" t="s">
        <v>1428</v>
      </c>
    </row>
    <row r="18648" spans="1:9" hidden="1" x14ac:dyDescent="0.25">
      <c r="A18648" t="s">
        <v>15842</v>
      </c>
      <c r="B18648" t="s">
        <v>31</v>
      </c>
      <c r="C18648" s="2">
        <f>HYPERLINK("https://cao.dolgi.msk.ru/account/1080234927/", 1080234927)</f>
        <v>1080234927</v>
      </c>
      <c r="D18648" t="s">
        <v>15851</v>
      </c>
      <c r="E18648">
        <v>-6030.07</v>
      </c>
      <c r="F18648">
        <v>-1.25</v>
      </c>
      <c r="G18648" t="s">
        <v>12</v>
      </c>
      <c r="I18648" t="s">
        <v>1428</v>
      </c>
    </row>
    <row r="18649" spans="1:9" hidden="1" x14ac:dyDescent="0.25">
      <c r="A18649" t="s">
        <v>15842</v>
      </c>
      <c r="B18649" t="s">
        <v>33</v>
      </c>
      <c r="C18649" s="2">
        <f>HYPERLINK("https://cao.dolgi.msk.ru/account/1080234935/", 1080234935)</f>
        <v>1080234935</v>
      </c>
      <c r="D18649" t="s">
        <v>15852</v>
      </c>
      <c r="E18649">
        <v>-7243.82</v>
      </c>
      <c r="F18649">
        <v>-1.17</v>
      </c>
      <c r="G18649" t="s">
        <v>12</v>
      </c>
      <c r="I18649" t="s">
        <v>1428</v>
      </c>
    </row>
    <row r="18650" spans="1:9" hidden="1" x14ac:dyDescent="0.25">
      <c r="A18650" t="s">
        <v>15842</v>
      </c>
      <c r="B18650" t="s">
        <v>33</v>
      </c>
      <c r="C18650" s="2">
        <f>HYPERLINK("https://cao.dolgi.msk.ru/account/1089118447/", 1089118447)</f>
        <v>1089118447</v>
      </c>
      <c r="D18650" t="s">
        <v>15</v>
      </c>
      <c r="E18650">
        <v>-350.82</v>
      </c>
      <c r="G18650" t="s">
        <v>14</v>
      </c>
      <c r="I18650" t="s">
        <v>1428</v>
      </c>
    </row>
    <row r="18651" spans="1:9" hidden="1" x14ac:dyDescent="0.25">
      <c r="A18651" t="s">
        <v>15842</v>
      </c>
      <c r="B18651" t="s">
        <v>34</v>
      </c>
      <c r="C18651" s="2">
        <f>HYPERLINK("https://cao.dolgi.msk.ru/account/1080234943/", 1080234943)</f>
        <v>1080234943</v>
      </c>
      <c r="D18651" t="s">
        <v>15853</v>
      </c>
      <c r="E18651">
        <v>-6485.81</v>
      </c>
      <c r="F18651">
        <v>-1.22</v>
      </c>
      <c r="G18651" t="s">
        <v>12</v>
      </c>
      <c r="I18651" t="s">
        <v>1428</v>
      </c>
    </row>
    <row r="18652" spans="1:9" hidden="1" x14ac:dyDescent="0.25">
      <c r="A18652" t="s">
        <v>15842</v>
      </c>
      <c r="B18652" t="s">
        <v>36</v>
      </c>
      <c r="C18652" s="2">
        <f>HYPERLINK("https://cao.dolgi.msk.ru/account/1080234951/", 1080234951)</f>
        <v>1080234951</v>
      </c>
      <c r="D18652" t="s">
        <v>15854</v>
      </c>
      <c r="E18652">
        <v>0</v>
      </c>
      <c r="G18652" t="s">
        <v>14</v>
      </c>
      <c r="H18652" t="s">
        <v>7</v>
      </c>
      <c r="I18652" t="s">
        <v>1428</v>
      </c>
    </row>
    <row r="18653" spans="1:9" hidden="1" x14ac:dyDescent="0.25">
      <c r="A18653" t="s">
        <v>15842</v>
      </c>
      <c r="B18653" t="s">
        <v>36</v>
      </c>
      <c r="C18653" s="2">
        <f>HYPERLINK("https://cao.dolgi.msk.ru/account/1080234978/", 1080234978)</f>
        <v>1080234978</v>
      </c>
      <c r="D18653" t="s">
        <v>15855</v>
      </c>
      <c r="E18653">
        <v>-204.89</v>
      </c>
      <c r="F18653">
        <v>-0.02</v>
      </c>
      <c r="G18653" t="s">
        <v>12</v>
      </c>
      <c r="H18653" t="s">
        <v>7</v>
      </c>
      <c r="I18653" t="s">
        <v>1428</v>
      </c>
    </row>
    <row r="18654" spans="1:9" hidden="1" x14ac:dyDescent="0.25">
      <c r="A18654" t="s">
        <v>15842</v>
      </c>
      <c r="B18654" t="s">
        <v>38</v>
      </c>
      <c r="C18654" s="2">
        <f>HYPERLINK("https://cao.dolgi.msk.ru/account/1080234986/", 1080234986)</f>
        <v>1080234986</v>
      </c>
      <c r="D18654" t="s">
        <v>15856</v>
      </c>
      <c r="E18654">
        <v>-4073.77</v>
      </c>
      <c r="F18654">
        <v>-0.51</v>
      </c>
      <c r="G18654" t="s">
        <v>12</v>
      </c>
      <c r="I18654" t="s">
        <v>1428</v>
      </c>
    </row>
    <row r="18655" spans="1:9" hidden="1" x14ac:dyDescent="0.25">
      <c r="A18655" t="s">
        <v>15842</v>
      </c>
      <c r="B18655" t="s">
        <v>39</v>
      </c>
      <c r="C18655" s="2">
        <f>HYPERLINK("https://cao.dolgi.msk.ru/account/1080234994/", 1080234994)</f>
        <v>1080234994</v>
      </c>
      <c r="D18655" t="s">
        <v>15857</v>
      </c>
      <c r="E18655">
        <v>-7785.88</v>
      </c>
      <c r="F18655">
        <v>-1.1499999999999999</v>
      </c>
      <c r="G18655" t="s">
        <v>12</v>
      </c>
      <c r="I18655" t="s">
        <v>1428</v>
      </c>
    </row>
    <row r="18656" spans="1:9" hidden="1" x14ac:dyDescent="0.25">
      <c r="A18656" t="s">
        <v>15842</v>
      </c>
      <c r="B18656" t="s">
        <v>40</v>
      </c>
      <c r="C18656" s="2">
        <f>HYPERLINK("https://cao.dolgi.msk.ru/account/1080235006/", 1080235006)</f>
        <v>1080235006</v>
      </c>
      <c r="D18656" t="s">
        <v>15858</v>
      </c>
      <c r="E18656">
        <v>-6646.86</v>
      </c>
      <c r="F18656">
        <v>-1.22</v>
      </c>
      <c r="G18656" t="s">
        <v>12</v>
      </c>
      <c r="I18656" t="s">
        <v>1428</v>
      </c>
    </row>
    <row r="18657" spans="1:9" hidden="1" x14ac:dyDescent="0.25">
      <c r="A18657" t="s">
        <v>15842</v>
      </c>
      <c r="B18657" t="s">
        <v>41</v>
      </c>
      <c r="C18657" s="2">
        <f>HYPERLINK("https://cao.dolgi.msk.ru/account/1080235014/", 1080235014)</f>
        <v>1080235014</v>
      </c>
      <c r="D18657" t="s">
        <v>15859</v>
      </c>
      <c r="E18657">
        <v>-4243.6899999999996</v>
      </c>
      <c r="F18657">
        <v>-1.26</v>
      </c>
      <c r="G18657" t="s">
        <v>12</v>
      </c>
      <c r="I18657" t="s">
        <v>1428</v>
      </c>
    </row>
    <row r="18658" spans="1:9" hidden="1" x14ac:dyDescent="0.25">
      <c r="A18658" t="s">
        <v>15842</v>
      </c>
      <c r="B18658" t="s">
        <v>42</v>
      </c>
      <c r="C18658" s="2">
        <f>HYPERLINK("https://cao.dolgi.msk.ru/account/1080235022/", 1080235022)</f>
        <v>1080235022</v>
      </c>
      <c r="D18658" t="s">
        <v>15860</v>
      </c>
      <c r="E18658">
        <v>-3096.99</v>
      </c>
      <c r="F18658">
        <v>-1.1599999999999999</v>
      </c>
      <c r="G18658" t="s">
        <v>12</v>
      </c>
      <c r="I18658" t="s">
        <v>1428</v>
      </c>
    </row>
    <row r="18659" spans="1:9" hidden="1" x14ac:dyDescent="0.25">
      <c r="A18659" t="s">
        <v>15842</v>
      </c>
      <c r="B18659" t="s">
        <v>44</v>
      </c>
      <c r="C18659" s="2">
        <f>HYPERLINK("https://cao.dolgi.msk.ru/account/1080235049/", 1080235049)</f>
        <v>1080235049</v>
      </c>
      <c r="D18659" t="s">
        <v>15861</v>
      </c>
      <c r="E18659">
        <v>-7664.84</v>
      </c>
      <c r="F18659">
        <v>-1.24</v>
      </c>
      <c r="G18659" t="s">
        <v>12</v>
      </c>
      <c r="I18659" t="s">
        <v>1428</v>
      </c>
    </row>
    <row r="18660" spans="1:9" hidden="1" x14ac:dyDescent="0.25">
      <c r="A18660" t="s">
        <v>15842</v>
      </c>
      <c r="B18660" t="s">
        <v>66</v>
      </c>
      <c r="C18660" s="2">
        <f>HYPERLINK("https://cao.dolgi.msk.ru/account/1080235057/", 1080235057)</f>
        <v>1080235057</v>
      </c>
      <c r="D18660" t="s">
        <v>15862</v>
      </c>
      <c r="E18660">
        <v>-10420.59</v>
      </c>
      <c r="F18660">
        <v>-1.32</v>
      </c>
      <c r="G18660" t="s">
        <v>12</v>
      </c>
      <c r="I18660" t="s">
        <v>1428</v>
      </c>
    </row>
    <row r="18661" spans="1:9" hidden="1" x14ac:dyDescent="0.25">
      <c r="A18661" t="s">
        <v>15842</v>
      </c>
      <c r="B18661" t="s">
        <v>68</v>
      </c>
      <c r="C18661" s="2">
        <f>HYPERLINK("https://cao.dolgi.msk.ru/account/1080235065/", 1080235065)</f>
        <v>1080235065</v>
      </c>
      <c r="D18661" t="s">
        <v>15863</v>
      </c>
      <c r="E18661">
        <v>-17.64</v>
      </c>
      <c r="F18661">
        <v>0</v>
      </c>
      <c r="G18661" t="s">
        <v>12</v>
      </c>
      <c r="I18661" t="s">
        <v>1428</v>
      </c>
    </row>
    <row r="18662" spans="1:9" hidden="1" x14ac:dyDescent="0.25">
      <c r="A18662" t="s">
        <v>15842</v>
      </c>
      <c r="B18662" t="s">
        <v>70</v>
      </c>
      <c r="C18662" s="2">
        <f>HYPERLINK("https://cao.dolgi.msk.ru/account/1080235073/", 1080235073)</f>
        <v>1080235073</v>
      </c>
      <c r="D18662" t="s">
        <v>15864</v>
      </c>
      <c r="E18662">
        <v>-2922.06</v>
      </c>
      <c r="F18662">
        <v>-1.23</v>
      </c>
      <c r="G18662" t="s">
        <v>12</v>
      </c>
      <c r="I18662" t="s">
        <v>1428</v>
      </c>
    </row>
    <row r="18663" spans="1:9" hidden="1" x14ac:dyDescent="0.25">
      <c r="A18663" t="s">
        <v>15842</v>
      </c>
      <c r="B18663" t="s">
        <v>72</v>
      </c>
      <c r="C18663" s="2">
        <f>HYPERLINK("https://cao.dolgi.msk.ru/account/1080235081/", 1080235081)</f>
        <v>1080235081</v>
      </c>
      <c r="D18663" t="s">
        <v>15865</v>
      </c>
      <c r="E18663">
        <v>-9448.39</v>
      </c>
      <c r="F18663">
        <v>-1.3</v>
      </c>
      <c r="G18663" t="s">
        <v>12</v>
      </c>
      <c r="I18663" t="s">
        <v>1428</v>
      </c>
    </row>
    <row r="18664" spans="1:9" hidden="1" x14ac:dyDescent="0.25">
      <c r="A18664" t="s">
        <v>15842</v>
      </c>
      <c r="B18664" t="s">
        <v>74</v>
      </c>
      <c r="C18664" s="2">
        <f>HYPERLINK("https://cao.dolgi.msk.ru/account/1080235102/", 1080235102)</f>
        <v>1080235102</v>
      </c>
      <c r="D18664" t="s">
        <v>15866</v>
      </c>
      <c r="E18664">
        <v>-7309.42</v>
      </c>
      <c r="F18664">
        <v>-1.18</v>
      </c>
      <c r="G18664" t="s">
        <v>12</v>
      </c>
      <c r="I18664" t="s">
        <v>1428</v>
      </c>
    </row>
    <row r="18665" spans="1:9" hidden="1" x14ac:dyDescent="0.25">
      <c r="A18665" t="s">
        <v>15842</v>
      </c>
      <c r="B18665" t="s">
        <v>76</v>
      </c>
      <c r="C18665" s="2">
        <f>HYPERLINK("https://cao.dolgi.msk.ru/account/1080235129/", 1080235129)</f>
        <v>1080235129</v>
      </c>
      <c r="D18665" t="s">
        <v>15867</v>
      </c>
      <c r="E18665">
        <v>-4050.61</v>
      </c>
      <c r="F18665">
        <v>-1.27</v>
      </c>
      <c r="G18665" t="s">
        <v>12</v>
      </c>
      <c r="I18665" t="s">
        <v>1428</v>
      </c>
    </row>
    <row r="18666" spans="1:9" hidden="1" x14ac:dyDescent="0.25">
      <c r="A18666" t="s">
        <v>15842</v>
      </c>
      <c r="B18666" t="s">
        <v>78</v>
      </c>
      <c r="C18666" s="2">
        <f>HYPERLINK("https://cao.dolgi.msk.ru/account/1080235137/", 1080235137)</f>
        <v>1080235137</v>
      </c>
      <c r="D18666" t="s">
        <v>15868</v>
      </c>
      <c r="E18666">
        <v>-5546.62</v>
      </c>
      <c r="F18666">
        <v>-1.22</v>
      </c>
      <c r="G18666" t="s">
        <v>12</v>
      </c>
      <c r="I18666" t="s">
        <v>1428</v>
      </c>
    </row>
    <row r="18667" spans="1:9" hidden="1" x14ac:dyDescent="0.25">
      <c r="A18667" t="s">
        <v>15842</v>
      </c>
      <c r="B18667" t="s">
        <v>80</v>
      </c>
      <c r="C18667" s="2">
        <f>HYPERLINK("https://cao.dolgi.msk.ru/account/1080235145/", 1080235145)</f>
        <v>1080235145</v>
      </c>
      <c r="D18667" t="s">
        <v>15869</v>
      </c>
      <c r="E18667">
        <v>2588.83</v>
      </c>
      <c r="F18667">
        <v>0.49</v>
      </c>
      <c r="G18667" t="s">
        <v>12</v>
      </c>
      <c r="I18667" t="s">
        <v>1428</v>
      </c>
    </row>
    <row r="18668" spans="1:9" hidden="1" x14ac:dyDescent="0.25">
      <c r="A18668" t="s">
        <v>15842</v>
      </c>
      <c r="B18668" t="s">
        <v>82</v>
      </c>
      <c r="C18668" s="2">
        <f>HYPERLINK("https://cao.dolgi.msk.ru/account/1080235153/", 1080235153)</f>
        <v>1080235153</v>
      </c>
      <c r="D18668" t="s">
        <v>15870</v>
      </c>
      <c r="E18668">
        <v>488.64</v>
      </c>
      <c r="F18668">
        <v>7.0000000000000007E-2</v>
      </c>
      <c r="G18668" t="s">
        <v>12</v>
      </c>
      <c r="I18668" t="s">
        <v>1428</v>
      </c>
    </row>
    <row r="18669" spans="1:9" hidden="1" x14ac:dyDescent="0.25">
      <c r="A18669" t="s">
        <v>15842</v>
      </c>
      <c r="B18669" t="s">
        <v>84</v>
      </c>
      <c r="C18669" s="2">
        <f>HYPERLINK("https://cao.dolgi.msk.ru/account/1080235161/", 1080235161)</f>
        <v>1080235161</v>
      </c>
      <c r="D18669" t="s">
        <v>15871</v>
      </c>
      <c r="E18669">
        <v>-8819.5499999999993</v>
      </c>
      <c r="F18669">
        <v>-1.44</v>
      </c>
      <c r="G18669" t="s">
        <v>12</v>
      </c>
      <c r="I18669" t="s">
        <v>1428</v>
      </c>
    </row>
    <row r="18670" spans="1:9" hidden="1" x14ac:dyDescent="0.25">
      <c r="A18670" t="s">
        <v>15842</v>
      </c>
      <c r="B18670" t="s">
        <v>86</v>
      </c>
      <c r="C18670" s="2">
        <f>HYPERLINK("https://cao.dolgi.msk.ru/account/1080235188/", 1080235188)</f>
        <v>1080235188</v>
      </c>
      <c r="D18670" t="s">
        <v>15872</v>
      </c>
      <c r="E18670">
        <v>-4678.51</v>
      </c>
      <c r="F18670">
        <v>-1.17</v>
      </c>
      <c r="G18670" t="s">
        <v>12</v>
      </c>
      <c r="I18670" t="s">
        <v>1428</v>
      </c>
    </row>
    <row r="18671" spans="1:9" hidden="1" x14ac:dyDescent="0.25">
      <c r="A18671" t="s">
        <v>15842</v>
      </c>
      <c r="B18671" t="s">
        <v>88</v>
      </c>
      <c r="C18671" s="2">
        <f>HYPERLINK("https://cao.dolgi.msk.ru/account/1080235196/", 1080235196)</f>
        <v>1080235196</v>
      </c>
      <c r="D18671" t="s">
        <v>15873</v>
      </c>
      <c r="E18671">
        <v>-7919.97</v>
      </c>
      <c r="F18671">
        <v>-1.21</v>
      </c>
      <c r="G18671" t="s">
        <v>12</v>
      </c>
      <c r="I18671" t="s">
        <v>1428</v>
      </c>
    </row>
    <row r="18672" spans="1:9" hidden="1" x14ac:dyDescent="0.25">
      <c r="A18672" t="s">
        <v>15842</v>
      </c>
      <c r="B18672" t="s">
        <v>90</v>
      </c>
      <c r="C18672" s="2">
        <f>HYPERLINK("https://cao.dolgi.msk.ru/account/1080235209/", 1080235209)</f>
        <v>1080235209</v>
      </c>
      <c r="D18672" t="s">
        <v>15874</v>
      </c>
      <c r="E18672">
        <v>-2721.17</v>
      </c>
      <c r="F18672">
        <v>-0.28000000000000003</v>
      </c>
      <c r="G18672" t="s">
        <v>12</v>
      </c>
      <c r="I18672" t="s">
        <v>1428</v>
      </c>
    </row>
    <row r="18673" spans="1:9" x14ac:dyDescent="0.25">
      <c r="A18673" t="s">
        <v>15842</v>
      </c>
      <c r="B18673" t="s">
        <v>92</v>
      </c>
      <c r="C18673" s="2">
        <f>HYPERLINK("https://cao.dolgi.msk.ru/account/1080235217/", 1080235217)</f>
        <v>1080235217</v>
      </c>
      <c r="D18673" t="s">
        <v>15875</v>
      </c>
      <c r="E18673">
        <v>30557.46</v>
      </c>
      <c r="F18673">
        <v>6.43</v>
      </c>
      <c r="G18673" t="s">
        <v>12</v>
      </c>
      <c r="I18673" t="s">
        <v>1428</v>
      </c>
    </row>
    <row r="18674" spans="1:9" hidden="1" x14ac:dyDescent="0.25">
      <c r="A18674" t="s">
        <v>15842</v>
      </c>
      <c r="B18674" t="s">
        <v>94</v>
      </c>
      <c r="C18674" s="2">
        <f>HYPERLINK("https://cao.dolgi.msk.ru/account/1080235225/", 1080235225)</f>
        <v>1080235225</v>
      </c>
      <c r="D18674" t="s">
        <v>15876</v>
      </c>
      <c r="E18674">
        <v>-7533.79</v>
      </c>
      <c r="F18674">
        <v>-1.24</v>
      </c>
      <c r="G18674" t="s">
        <v>12</v>
      </c>
      <c r="I18674" t="s">
        <v>1428</v>
      </c>
    </row>
    <row r="18675" spans="1:9" hidden="1" x14ac:dyDescent="0.25">
      <c r="A18675" t="s">
        <v>15842</v>
      </c>
      <c r="B18675" t="s">
        <v>96</v>
      </c>
      <c r="C18675" s="2">
        <f>HYPERLINK("https://cao.dolgi.msk.ru/account/1080235233/", 1080235233)</f>
        <v>1080235233</v>
      </c>
      <c r="D18675" t="s">
        <v>15877</v>
      </c>
      <c r="E18675">
        <v>-4.0999999999999996</v>
      </c>
      <c r="F18675">
        <v>0</v>
      </c>
      <c r="G18675" t="s">
        <v>12</v>
      </c>
      <c r="I18675" t="s">
        <v>1428</v>
      </c>
    </row>
    <row r="18676" spans="1:9" hidden="1" x14ac:dyDescent="0.25">
      <c r="A18676" t="s">
        <v>15842</v>
      </c>
      <c r="B18676" t="s">
        <v>98</v>
      </c>
      <c r="C18676" s="2">
        <f>HYPERLINK("https://cao.dolgi.msk.ru/account/1080235241/", 1080235241)</f>
        <v>1080235241</v>
      </c>
      <c r="D18676" t="s">
        <v>15878</v>
      </c>
      <c r="E18676">
        <v>-3257.93</v>
      </c>
      <c r="F18676">
        <v>-1.17</v>
      </c>
      <c r="G18676" t="s">
        <v>12</v>
      </c>
      <c r="I18676" t="s">
        <v>1428</v>
      </c>
    </row>
    <row r="18677" spans="1:9" hidden="1" x14ac:dyDescent="0.25">
      <c r="A18677" t="s">
        <v>15842</v>
      </c>
      <c r="B18677" t="s">
        <v>100</v>
      </c>
      <c r="C18677" s="2">
        <f>HYPERLINK("https://cao.dolgi.msk.ru/account/1080235268/", 1080235268)</f>
        <v>1080235268</v>
      </c>
      <c r="D18677" t="s">
        <v>15879</v>
      </c>
      <c r="E18677">
        <v>-7880.31</v>
      </c>
      <c r="F18677">
        <v>-1.85</v>
      </c>
      <c r="G18677" t="s">
        <v>12</v>
      </c>
      <c r="I18677" t="s">
        <v>1428</v>
      </c>
    </row>
    <row r="18678" spans="1:9" hidden="1" x14ac:dyDescent="0.25">
      <c r="A18678" t="s">
        <v>15842</v>
      </c>
      <c r="B18678" t="s">
        <v>102</v>
      </c>
      <c r="C18678" s="2">
        <f>HYPERLINK("https://cao.dolgi.msk.ru/account/1080235276/", 1080235276)</f>
        <v>1080235276</v>
      </c>
      <c r="D18678" t="s">
        <v>15</v>
      </c>
      <c r="G18678" t="s">
        <v>14</v>
      </c>
      <c r="I18678" t="s">
        <v>1428</v>
      </c>
    </row>
    <row r="18679" spans="1:9" x14ac:dyDescent="0.25">
      <c r="A18679" t="s">
        <v>15842</v>
      </c>
      <c r="B18679" t="s">
        <v>102</v>
      </c>
      <c r="C18679" s="2">
        <f>HYPERLINK("https://cao.dolgi.msk.ru/account/1080235284/", 1080235284)</f>
        <v>1080235284</v>
      </c>
      <c r="D18679" t="s">
        <v>15880</v>
      </c>
      <c r="E18679">
        <v>21262.560000000001</v>
      </c>
      <c r="F18679">
        <v>1.47</v>
      </c>
      <c r="G18679" t="s">
        <v>12</v>
      </c>
      <c r="I18679" t="s">
        <v>1428</v>
      </c>
    </row>
    <row r="18680" spans="1:9" hidden="1" x14ac:dyDescent="0.25">
      <c r="A18680" t="s">
        <v>15842</v>
      </c>
      <c r="B18680" t="s">
        <v>104</v>
      </c>
      <c r="C18680" s="2">
        <f>HYPERLINK("https://cao.dolgi.msk.ru/account/1080235292/", 1080235292)</f>
        <v>1080235292</v>
      </c>
      <c r="D18680" t="s">
        <v>15881</v>
      </c>
      <c r="E18680">
        <v>0</v>
      </c>
      <c r="F18680">
        <v>0</v>
      </c>
      <c r="G18680" t="s">
        <v>12</v>
      </c>
      <c r="I18680" t="s">
        <v>1428</v>
      </c>
    </row>
    <row r="18681" spans="1:9" hidden="1" x14ac:dyDescent="0.25">
      <c r="A18681" t="s">
        <v>15842</v>
      </c>
      <c r="B18681" t="s">
        <v>106</v>
      </c>
      <c r="C18681" s="2">
        <f>HYPERLINK("https://cao.dolgi.msk.ru/account/1080235305/", 1080235305)</f>
        <v>1080235305</v>
      </c>
      <c r="D18681" t="s">
        <v>15882</v>
      </c>
      <c r="E18681">
        <v>-8664.19</v>
      </c>
      <c r="F18681">
        <v>-1.43</v>
      </c>
      <c r="G18681" t="s">
        <v>12</v>
      </c>
      <c r="I18681" t="s">
        <v>1428</v>
      </c>
    </row>
    <row r="18682" spans="1:9" hidden="1" x14ac:dyDescent="0.25">
      <c r="A18682" t="s">
        <v>15842</v>
      </c>
      <c r="B18682" t="s">
        <v>108</v>
      </c>
      <c r="C18682" s="2">
        <f>HYPERLINK("https://cao.dolgi.msk.ru/account/1080235313/", 1080235313)</f>
        <v>1080235313</v>
      </c>
      <c r="D18682" t="s">
        <v>15883</v>
      </c>
      <c r="E18682">
        <v>-6020.58</v>
      </c>
      <c r="F18682">
        <v>-1.2</v>
      </c>
      <c r="G18682" t="s">
        <v>12</v>
      </c>
      <c r="I18682" t="s">
        <v>1428</v>
      </c>
    </row>
    <row r="18683" spans="1:9" hidden="1" x14ac:dyDescent="0.25">
      <c r="A18683" t="s">
        <v>15842</v>
      </c>
      <c r="B18683" t="s">
        <v>110</v>
      </c>
      <c r="C18683" s="2">
        <f>HYPERLINK("https://cao.dolgi.msk.ru/account/1080235321/", 1080235321)</f>
        <v>1080235321</v>
      </c>
      <c r="D18683" t="s">
        <v>15</v>
      </c>
      <c r="E18683">
        <v>-4524</v>
      </c>
      <c r="F18683">
        <v>-0.92</v>
      </c>
      <c r="G18683" t="s">
        <v>12</v>
      </c>
      <c r="H18683" t="s">
        <v>7</v>
      </c>
      <c r="I18683" t="s">
        <v>1428</v>
      </c>
    </row>
    <row r="18684" spans="1:9" hidden="1" x14ac:dyDescent="0.25">
      <c r="A18684" t="s">
        <v>15842</v>
      </c>
      <c r="B18684" t="s">
        <v>110</v>
      </c>
      <c r="C18684" s="2">
        <f>HYPERLINK("https://cao.dolgi.msk.ru/account/1080235348/", 1080235348)</f>
        <v>1080235348</v>
      </c>
      <c r="D18684" t="s">
        <v>15884</v>
      </c>
      <c r="E18684">
        <v>-2077.5700000000002</v>
      </c>
      <c r="F18684">
        <v>-0.87</v>
      </c>
      <c r="G18684" t="s">
        <v>12</v>
      </c>
      <c r="H18684" t="s">
        <v>7</v>
      </c>
      <c r="I18684" t="s">
        <v>1428</v>
      </c>
    </row>
    <row r="18685" spans="1:9" hidden="1" x14ac:dyDescent="0.25">
      <c r="A18685" t="s">
        <v>15842</v>
      </c>
      <c r="B18685" t="s">
        <v>112</v>
      </c>
      <c r="C18685" s="2">
        <f>HYPERLINK("https://cao.dolgi.msk.ru/account/1080235356/", 1080235356)</f>
        <v>1080235356</v>
      </c>
      <c r="D18685" t="s">
        <v>15885</v>
      </c>
      <c r="E18685">
        <v>-6814.51</v>
      </c>
      <c r="F18685">
        <v>-1.07</v>
      </c>
      <c r="G18685" t="s">
        <v>12</v>
      </c>
      <c r="I18685" t="s">
        <v>1428</v>
      </c>
    </row>
    <row r="18686" spans="1:9" hidden="1" x14ac:dyDescent="0.25">
      <c r="A18686" t="s">
        <v>15842</v>
      </c>
      <c r="B18686" t="s">
        <v>114</v>
      </c>
      <c r="C18686" s="2">
        <f>HYPERLINK("https://cao.dolgi.msk.ru/account/1080235364/", 1080235364)</f>
        <v>1080235364</v>
      </c>
      <c r="D18686" t="s">
        <v>15886</v>
      </c>
      <c r="E18686">
        <v>-4188.37</v>
      </c>
      <c r="F18686">
        <v>-1.23</v>
      </c>
      <c r="G18686" t="s">
        <v>12</v>
      </c>
      <c r="I18686" t="s">
        <v>1428</v>
      </c>
    </row>
    <row r="18687" spans="1:9" hidden="1" x14ac:dyDescent="0.25">
      <c r="A18687" t="s">
        <v>15842</v>
      </c>
      <c r="B18687" t="s">
        <v>116</v>
      </c>
      <c r="C18687" s="2">
        <f>HYPERLINK("https://cao.dolgi.msk.ru/account/1080235372/", 1080235372)</f>
        <v>1080235372</v>
      </c>
      <c r="D18687" t="s">
        <v>15</v>
      </c>
      <c r="E18687">
        <v>-3129.87</v>
      </c>
      <c r="F18687">
        <v>-1.2</v>
      </c>
      <c r="G18687" t="s">
        <v>12</v>
      </c>
      <c r="I18687" t="s">
        <v>1428</v>
      </c>
    </row>
    <row r="18688" spans="1:9" hidden="1" x14ac:dyDescent="0.25">
      <c r="A18688" t="s">
        <v>15842</v>
      </c>
      <c r="B18688" t="s">
        <v>118</v>
      </c>
      <c r="C18688" s="2">
        <f>HYPERLINK("https://cao.dolgi.msk.ru/account/1080235399/", 1080235399)</f>
        <v>1080235399</v>
      </c>
      <c r="D18688" t="s">
        <v>15887</v>
      </c>
      <c r="E18688">
        <v>0</v>
      </c>
      <c r="F18688">
        <v>0</v>
      </c>
      <c r="G18688" t="s">
        <v>12</v>
      </c>
      <c r="I18688" t="s">
        <v>1428</v>
      </c>
    </row>
    <row r="18689" spans="1:9" hidden="1" x14ac:dyDescent="0.25">
      <c r="A18689" t="s">
        <v>15842</v>
      </c>
      <c r="B18689" t="s">
        <v>120</v>
      </c>
      <c r="C18689" s="2">
        <f>HYPERLINK("https://cao.dolgi.msk.ru/account/1080235401/", 1080235401)</f>
        <v>1080235401</v>
      </c>
      <c r="D18689" t="s">
        <v>15888</v>
      </c>
      <c r="E18689">
        <v>-13313.8</v>
      </c>
      <c r="F18689">
        <v>-2.1</v>
      </c>
      <c r="G18689" t="s">
        <v>12</v>
      </c>
      <c r="I18689" t="s">
        <v>1428</v>
      </c>
    </row>
    <row r="18690" spans="1:9" hidden="1" x14ac:dyDescent="0.25">
      <c r="A18690" t="s">
        <v>15842</v>
      </c>
      <c r="B18690" t="s">
        <v>122</v>
      </c>
      <c r="C18690" s="2">
        <f>HYPERLINK("https://cao.dolgi.msk.ru/account/1080235428/", 1080235428)</f>
        <v>1080235428</v>
      </c>
      <c r="D18690" t="s">
        <v>15889</v>
      </c>
      <c r="E18690">
        <v>-119.2</v>
      </c>
      <c r="F18690">
        <v>-0.02</v>
      </c>
      <c r="G18690" t="s">
        <v>12</v>
      </c>
      <c r="I18690" t="s">
        <v>1428</v>
      </c>
    </row>
    <row r="18691" spans="1:9" hidden="1" x14ac:dyDescent="0.25">
      <c r="A18691" t="s">
        <v>15842</v>
      </c>
      <c r="B18691" t="s">
        <v>124</v>
      </c>
      <c r="C18691" s="2">
        <f>HYPERLINK("https://cao.dolgi.msk.ru/account/1080235436/", 1080235436)</f>
        <v>1080235436</v>
      </c>
      <c r="D18691" t="s">
        <v>15890</v>
      </c>
      <c r="E18691">
        <v>-5585.93</v>
      </c>
      <c r="F18691">
        <v>-1.26</v>
      </c>
      <c r="G18691" t="s">
        <v>12</v>
      </c>
      <c r="I18691" t="s">
        <v>1428</v>
      </c>
    </row>
    <row r="18692" spans="1:9" hidden="1" x14ac:dyDescent="0.25">
      <c r="A18692" t="s">
        <v>15842</v>
      </c>
      <c r="B18692" t="s">
        <v>126</v>
      </c>
      <c r="C18692" s="2">
        <f>HYPERLINK("https://cao.dolgi.msk.ru/account/1080235444/", 1080235444)</f>
        <v>1080235444</v>
      </c>
      <c r="D18692" t="s">
        <v>15891</v>
      </c>
      <c r="E18692">
        <v>-7297.26</v>
      </c>
      <c r="F18692">
        <v>-0.76</v>
      </c>
      <c r="G18692" t="s">
        <v>12</v>
      </c>
      <c r="I18692" t="s">
        <v>1428</v>
      </c>
    </row>
    <row r="18693" spans="1:9" hidden="1" x14ac:dyDescent="0.25">
      <c r="A18693" t="s">
        <v>15842</v>
      </c>
      <c r="B18693" t="s">
        <v>128</v>
      </c>
      <c r="C18693" s="2">
        <f>HYPERLINK("https://cao.dolgi.msk.ru/account/1080235452/", 1080235452)</f>
        <v>1080235452</v>
      </c>
      <c r="D18693" t="s">
        <v>15892</v>
      </c>
      <c r="E18693">
        <v>-9935.94</v>
      </c>
      <c r="F18693">
        <v>-1.1200000000000001</v>
      </c>
      <c r="G18693" t="s">
        <v>12</v>
      </c>
      <c r="I18693" t="s">
        <v>1428</v>
      </c>
    </row>
    <row r="18694" spans="1:9" hidden="1" x14ac:dyDescent="0.25">
      <c r="A18694" t="s">
        <v>15842</v>
      </c>
      <c r="B18694" t="s">
        <v>130</v>
      </c>
      <c r="C18694" s="2">
        <f>HYPERLINK("https://cao.dolgi.msk.ru/account/1080235479/", 1080235479)</f>
        <v>1080235479</v>
      </c>
      <c r="D18694" t="s">
        <v>15893</v>
      </c>
      <c r="E18694">
        <v>-1285.53</v>
      </c>
      <c r="F18694">
        <v>-0.23</v>
      </c>
      <c r="G18694" t="s">
        <v>12</v>
      </c>
      <c r="I18694" t="s">
        <v>1428</v>
      </c>
    </row>
    <row r="18695" spans="1:9" hidden="1" x14ac:dyDescent="0.25">
      <c r="A18695" t="s">
        <v>15842</v>
      </c>
      <c r="B18695" t="s">
        <v>132</v>
      </c>
      <c r="C18695" s="2">
        <f>HYPERLINK("https://cao.dolgi.msk.ru/account/1080235487/", 1080235487)</f>
        <v>1080235487</v>
      </c>
      <c r="D18695" t="s">
        <v>15894</v>
      </c>
      <c r="E18695">
        <v>-6442.8</v>
      </c>
      <c r="F18695">
        <v>-1.2</v>
      </c>
      <c r="G18695" t="s">
        <v>12</v>
      </c>
      <c r="I18695" t="s">
        <v>1428</v>
      </c>
    </row>
    <row r="18696" spans="1:9" x14ac:dyDescent="0.25">
      <c r="A18696" t="s">
        <v>15842</v>
      </c>
      <c r="B18696" t="s">
        <v>133</v>
      </c>
      <c r="C18696" s="2">
        <f>HYPERLINK("https://cao.dolgi.msk.ru/account/1080235495/", 1080235495)</f>
        <v>1080235495</v>
      </c>
      <c r="D18696" t="s">
        <v>15895</v>
      </c>
      <c r="E18696">
        <v>295119.98</v>
      </c>
      <c r="F18696">
        <v>44.79</v>
      </c>
      <c r="G18696" t="s">
        <v>12</v>
      </c>
      <c r="I18696" t="s">
        <v>1428</v>
      </c>
    </row>
    <row r="18697" spans="1:9" hidden="1" x14ac:dyDescent="0.25">
      <c r="A18697" t="s">
        <v>15842</v>
      </c>
      <c r="B18697" t="s">
        <v>135</v>
      </c>
      <c r="C18697" s="2">
        <f>HYPERLINK("https://cao.dolgi.msk.ru/account/1080235508/", 1080235508)</f>
        <v>1080235508</v>
      </c>
      <c r="D18697" t="s">
        <v>15896</v>
      </c>
      <c r="E18697">
        <v>-7543.71</v>
      </c>
      <c r="F18697">
        <v>-1.26</v>
      </c>
      <c r="G18697" t="s">
        <v>12</v>
      </c>
      <c r="I18697" t="s">
        <v>1428</v>
      </c>
    </row>
    <row r="18698" spans="1:9" hidden="1" x14ac:dyDescent="0.25">
      <c r="A18698" t="s">
        <v>15842</v>
      </c>
      <c r="B18698" t="s">
        <v>137</v>
      </c>
      <c r="C18698" s="2">
        <f>HYPERLINK("https://cao.dolgi.msk.ru/account/1080235516/", 1080235516)</f>
        <v>1080235516</v>
      </c>
      <c r="D18698" t="s">
        <v>15897</v>
      </c>
      <c r="E18698">
        <v>-2787.23</v>
      </c>
      <c r="F18698">
        <v>-1.22</v>
      </c>
      <c r="G18698" t="s">
        <v>12</v>
      </c>
      <c r="I18698" t="s">
        <v>1428</v>
      </c>
    </row>
    <row r="18699" spans="1:9" hidden="1" x14ac:dyDescent="0.25">
      <c r="A18699" t="s">
        <v>15842</v>
      </c>
      <c r="B18699" t="s">
        <v>137</v>
      </c>
      <c r="C18699" s="2">
        <f>HYPERLINK("https://cao.dolgi.msk.ru/account/1083391311/", 1083391311)</f>
        <v>1083391311</v>
      </c>
      <c r="D18699" t="s">
        <v>189</v>
      </c>
      <c r="E18699">
        <v>-2494.23</v>
      </c>
      <c r="F18699">
        <v>-1.26</v>
      </c>
      <c r="G18699" t="s">
        <v>12</v>
      </c>
      <c r="I18699" t="s">
        <v>1428</v>
      </c>
    </row>
    <row r="18700" spans="1:9" hidden="1" x14ac:dyDescent="0.25">
      <c r="A18700" t="s">
        <v>15842</v>
      </c>
      <c r="B18700" t="s">
        <v>139</v>
      </c>
      <c r="C18700" s="2">
        <f>HYPERLINK("https://cao.dolgi.msk.ru/account/1080235524/", 1080235524)</f>
        <v>1080235524</v>
      </c>
      <c r="D18700" t="s">
        <v>15</v>
      </c>
      <c r="E18700">
        <v>-6771.06</v>
      </c>
      <c r="F18700">
        <v>-1.19</v>
      </c>
      <c r="G18700" t="s">
        <v>12</v>
      </c>
      <c r="I18700" t="s">
        <v>1428</v>
      </c>
    </row>
    <row r="18701" spans="1:9" hidden="1" x14ac:dyDescent="0.25">
      <c r="A18701" t="s">
        <v>15842</v>
      </c>
      <c r="B18701" t="s">
        <v>141</v>
      </c>
      <c r="C18701" s="2">
        <f>HYPERLINK("https://cao.dolgi.msk.ru/account/1080235532/", 1080235532)</f>
        <v>1080235532</v>
      </c>
      <c r="D18701" t="s">
        <v>15898</v>
      </c>
      <c r="E18701">
        <v>-8815.7800000000007</v>
      </c>
      <c r="F18701">
        <v>-1.59</v>
      </c>
      <c r="G18701" t="s">
        <v>12</v>
      </c>
      <c r="I18701" t="s">
        <v>1428</v>
      </c>
    </row>
    <row r="18702" spans="1:9" hidden="1" x14ac:dyDescent="0.25">
      <c r="A18702" t="s">
        <v>15842</v>
      </c>
      <c r="B18702" t="s">
        <v>143</v>
      </c>
      <c r="C18702" s="2">
        <f>HYPERLINK("https://cao.dolgi.msk.ru/account/1080235559/", 1080235559)</f>
        <v>1080235559</v>
      </c>
      <c r="D18702" t="s">
        <v>15899</v>
      </c>
      <c r="E18702">
        <v>0</v>
      </c>
      <c r="F18702">
        <v>0</v>
      </c>
      <c r="G18702" t="s">
        <v>12</v>
      </c>
      <c r="I18702" t="s">
        <v>1428</v>
      </c>
    </row>
    <row r="18703" spans="1:9" hidden="1" x14ac:dyDescent="0.25">
      <c r="A18703" t="s">
        <v>15842</v>
      </c>
      <c r="B18703" t="s">
        <v>145</v>
      </c>
      <c r="C18703" s="2">
        <f>HYPERLINK("https://cao.dolgi.msk.ru/account/1080235567/", 1080235567)</f>
        <v>1080235567</v>
      </c>
      <c r="D18703" t="s">
        <v>15900</v>
      </c>
      <c r="E18703">
        <v>-5360.66</v>
      </c>
      <c r="F18703">
        <v>-1.23</v>
      </c>
      <c r="G18703" t="s">
        <v>12</v>
      </c>
      <c r="I18703" t="s">
        <v>1428</v>
      </c>
    </row>
    <row r="18704" spans="1:9" hidden="1" x14ac:dyDescent="0.25">
      <c r="A18704" t="s">
        <v>15842</v>
      </c>
      <c r="B18704" t="s">
        <v>147</v>
      </c>
      <c r="C18704" s="2">
        <f>HYPERLINK("https://cao.dolgi.msk.ru/account/1080235575/", 1080235575)</f>
        <v>1080235575</v>
      </c>
      <c r="D18704" t="s">
        <v>15901</v>
      </c>
      <c r="E18704">
        <v>-1641.23</v>
      </c>
      <c r="F18704">
        <v>-0.31</v>
      </c>
      <c r="G18704" t="s">
        <v>12</v>
      </c>
      <c r="I18704" t="s">
        <v>1428</v>
      </c>
    </row>
    <row r="18705" spans="1:9" hidden="1" x14ac:dyDescent="0.25">
      <c r="A18705" t="s">
        <v>15842</v>
      </c>
      <c r="B18705" t="s">
        <v>149</v>
      </c>
      <c r="C18705" s="2">
        <f>HYPERLINK("https://cao.dolgi.msk.ru/account/1080235583/", 1080235583)</f>
        <v>1080235583</v>
      </c>
      <c r="D18705" t="s">
        <v>15902</v>
      </c>
      <c r="E18705">
        <v>-1.06</v>
      </c>
      <c r="F18705">
        <v>0</v>
      </c>
      <c r="G18705" t="s">
        <v>12</v>
      </c>
      <c r="I18705" t="s">
        <v>1428</v>
      </c>
    </row>
    <row r="18706" spans="1:9" hidden="1" x14ac:dyDescent="0.25">
      <c r="A18706" t="s">
        <v>15842</v>
      </c>
      <c r="B18706" t="s">
        <v>153</v>
      </c>
      <c r="C18706" s="2">
        <f>HYPERLINK("https://cao.dolgi.msk.ru/account/1080235591/", 1080235591)</f>
        <v>1080235591</v>
      </c>
      <c r="D18706" t="s">
        <v>15903</v>
      </c>
      <c r="E18706">
        <v>3575.54</v>
      </c>
      <c r="F18706">
        <v>0.88</v>
      </c>
      <c r="G18706" t="s">
        <v>12</v>
      </c>
      <c r="I18706" t="s">
        <v>1428</v>
      </c>
    </row>
    <row r="18707" spans="1:9" hidden="1" x14ac:dyDescent="0.25">
      <c r="A18707" t="s">
        <v>15842</v>
      </c>
      <c r="B18707" t="s">
        <v>155</v>
      </c>
      <c r="C18707" s="2">
        <f>HYPERLINK("https://cao.dolgi.msk.ru/account/1080235604/", 1080235604)</f>
        <v>1080235604</v>
      </c>
      <c r="D18707" t="s">
        <v>15904</v>
      </c>
      <c r="E18707">
        <v>-6569.52</v>
      </c>
      <c r="F18707">
        <v>-0.82</v>
      </c>
      <c r="G18707" t="s">
        <v>12</v>
      </c>
      <c r="I18707" t="s">
        <v>1428</v>
      </c>
    </row>
    <row r="18708" spans="1:9" hidden="1" x14ac:dyDescent="0.25">
      <c r="A18708" t="s">
        <v>15842</v>
      </c>
      <c r="B18708" t="s">
        <v>157</v>
      </c>
      <c r="C18708" s="2">
        <f>HYPERLINK("https://cao.dolgi.msk.ru/account/1080235612/", 1080235612)</f>
        <v>1080235612</v>
      </c>
      <c r="D18708" t="s">
        <v>15905</v>
      </c>
      <c r="E18708">
        <v>-6629.73</v>
      </c>
      <c r="F18708">
        <v>-1.1599999999999999</v>
      </c>
      <c r="G18708" t="s">
        <v>12</v>
      </c>
      <c r="I18708" t="s">
        <v>1428</v>
      </c>
    </row>
    <row r="18709" spans="1:9" hidden="1" x14ac:dyDescent="0.25">
      <c r="A18709" t="s">
        <v>15842</v>
      </c>
      <c r="B18709" t="s">
        <v>159</v>
      </c>
      <c r="C18709" s="2">
        <f>HYPERLINK("https://cao.dolgi.msk.ru/account/1080235639/", 1080235639)</f>
        <v>1080235639</v>
      </c>
      <c r="D18709" t="s">
        <v>15906</v>
      </c>
      <c r="E18709">
        <v>-5377.06</v>
      </c>
      <c r="F18709">
        <v>-1.17</v>
      </c>
      <c r="G18709" t="s">
        <v>12</v>
      </c>
      <c r="I18709" t="s">
        <v>1428</v>
      </c>
    </row>
    <row r="18710" spans="1:9" hidden="1" x14ac:dyDescent="0.25">
      <c r="A18710" t="s">
        <v>15842</v>
      </c>
      <c r="B18710" t="s">
        <v>161</v>
      </c>
      <c r="C18710" s="2">
        <f>HYPERLINK("https://cao.dolgi.msk.ru/account/1080235647/", 1080235647)</f>
        <v>1080235647</v>
      </c>
      <c r="D18710" t="s">
        <v>15907</v>
      </c>
      <c r="E18710">
        <v>-2158.1799999999998</v>
      </c>
      <c r="F18710">
        <v>-1.01</v>
      </c>
      <c r="G18710" t="s">
        <v>12</v>
      </c>
      <c r="I18710" t="s">
        <v>1428</v>
      </c>
    </row>
    <row r="18711" spans="1:9" x14ac:dyDescent="0.25">
      <c r="A18711" t="s">
        <v>15842</v>
      </c>
      <c r="B18711" t="s">
        <v>161</v>
      </c>
      <c r="C18711" s="2">
        <f>HYPERLINK("https://cao.dolgi.msk.ru/account/1089124986/", 1089124986)</f>
        <v>1089124986</v>
      </c>
      <c r="D18711" t="s">
        <v>15907</v>
      </c>
      <c r="E18711">
        <v>3197.85</v>
      </c>
      <c r="F18711">
        <v>1.63</v>
      </c>
      <c r="G18711" t="s">
        <v>12</v>
      </c>
      <c r="I18711" t="s">
        <v>1428</v>
      </c>
    </row>
    <row r="18712" spans="1:9" hidden="1" x14ac:dyDescent="0.25">
      <c r="A18712" t="s">
        <v>15842</v>
      </c>
      <c r="B18712" t="s">
        <v>163</v>
      </c>
      <c r="C18712" s="2">
        <f>HYPERLINK("https://cao.dolgi.msk.ru/account/1080235655/", 1080235655)</f>
        <v>1080235655</v>
      </c>
      <c r="D18712" t="s">
        <v>15908</v>
      </c>
      <c r="E18712">
        <v>-10624.55</v>
      </c>
      <c r="F18712">
        <v>-1.38</v>
      </c>
      <c r="G18712" t="s">
        <v>12</v>
      </c>
      <c r="I18712" t="s">
        <v>1428</v>
      </c>
    </row>
    <row r="18713" spans="1:9" hidden="1" x14ac:dyDescent="0.25">
      <c r="A18713" t="s">
        <v>15842</v>
      </c>
      <c r="B18713" t="s">
        <v>571</v>
      </c>
      <c r="C18713" s="2">
        <f>HYPERLINK("https://cao.dolgi.msk.ru/account/1080235663/", 1080235663)</f>
        <v>1080235663</v>
      </c>
      <c r="D18713" t="s">
        <v>15909</v>
      </c>
      <c r="E18713">
        <v>-4900.5600000000004</v>
      </c>
      <c r="F18713">
        <v>-1.18</v>
      </c>
      <c r="G18713" t="s">
        <v>12</v>
      </c>
      <c r="I18713" t="s">
        <v>1428</v>
      </c>
    </row>
    <row r="18714" spans="1:9" hidden="1" x14ac:dyDescent="0.25">
      <c r="A18714" t="s">
        <v>15842</v>
      </c>
      <c r="B18714" t="s">
        <v>682</v>
      </c>
      <c r="C18714" s="2">
        <f>HYPERLINK("https://cao.dolgi.msk.ru/account/1080235671/", 1080235671)</f>
        <v>1080235671</v>
      </c>
      <c r="D18714" t="s">
        <v>15910</v>
      </c>
      <c r="E18714">
        <v>-103.18</v>
      </c>
      <c r="F18714">
        <v>-0.03</v>
      </c>
      <c r="G18714" t="s">
        <v>12</v>
      </c>
      <c r="I18714" t="s">
        <v>1428</v>
      </c>
    </row>
    <row r="18715" spans="1:9" hidden="1" x14ac:dyDescent="0.25">
      <c r="A18715" t="s">
        <v>15842</v>
      </c>
      <c r="B18715" t="s">
        <v>578</v>
      </c>
      <c r="C18715" s="2">
        <f>HYPERLINK("https://cao.dolgi.msk.ru/account/1080235719/", 1080235719)</f>
        <v>1080235719</v>
      </c>
      <c r="D18715" t="s">
        <v>15911</v>
      </c>
      <c r="E18715">
        <v>-7134.02</v>
      </c>
      <c r="F18715">
        <v>-1.23</v>
      </c>
      <c r="G18715" t="s">
        <v>12</v>
      </c>
      <c r="I18715" t="s">
        <v>1428</v>
      </c>
    </row>
    <row r="18716" spans="1:9" hidden="1" x14ac:dyDescent="0.25">
      <c r="A18716" t="s">
        <v>15842</v>
      </c>
      <c r="B18716" t="s">
        <v>580</v>
      </c>
      <c r="C18716" s="2">
        <f>HYPERLINK("https://cao.dolgi.msk.ru/account/1080235727/", 1080235727)</f>
        <v>1080235727</v>
      </c>
      <c r="D18716" t="s">
        <v>15912</v>
      </c>
      <c r="E18716">
        <v>10980.6</v>
      </c>
      <c r="F18716">
        <v>0.99</v>
      </c>
      <c r="G18716" t="s">
        <v>12</v>
      </c>
      <c r="I18716" t="s">
        <v>1428</v>
      </c>
    </row>
    <row r="18717" spans="1:9" hidden="1" x14ac:dyDescent="0.25">
      <c r="A18717" t="s">
        <v>15842</v>
      </c>
      <c r="B18717" t="s">
        <v>686</v>
      </c>
      <c r="C18717" s="2">
        <f>HYPERLINK("https://cao.dolgi.msk.ru/account/1080235735/", 1080235735)</f>
        <v>1080235735</v>
      </c>
      <c r="D18717" t="s">
        <v>15913</v>
      </c>
      <c r="E18717">
        <v>-9642.23</v>
      </c>
      <c r="F18717">
        <v>-1.2</v>
      </c>
      <c r="G18717" t="s">
        <v>12</v>
      </c>
      <c r="I18717" t="s">
        <v>1428</v>
      </c>
    </row>
    <row r="18718" spans="1:9" hidden="1" x14ac:dyDescent="0.25">
      <c r="A18718" t="s">
        <v>15842</v>
      </c>
      <c r="B18718" t="s">
        <v>582</v>
      </c>
      <c r="C18718" s="2">
        <f>HYPERLINK("https://cao.dolgi.msk.ru/account/1080235743/", 1080235743)</f>
        <v>1080235743</v>
      </c>
      <c r="D18718" t="s">
        <v>15914</v>
      </c>
      <c r="E18718">
        <v>-2583.86</v>
      </c>
      <c r="F18718">
        <v>-1.33</v>
      </c>
      <c r="G18718" t="s">
        <v>12</v>
      </c>
      <c r="I18718" t="s">
        <v>1428</v>
      </c>
    </row>
    <row r="18719" spans="1:9" hidden="1" x14ac:dyDescent="0.25">
      <c r="A18719" t="s">
        <v>15842</v>
      </c>
      <c r="B18719" t="s">
        <v>584</v>
      </c>
      <c r="C18719" s="2">
        <f>HYPERLINK("https://cao.dolgi.msk.ru/account/1080235751/", 1080235751)</f>
        <v>1080235751</v>
      </c>
      <c r="D18719" t="s">
        <v>15915</v>
      </c>
      <c r="E18719">
        <v>-6078.52</v>
      </c>
      <c r="F18719">
        <v>-1.25</v>
      </c>
      <c r="G18719" t="s">
        <v>12</v>
      </c>
      <c r="I18719" t="s">
        <v>1428</v>
      </c>
    </row>
    <row r="18720" spans="1:9" hidden="1" x14ac:dyDescent="0.25">
      <c r="A18720" t="s">
        <v>15842</v>
      </c>
      <c r="B18720" t="s">
        <v>586</v>
      </c>
      <c r="C18720" s="2">
        <f>HYPERLINK("https://cao.dolgi.msk.ru/account/1080235778/", 1080235778)</f>
        <v>1080235778</v>
      </c>
      <c r="D18720" t="s">
        <v>15916</v>
      </c>
      <c r="E18720">
        <v>-4733.63</v>
      </c>
      <c r="F18720">
        <v>-1.1499999999999999</v>
      </c>
      <c r="G18720" t="s">
        <v>12</v>
      </c>
      <c r="I18720" t="s">
        <v>1428</v>
      </c>
    </row>
    <row r="18721" spans="1:9" x14ac:dyDescent="0.25">
      <c r="A18721" t="s">
        <v>15842</v>
      </c>
      <c r="B18721" t="s">
        <v>588</v>
      </c>
      <c r="C18721" s="2">
        <f>HYPERLINK("https://cao.dolgi.msk.ru/account/1080235786/", 1080235786)</f>
        <v>1080235786</v>
      </c>
      <c r="D18721" t="s">
        <v>15917</v>
      </c>
      <c r="E18721">
        <v>16157.51</v>
      </c>
      <c r="F18721">
        <v>1.99</v>
      </c>
      <c r="G18721" t="s">
        <v>12</v>
      </c>
      <c r="I18721" t="s">
        <v>1428</v>
      </c>
    </row>
    <row r="18722" spans="1:9" hidden="1" x14ac:dyDescent="0.25">
      <c r="A18722" t="s">
        <v>15842</v>
      </c>
      <c r="B18722" t="s">
        <v>590</v>
      </c>
      <c r="C18722" s="2">
        <f>HYPERLINK("https://cao.dolgi.msk.ru/account/1080235794/", 1080235794)</f>
        <v>1080235794</v>
      </c>
      <c r="D18722" t="s">
        <v>15918</v>
      </c>
      <c r="E18722">
        <v>-3621.23</v>
      </c>
      <c r="F18722">
        <v>-1.24</v>
      </c>
      <c r="G18722" t="s">
        <v>12</v>
      </c>
      <c r="I18722" t="s">
        <v>1428</v>
      </c>
    </row>
    <row r="18723" spans="1:9" hidden="1" x14ac:dyDescent="0.25">
      <c r="A18723" t="s">
        <v>15842</v>
      </c>
      <c r="B18723" t="s">
        <v>693</v>
      </c>
      <c r="C18723" s="2">
        <f>HYPERLINK("https://cao.dolgi.msk.ru/account/1080235807/", 1080235807)</f>
        <v>1080235807</v>
      </c>
      <c r="D18723" t="s">
        <v>15919</v>
      </c>
      <c r="E18723">
        <v>742.48</v>
      </c>
      <c r="F18723">
        <v>0.12</v>
      </c>
      <c r="G18723" t="s">
        <v>12</v>
      </c>
      <c r="I18723" t="s">
        <v>1428</v>
      </c>
    </row>
    <row r="18724" spans="1:9" hidden="1" x14ac:dyDescent="0.25">
      <c r="A18724" t="s">
        <v>15842</v>
      </c>
      <c r="B18724" t="s">
        <v>694</v>
      </c>
      <c r="C18724" s="2">
        <f>HYPERLINK("https://cao.dolgi.msk.ru/account/1080235823/", 1080235823)</f>
        <v>1080235823</v>
      </c>
      <c r="D18724" t="s">
        <v>15920</v>
      </c>
      <c r="E18724">
        <v>-8553.84</v>
      </c>
      <c r="F18724">
        <v>-1.19</v>
      </c>
      <c r="G18724" t="s">
        <v>12</v>
      </c>
      <c r="I18724" t="s">
        <v>1428</v>
      </c>
    </row>
    <row r="18725" spans="1:9" hidden="1" x14ac:dyDescent="0.25">
      <c r="A18725" t="s">
        <v>15842</v>
      </c>
      <c r="B18725" t="s">
        <v>696</v>
      </c>
      <c r="C18725" s="2">
        <f>HYPERLINK("https://cao.dolgi.msk.ru/account/1080235831/", 1080235831)</f>
        <v>1080235831</v>
      </c>
      <c r="D18725" t="s">
        <v>15921</v>
      </c>
      <c r="E18725">
        <v>-7682.22</v>
      </c>
      <c r="F18725">
        <v>-1.31</v>
      </c>
      <c r="G18725" t="s">
        <v>12</v>
      </c>
      <c r="I18725" t="s">
        <v>1428</v>
      </c>
    </row>
    <row r="18726" spans="1:9" hidden="1" x14ac:dyDescent="0.25">
      <c r="A18726" t="s">
        <v>15842</v>
      </c>
      <c r="B18726" t="s">
        <v>698</v>
      </c>
      <c r="C18726" s="2">
        <f>HYPERLINK("https://cao.dolgi.msk.ru/account/1080235858/", 1080235858)</f>
        <v>1080235858</v>
      </c>
      <c r="D18726" t="s">
        <v>15922</v>
      </c>
      <c r="E18726">
        <v>-3920.95</v>
      </c>
      <c r="F18726">
        <v>-1.21</v>
      </c>
      <c r="G18726" t="s">
        <v>12</v>
      </c>
      <c r="I18726" t="s">
        <v>1428</v>
      </c>
    </row>
    <row r="18727" spans="1:9" hidden="1" x14ac:dyDescent="0.25">
      <c r="A18727" t="s">
        <v>15842</v>
      </c>
      <c r="B18727" t="s">
        <v>700</v>
      </c>
      <c r="C18727" s="2">
        <f>HYPERLINK("https://cao.dolgi.msk.ru/account/1080235866/", 1080235866)</f>
        <v>1080235866</v>
      </c>
      <c r="D18727" t="s">
        <v>15923</v>
      </c>
      <c r="E18727">
        <v>25.7</v>
      </c>
      <c r="F18727">
        <v>0.01</v>
      </c>
      <c r="G18727" t="s">
        <v>12</v>
      </c>
      <c r="I18727" t="s">
        <v>1428</v>
      </c>
    </row>
    <row r="18728" spans="1:9" hidden="1" x14ac:dyDescent="0.25">
      <c r="A18728" t="s">
        <v>15842</v>
      </c>
      <c r="B18728" t="s">
        <v>702</v>
      </c>
      <c r="C18728" s="2">
        <f>HYPERLINK("https://cao.dolgi.msk.ru/account/1080235874/", 1080235874)</f>
        <v>1080235874</v>
      </c>
      <c r="D18728" t="s">
        <v>15924</v>
      </c>
      <c r="E18728">
        <v>-9542.24</v>
      </c>
      <c r="F18728">
        <v>-1.08</v>
      </c>
      <c r="G18728" t="s">
        <v>12</v>
      </c>
      <c r="I18728" t="s">
        <v>1428</v>
      </c>
    </row>
    <row r="18729" spans="1:9" hidden="1" x14ac:dyDescent="0.25">
      <c r="A18729" t="s">
        <v>15842</v>
      </c>
      <c r="B18729" t="s">
        <v>703</v>
      </c>
      <c r="C18729" s="2">
        <f>HYPERLINK("https://cao.dolgi.msk.ru/account/1080235882/", 1080235882)</f>
        <v>1080235882</v>
      </c>
      <c r="D18729" t="s">
        <v>15</v>
      </c>
      <c r="E18729">
        <v>-10823.59</v>
      </c>
      <c r="F18729">
        <v>-1.52</v>
      </c>
      <c r="G18729" t="s">
        <v>12</v>
      </c>
      <c r="I18729" t="s">
        <v>1428</v>
      </c>
    </row>
    <row r="18730" spans="1:9" hidden="1" x14ac:dyDescent="0.25">
      <c r="A18730" t="s">
        <v>15842</v>
      </c>
      <c r="B18730" t="s">
        <v>705</v>
      </c>
      <c r="C18730" s="2">
        <f>HYPERLINK("https://cao.dolgi.msk.ru/account/1080235903/", 1080235903)</f>
        <v>1080235903</v>
      </c>
      <c r="D18730" t="s">
        <v>15925</v>
      </c>
      <c r="E18730">
        <v>5328.45</v>
      </c>
      <c r="F18730">
        <v>0.94</v>
      </c>
      <c r="G18730" t="s">
        <v>12</v>
      </c>
      <c r="I18730" t="s">
        <v>1428</v>
      </c>
    </row>
    <row r="18731" spans="1:9" hidden="1" x14ac:dyDescent="0.25">
      <c r="A18731" t="s">
        <v>15842</v>
      </c>
      <c r="B18731" t="s">
        <v>707</v>
      </c>
      <c r="C18731" s="2">
        <f>HYPERLINK("https://cao.dolgi.msk.ru/account/1080235911/", 1080235911)</f>
        <v>1080235911</v>
      </c>
      <c r="D18731" t="s">
        <v>15926</v>
      </c>
      <c r="E18731">
        <v>-5945.88</v>
      </c>
      <c r="F18731">
        <v>-1.26</v>
      </c>
      <c r="G18731" t="s">
        <v>12</v>
      </c>
      <c r="I18731" t="s">
        <v>1428</v>
      </c>
    </row>
    <row r="18732" spans="1:9" hidden="1" x14ac:dyDescent="0.25">
      <c r="A18732" t="s">
        <v>15842</v>
      </c>
      <c r="B18732" t="s">
        <v>709</v>
      </c>
      <c r="C18732" s="2">
        <f>HYPERLINK("https://cao.dolgi.msk.ru/account/1080235938/", 1080235938)</f>
        <v>1080235938</v>
      </c>
      <c r="D18732" t="s">
        <v>15927</v>
      </c>
      <c r="E18732">
        <v>9324.92</v>
      </c>
      <c r="F18732">
        <v>0.85</v>
      </c>
      <c r="G18732" t="s">
        <v>12</v>
      </c>
      <c r="I18732" t="s">
        <v>1428</v>
      </c>
    </row>
    <row r="18733" spans="1:9" hidden="1" x14ac:dyDescent="0.25">
      <c r="A18733" t="s">
        <v>15842</v>
      </c>
      <c r="B18733" t="s">
        <v>711</v>
      </c>
      <c r="C18733" s="2">
        <f>HYPERLINK("https://cao.dolgi.msk.ru/account/1080235946/", 1080235946)</f>
        <v>1080235946</v>
      </c>
      <c r="D18733" t="s">
        <v>15928</v>
      </c>
      <c r="E18733">
        <v>-7694.4</v>
      </c>
      <c r="F18733">
        <v>-1.1299999999999999</v>
      </c>
      <c r="G18733" t="s">
        <v>12</v>
      </c>
      <c r="I18733" t="s">
        <v>1428</v>
      </c>
    </row>
    <row r="18734" spans="1:9" hidden="1" x14ac:dyDescent="0.25">
      <c r="A18734" t="s">
        <v>15842</v>
      </c>
      <c r="B18734" t="s">
        <v>713</v>
      </c>
      <c r="C18734" s="2">
        <f>HYPERLINK("https://cao.dolgi.msk.ru/account/1080235954/", 1080235954)</f>
        <v>1080235954</v>
      </c>
      <c r="D18734" t="s">
        <v>15929</v>
      </c>
      <c r="E18734">
        <v>-6648.64</v>
      </c>
      <c r="F18734">
        <v>-1.0900000000000001</v>
      </c>
      <c r="G18734" t="s">
        <v>12</v>
      </c>
      <c r="I18734" t="s">
        <v>1428</v>
      </c>
    </row>
    <row r="18735" spans="1:9" hidden="1" x14ac:dyDescent="0.25">
      <c r="A18735" t="s">
        <v>15842</v>
      </c>
      <c r="B18735" t="s">
        <v>528</v>
      </c>
      <c r="C18735" s="2">
        <f>HYPERLINK("https://cao.dolgi.msk.ru/account/1080235962/", 1080235962)</f>
        <v>1080235962</v>
      </c>
      <c r="D18735" t="s">
        <v>15930</v>
      </c>
      <c r="E18735">
        <v>-6017.26</v>
      </c>
      <c r="F18735">
        <v>-1.0900000000000001</v>
      </c>
      <c r="G18735" t="s">
        <v>12</v>
      </c>
      <c r="I18735" t="s">
        <v>1428</v>
      </c>
    </row>
    <row r="18736" spans="1:9" hidden="1" x14ac:dyDescent="0.25">
      <c r="A18736" t="s">
        <v>15842</v>
      </c>
      <c r="B18736" t="s">
        <v>530</v>
      </c>
      <c r="C18736" s="2">
        <f>HYPERLINK("https://cao.dolgi.msk.ru/account/1080235989/", 1080235989)</f>
        <v>1080235989</v>
      </c>
      <c r="D18736" t="s">
        <v>15931</v>
      </c>
      <c r="E18736">
        <v>-4.87</v>
      </c>
      <c r="F18736">
        <v>0</v>
      </c>
      <c r="G18736" t="s">
        <v>12</v>
      </c>
      <c r="I18736" t="s">
        <v>1428</v>
      </c>
    </row>
    <row r="18737" spans="1:9" hidden="1" x14ac:dyDescent="0.25">
      <c r="A18737" t="s">
        <v>15842</v>
      </c>
      <c r="B18737" t="s">
        <v>532</v>
      </c>
      <c r="C18737" s="2">
        <f>HYPERLINK("https://cao.dolgi.msk.ru/account/1080235997/", 1080235997)</f>
        <v>1080235997</v>
      </c>
      <c r="D18737" t="s">
        <v>15932</v>
      </c>
      <c r="E18737">
        <v>-10028.01</v>
      </c>
      <c r="F18737">
        <v>-1.75</v>
      </c>
      <c r="G18737" t="s">
        <v>12</v>
      </c>
      <c r="I18737" t="s">
        <v>1428</v>
      </c>
    </row>
    <row r="18738" spans="1:9" hidden="1" x14ac:dyDescent="0.25">
      <c r="A18738" t="s">
        <v>15842</v>
      </c>
      <c r="B18738" t="s">
        <v>534</v>
      </c>
      <c r="C18738" s="2">
        <f>HYPERLINK("https://cao.dolgi.msk.ru/account/1080236009/", 1080236009)</f>
        <v>1080236009</v>
      </c>
      <c r="D18738" t="s">
        <v>15933</v>
      </c>
      <c r="E18738">
        <v>-4722.84</v>
      </c>
      <c r="F18738">
        <v>-0.78</v>
      </c>
      <c r="G18738" t="s">
        <v>12</v>
      </c>
      <c r="I18738" t="s">
        <v>1428</v>
      </c>
    </row>
    <row r="18739" spans="1:9" hidden="1" x14ac:dyDescent="0.25">
      <c r="A18739" t="s">
        <v>15842</v>
      </c>
      <c r="B18739" t="s">
        <v>536</v>
      </c>
      <c r="C18739" s="2">
        <f>HYPERLINK("https://cao.dolgi.msk.ru/account/1080236017/", 1080236017)</f>
        <v>1080236017</v>
      </c>
      <c r="D18739" t="s">
        <v>15934</v>
      </c>
      <c r="E18739">
        <v>-6055.24</v>
      </c>
      <c r="F18739">
        <v>-1.27</v>
      </c>
      <c r="G18739" t="s">
        <v>12</v>
      </c>
      <c r="I18739" t="s">
        <v>1428</v>
      </c>
    </row>
    <row r="18740" spans="1:9" hidden="1" x14ac:dyDescent="0.25">
      <c r="A18740" t="s">
        <v>15842</v>
      </c>
      <c r="B18740" t="s">
        <v>538</v>
      </c>
      <c r="C18740" s="2">
        <f>HYPERLINK("https://cao.dolgi.msk.ru/account/1080236025/", 1080236025)</f>
        <v>1080236025</v>
      </c>
      <c r="D18740" t="s">
        <v>15935</v>
      </c>
      <c r="E18740">
        <v>-9667.32</v>
      </c>
      <c r="F18740">
        <v>-1.26</v>
      </c>
      <c r="G18740" t="s">
        <v>12</v>
      </c>
      <c r="I18740" t="s">
        <v>1428</v>
      </c>
    </row>
    <row r="18741" spans="1:9" hidden="1" x14ac:dyDescent="0.25">
      <c r="A18741" t="s">
        <v>15842</v>
      </c>
      <c r="B18741" t="s">
        <v>539</v>
      </c>
      <c r="C18741" s="2">
        <f>HYPERLINK("https://cao.dolgi.msk.ru/account/1080236033/", 1080236033)</f>
        <v>1080236033</v>
      </c>
      <c r="D18741" t="s">
        <v>15936</v>
      </c>
      <c r="E18741">
        <v>-8611.7099999999991</v>
      </c>
      <c r="F18741">
        <v>-1.26</v>
      </c>
      <c r="G18741" t="s">
        <v>12</v>
      </c>
      <c r="I18741" t="s">
        <v>1428</v>
      </c>
    </row>
    <row r="18742" spans="1:9" hidden="1" x14ac:dyDescent="0.25">
      <c r="A18742" t="s">
        <v>15842</v>
      </c>
      <c r="B18742" t="s">
        <v>541</v>
      </c>
      <c r="C18742" s="2">
        <f>HYPERLINK("https://cao.dolgi.msk.ru/account/1080236041/", 1080236041)</f>
        <v>1080236041</v>
      </c>
      <c r="D18742" t="s">
        <v>15937</v>
      </c>
      <c r="E18742">
        <v>-10535.84</v>
      </c>
      <c r="F18742">
        <v>-2.13</v>
      </c>
      <c r="G18742" t="s">
        <v>12</v>
      </c>
      <c r="I18742" t="s">
        <v>1428</v>
      </c>
    </row>
    <row r="18743" spans="1:9" hidden="1" x14ac:dyDescent="0.25">
      <c r="A18743" t="s">
        <v>15842</v>
      </c>
      <c r="B18743" t="s">
        <v>543</v>
      </c>
      <c r="C18743" s="2">
        <f>HYPERLINK("https://cao.dolgi.msk.ru/account/1080236068/", 1080236068)</f>
        <v>1080236068</v>
      </c>
      <c r="D18743" t="s">
        <v>15938</v>
      </c>
      <c r="E18743">
        <v>-8773.41</v>
      </c>
      <c r="F18743">
        <v>-1.07</v>
      </c>
      <c r="G18743" t="s">
        <v>12</v>
      </c>
      <c r="I18743" t="s">
        <v>1428</v>
      </c>
    </row>
    <row r="18744" spans="1:9" hidden="1" x14ac:dyDescent="0.25">
      <c r="A18744" t="s">
        <v>15842</v>
      </c>
      <c r="B18744" t="s">
        <v>545</v>
      </c>
      <c r="C18744" s="2">
        <f>HYPERLINK("https://cao.dolgi.msk.ru/account/1080236076/", 1080236076)</f>
        <v>1080236076</v>
      </c>
      <c r="D18744" t="s">
        <v>15939</v>
      </c>
      <c r="E18744">
        <v>-11068.84</v>
      </c>
      <c r="F18744">
        <v>-1.06</v>
      </c>
      <c r="G18744" t="s">
        <v>12</v>
      </c>
      <c r="I18744" t="s">
        <v>1428</v>
      </c>
    </row>
    <row r="18745" spans="1:9" hidden="1" x14ac:dyDescent="0.25">
      <c r="A18745" t="s">
        <v>15842</v>
      </c>
      <c r="B18745" t="s">
        <v>546</v>
      </c>
      <c r="C18745" s="2">
        <f>HYPERLINK("https://cao.dolgi.msk.ru/account/1080236092/", 1080236092)</f>
        <v>1080236092</v>
      </c>
      <c r="D18745" t="s">
        <v>15940</v>
      </c>
      <c r="E18745">
        <v>-6224.94</v>
      </c>
      <c r="F18745">
        <v>-1.1399999999999999</v>
      </c>
      <c r="G18745" t="s">
        <v>12</v>
      </c>
      <c r="I18745" t="s">
        <v>1428</v>
      </c>
    </row>
    <row r="18746" spans="1:9" hidden="1" x14ac:dyDescent="0.25">
      <c r="A18746" t="s">
        <v>15842</v>
      </c>
      <c r="B18746" t="s">
        <v>548</v>
      </c>
      <c r="C18746" s="2">
        <f>HYPERLINK("https://cao.dolgi.msk.ru/account/1080236105/", 1080236105)</f>
        <v>1080236105</v>
      </c>
      <c r="D18746" t="s">
        <v>15941</v>
      </c>
      <c r="E18746">
        <v>0</v>
      </c>
      <c r="F18746">
        <v>0</v>
      </c>
      <c r="G18746" t="s">
        <v>12</v>
      </c>
      <c r="I18746" t="s">
        <v>1428</v>
      </c>
    </row>
    <row r="18747" spans="1:9" hidden="1" x14ac:dyDescent="0.25">
      <c r="A18747" t="s">
        <v>15842</v>
      </c>
      <c r="B18747" t="s">
        <v>727</v>
      </c>
      <c r="C18747" s="2">
        <f>HYPERLINK("https://cao.dolgi.msk.ru/account/1080236113/", 1080236113)</f>
        <v>1080236113</v>
      </c>
      <c r="D18747" t="s">
        <v>15942</v>
      </c>
      <c r="E18747">
        <v>4974.79</v>
      </c>
      <c r="F18747">
        <v>0.56000000000000005</v>
      </c>
      <c r="G18747" t="s">
        <v>12</v>
      </c>
      <c r="I18747" t="s">
        <v>1428</v>
      </c>
    </row>
    <row r="18748" spans="1:9" hidden="1" x14ac:dyDescent="0.25">
      <c r="A18748" t="s">
        <v>15842</v>
      </c>
      <c r="B18748" t="s">
        <v>551</v>
      </c>
      <c r="C18748" s="2">
        <f>HYPERLINK("https://cao.dolgi.msk.ru/account/1080236121/", 1080236121)</f>
        <v>1080236121</v>
      </c>
      <c r="D18748" t="s">
        <v>15943</v>
      </c>
      <c r="E18748">
        <v>-6719.17</v>
      </c>
      <c r="F18748">
        <v>-1.17</v>
      </c>
      <c r="G18748" t="s">
        <v>12</v>
      </c>
      <c r="I18748" t="s">
        <v>1428</v>
      </c>
    </row>
    <row r="18749" spans="1:9" hidden="1" x14ac:dyDescent="0.25">
      <c r="A18749" t="s">
        <v>15842</v>
      </c>
      <c r="B18749" t="s">
        <v>730</v>
      </c>
      <c r="C18749" s="2">
        <f>HYPERLINK("https://cao.dolgi.msk.ru/account/1080236148/", 1080236148)</f>
        <v>1080236148</v>
      </c>
      <c r="D18749" t="s">
        <v>15944</v>
      </c>
      <c r="E18749">
        <v>-8174.5</v>
      </c>
      <c r="F18749">
        <v>-1.23</v>
      </c>
      <c r="G18749" t="s">
        <v>12</v>
      </c>
      <c r="I18749" t="s">
        <v>1428</v>
      </c>
    </row>
    <row r="18750" spans="1:9" hidden="1" x14ac:dyDescent="0.25">
      <c r="A18750" t="s">
        <v>15842</v>
      </c>
      <c r="B18750" t="s">
        <v>732</v>
      </c>
      <c r="C18750" s="2">
        <f>HYPERLINK("https://cao.dolgi.msk.ru/account/1080236156/", 1080236156)</f>
        <v>1080236156</v>
      </c>
      <c r="D18750" t="s">
        <v>15945</v>
      </c>
      <c r="E18750">
        <v>-11408.13</v>
      </c>
      <c r="F18750">
        <v>-4.09</v>
      </c>
      <c r="G18750" t="s">
        <v>12</v>
      </c>
      <c r="I18750" t="s">
        <v>1428</v>
      </c>
    </row>
    <row r="18751" spans="1:9" hidden="1" x14ac:dyDescent="0.25">
      <c r="A18751" t="s">
        <v>15842</v>
      </c>
      <c r="B18751" t="s">
        <v>553</v>
      </c>
      <c r="C18751" s="2">
        <f>HYPERLINK("https://cao.dolgi.msk.ru/account/1080236164/", 1080236164)</f>
        <v>1080236164</v>
      </c>
      <c r="D18751" t="s">
        <v>15946</v>
      </c>
      <c r="E18751">
        <v>-4433.8</v>
      </c>
      <c r="F18751">
        <v>-1.04</v>
      </c>
      <c r="G18751" t="s">
        <v>12</v>
      </c>
      <c r="I18751" t="s">
        <v>1428</v>
      </c>
    </row>
    <row r="18752" spans="1:9" hidden="1" x14ac:dyDescent="0.25">
      <c r="A18752" t="s">
        <v>15842</v>
      </c>
      <c r="B18752" t="s">
        <v>555</v>
      </c>
      <c r="C18752" s="2">
        <f>HYPERLINK("https://cao.dolgi.msk.ru/account/1080236172/", 1080236172)</f>
        <v>1080236172</v>
      </c>
      <c r="D18752" t="s">
        <v>15947</v>
      </c>
      <c r="E18752">
        <v>-5325.04</v>
      </c>
      <c r="F18752">
        <v>-1.28</v>
      </c>
      <c r="G18752" t="s">
        <v>12</v>
      </c>
      <c r="I18752" t="s">
        <v>1428</v>
      </c>
    </row>
    <row r="18753" spans="1:9" hidden="1" x14ac:dyDescent="0.25">
      <c r="A18753" t="s">
        <v>15842</v>
      </c>
      <c r="B18753" t="s">
        <v>736</v>
      </c>
      <c r="C18753" s="2">
        <f>HYPERLINK("https://cao.dolgi.msk.ru/account/1080236199/", 1080236199)</f>
        <v>1080236199</v>
      </c>
      <c r="D18753" t="s">
        <v>15948</v>
      </c>
      <c r="E18753">
        <v>-10738.21</v>
      </c>
      <c r="F18753">
        <v>-1.1299999999999999</v>
      </c>
      <c r="G18753" t="s">
        <v>12</v>
      </c>
      <c r="I18753" t="s">
        <v>1428</v>
      </c>
    </row>
    <row r="18754" spans="1:9" hidden="1" x14ac:dyDescent="0.25">
      <c r="A18754" t="s">
        <v>15842</v>
      </c>
      <c r="B18754" t="s">
        <v>738</v>
      </c>
      <c r="C18754" s="2">
        <f>HYPERLINK("https://cao.dolgi.msk.ru/account/1080236201/", 1080236201)</f>
        <v>1080236201</v>
      </c>
      <c r="D18754" t="s">
        <v>15949</v>
      </c>
      <c r="E18754">
        <v>-6547.34</v>
      </c>
      <c r="F18754">
        <v>-1.1599999999999999</v>
      </c>
      <c r="G18754" t="s">
        <v>12</v>
      </c>
      <c r="I18754" t="s">
        <v>1428</v>
      </c>
    </row>
    <row r="18755" spans="1:9" hidden="1" x14ac:dyDescent="0.25">
      <c r="A18755" t="s">
        <v>15842</v>
      </c>
      <c r="B18755" t="s">
        <v>740</v>
      </c>
      <c r="C18755" s="2">
        <f>HYPERLINK("https://cao.dolgi.msk.ru/account/1080236228/", 1080236228)</f>
        <v>1080236228</v>
      </c>
      <c r="D18755" t="s">
        <v>15950</v>
      </c>
      <c r="E18755">
        <v>-6028.7</v>
      </c>
      <c r="F18755">
        <v>-1.22</v>
      </c>
      <c r="G18755" t="s">
        <v>12</v>
      </c>
      <c r="I18755" t="s">
        <v>1428</v>
      </c>
    </row>
    <row r="18756" spans="1:9" hidden="1" x14ac:dyDescent="0.25">
      <c r="A18756" t="s">
        <v>15842</v>
      </c>
      <c r="B18756" t="s">
        <v>742</v>
      </c>
      <c r="C18756" s="2">
        <f>HYPERLINK("https://cao.dolgi.msk.ru/account/1080236236/", 1080236236)</f>
        <v>1080236236</v>
      </c>
      <c r="D18756" t="s">
        <v>15951</v>
      </c>
      <c r="E18756">
        <v>-5356.27</v>
      </c>
      <c r="F18756">
        <v>-1.17</v>
      </c>
      <c r="G18756" t="s">
        <v>12</v>
      </c>
      <c r="I18756" t="s">
        <v>1428</v>
      </c>
    </row>
    <row r="18757" spans="1:9" hidden="1" x14ac:dyDescent="0.25">
      <c r="A18757" t="s">
        <v>15842</v>
      </c>
      <c r="B18757" t="s">
        <v>557</v>
      </c>
      <c r="C18757" s="2">
        <f>HYPERLINK("https://cao.dolgi.msk.ru/account/1080236244/", 1080236244)</f>
        <v>1080236244</v>
      </c>
      <c r="D18757" t="s">
        <v>15952</v>
      </c>
      <c r="E18757">
        <v>0</v>
      </c>
      <c r="F18757">
        <v>0</v>
      </c>
      <c r="G18757" t="s">
        <v>12</v>
      </c>
      <c r="I18757" t="s">
        <v>1428</v>
      </c>
    </row>
    <row r="18758" spans="1:9" hidden="1" x14ac:dyDescent="0.25">
      <c r="A18758" t="s">
        <v>15842</v>
      </c>
      <c r="B18758" t="s">
        <v>558</v>
      </c>
      <c r="C18758" s="2">
        <f>HYPERLINK("https://cao.dolgi.msk.ru/account/1080236252/", 1080236252)</f>
        <v>1080236252</v>
      </c>
      <c r="D18758" t="s">
        <v>15953</v>
      </c>
      <c r="E18758">
        <v>-8606.82</v>
      </c>
      <c r="F18758">
        <v>-1.1299999999999999</v>
      </c>
      <c r="G18758" t="s">
        <v>12</v>
      </c>
      <c r="I18758" t="s">
        <v>1428</v>
      </c>
    </row>
    <row r="18759" spans="1:9" hidden="1" x14ac:dyDescent="0.25">
      <c r="A18759" t="s">
        <v>15842</v>
      </c>
      <c r="B18759" t="s">
        <v>746</v>
      </c>
      <c r="C18759" s="2">
        <f>HYPERLINK("https://cao.dolgi.msk.ru/account/1080236279/", 1080236279)</f>
        <v>1080236279</v>
      </c>
      <c r="D18759" t="s">
        <v>15954</v>
      </c>
      <c r="E18759">
        <v>-8772.8799999999992</v>
      </c>
      <c r="F18759">
        <v>-1.43</v>
      </c>
      <c r="G18759" t="s">
        <v>12</v>
      </c>
      <c r="I18759" t="s">
        <v>1428</v>
      </c>
    </row>
    <row r="18760" spans="1:9" hidden="1" x14ac:dyDescent="0.25">
      <c r="A18760" t="s">
        <v>15842</v>
      </c>
      <c r="B18760" t="s">
        <v>748</v>
      </c>
      <c r="C18760" s="2">
        <f>HYPERLINK("https://cao.dolgi.msk.ru/account/1080236287/", 1080236287)</f>
        <v>1080236287</v>
      </c>
      <c r="D18760" t="s">
        <v>15955</v>
      </c>
      <c r="E18760">
        <v>-16787.439999999999</v>
      </c>
      <c r="F18760">
        <v>-1.76</v>
      </c>
      <c r="G18760" t="s">
        <v>12</v>
      </c>
      <c r="I18760" t="s">
        <v>1428</v>
      </c>
    </row>
    <row r="18761" spans="1:9" hidden="1" x14ac:dyDescent="0.25">
      <c r="A18761" t="s">
        <v>15842</v>
      </c>
      <c r="B18761" t="s">
        <v>750</v>
      </c>
      <c r="C18761" s="2">
        <f>HYPERLINK("https://cao.dolgi.msk.ru/account/1080236295/", 1080236295)</f>
        <v>1080236295</v>
      </c>
      <c r="D18761" t="s">
        <v>15956</v>
      </c>
      <c r="E18761">
        <v>-6305.96</v>
      </c>
      <c r="F18761">
        <v>-1.17</v>
      </c>
      <c r="G18761" t="s">
        <v>12</v>
      </c>
      <c r="I18761" t="s">
        <v>1428</v>
      </c>
    </row>
    <row r="18762" spans="1:9" hidden="1" x14ac:dyDescent="0.25">
      <c r="A18762" t="s">
        <v>15842</v>
      </c>
      <c r="B18762" t="s">
        <v>752</v>
      </c>
      <c r="C18762" s="2">
        <f>HYPERLINK("https://cao.dolgi.msk.ru/account/1080236308/", 1080236308)</f>
        <v>1080236308</v>
      </c>
      <c r="D18762" t="s">
        <v>15957</v>
      </c>
      <c r="E18762">
        <v>-9254.67</v>
      </c>
      <c r="F18762">
        <v>-1.46</v>
      </c>
      <c r="G18762" t="s">
        <v>12</v>
      </c>
      <c r="I18762" t="s">
        <v>1428</v>
      </c>
    </row>
    <row r="18763" spans="1:9" hidden="1" x14ac:dyDescent="0.25">
      <c r="A18763" t="s">
        <v>15842</v>
      </c>
      <c r="B18763" t="s">
        <v>754</v>
      </c>
      <c r="C18763" s="2">
        <f>HYPERLINK("https://cao.dolgi.msk.ru/account/1080236316/", 1080236316)</f>
        <v>1080236316</v>
      </c>
      <c r="D18763" t="s">
        <v>15958</v>
      </c>
      <c r="E18763">
        <v>-2967.45</v>
      </c>
      <c r="F18763">
        <v>-0.97</v>
      </c>
      <c r="G18763" t="s">
        <v>12</v>
      </c>
      <c r="I18763" t="s">
        <v>1428</v>
      </c>
    </row>
    <row r="18764" spans="1:9" hidden="1" x14ac:dyDescent="0.25">
      <c r="A18764" t="s">
        <v>15842</v>
      </c>
      <c r="B18764" t="s">
        <v>756</v>
      </c>
      <c r="C18764" s="2">
        <f>HYPERLINK("https://cao.dolgi.msk.ru/account/1080236324/", 1080236324)</f>
        <v>1080236324</v>
      </c>
      <c r="D18764" t="s">
        <v>15959</v>
      </c>
      <c r="E18764">
        <v>-5491.8</v>
      </c>
      <c r="F18764">
        <v>-1.19</v>
      </c>
      <c r="G18764" t="s">
        <v>12</v>
      </c>
      <c r="I18764" t="s">
        <v>1428</v>
      </c>
    </row>
    <row r="18765" spans="1:9" hidden="1" x14ac:dyDescent="0.25">
      <c r="A18765" t="s">
        <v>15842</v>
      </c>
      <c r="B18765" t="s">
        <v>758</v>
      </c>
      <c r="C18765" s="2">
        <f>HYPERLINK("https://cao.dolgi.msk.ru/account/1080236359/", 1080236359)</f>
        <v>1080236359</v>
      </c>
      <c r="D18765" t="s">
        <v>15960</v>
      </c>
      <c r="E18765">
        <v>-10384.93</v>
      </c>
      <c r="F18765">
        <v>-1.1599999999999999</v>
      </c>
      <c r="G18765" t="s">
        <v>12</v>
      </c>
      <c r="I18765" t="s">
        <v>1428</v>
      </c>
    </row>
    <row r="18766" spans="1:9" hidden="1" x14ac:dyDescent="0.25">
      <c r="A18766" t="s">
        <v>15842</v>
      </c>
      <c r="B18766" t="s">
        <v>760</v>
      </c>
      <c r="C18766" s="2">
        <f>HYPERLINK("https://cao.dolgi.msk.ru/account/1080236375/", 1080236375)</f>
        <v>1080236375</v>
      </c>
      <c r="D18766" t="s">
        <v>15961</v>
      </c>
      <c r="E18766">
        <v>-28418.11</v>
      </c>
      <c r="G18766" t="s">
        <v>14</v>
      </c>
      <c r="I18766" t="s">
        <v>1428</v>
      </c>
    </row>
    <row r="18767" spans="1:9" hidden="1" x14ac:dyDescent="0.25">
      <c r="A18767" t="s">
        <v>15842</v>
      </c>
      <c r="B18767" t="s">
        <v>760</v>
      </c>
      <c r="C18767" s="2">
        <f>HYPERLINK("https://cao.dolgi.msk.ru/account/1083278095/", 1083278095)</f>
        <v>1083278095</v>
      </c>
      <c r="D18767" t="s">
        <v>15962</v>
      </c>
      <c r="E18767">
        <v>-1589.62</v>
      </c>
      <c r="F18767">
        <v>-0.28999999999999998</v>
      </c>
      <c r="G18767" t="s">
        <v>12</v>
      </c>
      <c r="I18767" t="s">
        <v>1428</v>
      </c>
    </row>
    <row r="18768" spans="1:9" x14ac:dyDescent="0.25">
      <c r="A18768" t="s">
        <v>15842</v>
      </c>
      <c r="B18768" t="s">
        <v>762</v>
      </c>
      <c r="C18768" s="2">
        <f>HYPERLINK("https://cao.dolgi.msk.ru/account/1080236383/", 1080236383)</f>
        <v>1080236383</v>
      </c>
      <c r="D18768" t="s">
        <v>15963</v>
      </c>
      <c r="E18768">
        <v>24610.1</v>
      </c>
      <c r="F18768">
        <v>2.79</v>
      </c>
      <c r="G18768" t="s">
        <v>12</v>
      </c>
      <c r="I18768" t="s">
        <v>1428</v>
      </c>
    </row>
    <row r="18769" spans="1:9" hidden="1" x14ac:dyDescent="0.25">
      <c r="A18769" t="s">
        <v>15842</v>
      </c>
      <c r="B18769" t="s">
        <v>764</v>
      </c>
      <c r="C18769" s="2">
        <f>HYPERLINK("https://cao.dolgi.msk.ru/account/1080236391/", 1080236391)</f>
        <v>1080236391</v>
      </c>
      <c r="D18769" t="s">
        <v>15964</v>
      </c>
      <c r="E18769">
        <v>-5742.76</v>
      </c>
      <c r="F18769">
        <v>-1.23</v>
      </c>
      <c r="G18769" t="s">
        <v>12</v>
      </c>
      <c r="I18769" t="s">
        <v>1428</v>
      </c>
    </row>
    <row r="18770" spans="1:9" hidden="1" x14ac:dyDescent="0.25">
      <c r="A18770" t="s">
        <v>15965</v>
      </c>
      <c r="B18770" t="s">
        <v>10</v>
      </c>
      <c r="C18770" s="2">
        <f>HYPERLINK("https://cao.dolgi.msk.ru/account/1080233158/", 1080233158)</f>
        <v>1080233158</v>
      </c>
      <c r="D18770" t="s">
        <v>15966</v>
      </c>
      <c r="E18770">
        <v>-5633.05</v>
      </c>
      <c r="F18770">
        <v>-1.17</v>
      </c>
      <c r="G18770" t="s">
        <v>12</v>
      </c>
      <c r="I18770" t="s">
        <v>1428</v>
      </c>
    </row>
    <row r="18771" spans="1:9" hidden="1" x14ac:dyDescent="0.25">
      <c r="A18771" t="s">
        <v>15965</v>
      </c>
      <c r="B18771" t="s">
        <v>16</v>
      </c>
      <c r="C18771" s="2">
        <f>HYPERLINK("https://cao.dolgi.msk.ru/account/1080233166/", 1080233166)</f>
        <v>1080233166</v>
      </c>
      <c r="D18771" t="s">
        <v>15967</v>
      </c>
      <c r="E18771">
        <v>-9092.1299999999992</v>
      </c>
      <c r="F18771">
        <v>-1.01</v>
      </c>
      <c r="G18771" t="s">
        <v>12</v>
      </c>
      <c r="I18771" t="s">
        <v>1428</v>
      </c>
    </row>
    <row r="18772" spans="1:9" hidden="1" x14ac:dyDescent="0.25">
      <c r="A18772" t="s">
        <v>15965</v>
      </c>
      <c r="B18772" t="s">
        <v>18</v>
      </c>
      <c r="C18772" s="2">
        <f>HYPERLINK("https://cao.dolgi.msk.ru/account/1080233174/", 1080233174)</f>
        <v>1080233174</v>
      </c>
      <c r="D18772" t="s">
        <v>15968</v>
      </c>
      <c r="E18772">
        <v>-6662.49</v>
      </c>
      <c r="F18772">
        <v>-1.37</v>
      </c>
      <c r="G18772" t="s">
        <v>12</v>
      </c>
      <c r="I18772" t="s">
        <v>1428</v>
      </c>
    </row>
    <row r="18773" spans="1:9" hidden="1" x14ac:dyDescent="0.25">
      <c r="A18773" t="s">
        <v>15965</v>
      </c>
      <c r="B18773" t="s">
        <v>20</v>
      </c>
      <c r="C18773" s="2">
        <f>HYPERLINK("https://cao.dolgi.msk.ru/account/1080233182/", 1080233182)</f>
        <v>1080233182</v>
      </c>
      <c r="D18773" t="s">
        <v>13928</v>
      </c>
      <c r="E18773">
        <v>-9440.1</v>
      </c>
      <c r="F18773">
        <v>-1.25</v>
      </c>
      <c r="G18773" t="s">
        <v>12</v>
      </c>
      <c r="I18773" t="s">
        <v>1428</v>
      </c>
    </row>
    <row r="18774" spans="1:9" hidden="1" x14ac:dyDescent="0.25">
      <c r="A18774" t="s">
        <v>15965</v>
      </c>
      <c r="B18774" t="s">
        <v>20</v>
      </c>
      <c r="C18774" s="2">
        <f>HYPERLINK("https://cao.dolgi.msk.ru/account/1080233203/", 1080233203)</f>
        <v>1080233203</v>
      </c>
      <c r="D18774" t="s">
        <v>15969</v>
      </c>
      <c r="E18774">
        <v>-5.17</v>
      </c>
      <c r="G18774" t="s">
        <v>14</v>
      </c>
      <c r="I18774" t="s">
        <v>1428</v>
      </c>
    </row>
    <row r="18775" spans="1:9" hidden="1" x14ac:dyDescent="0.25">
      <c r="A18775" t="s">
        <v>15965</v>
      </c>
      <c r="B18775" t="s">
        <v>20</v>
      </c>
      <c r="C18775" s="2">
        <f>HYPERLINK("https://cao.dolgi.msk.ru/account/1080233211/", 1080233211)</f>
        <v>1080233211</v>
      </c>
      <c r="D18775" t="s">
        <v>15969</v>
      </c>
      <c r="E18775">
        <v>0</v>
      </c>
      <c r="F18775">
        <v>0</v>
      </c>
      <c r="G18775" t="s">
        <v>14</v>
      </c>
      <c r="H18775" t="s">
        <v>7</v>
      </c>
      <c r="I18775" t="s">
        <v>1428</v>
      </c>
    </row>
    <row r="18776" spans="1:9" hidden="1" x14ac:dyDescent="0.25">
      <c r="A18776" t="s">
        <v>15965</v>
      </c>
      <c r="B18776" t="s">
        <v>21</v>
      </c>
      <c r="C18776" s="2">
        <f>HYPERLINK("https://cao.dolgi.msk.ru/account/1080233238/", 1080233238)</f>
        <v>1080233238</v>
      </c>
      <c r="D18776" t="s">
        <v>15970</v>
      </c>
      <c r="E18776">
        <v>-7087.97</v>
      </c>
      <c r="F18776">
        <v>-1.1000000000000001</v>
      </c>
      <c r="G18776" t="s">
        <v>12</v>
      </c>
      <c r="I18776" t="s">
        <v>1428</v>
      </c>
    </row>
    <row r="18777" spans="1:9" hidden="1" x14ac:dyDescent="0.25">
      <c r="A18777" t="s">
        <v>15965</v>
      </c>
      <c r="B18777" t="s">
        <v>22</v>
      </c>
      <c r="C18777" s="2">
        <f>HYPERLINK("https://cao.dolgi.msk.ru/account/1080233246/", 1080233246)</f>
        <v>1080233246</v>
      </c>
      <c r="D18777" t="s">
        <v>15971</v>
      </c>
      <c r="E18777">
        <v>-4874.8500000000004</v>
      </c>
      <c r="F18777">
        <v>-1.1599999999999999</v>
      </c>
      <c r="G18777" t="s">
        <v>12</v>
      </c>
      <c r="I18777" t="s">
        <v>1428</v>
      </c>
    </row>
    <row r="18778" spans="1:9" hidden="1" x14ac:dyDescent="0.25">
      <c r="A18778" t="s">
        <v>15965</v>
      </c>
      <c r="B18778" t="s">
        <v>23</v>
      </c>
      <c r="C18778" s="2">
        <f>HYPERLINK("https://cao.dolgi.msk.ru/account/1080233254/", 1080233254)</f>
        <v>1080233254</v>
      </c>
      <c r="D18778" t="s">
        <v>15972</v>
      </c>
      <c r="E18778">
        <v>-8277.77</v>
      </c>
      <c r="F18778">
        <v>-1.68</v>
      </c>
      <c r="G18778" t="s">
        <v>12</v>
      </c>
      <c r="I18778" t="s">
        <v>1428</v>
      </c>
    </row>
    <row r="18779" spans="1:9" hidden="1" x14ac:dyDescent="0.25">
      <c r="A18779" t="s">
        <v>15965</v>
      </c>
      <c r="B18779" t="s">
        <v>24</v>
      </c>
      <c r="C18779" s="2">
        <f>HYPERLINK("https://cao.dolgi.msk.ru/account/1080233262/", 1080233262)</f>
        <v>1080233262</v>
      </c>
      <c r="D18779" t="s">
        <v>15973</v>
      </c>
      <c r="E18779">
        <v>0</v>
      </c>
      <c r="F18779">
        <v>0</v>
      </c>
      <c r="G18779" t="s">
        <v>12</v>
      </c>
      <c r="I18779" t="s">
        <v>1428</v>
      </c>
    </row>
    <row r="18780" spans="1:9" hidden="1" x14ac:dyDescent="0.25">
      <c r="A18780" t="s">
        <v>15965</v>
      </c>
      <c r="B18780" t="s">
        <v>27</v>
      </c>
      <c r="C18780" s="2">
        <f>HYPERLINK("https://cao.dolgi.msk.ru/account/1080233289/", 1080233289)</f>
        <v>1080233289</v>
      </c>
      <c r="D18780" t="s">
        <v>15974</v>
      </c>
      <c r="E18780">
        <v>-14583.15</v>
      </c>
      <c r="F18780">
        <v>-2.1</v>
      </c>
      <c r="G18780" t="s">
        <v>12</v>
      </c>
      <c r="I18780" t="s">
        <v>1428</v>
      </c>
    </row>
    <row r="18781" spans="1:9" hidden="1" x14ac:dyDescent="0.25">
      <c r="A18781" t="s">
        <v>15965</v>
      </c>
      <c r="B18781" t="s">
        <v>29</v>
      </c>
      <c r="C18781" s="2">
        <f>HYPERLINK("https://cao.dolgi.msk.ru/account/1080233297/", 1080233297)</f>
        <v>1080233297</v>
      </c>
      <c r="D18781" t="s">
        <v>15975</v>
      </c>
      <c r="E18781">
        <v>-6657.14</v>
      </c>
      <c r="F18781">
        <v>-1.1299999999999999</v>
      </c>
      <c r="G18781" t="s">
        <v>12</v>
      </c>
      <c r="I18781" t="s">
        <v>1428</v>
      </c>
    </row>
    <row r="18782" spans="1:9" hidden="1" x14ac:dyDescent="0.25">
      <c r="A18782" t="s">
        <v>15965</v>
      </c>
      <c r="B18782" t="s">
        <v>31</v>
      </c>
      <c r="C18782" s="2">
        <f>HYPERLINK("https://cao.dolgi.msk.ru/account/1080233318/", 1080233318)</f>
        <v>1080233318</v>
      </c>
      <c r="D18782" t="s">
        <v>15976</v>
      </c>
      <c r="E18782">
        <v>-6821.28</v>
      </c>
      <c r="F18782">
        <v>-1.1200000000000001</v>
      </c>
      <c r="G18782" t="s">
        <v>12</v>
      </c>
      <c r="I18782" t="s">
        <v>1428</v>
      </c>
    </row>
    <row r="18783" spans="1:9" hidden="1" x14ac:dyDescent="0.25">
      <c r="A18783" t="s">
        <v>15965</v>
      </c>
      <c r="B18783" t="s">
        <v>33</v>
      </c>
      <c r="C18783" s="2">
        <f>HYPERLINK("https://cao.dolgi.msk.ru/account/1080233326/", 1080233326)</f>
        <v>1080233326</v>
      </c>
      <c r="D18783" t="s">
        <v>15977</v>
      </c>
      <c r="E18783">
        <v>-7348.57</v>
      </c>
      <c r="F18783">
        <v>-1.1200000000000001</v>
      </c>
      <c r="G18783" t="s">
        <v>12</v>
      </c>
      <c r="I18783" t="s">
        <v>1428</v>
      </c>
    </row>
    <row r="18784" spans="1:9" hidden="1" x14ac:dyDescent="0.25">
      <c r="A18784" t="s">
        <v>15965</v>
      </c>
      <c r="B18784" t="s">
        <v>34</v>
      </c>
      <c r="C18784" s="2">
        <f>HYPERLINK("https://cao.dolgi.msk.ru/account/1080233334/", 1080233334)</f>
        <v>1080233334</v>
      </c>
      <c r="D18784" t="s">
        <v>15978</v>
      </c>
      <c r="E18784">
        <v>-8662.92</v>
      </c>
      <c r="F18784">
        <v>-1.25</v>
      </c>
      <c r="G18784" t="s">
        <v>12</v>
      </c>
      <c r="I18784" t="s">
        <v>1428</v>
      </c>
    </row>
    <row r="18785" spans="1:9" hidden="1" x14ac:dyDescent="0.25">
      <c r="A18785" t="s">
        <v>15965</v>
      </c>
      <c r="B18785" t="s">
        <v>36</v>
      </c>
      <c r="C18785" s="2">
        <f>HYPERLINK("https://cao.dolgi.msk.ru/account/1080233342/", 1080233342)</f>
        <v>1080233342</v>
      </c>
      <c r="D18785" t="s">
        <v>15979</v>
      </c>
      <c r="E18785">
        <v>-4671.9399999999996</v>
      </c>
      <c r="F18785">
        <v>-1.2</v>
      </c>
      <c r="G18785" t="s">
        <v>12</v>
      </c>
      <c r="I18785" t="s">
        <v>1428</v>
      </c>
    </row>
    <row r="18786" spans="1:9" hidden="1" x14ac:dyDescent="0.25">
      <c r="A18786" t="s">
        <v>15965</v>
      </c>
      <c r="B18786" t="s">
        <v>38</v>
      </c>
      <c r="C18786" s="2">
        <f>HYPERLINK("https://cao.dolgi.msk.ru/account/1080233369/", 1080233369)</f>
        <v>1080233369</v>
      </c>
      <c r="D18786" t="s">
        <v>15980</v>
      </c>
      <c r="E18786">
        <v>152.66</v>
      </c>
      <c r="F18786">
        <v>0.03</v>
      </c>
      <c r="G18786" t="s">
        <v>12</v>
      </c>
      <c r="I18786" t="s">
        <v>1428</v>
      </c>
    </row>
    <row r="18787" spans="1:9" hidden="1" x14ac:dyDescent="0.25">
      <c r="A18787" t="s">
        <v>15965</v>
      </c>
      <c r="B18787" t="s">
        <v>39</v>
      </c>
      <c r="C18787" s="2">
        <f>HYPERLINK("https://cao.dolgi.msk.ru/account/1080233377/", 1080233377)</f>
        <v>1080233377</v>
      </c>
      <c r="D18787" t="s">
        <v>15981</v>
      </c>
      <c r="E18787">
        <v>-4451.92</v>
      </c>
      <c r="F18787">
        <v>-1.1599999999999999</v>
      </c>
      <c r="G18787" t="s">
        <v>12</v>
      </c>
      <c r="I18787" t="s">
        <v>1428</v>
      </c>
    </row>
    <row r="18788" spans="1:9" hidden="1" x14ac:dyDescent="0.25">
      <c r="A18788" t="s">
        <v>15965</v>
      </c>
      <c r="B18788" t="s">
        <v>40</v>
      </c>
      <c r="C18788" s="2">
        <f>HYPERLINK("https://cao.dolgi.msk.ru/account/1080233385/", 1080233385)</f>
        <v>1080233385</v>
      </c>
      <c r="D18788" t="s">
        <v>15982</v>
      </c>
      <c r="E18788">
        <v>-6940.51</v>
      </c>
      <c r="F18788">
        <v>-1.2</v>
      </c>
      <c r="G18788" t="s">
        <v>12</v>
      </c>
      <c r="I18788" t="s">
        <v>1428</v>
      </c>
    </row>
    <row r="18789" spans="1:9" hidden="1" x14ac:dyDescent="0.25">
      <c r="A18789" t="s">
        <v>15965</v>
      </c>
      <c r="B18789" t="s">
        <v>41</v>
      </c>
      <c r="C18789" s="2">
        <f>HYPERLINK("https://cao.dolgi.msk.ru/account/1080233393/", 1080233393)</f>
        <v>1080233393</v>
      </c>
      <c r="D18789" t="s">
        <v>15983</v>
      </c>
      <c r="E18789">
        <v>-5587.05</v>
      </c>
      <c r="F18789">
        <v>-1.18</v>
      </c>
      <c r="G18789" t="s">
        <v>12</v>
      </c>
      <c r="I18789" t="s">
        <v>1428</v>
      </c>
    </row>
    <row r="18790" spans="1:9" hidden="1" x14ac:dyDescent="0.25">
      <c r="A18790" t="s">
        <v>15965</v>
      </c>
      <c r="B18790" t="s">
        <v>42</v>
      </c>
      <c r="C18790" s="2">
        <f>HYPERLINK("https://cao.dolgi.msk.ru/account/1080233406/", 1080233406)</f>
        <v>1080233406</v>
      </c>
      <c r="D18790" t="s">
        <v>15</v>
      </c>
      <c r="E18790">
        <v>-8055.84</v>
      </c>
      <c r="F18790">
        <v>-0.93</v>
      </c>
      <c r="G18790" t="s">
        <v>12</v>
      </c>
      <c r="I18790" t="s">
        <v>1428</v>
      </c>
    </row>
    <row r="18791" spans="1:9" hidden="1" x14ac:dyDescent="0.25">
      <c r="A18791" t="s">
        <v>15965</v>
      </c>
      <c r="B18791" t="s">
        <v>44</v>
      </c>
      <c r="C18791" s="2">
        <f>HYPERLINK("https://cao.dolgi.msk.ru/account/1080233414/", 1080233414)</f>
        <v>1080233414</v>
      </c>
      <c r="D18791" t="s">
        <v>15984</v>
      </c>
      <c r="E18791">
        <v>-7608.99</v>
      </c>
      <c r="F18791">
        <v>-0.97</v>
      </c>
      <c r="G18791" t="s">
        <v>12</v>
      </c>
      <c r="I18791" t="s">
        <v>1428</v>
      </c>
    </row>
    <row r="18792" spans="1:9" hidden="1" x14ac:dyDescent="0.25">
      <c r="A18792" t="s">
        <v>15965</v>
      </c>
      <c r="B18792" t="s">
        <v>66</v>
      </c>
      <c r="C18792" s="2">
        <f>HYPERLINK("https://cao.dolgi.msk.ru/account/1080233422/", 1080233422)</f>
        <v>1080233422</v>
      </c>
      <c r="D18792" t="s">
        <v>15985</v>
      </c>
      <c r="E18792">
        <v>-6630.08</v>
      </c>
      <c r="F18792">
        <v>-0.57999999999999996</v>
      </c>
      <c r="G18792" t="s">
        <v>12</v>
      </c>
      <c r="I18792" t="s">
        <v>1428</v>
      </c>
    </row>
    <row r="18793" spans="1:9" hidden="1" x14ac:dyDescent="0.25">
      <c r="A18793" t="s">
        <v>15965</v>
      </c>
      <c r="B18793" t="s">
        <v>68</v>
      </c>
      <c r="C18793" s="2">
        <f>HYPERLINK("https://cao.dolgi.msk.ru/account/1080233449/", 1080233449)</f>
        <v>1080233449</v>
      </c>
      <c r="D18793" t="s">
        <v>15986</v>
      </c>
      <c r="E18793">
        <v>-6385.47</v>
      </c>
      <c r="F18793">
        <v>-1.19</v>
      </c>
      <c r="G18793" t="s">
        <v>12</v>
      </c>
      <c r="I18793" t="s">
        <v>1428</v>
      </c>
    </row>
    <row r="18794" spans="1:9" hidden="1" x14ac:dyDescent="0.25">
      <c r="A18794" t="s">
        <v>15965</v>
      </c>
      <c r="B18794" t="s">
        <v>70</v>
      </c>
      <c r="C18794" s="2">
        <f>HYPERLINK("https://cao.dolgi.msk.ru/account/1080233457/", 1080233457)</f>
        <v>1080233457</v>
      </c>
      <c r="D18794" t="s">
        <v>15987</v>
      </c>
      <c r="E18794">
        <v>-5266.17</v>
      </c>
      <c r="F18794">
        <v>-1.17</v>
      </c>
      <c r="G18794" t="s">
        <v>12</v>
      </c>
      <c r="I18794" t="s">
        <v>1428</v>
      </c>
    </row>
    <row r="18795" spans="1:9" hidden="1" x14ac:dyDescent="0.25">
      <c r="A18795" t="s">
        <v>15965</v>
      </c>
      <c r="B18795" t="s">
        <v>72</v>
      </c>
      <c r="C18795" s="2">
        <f>HYPERLINK("https://cao.dolgi.msk.ru/account/1080233465/", 1080233465)</f>
        <v>1080233465</v>
      </c>
      <c r="D18795" t="s">
        <v>15988</v>
      </c>
      <c r="E18795">
        <v>-7442.3</v>
      </c>
      <c r="F18795">
        <v>-2.33</v>
      </c>
      <c r="G18795" t="s">
        <v>12</v>
      </c>
      <c r="I18795" t="s">
        <v>1428</v>
      </c>
    </row>
    <row r="18796" spans="1:9" hidden="1" x14ac:dyDescent="0.25">
      <c r="A18796" t="s">
        <v>15965</v>
      </c>
      <c r="B18796" t="s">
        <v>72</v>
      </c>
      <c r="C18796" s="2">
        <f>HYPERLINK("https://cao.dolgi.msk.ru/account/1089133356/", 1089133356)</f>
        <v>1089133356</v>
      </c>
      <c r="D18796" t="s">
        <v>15</v>
      </c>
      <c r="E18796">
        <v>-9533.1</v>
      </c>
      <c r="F18796">
        <v>-3.18</v>
      </c>
      <c r="G18796" t="s">
        <v>12</v>
      </c>
      <c r="I18796" t="s">
        <v>1428</v>
      </c>
    </row>
    <row r="18797" spans="1:9" hidden="1" x14ac:dyDescent="0.25">
      <c r="A18797" t="s">
        <v>15965</v>
      </c>
      <c r="B18797" t="s">
        <v>74</v>
      </c>
      <c r="C18797" s="2">
        <f>HYPERLINK("https://cao.dolgi.msk.ru/account/1080233473/", 1080233473)</f>
        <v>1080233473</v>
      </c>
      <c r="D18797" t="s">
        <v>15989</v>
      </c>
      <c r="E18797">
        <v>-12616.05</v>
      </c>
      <c r="F18797">
        <v>-1.17</v>
      </c>
      <c r="G18797" t="s">
        <v>12</v>
      </c>
      <c r="I18797" t="s">
        <v>1428</v>
      </c>
    </row>
    <row r="18798" spans="1:9" hidden="1" x14ac:dyDescent="0.25">
      <c r="A18798" t="s">
        <v>15965</v>
      </c>
      <c r="B18798" t="s">
        <v>76</v>
      </c>
      <c r="C18798" s="2">
        <f>HYPERLINK("https://cao.dolgi.msk.ru/account/1080233131/", 1080233131)</f>
        <v>1080233131</v>
      </c>
      <c r="D18798" t="s">
        <v>15990</v>
      </c>
      <c r="E18798">
        <v>-7326.36</v>
      </c>
      <c r="F18798">
        <v>-1.03</v>
      </c>
      <c r="G18798" t="s">
        <v>12</v>
      </c>
      <c r="I18798" t="s">
        <v>1428</v>
      </c>
    </row>
    <row r="18799" spans="1:9" hidden="1" x14ac:dyDescent="0.25">
      <c r="A18799" t="s">
        <v>15965</v>
      </c>
      <c r="B18799" t="s">
        <v>78</v>
      </c>
      <c r="C18799" s="2">
        <f>HYPERLINK("https://cao.dolgi.msk.ru/account/1080233481/", 1080233481)</f>
        <v>1080233481</v>
      </c>
      <c r="D18799" t="s">
        <v>15991</v>
      </c>
      <c r="E18799">
        <v>-5815.63</v>
      </c>
      <c r="F18799">
        <v>-1.24</v>
      </c>
      <c r="G18799" t="s">
        <v>12</v>
      </c>
      <c r="I18799" t="s">
        <v>1428</v>
      </c>
    </row>
    <row r="18800" spans="1:9" hidden="1" x14ac:dyDescent="0.25">
      <c r="A18800" t="s">
        <v>15965</v>
      </c>
      <c r="B18800" t="s">
        <v>80</v>
      </c>
      <c r="C18800" s="2">
        <f>HYPERLINK("https://cao.dolgi.msk.ru/account/1080233502/", 1080233502)</f>
        <v>1080233502</v>
      </c>
      <c r="D18800" t="s">
        <v>15992</v>
      </c>
      <c r="E18800">
        <v>-19018.849999999999</v>
      </c>
      <c r="F18800">
        <v>-1.05</v>
      </c>
      <c r="G18800" t="s">
        <v>12</v>
      </c>
      <c r="I18800" t="s">
        <v>1428</v>
      </c>
    </row>
    <row r="18801" spans="1:9" hidden="1" x14ac:dyDescent="0.25">
      <c r="A18801" t="s">
        <v>15965</v>
      </c>
      <c r="B18801" t="s">
        <v>82</v>
      </c>
      <c r="C18801" s="2">
        <f>HYPERLINK("https://cao.dolgi.msk.ru/account/1080233529/", 1080233529)</f>
        <v>1080233529</v>
      </c>
      <c r="D18801" t="s">
        <v>15993</v>
      </c>
      <c r="E18801">
        <v>-7844.53</v>
      </c>
      <c r="F18801">
        <v>-0.98</v>
      </c>
      <c r="G18801" t="s">
        <v>12</v>
      </c>
      <c r="I18801" t="s">
        <v>1428</v>
      </c>
    </row>
    <row r="18802" spans="1:9" hidden="1" x14ac:dyDescent="0.25">
      <c r="A18802" t="s">
        <v>15965</v>
      </c>
      <c r="B18802" t="s">
        <v>84</v>
      </c>
      <c r="C18802" s="2">
        <f>HYPERLINK("https://cao.dolgi.msk.ru/account/1080233537/", 1080233537)</f>
        <v>1080233537</v>
      </c>
      <c r="D18802" t="s">
        <v>15994</v>
      </c>
      <c r="E18802">
        <v>-4563.08</v>
      </c>
      <c r="F18802">
        <v>-1.1200000000000001</v>
      </c>
      <c r="G18802" t="s">
        <v>12</v>
      </c>
      <c r="I18802" t="s">
        <v>1428</v>
      </c>
    </row>
    <row r="18803" spans="1:9" hidden="1" x14ac:dyDescent="0.25">
      <c r="A18803" t="s">
        <v>15965</v>
      </c>
      <c r="B18803" t="s">
        <v>86</v>
      </c>
      <c r="C18803" s="2">
        <f>HYPERLINK("https://cao.dolgi.msk.ru/account/1080233545/", 1080233545)</f>
        <v>1080233545</v>
      </c>
      <c r="D18803" t="s">
        <v>1082</v>
      </c>
      <c r="E18803">
        <v>-3641.9</v>
      </c>
      <c r="F18803">
        <v>-0.75</v>
      </c>
      <c r="G18803" t="s">
        <v>12</v>
      </c>
      <c r="I18803" t="s">
        <v>1428</v>
      </c>
    </row>
    <row r="18804" spans="1:9" hidden="1" x14ac:dyDescent="0.25">
      <c r="A18804" t="s">
        <v>15965</v>
      </c>
      <c r="B18804" t="s">
        <v>88</v>
      </c>
      <c r="C18804" s="2">
        <f>HYPERLINK("https://cao.dolgi.msk.ru/account/1080233553/", 1080233553)</f>
        <v>1080233553</v>
      </c>
      <c r="D18804" t="s">
        <v>15995</v>
      </c>
      <c r="E18804">
        <v>-8502.52</v>
      </c>
      <c r="F18804">
        <v>-1.0900000000000001</v>
      </c>
      <c r="G18804" t="s">
        <v>12</v>
      </c>
      <c r="I18804" t="s">
        <v>1428</v>
      </c>
    </row>
    <row r="18805" spans="1:9" hidden="1" x14ac:dyDescent="0.25">
      <c r="A18805" t="s">
        <v>15965</v>
      </c>
      <c r="B18805" t="s">
        <v>90</v>
      </c>
      <c r="C18805" s="2">
        <f>HYPERLINK("https://cao.dolgi.msk.ru/account/1080233561/", 1080233561)</f>
        <v>1080233561</v>
      </c>
      <c r="D18805" t="s">
        <v>15996</v>
      </c>
      <c r="E18805">
        <v>-9634.56</v>
      </c>
      <c r="F18805">
        <v>-1.1000000000000001</v>
      </c>
      <c r="G18805" t="s">
        <v>12</v>
      </c>
      <c r="I18805" t="s">
        <v>1428</v>
      </c>
    </row>
    <row r="18806" spans="1:9" hidden="1" x14ac:dyDescent="0.25">
      <c r="A18806" t="s">
        <v>15965</v>
      </c>
      <c r="B18806" t="s">
        <v>92</v>
      </c>
      <c r="C18806" s="2">
        <f>HYPERLINK("https://cao.dolgi.msk.ru/account/1080233588/", 1080233588)</f>
        <v>1080233588</v>
      </c>
      <c r="D18806" t="s">
        <v>15997</v>
      </c>
      <c r="E18806">
        <v>53.3</v>
      </c>
      <c r="F18806">
        <v>0.01</v>
      </c>
      <c r="G18806" t="s">
        <v>12</v>
      </c>
      <c r="I18806" t="s">
        <v>1428</v>
      </c>
    </row>
    <row r="18807" spans="1:9" hidden="1" x14ac:dyDescent="0.25">
      <c r="A18807" t="s">
        <v>15965</v>
      </c>
      <c r="B18807" t="s">
        <v>94</v>
      </c>
      <c r="C18807" s="2">
        <f>HYPERLINK("https://cao.dolgi.msk.ru/account/1080233596/", 1080233596)</f>
        <v>1080233596</v>
      </c>
      <c r="D18807" t="s">
        <v>15</v>
      </c>
      <c r="E18807">
        <v>-23.74</v>
      </c>
      <c r="F18807">
        <v>0</v>
      </c>
      <c r="G18807" t="s">
        <v>12</v>
      </c>
      <c r="I18807" t="s">
        <v>1428</v>
      </c>
    </row>
    <row r="18808" spans="1:9" hidden="1" x14ac:dyDescent="0.25">
      <c r="A18808" t="s">
        <v>15965</v>
      </c>
      <c r="B18808" t="s">
        <v>96</v>
      </c>
      <c r="C18808" s="2">
        <f>HYPERLINK("https://cao.dolgi.msk.ru/account/1080233609/", 1080233609)</f>
        <v>1080233609</v>
      </c>
      <c r="D18808" t="s">
        <v>15998</v>
      </c>
      <c r="E18808">
        <v>-8511.59</v>
      </c>
      <c r="F18808">
        <v>-1.24</v>
      </c>
      <c r="G18808" t="s">
        <v>12</v>
      </c>
      <c r="I18808" t="s">
        <v>1428</v>
      </c>
    </row>
    <row r="18809" spans="1:9" hidden="1" x14ac:dyDescent="0.25">
      <c r="A18809" t="s">
        <v>15965</v>
      </c>
      <c r="B18809" t="s">
        <v>98</v>
      </c>
      <c r="C18809" s="2">
        <f>HYPERLINK("https://cao.dolgi.msk.ru/account/1080233617/", 1080233617)</f>
        <v>1080233617</v>
      </c>
      <c r="D18809" t="s">
        <v>15999</v>
      </c>
      <c r="E18809">
        <v>-3245.42</v>
      </c>
      <c r="F18809">
        <v>-1.08</v>
      </c>
      <c r="G18809" t="s">
        <v>12</v>
      </c>
      <c r="I18809" t="s">
        <v>1428</v>
      </c>
    </row>
    <row r="18810" spans="1:9" hidden="1" x14ac:dyDescent="0.25">
      <c r="A18810" t="s">
        <v>15965</v>
      </c>
      <c r="B18810" t="s">
        <v>100</v>
      </c>
      <c r="C18810" s="2">
        <f>HYPERLINK("https://cao.dolgi.msk.ru/account/1080233625/", 1080233625)</f>
        <v>1080233625</v>
      </c>
      <c r="D18810" t="s">
        <v>16000</v>
      </c>
      <c r="E18810">
        <v>83.85</v>
      </c>
      <c r="F18810">
        <v>0.01</v>
      </c>
      <c r="G18810" t="s">
        <v>12</v>
      </c>
      <c r="I18810" t="s">
        <v>1428</v>
      </c>
    </row>
    <row r="18811" spans="1:9" hidden="1" x14ac:dyDescent="0.25">
      <c r="A18811" t="s">
        <v>15965</v>
      </c>
      <c r="B18811" t="s">
        <v>102</v>
      </c>
      <c r="C18811" s="2">
        <f>HYPERLINK("https://cao.dolgi.msk.ru/account/1080233633/", 1080233633)</f>
        <v>1080233633</v>
      </c>
      <c r="D18811" t="s">
        <v>16001</v>
      </c>
      <c r="E18811">
        <v>-9059.68</v>
      </c>
      <c r="F18811">
        <v>-1.1299999999999999</v>
      </c>
      <c r="G18811" t="s">
        <v>12</v>
      </c>
      <c r="I18811" t="s">
        <v>1428</v>
      </c>
    </row>
    <row r="18812" spans="1:9" hidden="1" x14ac:dyDescent="0.25">
      <c r="A18812" t="s">
        <v>15965</v>
      </c>
      <c r="B18812" t="s">
        <v>104</v>
      </c>
      <c r="C18812" s="2">
        <f>HYPERLINK("https://cao.dolgi.msk.ru/account/1080233641/", 1080233641)</f>
        <v>1080233641</v>
      </c>
      <c r="D18812" t="s">
        <v>16002</v>
      </c>
      <c r="E18812">
        <v>-6254.34</v>
      </c>
      <c r="F18812">
        <v>-1.0900000000000001</v>
      </c>
      <c r="G18812" t="s">
        <v>12</v>
      </c>
      <c r="I18812" t="s">
        <v>1428</v>
      </c>
    </row>
    <row r="18813" spans="1:9" hidden="1" x14ac:dyDescent="0.25">
      <c r="A18813" t="s">
        <v>15965</v>
      </c>
      <c r="B18813" t="s">
        <v>106</v>
      </c>
      <c r="C18813" s="2">
        <f>HYPERLINK("https://cao.dolgi.msk.ru/account/1080233668/", 1080233668)</f>
        <v>1080233668</v>
      </c>
      <c r="D18813" t="s">
        <v>16003</v>
      </c>
      <c r="E18813">
        <v>-5708.22</v>
      </c>
      <c r="F18813">
        <v>-1.02</v>
      </c>
      <c r="G18813" t="s">
        <v>12</v>
      </c>
      <c r="I18813" t="s">
        <v>1428</v>
      </c>
    </row>
    <row r="18814" spans="1:9" hidden="1" x14ac:dyDescent="0.25">
      <c r="A18814" t="s">
        <v>15965</v>
      </c>
      <c r="B18814" t="s">
        <v>108</v>
      </c>
      <c r="C18814" s="2">
        <f>HYPERLINK("https://cao.dolgi.msk.ru/account/1080233676/", 1080233676)</f>
        <v>1080233676</v>
      </c>
      <c r="D18814" t="s">
        <v>16004</v>
      </c>
      <c r="E18814">
        <v>0</v>
      </c>
      <c r="F18814">
        <v>0</v>
      </c>
      <c r="G18814" t="s">
        <v>12</v>
      </c>
      <c r="I18814" t="s">
        <v>1428</v>
      </c>
    </row>
    <row r="18815" spans="1:9" hidden="1" x14ac:dyDescent="0.25">
      <c r="A18815" t="s">
        <v>15965</v>
      </c>
      <c r="B18815" t="s">
        <v>110</v>
      </c>
      <c r="C18815" s="2">
        <f>HYPERLINK("https://cao.dolgi.msk.ru/account/1080233692/", 1080233692)</f>
        <v>1080233692</v>
      </c>
      <c r="D18815" t="s">
        <v>16005</v>
      </c>
      <c r="E18815">
        <v>6953.46</v>
      </c>
      <c r="F18815">
        <v>1</v>
      </c>
      <c r="G18815" t="s">
        <v>12</v>
      </c>
      <c r="I18815" t="s">
        <v>1428</v>
      </c>
    </row>
    <row r="18816" spans="1:9" hidden="1" x14ac:dyDescent="0.25">
      <c r="A18816" t="s">
        <v>15965</v>
      </c>
      <c r="B18816" t="s">
        <v>112</v>
      </c>
      <c r="C18816" s="2">
        <f>HYPERLINK("https://cao.dolgi.msk.ru/account/1080233705/", 1080233705)</f>
        <v>1080233705</v>
      </c>
      <c r="D18816" t="s">
        <v>16006</v>
      </c>
      <c r="E18816">
        <v>-9199.6</v>
      </c>
      <c r="F18816">
        <v>-1.01</v>
      </c>
      <c r="G18816" t="s">
        <v>12</v>
      </c>
      <c r="I18816" t="s">
        <v>1428</v>
      </c>
    </row>
    <row r="18817" spans="1:9" hidden="1" x14ac:dyDescent="0.25">
      <c r="A18817" t="s">
        <v>15965</v>
      </c>
      <c r="B18817" t="s">
        <v>114</v>
      </c>
      <c r="C18817" s="2">
        <f>HYPERLINK("https://cao.dolgi.msk.ru/account/1080233713/", 1080233713)</f>
        <v>1080233713</v>
      </c>
      <c r="D18817" t="s">
        <v>16007</v>
      </c>
      <c r="E18817">
        <v>-2396.8200000000002</v>
      </c>
      <c r="G18817" t="s">
        <v>14</v>
      </c>
      <c r="I18817" t="s">
        <v>1428</v>
      </c>
    </row>
    <row r="18818" spans="1:9" hidden="1" x14ac:dyDescent="0.25">
      <c r="A18818" t="s">
        <v>15965</v>
      </c>
      <c r="B18818" t="s">
        <v>116</v>
      </c>
      <c r="C18818" s="2">
        <f>HYPERLINK("https://cao.dolgi.msk.ru/account/1080233721/", 1080233721)</f>
        <v>1080233721</v>
      </c>
      <c r="D18818" t="s">
        <v>16008</v>
      </c>
      <c r="E18818">
        <v>-5879.94</v>
      </c>
      <c r="F18818">
        <v>-1.3</v>
      </c>
      <c r="G18818" t="s">
        <v>12</v>
      </c>
      <c r="I18818" t="s">
        <v>1428</v>
      </c>
    </row>
    <row r="18819" spans="1:9" hidden="1" x14ac:dyDescent="0.25">
      <c r="A18819" t="s">
        <v>15965</v>
      </c>
      <c r="B18819" t="s">
        <v>118</v>
      </c>
      <c r="C18819" s="2">
        <f>HYPERLINK("https://cao.dolgi.msk.ru/account/1080233748/", 1080233748)</f>
        <v>1080233748</v>
      </c>
      <c r="D18819" t="s">
        <v>16009</v>
      </c>
      <c r="E18819">
        <v>-9391.91</v>
      </c>
      <c r="F18819">
        <v>-1.1599999999999999</v>
      </c>
      <c r="G18819" t="s">
        <v>12</v>
      </c>
      <c r="I18819" t="s">
        <v>1428</v>
      </c>
    </row>
    <row r="18820" spans="1:9" hidden="1" x14ac:dyDescent="0.25">
      <c r="A18820" t="s">
        <v>15965</v>
      </c>
      <c r="B18820" t="s">
        <v>120</v>
      </c>
      <c r="C18820" s="2">
        <f>HYPERLINK("https://cao.dolgi.msk.ru/account/1080233772/", 1080233772)</f>
        <v>1080233772</v>
      </c>
      <c r="D18820" t="s">
        <v>16010</v>
      </c>
      <c r="E18820">
        <v>-2799.15</v>
      </c>
      <c r="F18820">
        <v>-0.31</v>
      </c>
      <c r="G18820" t="s">
        <v>12</v>
      </c>
      <c r="I18820" t="s">
        <v>1428</v>
      </c>
    </row>
    <row r="18821" spans="1:9" hidden="1" x14ac:dyDescent="0.25">
      <c r="A18821" t="s">
        <v>15965</v>
      </c>
      <c r="B18821" t="s">
        <v>122</v>
      </c>
      <c r="C18821" s="2">
        <f>HYPERLINK("https://cao.dolgi.msk.ru/account/1080233799/", 1080233799)</f>
        <v>1080233799</v>
      </c>
      <c r="D18821" t="s">
        <v>16011</v>
      </c>
      <c r="E18821">
        <v>-1195.05</v>
      </c>
      <c r="F18821">
        <v>-0.36</v>
      </c>
      <c r="G18821" t="s">
        <v>12</v>
      </c>
      <c r="I18821" t="s">
        <v>1428</v>
      </c>
    </row>
    <row r="18822" spans="1:9" hidden="1" x14ac:dyDescent="0.25">
      <c r="A18822" t="s">
        <v>15965</v>
      </c>
      <c r="B18822" t="s">
        <v>124</v>
      </c>
      <c r="C18822" s="2">
        <f>HYPERLINK("https://cao.dolgi.msk.ru/account/1080233801/", 1080233801)</f>
        <v>1080233801</v>
      </c>
      <c r="D18822" t="s">
        <v>16012</v>
      </c>
      <c r="E18822">
        <v>-11723.5</v>
      </c>
      <c r="F18822">
        <v>-2.79</v>
      </c>
      <c r="G18822" t="s">
        <v>12</v>
      </c>
      <c r="I18822" t="s">
        <v>1428</v>
      </c>
    </row>
    <row r="18823" spans="1:9" hidden="1" x14ac:dyDescent="0.25">
      <c r="A18823" t="s">
        <v>15965</v>
      </c>
      <c r="B18823" t="s">
        <v>126</v>
      </c>
      <c r="C18823" s="2">
        <f>HYPERLINK("https://cao.dolgi.msk.ru/account/1080233828/", 1080233828)</f>
        <v>1080233828</v>
      </c>
      <c r="D18823" t="s">
        <v>16013</v>
      </c>
      <c r="E18823">
        <v>-6482.25</v>
      </c>
      <c r="F18823">
        <v>-1.34</v>
      </c>
      <c r="G18823" t="s">
        <v>12</v>
      </c>
      <c r="I18823" t="s">
        <v>1428</v>
      </c>
    </row>
    <row r="18824" spans="1:9" hidden="1" x14ac:dyDescent="0.25">
      <c r="A18824" t="s">
        <v>15965</v>
      </c>
      <c r="B18824" t="s">
        <v>128</v>
      </c>
      <c r="C18824" s="2">
        <f>HYPERLINK("https://cao.dolgi.msk.ru/account/1080233836/", 1080233836)</f>
        <v>1080233836</v>
      </c>
      <c r="D18824" t="s">
        <v>15</v>
      </c>
      <c r="E18824">
        <v>-8318.0400000000009</v>
      </c>
      <c r="F18824">
        <v>-1.22</v>
      </c>
      <c r="G18824" t="s">
        <v>12</v>
      </c>
      <c r="I18824" t="s">
        <v>1428</v>
      </c>
    </row>
    <row r="18825" spans="1:9" hidden="1" x14ac:dyDescent="0.25">
      <c r="A18825" t="s">
        <v>15965</v>
      </c>
      <c r="B18825" t="s">
        <v>130</v>
      </c>
      <c r="C18825" s="2">
        <f>HYPERLINK("https://cao.dolgi.msk.ru/account/1080233844/", 1080233844)</f>
        <v>1080233844</v>
      </c>
      <c r="D18825" t="s">
        <v>16014</v>
      </c>
      <c r="E18825">
        <v>-3281.91</v>
      </c>
      <c r="F18825">
        <v>-1.1100000000000001</v>
      </c>
      <c r="G18825" t="s">
        <v>12</v>
      </c>
      <c r="I18825" t="s">
        <v>1428</v>
      </c>
    </row>
    <row r="18826" spans="1:9" hidden="1" x14ac:dyDescent="0.25">
      <c r="A18826" t="s">
        <v>15965</v>
      </c>
      <c r="B18826" t="s">
        <v>132</v>
      </c>
      <c r="C18826" s="2">
        <f>HYPERLINK("https://cao.dolgi.msk.ru/account/1080233852/", 1080233852)</f>
        <v>1080233852</v>
      </c>
      <c r="D18826" t="s">
        <v>15</v>
      </c>
      <c r="E18826">
        <v>-7644.3</v>
      </c>
      <c r="F18826">
        <v>-1.05</v>
      </c>
      <c r="G18826" t="s">
        <v>12</v>
      </c>
      <c r="I18826" t="s">
        <v>1428</v>
      </c>
    </row>
    <row r="18827" spans="1:9" x14ac:dyDescent="0.25">
      <c r="A18827" t="s">
        <v>15965</v>
      </c>
      <c r="B18827" t="s">
        <v>133</v>
      </c>
      <c r="C18827" s="2">
        <f>HYPERLINK("https://cao.dolgi.msk.ru/account/1080233879/", 1080233879)</f>
        <v>1080233879</v>
      </c>
      <c r="D18827" t="s">
        <v>16015</v>
      </c>
      <c r="E18827">
        <v>242916.86</v>
      </c>
      <c r="F18827">
        <v>28.21</v>
      </c>
      <c r="G18827" t="s">
        <v>12</v>
      </c>
      <c r="I18827" t="s">
        <v>1428</v>
      </c>
    </row>
    <row r="18828" spans="1:9" hidden="1" x14ac:dyDescent="0.25">
      <c r="A18828" t="s">
        <v>15965</v>
      </c>
      <c r="B18828" t="s">
        <v>135</v>
      </c>
      <c r="C18828" s="2">
        <f>HYPERLINK("https://cao.dolgi.msk.ru/account/1080233887/", 1080233887)</f>
        <v>1080233887</v>
      </c>
      <c r="D18828" t="s">
        <v>16016</v>
      </c>
      <c r="E18828">
        <v>-7613.33</v>
      </c>
      <c r="F18828">
        <v>-1.1000000000000001</v>
      </c>
      <c r="G18828" t="s">
        <v>12</v>
      </c>
      <c r="I18828" t="s">
        <v>1428</v>
      </c>
    </row>
    <row r="18829" spans="1:9" hidden="1" x14ac:dyDescent="0.25">
      <c r="A18829" t="s">
        <v>15965</v>
      </c>
      <c r="B18829" t="s">
        <v>137</v>
      </c>
      <c r="C18829" s="2">
        <f>HYPERLINK("https://cao.dolgi.msk.ru/account/1080233895/", 1080233895)</f>
        <v>1080233895</v>
      </c>
      <c r="D18829" t="s">
        <v>16017</v>
      </c>
      <c r="E18829">
        <v>-4387.43</v>
      </c>
      <c r="F18829">
        <v>-1.0900000000000001</v>
      </c>
      <c r="G18829" t="s">
        <v>12</v>
      </c>
      <c r="I18829" t="s">
        <v>1428</v>
      </c>
    </row>
    <row r="18830" spans="1:9" hidden="1" x14ac:dyDescent="0.25">
      <c r="A18830" t="s">
        <v>15965</v>
      </c>
      <c r="B18830" t="s">
        <v>139</v>
      </c>
      <c r="C18830" s="2">
        <f>HYPERLINK("https://cao.dolgi.msk.ru/account/1080233908/", 1080233908)</f>
        <v>1080233908</v>
      </c>
      <c r="D18830" t="s">
        <v>16018</v>
      </c>
      <c r="E18830">
        <v>-829.74</v>
      </c>
      <c r="F18830">
        <v>-0.36</v>
      </c>
      <c r="G18830" t="s">
        <v>12</v>
      </c>
      <c r="I18830" t="s">
        <v>1428</v>
      </c>
    </row>
    <row r="18831" spans="1:9" hidden="1" x14ac:dyDescent="0.25">
      <c r="A18831" t="s">
        <v>15965</v>
      </c>
      <c r="B18831" t="s">
        <v>139</v>
      </c>
      <c r="C18831" s="2">
        <f>HYPERLINK("https://cao.dolgi.msk.ru/account/1080324842/", 1080324842)</f>
        <v>1080324842</v>
      </c>
      <c r="D18831" t="s">
        <v>16018</v>
      </c>
      <c r="E18831">
        <v>-32.880000000000003</v>
      </c>
      <c r="F18831">
        <v>-0.01</v>
      </c>
      <c r="G18831" t="s">
        <v>12</v>
      </c>
      <c r="I18831" t="s">
        <v>1428</v>
      </c>
    </row>
    <row r="18832" spans="1:9" hidden="1" x14ac:dyDescent="0.25">
      <c r="A18832" t="s">
        <v>15965</v>
      </c>
      <c r="B18832" t="s">
        <v>141</v>
      </c>
      <c r="C18832" s="2">
        <f>HYPERLINK("https://cao.dolgi.msk.ru/account/1080233916/", 1080233916)</f>
        <v>1080233916</v>
      </c>
      <c r="D18832" t="s">
        <v>16019</v>
      </c>
      <c r="E18832">
        <v>-4270.68</v>
      </c>
      <c r="F18832">
        <v>-1.1200000000000001</v>
      </c>
      <c r="G18832" t="s">
        <v>12</v>
      </c>
      <c r="I18832" t="s">
        <v>1428</v>
      </c>
    </row>
    <row r="18833" spans="1:9" hidden="1" x14ac:dyDescent="0.25">
      <c r="A18833" t="s">
        <v>15965</v>
      </c>
      <c r="B18833" t="s">
        <v>143</v>
      </c>
      <c r="C18833" s="2">
        <f>HYPERLINK("https://cao.dolgi.msk.ru/account/1080233924/", 1080233924)</f>
        <v>1080233924</v>
      </c>
      <c r="D18833" t="s">
        <v>16020</v>
      </c>
      <c r="E18833">
        <v>0</v>
      </c>
      <c r="F18833">
        <v>0</v>
      </c>
      <c r="G18833" t="s">
        <v>12</v>
      </c>
      <c r="I18833" t="s">
        <v>1428</v>
      </c>
    </row>
    <row r="18834" spans="1:9" hidden="1" x14ac:dyDescent="0.25">
      <c r="A18834" t="s">
        <v>15965</v>
      </c>
      <c r="B18834" t="s">
        <v>145</v>
      </c>
      <c r="C18834" s="2">
        <f>HYPERLINK("https://cao.dolgi.msk.ru/account/1080233932/", 1080233932)</f>
        <v>1080233932</v>
      </c>
      <c r="D18834" t="s">
        <v>16021</v>
      </c>
      <c r="E18834">
        <v>-12969.9</v>
      </c>
      <c r="F18834">
        <v>-2.27</v>
      </c>
      <c r="G18834" t="s">
        <v>12</v>
      </c>
      <c r="I18834" t="s">
        <v>1428</v>
      </c>
    </row>
    <row r="18835" spans="1:9" hidden="1" x14ac:dyDescent="0.25">
      <c r="A18835" t="s">
        <v>15965</v>
      </c>
      <c r="B18835" t="s">
        <v>145</v>
      </c>
      <c r="C18835" s="2">
        <f>HYPERLINK("https://cao.dolgi.msk.ru/account/1089127247/", 1089127247)</f>
        <v>1089127247</v>
      </c>
      <c r="D18835" t="s">
        <v>16022</v>
      </c>
      <c r="E18835">
        <v>0</v>
      </c>
      <c r="G18835" t="s">
        <v>14</v>
      </c>
      <c r="I18835" t="s">
        <v>1428</v>
      </c>
    </row>
    <row r="18836" spans="1:9" hidden="1" x14ac:dyDescent="0.25">
      <c r="A18836" t="s">
        <v>15965</v>
      </c>
      <c r="B18836" t="s">
        <v>147</v>
      </c>
      <c r="C18836" s="2">
        <f>HYPERLINK("https://cao.dolgi.msk.ru/account/1080233959/", 1080233959)</f>
        <v>1080233959</v>
      </c>
      <c r="D18836" t="s">
        <v>16023</v>
      </c>
      <c r="E18836">
        <v>-5224.99</v>
      </c>
      <c r="F18836">
        <v>-1.25</v>
      </c>
      <c r="G18836" t="s">
        <v>12</v>
      </c>
      <c r="I18836" t="s">
        <v>1428</v>
      </c>
    </row>
    <row r="18837" spans="1:9" hidden="1" x14ac:dyDescent="0.25">
      <c r="A18837" t="s">
        <v>15965</v>
      </c>
      <c r="B18837" t="s">
        <v>149</v>
      </c>
      <c r="C18837" s="2">
        <f>HYPERLINK("https://cao.dolgi.msk.ru/account/1080233967/", 1080233967)</f>
        <v>1080233967</v>
      </c>
      <c r="D18837" t="s">
        <v>16024</v>
      </c>
      <c r="E18837">
        <v>-9639.65</v>
      </c>
      <c r="F18837">
        <v>-1.18</v>
      </c>
      <c r="G18837" t="s">
        <v>12</v>
      </c>
      <c r="I18837" t="s">
        <v>1428</v>
      </c>
    </row>
    <row r="18838" spans="1:9" hidden="1" x14ac:dyDescent="0.25">
      <c r="A18838" t="s">
        <v>15965</v>
      </c>
      <c r="B18838" t="s">
        <v>151</v>
      </c>
      <c r="C18838" s="2">
        <f>HYPERLINK("https://cao.dolgi.msk.ru/account/1080233975/", 1080233975)</f>
        <v>1080233975</v>
      </c>
      <c r="D18838" t="s">
        <v>16025</v>
      </c>
      <c r="E18838">
        <v>-6817.55</v>
      </c>
      <c r="F18838">
        <v>-1.17</v>
      </c>
      <c r="G18838" t="s">
        <v>12</v>
      </c>
      <c r="I18838" t="s">
        <v>1428</v>
      </c>
    </row>
    <row r="18839" spans="1:9" hidden="1" x14ac:dyDescent="0.25">
      <c r="A18839" t="s">
        <v>15965</v>
      </c>
      <c r="B18839" t="s">
        <v>153</v>
      </c>
      <c r="C18839" s="2">
        <f>HYPERLINK("https://cao.dolgi.msk.ru/account/1080233983/", 1080233983)</f>
        <v>1080233983</v>
      </c>
      <c r="D18839" t="s">
        <v>16026</v>
      </c>
      <c r="E18839">
        <v>467</v>
      </c>
      <c r="G18839" t="s">
        <v>14</v>
      </c>
      <c r="I18839" t="s">
        <v>1428</v>
      </c>
    </row>
    <row r="18840" spans="1:9" hidden="1" x14ac:dyDescent="0.25">
      <c r="A18840" t="s">
        <v>15965</v>
      </c>
      <c r="B18840" t="s">
        <v>153</v>
      </c>
      <c r="C18840" s="2">
        <f>HYPERLINK("https://cao.dolgi.msk.ru/account/1080233991/", 1080233991)</f>
        <v>1080233991</v>
      </c>
      <c r="D18840" t="s">
        <v>16026</v>
      </c>
      <c r="E18840">
        <v>-7584.18</v>
      </c>
      <c r="F18840">
        <v>-1.03</v>
      </c>
      <c r="G18840" t="s">
        <v>12</v>
      </c>
      <c r="I18840" t="s">
        <v>1428</v>
      </c>
    </row>
    <row r="18841" spans="1:9" hidden="1" x14ac:dyDescent="0.25">
      <c r="A18841" t="s">
        <v>15965</v>
      </c>
      <c r="B18841" t="s">
        <v>157</v>
      </c>
      <c r="C18841" s="2">
        <f>HYPERLINK("https://cao.dolgi.msk.ru/account/1080234011/", 1080234011)</f>
        <v>1080234011</v>
      </c>
      <c r="D18841" t="s">
        <v>16027</v>
      </c>
      <c r="E18841">
        <v>-10838.3</v>
      </c>
      <c r="F18841">
        <v>-1.06</v>
      </c>
      <c r="G18841" t="s">
        <v>12</v>
      </c>
      <c r="I18841" t="s">
        <v>1428</v>
      </c>
    </row>
    <row r="18842" spans="1:9" hidden="1" x14ac:dyDescent="0.25">
      <c r="A18842" t="s">
        <v>15965</v>
      </c>
      <c r="B18842" t="s">
        <v>159</v>
      </c>
      <c r="C18842" s="2">
        <f>HYPERLINK("https://cao.dolgi.msk.ru/account/1080234038/", 1080234038)</f>
        <v>1080234038</v>
      </c>
      <c r="D18842" t="s">
        <v>16028</v>
      </c>
      <c r="E18842">
        <v>-5749.71</v>
      </c>
      <c r="F18842">
        <v>-1.1299999999999999</v>
      </c>
      <c r="G18842" t="s">
        <v>12</v>
      </c>
      <c r="I18842" t="s">
        <v>1428</v>
      </c>
    </row>
    <row r="18843" spans="1:9" hidden="1" x14ac:dyDescent="0.25">
      <c r="A18843" t="s">
        <v>15965</v>
      </c>
      <c r="B18843" t="s">
        <v>161</v>
      </c>
      <c r="C18843" s="2">
        <f>HYPERLINK("https://cao.dolgi.msk.ru/account/1080234046/", 1080234046)</f>
        <v>1080234046</v>
      </c>
      <c r="D18843" t="s">
        <v>16029</v>
      </c>
      <c r="E18843">
        <v>-10660.28</v>
      </c>
      <c r="F18843">
        <v>-0.97</v>
      </c>
      <c r="G18843" t="s">
        <v>12</v>
      </c>
      <c r="I18843" t="s">
        <v>1428</v>
      </c>
    </row>
    <row r="18844" spans="1:9" hidden="1" x14ac:dyDescent="0.25">
      <c r="A18844" t="s">
        <v>15965</v>
      </c>
      <c r="B18844" t="s">
        <v>163</v>
      </c>
      <c r="C18844" s="2">
        <f>HYPERLINK("https://cao.dolgi.msk.ru/account/1080234054/", 1080234054)</f>
        <v>1080234054</v>
      </c>
      <c r="D18844" t="s">
        <v>16030</v>
      </c>
      <c r="E18844">
        <v>-17659.650000000001</v>
      </c>
      <c r="F18844">
        <v>-2.16</v>
      </c>
      <c r="G18844" t="s">
        <v>12</v>
      </c>
      <c r="I18844" t="s">
        <v>1428</v>
      </c>
    </row>
    <row r="18845" spans="1:9" hidden="1" x14ac:dyDescent="0.25">
      <c r="A18845" t="s">
        <v>15965</v>
      </c>
      <c r="B18845" t="s">
        <v>571</v>
      </c>
      <c r="C18845" s="2">
        <f>HYPERLINK("https://cao.dolgi.msk.ru/account/1080234062/", 1080234062)</f>
        <v>1080234062</v>
      </c>
      <c r="D18845" t="s">
        <v>16031</v>
      </c>
      <c r="E18845">
        <v>7618.08</v>
      </c>
      <c r="F18845">
        <v>1</v>
      </c>
      <c r="G18845" t="s">
        <v>12</v>
      </c>
      <c r="I18845" t="s">
        <v>1428</v>
      </c>
    </row>
    <row r="18846" spans="1:9" hidden="1" x14ac:dyDescent="0.25">
      <c r="A18846" t="s">
        <v>15965</v>
      </c>
      <c r="B18846" t="s">
        <v>682</v>
      </c>
      <c r="C18846" s="2">
        <f>HYPERLINK("https://cao.dolgi.msk.ru/account/1080234089/", 1080234089)</f>
        <v>1080234089</v>
      </c>
      <c r="D18846" t="s">
        <v>16032</v>
      </c>
      <c r="E18846">
        <v>0</v>
      </c>
      <c r="F18846">
        <v>0</v>
      </c>
      <c r="G18846" t="s">
        <v>12</v>
      </c>
      <c r="I18846" t="s">
        <v>1428</v>
      </c>
    </row>
    <row r="18847" spans="1:9" hidden="1" x14ac:dyDescent="0.25">
      <c r="A18847" t="s">
        <v>15965</v>
      </c>
      <c r="B18847" t="s">
        <v>578</v>
      </c>
      <c r="C18847" s="2">
        <f>HYPERLINK("https://cao.dolgi.msk.ru/account/1080234097/", 1080234097)</f>
        <v>1080234097</v>
      </c>
      <c r="D18847" t="s">
        <v>16033</v>
      </c>
      <c r="E18847">
        <v>-3647.29</v>
      </c>
      <c r="F18847">
        <v>-1.17</v>
      </c>
      <c r="G18847" t="s">
        <v>12</v>
      </c>
      <c r="I18847" t="s">
        <v>1428</v>
      </c>
    </row>
    <row r="18848" spans="1:9" hidden="1" x14ac:dyDescent="0.25">
      <c r="A18848" t="s">
        <v>15965</v>
      </c>
      <c r="B18848" t="s">
        <v>580</v>
      </c>
      <c r="C18848" s="2">
        <f>HYPERLINK("https://cao.dolgi.msk.ru/account/1080234126/", 1080234126)</f>
        <v>1080234126</v>
      </c>
      <c r="D18848" t="s">
        <v>16034</v>
      </c>
      <c r="E18848">
        <v>-6157.88</v>
      </c>
      <c r="F18848">
        <v>-1.1499999999999999</v>
      </c>
      <c r="G18848" t="s">
        <v>12</v>
      </c>
      <c r="I18848" t="s">
        <v>1428</v>
      </c>
    </row>
    <row r="18849" spans="1:9" hidden="1" x14ac:dyDescent="0.25">
      <c r="A18849" t="s">
        <v>15965</v>
      </c>
      <c r="B18849" t="s">
        <v>686</v>
      </c>
      <c r="C18849" s="2">
        <f>HYPERLINK("https://cao.dolgi.msk.ru/account/1080234134/", 1080234134)</f>
        <v>1080234134</v>
      </c>
      <c r="D18849" t="s">
        <v>16035</v>
      </c>
      <c r="E18849">
        <v>-7669.17</v>
      </c>
      <c r="F18849">
        <v>-1.1100000000000001</v>
      </c>
      <c r="G18849" t="s">
        <v>12</v>
      </c>
      <c r="I18849" t="s">
        <v>1428</v>
      </c>
    </row>
    <row r="18850" spans="1:9" x14ac:dyDescent="0.25">
      <c r="A18850" t="s">
        <v>15965</v>
      </c>
      <c r="B18850" t="s">
        <v>582</v>
      </c>
      <c r="C18850" s="2">
        <f>HYPERLINK("https://cao.dolgi.msk.ru/account/1080234142/", 1080234142)</f>
        <v>1080234142</v>
      </c>
      <c r="D18850" t="s">
        <v>15</v>
      </c>
      <c r="E18850">
        <v>8947.94</v>
      </c>
      <c r="F18850">
        <v>1.18</v>
      </c>
      <c r="G18850" t="s">
        <v>12</v>
      </c>
      <c r="I18850" t="s">
        <v>1428</v>
      </c>
    </row>
    <row r="18851" spans="1:9" hidden="1" x14ac:dyDescent="0.25">
      <c r="A18851" t="s">
        <v>15965</v>
      </c>
      <c r="B18851" t="s">
        <v>584</v>
      </c>
      <c r="C18851" s="2">
        <f>HYPERLINK("https://cao.dolgi.msk.ru/account/1080234169/", 1080234169)</f>
        <v>1080234169</v>
      </c>
      <c r="D18851" t="s">
        <v>16036</v>
      </c>
      <c r="E18851">
        <v>-7836.19</v>
      </c>
      <c r="F18851">
        <v>-1.03</v>
      </c>
      <c r="G18851" t="s">
        <v>12</v>
      </c>
      <c r="I18851" t="s">
        <v>1428</v>
      </c>
    </row>
    <row r="18852" spans="1:9" hidden="1" x14ac:dyDescent="0.25">
      <c r="A18852" t="s">
        <v>15965</v>
      </c>
      <c r="B18852" t="s">
        <v>586</v>
      </c>
      <c r="C18852" s="2">
        <f>HYPERLINK("https://cao.dolgi.msk.ru/account/1080234177/", 1080234177)</f>
        <v>1080234177</v>
      </c>
      <c r="D18852" t="s">
        <v>16037</v>
      </c>
      <c r="E18852">
        <v>-10326.299999999999</v>
      </c>
      <c r="F18852">
        <v>-1.06</v>
      </c>
      <c r="G18852" t="s">
        <v>12</v>
      </c>
      <c r="I18852" t="s">
        <v>1428</v>
      </c>
    </row>
    <row r="18853" spans="1:9" hidden="1" x14ac:dyDescent="0.25">
      <c r="A18853" t="s">
        <v>15965</v>
      </c>
      <c r="B18853" t="s">
        <v>588</v>
      </c>
      <c r="C18853" s="2">
        <f>HYPERLINK("https://cao.dolgi.msk.ru/account/1080234185/", 1080234185)</f>
        <v>1080234185</v>
      </c>
      <c r="D18853" t="s">
        <v>16038</v>
      </c>
      <c r="E18853">
        <v>-6604.21</v>
      </c>
      <c r="F18853">
        <v>-1.18</v>
      </c>
      <c r="G18853" t="s">
        <v>12</v>
      </c>
      <c r="I18853" t="s">
        <v>1428</v>
      </c>
    </row>
    <row r="18854" spans="1:9" hidden="1" x14ac:dyDescent="0.25">
      <c r="A18854" t="s">
        <v>15965</v>
      </c>
      <c r="B18854" t="s">
        <v>590</v>
      </c>
      <c r="C18854" s="2">
        <f>HYPERLINK("https://cao.dolgi.msk.ru/account/1080234193/", 1080234193)</f>
        <v>1080234193</v>
      </c>
      <c r="D18854" t="s">
        <v>16039</v>
      </c>
      <c r="E18854">
        <v>0</v>
      </c>
      <c r="F18854">
        <v>0</v>
      </c>
      <c r="G18854" t="s">
        <v>12</v>
      </c>
      <c r="I18854" t="s">
        <v>1428</v>
      </c>
    </row>
    <row r="18855" spans="1:9" hidden="1" x14ac:dyDescent="0.25">
      <c r="A18855" t="s">
        <v>15965</v>
      </c>
      <c r="B18855" t="s">
        <v>693</v>
      </c>
      <c r="C18855" s="2">
        <f>HYPERLINK("https://cao.dolgi.msk.ru/account/1080234206/", 1080234206)</f>
        <v>1080234206</v>
      </c>
      <c r="D18855" t="s">
        <v>16040</v>
      </c>
      <c r="E18855">
        <v>-4076.7</v>
      </c>
      <c r="F18855">
        <v>-1.17</v>
      </c>
      <c r="G18855" t="s">
        <v>12</v>
      </c>
      <c r="I18855" t="s">
        <v>1428</v>
      </c>
    </row>
    <row r="18856" spans="1:9" hidden="1" x14ac:dyDescent="0.25">
      <c r="A18856" t="s">
        <v>15965</v>
      </c>
      <c r="B18856" t="s">
        <v>694</v>
      </c>
      <c r="C18856" s="2">
        <f>HYPERLINK("https://cao.dolgi.msk.ru/account/1080234214/", 1080234214)</f>
        <v>1080234214</v>
      </c>
      <c r="D18856" t="s">
        <v>16041</v>
      </c>
      <c r="E18856">
        <v>0</v>
      </c>
      <c r="F18856">
        <v>0</v>
      </c>
      <c r="G18856" t="s">
        <v>12</v>
      </c>
      <c r="I18856" t="s">
        <v>1428</v>
      </c>
    </row>
    <row r="18857" spans="1:9" hidden="1" x14ac:dyDescent="0.25">
      <c r="A18857" t="s">
        <v>15965</v>
      </c>
      <c r="B18857" t="s">
        <v>696</v>
      </c>
      <c r="C18857" s="2">
        <f>HYPERLINK("https://cao.dolgi.msk.ru/account/1080234222/", 1080234222)</f>
        <v>1080234222</v>
      </c>
      <c r="D18857" t="s">
        <v>16042</v>
      </c>
      <c r="E18857">
        <v>-7429.26</v>
      </c>
      <c r="F18857">
        <v>-1.32</v>
      </c>
      <c r="G18857" t="s">
        <v>12</v>
      </c>
      <c r="I18857" t="s">
        <v>1428</v>
      </c>
    </row>
    <row r="18858" spans="1:9" hidden="1" x14ac:dyDescent="0.25">
      <c r="A18858" t="s">
        <v>15965</v>
      </c>
      <c r="B18858" t="s">
        <v>698</v>
      </c>
      <c r="C18858" s="2">
        <f>HYPERLINK("https://cao.dolgi.msk.ru/account/1080234249/", 1080234249)</f>
        <v>1080234249</v>
      </c>
      <c r="D18858" t="s">
        <v>16043</v>
      </c>
      <c r="E18858">
        <v>-3915.02</v>
      </c>
      <c r="F18858">
        <v>-1.1100000000000001</v>
      </c>
      <c r="G18858" t="s">
        <v>12</v>
      </c>
      <c r="I18858" t="s">
        <v>1428</v>
      </c>
    </row>
    <row r="18859" spans="1:9" hidden="1" x14ac:dyDescent="0.25">
      <c r="A18859" t="s">
        <v>15965</v>
      </c>
      <c r="B18859" t="s">
        <v>700</v>
      </c>
      <c r="C18859" s="2">
        <f>HYPERLINK("https://cao.dolgi.msk.ru/account/1080234257/", 1080234257)</f>
        <v>1080234257</v>
      </c>
      <c r="D18859" t="s">
        <v>16044</v>
      </c>
      <c r="E18859">
        <v>-4588.42</v>
      </c>
      <c r="F18859">
        <v>-1.2</v>
      </c>
      <c r="G18859" t="s">
        <v>12</v>
      </c>
      <c r="I18859" t="s">
        <v>1428</v>
      </c>
    </row>
    <row r="18860" spans="1:9" hidden="1" x14ac:dyDescent="0.25">
      <c r="A18860" t="s">
        <v>15965</v>
      </c>
      <c r="B18860" t="s">
        <v>702</v>
      </c>
      <c r="C18860" s="2">
        <f>HYPERLINK("https://cao.dolgi.msk.ru/account/1080234265/", 1080234265)</f>
        <v>1080234265</v>
      </c>
      <c r="D18860" t="s">
        <v>16045</v>
      </c>
      <c r="E18860">
        <v>-4183.41</v>
      </c>
      <c r="F18860">
        <v>-0.49</v>
      </c>
      <c r="G18860" t="s">
        <v>12</v>
      </c>
      <c r="I18860" t="s">
        <v>1428</v>
      </c>
    </row>
    <row r="18861" spans="1:9" hidden="1" x14ac:dyDescent="0.25">
      <c r="A18861" t="s">
        <v>15965</v>
      </c>
      <c r="B18861" t="s">
        <v>703</v>
      </c>
      <c r="C18861" s="2">
        <f>HYPERLINK("https://cao.dolgi.msk.ru/account/1080234273/", 1080234273)</f>
        <v>1080234273</v>
      </c>
      <c r="D18861" t="s">
        <v>16046</v>
      </c>
      <c r="E18861">
        <v>-3364.32</v>
      </c>
      <c r="F18861">
        <v>-0.71</v>
      </c>
      <c r="G18861" t="s">
        <v>12</v>
      </c>
      <c r="I18861" t="s">
        <v>1428</v>
      </c>
    </row>
    <row r="18862" spans="1:9" hidden="1" x14ac:dyDescent="0.25">
      <c r="A18862" t="s">
        <v>15965</v>
      </c>
      <c r="B18862" t="s">
        <v>705</v>
      </c>
      <c r="C18862" s="2">
        <f>HYPERLINK("https://cao.dolgi.msk.ru/account/1080234281/", 1080234281)</f>
        <v>1080234281</v>
      </c>
      <c r="D18862" t="s">
        <v>16047</v>
      </c>
      <c r="E18862">
        <v>-4482.3100000000004</v>
      </c>
      <c r="F18862">
        <v>-1.1299999999999999</v>
      </c>
      <c r="G18862" t="s">
        <v>12</v>
      </c>
      <c r="I18862" t="s">
        <v>1428</v>
      </c>
    </row>
    <row r="18863" spans="1:9" x14ac:dyDescent="0.25">
      <c r="A18863" t="s">
        <v>15965</v>
      </c>
      <c r="B18863" t="s">
        <v>707</v>
      </c>
      <c r="C18863" s="2">
        <f>HYPERLINK("https://cao.dolgi.msk.ru/account/1080234302/", 1080234302)</f>
        <v>1080234302</v>
      </c>
      <c r="D18863" t="s">
        <v>16048</v>
      </c>
      <c r="E18863">
        <v>5765.24</v>
      </c>
      <c r="F18863">
        <v>1.1200000000000001</v>
      </c>
      <c r="G18863" t="s">
        <v>12</v>
      </c>
      <c r="I18863" t="s">
        <v>1428</v>
      </c>
    </row>
    <row r="18864" spans="1:9" hidden="1" x14ac:dyDescent="0.25">
      <c r="A18864" t="s">
        <v>15965</v>
      </c>
      <c r="B18864" t="s">
        <v>709</v>
      </c>
      <c r="C18864" s="2">
        <f>HYPERLINK("https://cao.dolgi.msk.ru/account/1080234329/", 1080234329)</f>
        <v>1080234329</v>
      </c>
      <c r="D18864" t="s">
        <v>16049</v>
      </c>
      <c r="E18864">
        <v>0</v>
      </c>
      <c r="F18864">
        <v>0</v>
      </c>
      <c r="G18864" t="s">
        <v>12</v>
      </c>
      <c r="I18864" t="s">
        <v>1428</v>
      </c>
    </row>
    <row r="18865" spans="1:9" hidden="1" x14ac:dyDescent="0.25">
      <c r="A18865" t="s">
        <v>15965</v>
      </c>
      <c r="B18865" t="s">
        <v>711</v>
      </c>
      <c r="C18865" s="2">
        <f>HYPERLINK("https://cao.dolgi.msk.ru/account/1080234337/", 1080234337)</f>
        <v>1080234337</v>
      </c>
      <c r="D18865" t="s">
        <v>16050</v>
      </c>
      <c r="E18865">
        <v>6111.87</v>
      </c>
      <c r="F18865">
        <v>0.97</v>
      </c>
      <c r="G18865" t="s">
        <v>12</v>
      </c>
      <c r="I18865" t="s">
        <v>1428</v>
      </c>
    </row>
    <row r="18866" spans="1:9" hidden="1" x14ac:dyDescent="0.25">
      <c r="A18866" t="s">
        <v>15965</v>
      </c>
      <c r="B18866" t="s">
        <v>713</v>
      </c>
      <c r="C18866" s="2">
        <f>HYPERLINK("https://cao.dolgi.msk.ru/account/1080234345/", 1080234345)</f>
        <v>1080234345</v>
      </c>
      <c r="D18866" t="s">
        <v>16051</v>
      </c>
      <c r="E18866">
        <v>-4777.42</v>
      </c>
      <c r="F18866">
        <v>-1.1299999999999999</v>
      </c>
      <c r="G18866" t="s">
        <v>12</v>
      </c>
      <c r="I18866" t="s">
        <v>1428</v>
      </c>
    </row>
    <row r="18867" spans="1:9" hidden="1" x14ac:dyDescent="0.25">
      <c r="A18867" t="s">
        <v>15965</v>
      </c>
      <c r="B18867" t="s">
        <v>528</v>
      </c>
      <c r="C18867" s="2">
        <f>HYPERLINK("https://cao.dolgi.msk.ru/account/1080234353/", 1080234353)</f>
        <v>1080234353</v>
      </c>
      <c r="D18867" t="s">
        <v>16052</v>
      </c>
      <c r="E18867">
        <v>-6161.65</v>
      </c>
      <c r="F18867">
        <v>-1.19</v>
      </c>
      <c r="G18867" t="s">
        <v>12</v>
      </c>
      <c r="I18867" t="s">
        <v>1428</v>
      </c>
    </row>
    <row r="18868" spans="1:9" hidden="1" x14ac:dyDescent="0.25">
      <c r="A18868" t="s">
        <v>15965</v>
      </c>
      <c r="B18868" t="s">
        <v>530</v>
      </c>
      <c r="C18868" s="2">
        <f>HYPERLINK("https://cao.dolgi.msk.ru/account/1080319613/", 1080319613)</f>
        <v>1080319613</v>
      </c>
      <c r="D18868" t="s">
        <v>16053</v>
      </c>
      <c r="E18868">
        <v>-6952.3</v>
      </c>
      <c r="F18868">
        <v>-1.24</v>
      </c>
      <c r="G18868" t="s">
        <v>12</v>
      </c>
      <c r="I18868" t="s">
        <v>1428</v>
      </c>
    </row>
    <row r="18869" spans="1:9" hidden="1" x14ac:dyDescent="0.25">
      <c r="A18869" t="s">
        <v>15965</v>
      </c>
      <c r="B18869" t="s">
        <v>532</v>
      </c>
      <c r="C18869" s="2">
        <f>HYPERLINK("https://cao.dolgi.msk.ru/account/1080234388/", 1080234388)</f>
        <v>1080234388</v>
      </c>
      <c r="D18869" t="s">
        <v>16054</v>
      </c>
      <c r="E18869">
        <v>80.599999999999994</v>
      </c>
      <c r="F18869">
        <v>0.01</v>
      </c>
      <c r="G18869" t="s">
        <v>12</v>
      </c>
      <c r="I18869" t="s">
        <v>1428</v>
      </c>
    </row>
    <row r="18870" spans="1:9" hidden="1" x14ac:dyDescent="0.25">
      <c r="A18870" t="s">
        <v>15965</v>
      </c>
      <c r="B18870" t="s">
        <v>534</v>
      </c>
      <c r="C18870" s="2">
        <f>HYPERLINK("https://cao.dolgi.msk.ru/account/1080234396/", 1080234396)</f>
        <v>1080234396</v>
      </c>
      <c r="D18870" t="s">
        <v>16055</v>
      </c>
      <c r="E18870">
        <v>-5613.44</v>
      </c>
      <c r="F18870">
        <v>-1.07</v>
      </c>
      <c r="G18870" t="s">
        <v>12</v>
      </c>
      <c r="I18870" t="s">
        <v>1428</v>
      </c>
    </row>
    <row r="18871" spans="1:9" x14ac:dyDescent="0.25">
      <c r="A18871" t="s">
        <v>15965</v>
      </c>
      <c r="B18871" t="s">
        <v>536</v>
      </c>
      <c r="C18871" s="2">
        <f>HYPERLINK("https://cao.dolgi.msk.ru/account/1080234409/", 1080234409)</f>
        <v>1080234409</v>
      </c>
      <c r="D18871" t="s">
        <v>16056</v>
      </c>
      <c r="E18871">
        <v>12106.22</v>
      </c>
      <c r="F18871">
        <v>1.98</v>
      </c>
      <c r="G18871" t="s">
        <v>12</v>
      </c>
      <c r="I18871" t="s">
        <v>1428</v>
      </c>
    </row>
    <row r="18872" spans="1:9" hidden="1" x14ac:dyDescent="0.25">
      <c r="A18872" t="s">
        <v>15965</v>
      </c>
      <c r="B18872" t="s">
        <v>538</v>
      </c>
      <c r="C18872" s="2">
        <f>HYPERLINK("https://cao.dolgi.msk.ru/account/1080234417/", 1080234417)</f>
        <v>1080234417</v>
      </c>
      <c r="D18872" t="s">
        <v>16057</v>
      </c>
      <c r="E18872">
        <v>12761.36</v>
      </c>
      <c r="F18872">
        <v>1</v>
      </c>
      <c r="G18872" t="s">
        <v>12</v>
      </c>
      <c r="I18872" t="s">
        <v>1428</v>
      </c>
    </row>
    <row r="18873" spans="1:9" hidden="1" x14ac:dyDescent="0.25">
      <c r="A18873" t="s">
        <v>15965</v>
      </c>
      <c r="B18873" t="s">
        <v>538</v>
      </c>
      <c r="C18873" s="2">
        <f>HYPERLINK("https://cao.dolgi.msk.ru/account/1080234425/", 1080234425)</f>
        <v>1080234425</v>
      </c>
      <c r="D18873" t="s">
        <v>16058</v>
      </c>
      <c r="G18873" t="s">
        <v>14</v>
      </c>
      <c r="I18873" t="s">
        <v>1428</v>
      </c>
    </row>
    <row r="18874" spans="1:9" hidden="1" x14ac:dyDescent="0.25">
      <c r="A18874" t="s">
        <v>15965</v>
      </c>
      <c r="B18874" t="s">
        <v>538</v>
      </c>
      <c r="C18874" s="2">
        <f>HYPERLINK("https://cao.dolgi.msk.ru/account/1080320323/", 1080320323)</f>
        <v>1080320323</v>
      </c>
      <c r="D18874" t="s">
        <v>16059</v>
      </c>
      <c r="G18874" t="s">
        <v>14</v>
      </c>
      <c r="I18874" t="s">
        <v>1428</v>
      </c>
    </row>
    <row r="18875" spans="1:9" hidden="1" x14ac:dyDescent="0.25">
      <c r="A18875" t="s">
        <v>15965</v>
      </c>
      <c r="B18875" t="s">
        <v>539</v>
      </c>
      <c r="C18875" s="2">
        <f>HYPERLINK("https://cao.dolgi.msk.ru/account/1080234441/", 1080234441)</f>
        <v>1080234441</v>
      </c>
      <c r="D18875" t="s">
        <v>16060</v>
      </c>
      <c r="E18875">
        <v>-10276.73</v>
      </c>
      <c r="F18875">
        <v>-1.2</v>
      </c>
      <c r="G18875" t="s">
        <v>12</v>
      </c>
      <c r="I18875" t="s">
        <v>1428</v>
      </c>
    </row>
    <row r="18876" spans="1:9" hidden="1" x14ac:dyDescent="0.25">
      <c r="A18876" t="s">
        <v>15965</v>
      </c>
      <c r="B18876" t="s">
        <v>541</v>
      </c>
      <c r="C18876" s="2">
        <f>HYPERLINK("https://cao.dolgi.msk.ru/account/1080234468/", 1080234468)</f>
        <v>1080234468</v>
      </c>
      <c r="D18876" t="s">
        <v>16061</v>
      </c>
      <c r="E18876">
        <v>-6727.42</v>
      </c>
      <c r="F18876">
        <v>-1.18</v>
      </c>
      <c r="G18876" t="s">
        <v>12</v>
      </c>
      <c r="I18876" t="s">
        <v>1428</v>
      </c>
    </row>
    <row r="18877" spans="1:9" hidden="1" x14ac:dyDescent="0.25">
      <c r="A18877" t="s">
        <v>15965</v>
      </c>
      <c r="B18877" t="s">
        <v>543</v>
      </c>
      <c r="C18877" s="2">
        <f>HYPERLINK("https://cao.dolgi.msk.ru/account/1080234476/", 1080234476)</f>
        <v>1080234476</v>
      </c>
      <c r="D18877" t="s">
        <v>16062</v>
      </c>
      <c r="E18877">
        <v>-27.46</v>
      </c>
      <c r="F18877">
        <v>0</v>
      </c>
      <c r="G18877" t="s">
        <v>12</v>
      </c>
      <c r="I18877" t="s">
        <v>1428</v>
      </c>
    </row>
    <row r="18878" spans="1:9" hidden="1" x14ac:dyDescent="0.25">
      <c r="A18878" t="s">
        <v>15965</v>
      </c>
      <c r="B18878" t="s">
        <v>545</v>
      </c>
      <c r="C18878" s="2">
        <f>HYPERLINK("https://cao.dolgi.msk.ru/account/1080234484/", 1080234484)</f>
        <v>1080234484</v>
      </c>
      <c r="D18878" t="s">
        <v>16063</v>
      </c>
      <c r="E18878">
        <v>8391.39</v>
      </c>
      <c r="F18878">
        <v>0.87</v>
      </c>
      <c r="G18878" t="s">
        <v>12</v>
      </c>
      <c r="I18878" t="s">
        <v>1428</v>
      </c>
    </row>
    <row r="18879" spans="1:9" x14ac:dyDescent="0.25">
      <c r="A18879" t="s">
        <v>15965</v>
      </c>
      <c r="B18879" t="s">
        <v>546</v>
      </c>
      <c r="C18879" s="2">
        <f>HYPERLINK("https://cao.dolgi.msk.ru/account/1080234492/", 1080234492)</f>
        <v>1080234492</v>
      </c>
      <c r="D18879" t="s">
        <v>15</v>
      </c>
      <c r="E18879">
        <v>28190.78</v>
      </c>
      <c r="F18879">
        <v>5</v>
      </c>
      <c r="G18879" t="s">
        <v>12</v>
      </c>
      <c r="I18879" t="s">
        <v>1428</v>
      </c>
    </row>
    <row r="18880" spans="1:9" hidden="1" x14ac:dyDescent="0.25">
      <c r="A18880" t="s">
        <v>15965</v>
      </c>
      <c r="B18880" t="s">
        <v>546</v>
      </c>
      <c r="C18880" s="2">
        <f>HYPERLINK("https://cao.dolgi.msk.ru/account/1083391602/", 1083391602)</f>
        <v>1083391602</v>
      </c>
      <c r="D18880" t="s">
        <v>189</v>
      </c>
      <c r="E18880">
        <v>-1414.22</v>
      </c>
      <c r="F18880">
        <v>-1.18</v>
      </c>
      <c r="G18880" t="s">
        <v>12</v>
      </c>
      <c r="I18880" t="s">
        <v>1428</v>
      </c>
    </row>
    <row r="18881" spans="1:9" x14ac:dyDescent="0.25">
      <c r="A18881" t="s">
        <v>15965</v>
      </c>
      <c r="B18881" t="s">
        <v>548</v>
      </c>
      <c r="C18881" s="2">
        <f>HYPERLINK("https://cao.dolgi.msk.ru/account/1080234505/", 1080234505)</f>
        <v>1080234505</v>
      </c>
      <c r="D18881" t="s">
        <v>16064</v>
      </c>
      <c r="E18881">
        <v>12533.61</v>
      </c>
      <c r="F18881">
        <v>3</v>
      </c>
      <c r="G18881" t="s">
        <v>12</v>
      </c>
      <c r="I18881" t="s">
        <v>1428</v>
      </c>
    </row>
    <row r="18882" spans="1:9" hidden="1" x14ac:dyDescent="0.25">
      <c r="A18882" t="s">
        <v>15965</v>
      </c>
      <c r="B18882" t="s">
        <v>727</v>
      </c>
      <c r="C18882" s="2">
        <f>HYPERLINK("https://cao.dolgi.msk.ru/account/1080234513/", 1080234513)</f>
        <v>1080234513</v>
      </c>
      <c r="D18882" t="s">
        <v>16065</v>
      </c>
      <c r="E18882">
        <v>21.75</v>
      </c>
      <c r="F18882">
        <v>0</v>
      </c>
      <c r="G18882" t="s">
        <v>12</v>
      </c>
      <c r="I18882" t="s">
        <v>1428</v>
      </c>
    </row>
    <row r="18883" spans="1:9" hidden="1" x14ac:dyDescent="0.25">
      <c r="A18883" t="s">
        <v>15965</v>
      </c>
      <c r="B18883" t="s">
        <v>551</v>
      </c>
      <c r="C18883" s="2">
        <f>HYPERLINK("https://cao.dolgi.msk.ru/account/1080234548/", 1080234548)</f>
        <v>1080234548</v>
      </c>
      <c r="D18883" t="s">
        <v>16066</v>
      </c>
      <c r="E18883">
        <v>-150.85</v>
      </c>
      <c r="F18883">
        <v>-0.02</v>
      </c>
      <c r="G18883" t="s">
        <v>12</v>
      </c>
      <c r="I18883" t="s">
        <v>1428</v>
      </c>
    </row>
    <row r="18884" spans="1:9" hidden="1" x14ac:dyDescent="0.25">
      <c r="A18884" t="s">
        <v>15965</v>
      </c>
      <c r="B18884" t="s">
        <v>730</v>
      </c>
      <c r="C18884" s="2">
        <f>HYPERLINK("https://cao.dolgi.msk.ru/account/1080234556/", 1080234556)</f>
        <v>1080234556</v>
      </c>
      <c r="D18884" t="s">
        <v>16067</v>
      </c>
      <c r="E18884">
        <v>-6208.05</v>
      </c>
      <c r="F18884">
        <v>-0.94</v>
      </c>
      <c r="G18884" t="s">
        <v>12</v>
      </c>
      <c r="I18884" t="s">
        <v>1428</v>
      </c>
    </row>
    <row r="18885" spans="1:9" hidden="1" x14ac:dyDescent="0.25">
      <c r="A18885" t="s">
        <v>15965</v>
      </c>
      <c r="B18885" t="s">
        <v>732</v>
      </c>
      <c r="C18885" s="2">
        <f>HYPERLINK("https://cao.dolgi.msk.ru/account/1080234564/", 1080234564)</f>
        <v>1080234564</v>
      </c>
      <c r="D18885" t="s">
        <v>16068</v>
      </c>
      <c r="E18885">
        <v>-5387.79</v>
      </c>
      <c r="F18885">
        <v>-0.75</v>
      </c>
      <c r="G18885" t="s">
        <v>12</v>
      </c>
      <c r="I18885" t="s">
        <v>1428</v>
      </c>
    </row>
    <row r="18886" spans="1:9" hidden="1" x14ac:dyDescent="0.25">
      <c r="A18886" t="s">
        <v>15965</v>
      </c>
      <c r="B18886" t="s">
        <v>553</v>
      </c>
      <c r="C18886" s="2">
        <f>HYPERLINK("https://cao.dolgi.msk.ru/account/1080234572/", 1080234572)</f>
        <v>1080234572</v>
      </c>
      <c r="D18886" t="s">
        <v>1082</v>
      </c>
      <c r="E18886">
        <v>166182.20000000001</v>
      </c>
      <c r="G18886" t="s">
        <v>12</v>
      </c>
      <c r="I18886" t="s">
        <v>1428</v>
      </c>
    </row>
    <row r="18887" spans="1:9" hidden="1" x14ac:dyDescent="0.25">
      <c r="A18887" t="s">
        <v>15965</v>
      </c>
      <c r="B18887" t="s">
        <v>553</v>
      </c>
      <c r="C18887" s="2">
        <f>HYPERLINK("https://cao.dolgi.msk.ru/account/1083392111/", 1083392111)</f>
        <v>1083392111</v>
      </c>
      <c r="D18887" t="s">
        <v>189</v>
      </c>
      <c r="E18887">
        <v>-5520.21</v>
      </c>
      <c r="F18887">
        <v>-0.98</v>
      </c>
      <c r="G18887" t="s">
        <v>12</v>
      </c>
      <c r="I18887" t="s">
        <v>1428</v>
      </c>
    </row>
    <row r="18888" spans="1:9" hidden="1" x14ac:dyDescent="0.25">
      <c r="A18888" t="s">
        <v>15965</v>
      </c>
      <c r="B18888" t="s">
        <v>555</v>
      </c>
      <c r="C18888" s="2">
        <f>HYPERLINK("https://cao.dolgi.msk.ru/account/1080234599/", 1080234599)</f>
        <v>1080234599</v>
      </c>
      <c r="D18888" t="s">
        <v>16069</v>
      </c>
      <c r="E18888">
        <v>-68.88</v>
      </c>
      <c r="F18888">
        <v>-0.01</v>
      </c>
      <c r="G18888" t="s">
        <v>12</v>
      </c>
      <c r="I18888" t="s">
        <v>1428</v>
      </c>
    </row>
    <row r="18889" spans="1:9" hidden="1" x14ac:dyDescent="0.25">
      <c r="A18889" t="s">
        <v>15965</v>
      </c>
      <c r="B18889" t="s">
        <v>736</v>
      </c>
      <c r="C18889" s="2">
        <f>HYPERLINK("https://cao.dolgi.msk.ru/account/1080234601/", 1080234601)</f>
        <v>1080234601</v>
      </c>
      <c r="D18889" t="s">
        <v>16070</v>
      </c>
      <c r="E18889">
        <v>-8908.7000000000007</v>
      </c>
      <c r="F18889">
        <v>-1.24</v>
      </c>
      <c r="G18889" t="s">
        <v>12</v>
      </c>
      <c r="I18889" t="s">
        <v>1428</v>
      </c>
    </row>
    <row r="18890" spans="1:9" hidden="1" x14ac:dyDescent="0.25">
      <c r="A18890" t="s">
        <v>15965</v>
      </c>
      <c r="B18890" t="s">
        <v>738</v>
      </c>
      <c r="C18890" s="2">
        <f>HYPERLINK("https://cao.dolgi.msk.ru/account/1080234628/", 1080234628)</f>
        <v>1080234628</v>
      </c>
      <c r="D18890" t="s">
        <v>16071</v>
      </c>
      <c r="E18890">
        <v>-6409.24</v>
      </c>
      <c r="F18890">
        <v>-1.28</v>
      </c>
      <c r="G18890" t="s">
        <v>12</v>
      </c>
      <c r="I18890" t="s">
        <v>1428</v>
      </c>
    </row>
    <row r="18891" spans="1:9" hidden="1" x14ac:dyDescent="0.25">
      <c r="A18891" t="s">
        <v>15965</v>
      </c>
      <c r="B18891" t="s">
        <v>740</v>
      </c>
      <c r="C18891" s="2">
        <f>HYPERLINK("https://cao.dolgi.msk.ru/account/1080234636/", 1080234636)</f>
        <v>1080234636</v>
      </c>
      <c r="D18891" t="s">
        <v>16072</v>
      </c>
      <c r="E18891">
        <v>-8211.18</v>
      </c>
      <c r="F18891">
        <v>-1.0900000000000001</v>
      </c>
      <c r="G18891" t="s">
        <v>12</v>
      </c>
      <c r="I18891" t="s">
        <v>1428</v>
      </c>
    </row>
    <row r="18892" spans="1:9" x14ac:dyDescent="0.25">
      <c r="A18892" t="s">
        <v>15965</v>
      </c>
      <c r="B18892" t="s">
        <v>742</v>
      </c>
      <c r="C18892" s="2">
        <f>HYPERLINK("https://cao.dolgi.msk.ru/account/1080234644/", 1080234644)</f>
        <v>1080234644</v>
      </c>
      <c r="D18892" t="s">
        <v>16073</v>
      </c>
      <c r="E18892">
        <v>76460.72</v>
      </c>
      <c r="F18892">
        <v>7.68</v>
      </c>
      <c r="G18892" t="s">
        <v>12</v>
      </c>
      <c r="I18892" t="s">
        <v>1428</v>
      </c>
    </row>
    <row r="18893" spans="1:9" hidden="1" x14ac:dyDescent="0.25">
      <c r="A18893" t="s">
        <v>15965</v>
      </c>
      <c r="B18893" t="s">
        <v>557</v>
      </c>
      <c r="C18893" s="2">
        <f>HYPERLINK("https://cao.dolgi.msk.ru/account/1080234652/", 1080234652)</f>
        <v>1080234652</v>
      </c>
      <c r="D18893" t="s">
        <v>16074</v>
      </c>
      <c r="E18893">
        <v>-9446.9699999999993</v>
      </c>
      <c r="F18893">
        <v>-1.02</v>
      </c>
      <c r="G18893" t="s">
        <v>12</v>
      </c>
      <c r="I18893" t="s">
        <v>1428</v>
      </c>
    </row>
    <row r="18894" spans="1:9" hidden="1" x14ac:dyDescent="0.25">
      <c r="A18894" t="s">
        <v>15965</v>
      </c>
      <c r="B18894" t="s">
        <v>558</v>
      </c>
      <c r="C18894" s="2">
        <f>HYPERLINK("https://cao.dolgi.msk.ru/account/1080234679/", 1080234679)</f>
        <v>1080234679</v>
      </c>
      <c r="D18894" t="s">
        <v>16075</v>
      </c>
      <c r="E18894">
        <v>-3189.03</v>
      </c>
      <c r="F18894">
        <v>-1.06</v>
      </c>
      <c r="G18894" t="s">
        <v>12</v>
      </c>
      <c r="I18894" t="s">
        <v>1428</v>
      </c>
    </row>
    <row r="18895" spans="1:9" hidden="1" x14ac:dyDescent="0.25">
      <c r="A18895" t="s">
        <v>15965</v>
      </c>
      <c r="B18895" t="s">
        <v>746</v>
      </c>
      <c r="C18895" s="2">
        <f>HYPERLINK("https://cao.dolgi.msk.ru/account/1080234687/", 1080234687)</f>
        <v>1080234687</v>
      </c>
      <c r="D18895" t="s">
        <v>16076</v>
      </c>
      <c r="E18895">
        <v>-7199.29</v>
      </c>
      <c r="F18895">
        <v>-1.33</v>
      </c>
      <c r="G18895" t="s">
        <v>12</v>
      </c>
      <c r="I18895" t="s">
        <v>1428</v>
      </c>
    </row>
    <row r="18896" spans="1:9" hidden="1" x14ac:dyDescent="0.25">
      <c r="A18896" t="s">
        <v>15965</v>
      </c>
      <c r="B18896" t="s">
        <v>748</v>
      </c>
      <c r="C18896" s="2">
        <f>HYPERLINK("https://cao.dolgi.msk.ru/account/1080234695/", 1080234695)</f>
        <v>1080234695</v>
      </c>
      <c r="D18896" t="s">
        <v>16077</v>
      </c>
      <c r="E18896">
        <v>-58264.27</v>
      </c>
      <c r="F18896">
        <v>-3.01</v>
      </c>
      <c r="G18896" t="s">
        <v>12</v>
      </c>
      <c r="I18896" t="s">
        <v>1428</v>
      </c>
    </row>
    <row r="18897" spans="1:9" hidden="1" x14ac:dyDescent="0.25">
      <c r="A18897" t="s">
        <v>15965</v>
      </c>
      <c r="B18897" t="s">
        <v>750</v>
      </c>
      <c r="C18897" s="2">
        <f>HYPERLINK("https://cao.dolgi.msk.ru/account/1080234708/", 1080234708)</f>
        <v>1080234708</v>
      </c>
      <c r="D18897" t="s">
        <v>16078</v>
      </c>
      <c r="E18897">
        <v>0</v>
      </c>
      <c r="F18897">
        <v>0</v>
      </c>
      <c r="G18897" t="s">
        <v>12</v>
      </c>
      <c r="I18897" t="s">
        <v>1428</v>
      </c>
    </row>
    <row r="18898" spans="1:9" hidden="1" x14ac:dyDescent="0.25">
      <c r="A18898" t="s">
        <v>15965</v>
      </c>
      <c r="B18898" t="s">
        <v>752</v>
      </c>
      <c r="C18898" s="2">
        <f>HYPERLINK("https://cao.dolgi.msk.ru/account/1080234716/", 1080234716)</f>
        <v>1080234716</v>
      </c>
      <c r="D18898" t="s">
        <v>16079</v>
      </c>
      <c r="E18898">
        <v>-7080.46</v>
      </c>
      <c r="F18898">
        <v>-1.1499999999999999</v>
      </c>
      <c r="G18898" t="s">
        <v>12</v>
      </c>
      <c r="I18898" t="s">
        <v>1428</v>
      </c>
    </row>
    <row r="18899" spans="1:9" hidden="1" x14ac:dyDescent="0.25">
      <c r="A18899" t="s">
        <v>15965</v>
      </c>
      <c r="B18899" t="s">
        <v>754</v>
      </c>
      <c r="C18899" s="2">
        <f>HYPERLINK("https://cao.dolgi.msk.ru/account/1080234724/", 1080234724)</f>
        <v>1080234724</v>
      </c>
      <c r="D18899" t="s">
        <v>16080</v>
      </c>
      <c r="E18899">
        <v>-12130.35</v>
      </c>
      <c r="F18899">
        <v>-1.93</v>
      </c>
      <c r="G18899" t="s">
        <v>12</v>
      </c>
      <c r="I18899" t="s">
        <v>1428</v>
      </c>
    </row>
    <row r="18900" spans="1:9" hidden="1" x14ac:dyDescent="0.25">
      <c r="A18900" t="s">
        <v>15965</v>
      </c>
      <c r="B18900" t="s">
        <v>756</v>
      </c>
      <c r="C18900" s="2">
        <f>HYPERLINK("https://cao.dolgi.msk.ru/account/1080234732/", 1080234732)</f>
        <v>1080234732</v>
      </c>
      <c r="D18900" t="s">
        <v>16081</v>
      </c>
      <c r="E18900">
        <v>-13118.48</v>
      </c>
      <c r="F18900">
        <v>-1.01</v>
      </c>
      <c r="G18900" t="s">
        <v>12</v>
      </c>
      <c r="I18900" t="s">
        <v>1428</v>
      </c>
    </row>
    <row r="18901" spans="1:9" hidden="1" x14ac:dyDescent="0.25">
      <c r="A18901" t="s">
        <v>15965</v>
      </c>
      <c r="B18901" t="s">
        <v>758</v>
      </c>
      <c r="C18901" s="2">
        <f>HYPERLINK("https://cao.dolgi.msk.ru/account/1080234759/", 1080234759)</f>
        <v>1080234759</v>
      </c>
      <c r="D18901" t="s">
        <v>16082</v>
      </c>
      <c r="E18901">
        <v>-7208.69</v>
      </c>
      <c r="F18901">
        <v>-1.19</v>
      </c>
      <c r="G18901" t="s">
        <v>12</v>
      </c>
      <c r="I18901" t="s">
        <v>1428</v>
      </c>
    </row>
    <row r="18902" spans="1:9" hidden="1" x14ac:dyDescent="0.25">
      <c r="A18902" t="s">
        <v>15965</v>
      </c>
      <c r="B18902" t="s">
        <v>760</v>
      </c>
      <c r="C18902" s="2">
        <f>HYPERLINK("https://cao.dolgi.msk.ru/account/1080234767/", 1080234767)</f>
        <v>1080234767</v>
      </c>
      <c r="D18902" t="s">
        <v>16083</v>
      </c>
      <c r="E18902">
        <v>-5314.75</v>
      </c>
      <c r="F18902">
        <v>-1.24</v>
      </c>
      <c r="G18902" t="s">
        <v>12</v>
      </c>
      <c r="I18902" t="s">
        <v>1428</v>
      </c>
    </row>
    <row r="18903" spans="1:9" hidden="1" x14ac:dyDescent="0.25">
      <c r="A18903" t="s">
        <v>15965</v>
      </c>
      <c r="B18903" t="s">
        <v>762</v>
      </c>
      <c r="C18903" s="2">
        <f>HYPERLINK("https://cao.dolgi.msk.ru/account/1080234775/", 1080234775)</f>
        <v>1080234775</v>
      </c>
      <c r="D18903" t="s">
        <v>16084</v>
      </c>
      <c r="E18903">
        <v>-7418.93</v>
      </c>
      <c r="F18903">
        <v>-1.08</v>
      </c>
      <c r="G18903" t="s">
        <v>12</v>
      </c>
      <c r="I18903" t="s">
        <v>1428</v>
      </c>
    </row>
    <row r="18904" spans="1:9" x14ac:dyDescent="0.25">
      <c r="A18904" t="s">
        <v>15965</v>
      </c>
      <c r="B18904" t="s">
        <v>764</v>
      </c>
      <c r="C18904" s="2">
        <f>HYPERLINK("https://cao.dolgi.msk.ru/account/1080234783/", 1080234783)</f>
        <v>1080234783</v>
      </c>
      <c r="D18904" t="s">
        <v>16085</v>
      </c>
      <c r="E18904">
        <v>22864.53</v>
      </c>
      <c r="F18904">
        <v>3.04</v>
      </c>
      <c r="G18904" t="s">
        <v>12</v>
      </c>
      <c r="I18904" t="s">
        <v>1428</v>
      </c>
    </row>
    <row r="18905" spans="1:9" hidden="1" x14ac:dyDescent="0.25">
      <c r="A18905" t="s">
        <v>16086</v>
      </c>
      <c r="B18905" t="s">
        <v>18</v>
      </c>
      <c r="C18905" s="2">
        <f>HYPERLINK("https://cao.dolgi.msk.ru/account/1080231451/", 1080231451)</f>
        <v>1080231451</v>
      </c>
      <c r="D18905" t="s">
        <v>16087</v>
      </c>
      <c r="E18905">
        <v>-9147.41</v>
      </c>
      <c r="F18905">
        <v>-1.1599999999999999</v>
      </c>
      <c r="G18905" t="s">
        <v>12</v>
      </c>
      <c r="I18905" t="s">
        <v>1428</v>
      </c>
    </row>
    <row r="18906" spans="1:9" hidden="1" x14ac:dyDescent="0.25">
      <c r="A18906" t="s">
        <v>16086</v>
      </c>
      <c r="B18906" t="s">
        <v>20</v>
      </c>
      <c r="C18906" s="2">
        <f>HYPERLINK("https://cao.dolgi.msk.ru/account/1080231478/", 1080231478)</f>
        <v>1080231478</v>
      </c>
      <c r="D18906" t="s">
        <v>16088</v>
      </c>
      <c r="E18906">
        <v>-9.6999999999999993</v>
      </c>
      <c r="F18906">
        <v>0</v>
      </c>
      <c r="G18906" t="s">
        <v>12</v>
      </c>
      <c r="I18906" t="s">
        <v>1428</v>
      </c>
    </row>
    <row r="18907" spans="1:9" hidden="1" x14ac:dyDescent="0.25">
      <c r="A18907" t="s">
        <v>16086</v>
      </c>
      <c r="B18907" t="s">
        <v>21</v>
      </c>
      <c r="C18907" s="2">
        <f>HYPERLINK("https://cao.dolgi.msk.ru/account/1080231486/", 1080231486)</f>
        <v>1080231486</v>
      </c>
      <c r="D18907" t="s">
        <v>16089</v>
      </c>
      <c r="E18907">
        <v>-4247.0600000000004</v>
      </c>
      <c r="F18907">
        <v>-1.1499999999999999</v>
      </c>
      <c r="G18907" t="s">
        <v>12</v>
      </c>
      <c r="I18907" t="s">
        <v>1428</v>
      </c>
    </row>
    <row r="18908" spans="1:9" hidden="1" x14ac:dyDescent="0.25">
      <c r="A18908" t="s">
        <v>16086</v>
      </c>
      <c r="B18908" t="s">
        <v>22</v>
      </c>
      <c r="C18908" s="2">
        <f>HYPERLINK("https://cao.dolgi.msk.ru/account/1080231494/", 1080231494)</f>
        <v>1080231494</v>
      </c>
      <c r="D18908" t="s">
        <v>16090</v>
      </c>
      <c r="E18908">
        <v>-5246.55</v>
      </c>
      <c r="F18908">
        <v>-0.64</v>
      </c>
      <c r="G18908" t="s">
        <v>12</v>
      </c>
      <c r="I18908" t="s">
        <v>1428</v>
      </c>
    </row>
    <row r="18909" spans="1:9" hidden="1" x14ac:dyDescent="0.25">
      <c r="A18909" t="s">
        <v>16086</v>
      </c>
      <c r="B18909" t="s">
        <v>23</v>
      </c>
      <c r="C18909" s="2">
        <f>HYPERLINK("https://cao.dolgi.msk.ru/account/1080231507/", 1080231507)</f>
        <v>1080231507</v>
      </c>
      <c r="D18909" t="s">
        <v>15</v>
      </c>
      <c r="E18909">
        <v>-4181.1899999999996</v>
      </c>
      <c r="F18909">
        <v>-1.0900000000000001</v>
      </c>
      <c r="G18909" t="s">
        <v>12</v>
      </c>
      <c r="H18909" t="s">
        <v>7</v>
      </c>
      <c r="I18909" t="s">
        <v>1428</v>
      </c>
    </row>
    <row r="18910" spans="1:9" hidden="1" x14ac:dyDescent="0.25">
      <c r="A18910" t="s">
        <v>16086</v>
      </c>
      <c r="B18910" t="s">
        <v>23</v>
      </c>
      <c r="C18910" s="2">
        <f>HYPERLINK("https://cao.dolgi.msk.ru/account/1080231515/", 1080231515)</f>
        <v>1080231515</v>
      </c>
      <c r="D18910" t="s">
        <v>16091</v>
      </c>
      <c r="E18910">
        <v>-2938.44</v>
      </c>
      <c r="F18910">
        <v>-1.0900000000000001</v>
      </c>
      <c r="G18910" t="s">
        <v>12</v>
      </c>
      <c r="H18910" t="s">
        <v>7</v>
      </c>
      <c r="I18910" t="s">
        <v>1428</v>
      </c>
    </row>
    <row r="18911" spans="1:9" hidden="1" x14ac:dyDescent="0.25">
      <c r="A18911" t="s">
        <v>16086</v>
      </c>
      <c r="B18911" t="s">
        <v>23</v>
      </c>
      <c r="C18911" s="2">
        <f>HYPERLINK("https://cao.dolgi.msk.ru/account/1080231523/", 1080231523)</f>
        <v>1080231523</v>
      </c>
      <c r="D18911" t="s">
        <v>16091</v>
      </c>
      <c r="E18911">
        <v>-465.58</v>
      </c>
      <c r="F18911">
        <v>-0.22</v>
      </c>
      <c r="G18911" t="s">
        <v>12</v>
      </c>
      <c r="H18911" t="s">
        <v>7</v>
      </c>
      <c r="I18911" t="s">
        <v>1428</v>
      </c>
    </row>
    <row r="18912" spans="1:9" hidden="1" x14ac:dyDescent="0.25">
      <c r="A18912" t="s">
        <v>16086</v>
      </c>
      <c r="B18912" t="s">
        <v>24</v>
      </c>
      <c r="C18912" s="2">
        <f>HYPERLINK("https://cao.dolgi.msk.ru/account/1080231531/", 1080231531)</f>
        <v>1080231531</v>
      </c>
      <c r="D18912" t="s">
        <v>16092</v>
      </c>
      <c r="E18912">
        <v>-1158.94</v>
      </c>
      <c r="F18912">
        <v>-0.12</v>
      </c>
      <c r="G18912" t="s">
        <v>12</v>
      </c>
      <c r="I18912" t="s">
        <v>1428</v>
      </c>
    </row>
    <row r="18913" spans="1:9" hidden="1" x14ac:dyDescent="0.25">
      <c r="A18913" t="s">
        <v>16086</v>
      </c>
      <c r="B18913" t="s">
        <v>27</v>
      </c>
      <c r="C18913" s="2">
        <f>HYPERLINK("https://cao.dolgi.msk.ru/account/1080231558/", 1080231558)</f>
        <v>1080231558</v>
      </c>
      <c r="D18913" t="s">
        <v>16093</v>
      </c>
      <c r="E18913">
        <v>-3939.17</v>
      </c>
      <c r="F18913">
        <v>-1.17</v>
      </c>
      <c r="G18913" t="s">
        <v>12</v>
      </c>
      <c r="I18913" t="s">
        <v>1428</v>
      </c>
    </row>
    <row r="18914" spans="1:9" hidden="1" x14ac:dyDescent="0.25">
      <c r="A18914" t="s">
        <v>16086</v>
      </c>
      <c r="B18914" t="s">
        <v>29</v>
      </c>
      <c r="C18914" s="2">
        <f>HYPERLINK("https://cao.dolgi.msk.ru/account/1080231566/", 1080231566)</f>
        <v>1080231566</v>
      </c>
      <c r="D18914" t="s">
        <v>16094</v>
      </c>
      <c r="E18914">
        <v>0</v>
      </c>
      <c r="F18914">
        <v>0</v>
      </c>
      <c r="G18914" t="s">
        <v>12</v>
      </c>
      <c r="I18914" t="s">
        <v>1428</v>
      </c>
    </row>
    <row r="18915" spans="1:9" hidden="1" x14ac:dyDescent="0.25">
      <c r="A18915" t="s">
        <v>16086</v>
      </c>
      <c r="B18915" t="s">
        <v>31</v>
      </c>
      <c r="C18915" s="2">
        <f>HYPERLINK("https://cao.dolgi.msk.ru/account/1080231574/", 1080231574)</f>
        <v>1080231574</v>
      </c>
      <c r="D18915" t="s">
        <v>16095</v>
      </c>
      <c r="E18915">
        <v>-14710.65</v>
      </c>
      <c r="F18915">
        <v>-1.73</v>
      </c>
      <c r="G18915" t="s">
        <v>12</v>
      </c>
      <c r="I18915" t="s">
        <v>1428</v>
      </c>
    </row>
    <row r="18916" spans="1:9" hidden="1" x14ac:dyDescent="0.25">
      <c r="A18916" t="s">
        <v>16086</v>
      </c>
      <c r="B18916" t="s">
        <v>31</v>
      </c>
      <c r="C18916" s="2">
        <f>HYPERLINK("https://cao.dolgi.msk.ru/account/1080231582/", 1080231582)</f>
        <v>1080231582</v>
      </c>
      <c r="D18916" t="s">
        <v>16095</v>
      </c>
      <c r="E18916">
        <v>9.2100000000000009</v>
      </c>
      <c r="G18916" t="s">
        <v>14</v>
      </c>
      <c r="I18916" t="s">
        <v>1428</v>
      </c>
    </row>
    <row r="18917" spans="1:9" hidden="1" x14ac:dyDescent="0.25">
      <c r="A18917" t="s">
        <v>16086</v>
      </c>
      <c r="B18917" t="s">
        <v>31</v>
      </c>
      <c r="C18917" s="2">
        <f>HYPERLINK("https://cao.dolgi.msk.ru/account/1080231603/", 1080231603)</f>
        <v>1080231603</v>
      </c>
      <c r="D18917" t="s">
        <v>16095</v>
      </c>
      <c r="E18917">
        <v>-25.34</v>
      </c>
      <c r="G18917" t="s">
        <v>14</v>
      </c>
      <c r="I18917" t="s">
        <v>1428</v>
      </c>
    </row>
    <row r="18918" spans="1:9" hidden="1" x14ac:dyDescent="0.25">
      <c r="A18918" t="s">
        <v>16086</v>
      </c>
      <c r="B18918" t="s">
        <v>33</v>
      </c>
      <c r="C18918" s="2">
        <f>HYPERLINK("https://cao.dolgi.msk.ru/account/1080231611/", 1080231611)</f>
        <v>1080231611</v>
      </c>
      <c r="D18918" t="s">
        <v>16096</v>
      </c>
      <c r="E18918">
        <v>-1865.01</v>
      </c>
      <c r="F18918">
        <v>-0.53</v>
      </c>
      <c r="G18918" t="s">
        <v>12</v>
      </c>
      <c r="I18918" t="s">
        <v>1428</v>
      </c>
    </row>
    <row r="18919" spans="1:9" hidden="1" x14ac:dyDescent="0.25">
      <c r="A18919" t="s">
        <v>16086</v>
      </c>
      <c r="B18919" t="s">
        <v>34</v>
      </c>
      <c r="C18919" s="2">
        <f>HYPERLINK("https://cao.dolgi.msk.ru/account/1080231638/", 1080231638)</f>
        <v>1080231638</v>
      </c>
      <c r="D18919" t="s">
        <v>16097</v>
      </c>
      <c r="E18919">
        <v>-4596.5200000000004</v>
      </c>
      <c r="F18919">
        <v>-1.1499999999999999</v>
      </c>
      <c r="G18919" t="s">
        <v>12</v>
      </c>
      <c r="I18919" t="s">
        <v>1428</v>
      </c>
    </row>
    <row r="18920" spans="1:9" hidden="1" x14ac:dyDescent="0.25">
      <c r="A18920" t="s">
        <v>16086</v>
      </c>
      <c r="B18920" t="s">
        <v>36</v>
      </c>
      <c r="C18920" s="2">
        <f>HYPERLINK("https://cao.dolgi.msk.ru/account/1080231646/", 1080231646)</f>
        <v>1080231646</v>
      </c>
      <c r="D18920" t="s">
        <v>16098</v>
      </c>
      <c r="E18920">
        <v>-4075.68</v>
      </c>
      <c r="F18920">
        <v>-1.18</v>
      </c>
      <c r="G18920" t="s">
        <v>12</v>
      </c>
      <c r="I18920" t="s">
        <v>1428</v>
      </c>
    </row>
    <row r="18921" spans="1:9" hidden="1" x14ac:dyDescent="0.25">
      <c r="A18921" t="s">
        <v>16086</v>
      </c>
      <c r="B18921" t="s">
        <v>38</v>
      </c>
      <c r="C18921" s="2">
        <f>HYPERLINK("https://cao.dolgi.msk.ru/account/1080231654/", 1080231654)</f>
        <v>1080231654</v>
      </c>
      <c r="D18921" t="s">
        <v>16099</v>
      </c>
      <c r="E18921">
        <v>-5531.67</v>
      </c>
      <c r="F18921">
        <v>-1.23</v>
      </c>
      <c r="G18921" t="s">
        <v>12</v>
      </c>
      <c r="I18921" t="s">
        <v>1428</v>
      </c>
    </row>
    <row r="18922" spans="1:9" hidden="1" x14ac:dyDescent="0.25">
      <c r="A18922" t="s">
        <v>16086</v>
      </c>
      <c r="B18922" t="s">
        <v>39</v>
      </c>
      <c r="C18922" s="2">
        <f>HYPERLINK("https://cao.dolgi.msk.ru/account/1080231662/", 1080231662)</f>
        <v>1080231662</v>
      </c>
      <c r="D18922" t="s">
        <v>16100</v>
      </c>
      <c r="E18922">
        <v>-7073.69</v>
      </c>
      <c r="F18922">
        <v>-1.22</v>
      </c>
      <c r="G18922" t="s">
        <v>12</v>
      </c>
      <c r="I18922" t="s">
        <v>1428</v>
      </c>
    </row>
    <row r="18923" spans="1:9" hidden="1" x14ac:dyDescent="0.25">
      <c r="A18923" t="s">
        <v>16086</v>
      </c>
      <c r="B18923" t="s">
        <v>40</v>
      </c>
      <c r="C18923" s="2">
        <f>HYPERLINK("https://cao.dolgi.msk.ru/account/1080231689/", 1080231689)</f>
        <v>1080231689</v>
      </c>
      <c r="D18923" t="s">
        <v>16101</v>
      </c>
      <c r="E18923">
        <v>-123.08</v>
      </c>
      <c r="F18923">
        <v>-0.02</v>
      </c>
      <c r="G18923" t="s">
        <v>12</v>
      </c>
      <c r="I18923" t="s">
        <v>1428</v>
      </c>
    </row>
    <row r="18924" spans="1:9" hidden="1" x14ac:dyDescent="0.25">
      <c r="A18924" t="s">
        <v>16086</v>
      </c>
      <c r="B18924" t="s">
        <v>41</v>
      </c>
      <c r="C18924" s="2">
        <f>HYPERLINK("https://cao.dolgi.msk.ru/account/1080231697/", 1080231697)</f>
        <v>1080231697</v>
      </c>
      <c r="D18924" t="s">
        <v>16102</v>
      </c>
      <c r="E18924">
        <v>-6366.35</v>
      </c>
      <c r="F18924">
        <v>-1.21</v>
      </c>
      <c r="G18924" t="s">
        <v>12</v>
      </c>
      <c r="I18924" t="s">
        <v>1428</v>
      </c>
    </row>
    <row r="18925" spans="1:9" hidden="1" x14ac:dyDescent="0.25">
      <c r="A18925" t="s">
        <v>16086</v>
      </c>
      <c r="B18925" t="s">
        <v>42</v>
      </c>
      <c r="C18925" s="2">
        <f>HYPERLINK("https://cao.dolgi.msk.ru/account/1080231718/", 1080231718)</f>
        <v>1080231718</v>
      </c>
      <c r="D18925" t="s">
        <v>16103</v>
      </c>
      <c r="E18925">
        <v>-8967.94</v>
      </c>
      <c r="F18925">
        <v>-1.17</v>
      </c>
      <c r="G18925" t="s">
        <v>12</v>
      </c>
      <c r="I18925" t="s">
        <v>1428</v>
      </c>
    </row>
    <row r="18926" spans="1:9" hidden="1" x14ac:dyDescent="0.25">
      <c r="A18926" t="s">
        <v>16086</v>
      </c>
      <c r="B18926" t="s">
        <v>44</v>
      </c>
      <c r="C18926" s="2">
        <f>HYPERLINK("https://cao.dolgi.msk.ru/account/1080231726/", 1080231726)</f>
        <v>1080231726</v>
      </c>
      <c r="D18926" t="s">
        <v>16104</v>
      </c>
      <c r="E18926">
        <v>0</v>
      </c>
      <c r="F18926">
        <v>0</v>
      </c>
      <c r="G18926" t="s">
        <v>12</v>
      </c>
      <c r="I18926" t="s">
        <v>1428</v>
      </c>
    </row>
    <row r="18927" spans="1:9" hidden="1" x14ac:dyDescent="0.25">
      <c r="A18927" t="s">
        <v>16086</v>
      </c>
      <c r="B18927" t="s">
        <v>66</v>
      </c>
      <c r="C18927" s="2">
        <f>HYPERLINK("https://cao.dolgi.msk.ru/account/1080231734/", 1080231734)</f>
        <v>1080231734</v>
      </c>
      <c r="D18927" t="s">
        <v>16105</v>
      </c>
      <c r="E18927">
        <v>-5164.96</v>
      </c>
      <c r="F18927">
        <v>-1</v>
      </c>
      <c r="G18927" t="s">
        <v>12</v>
      </c>
      <c r="I18927" t="s">
        <v>1428</v>
      </c>
    </row>
    <row r="18928" spans="1:9" hidden="1" x14ac:dyDescent="0.25">
      <c r="A18928" t="s">
        <v>16086</v>
      </c>
      <c r="B18928" t="s">
        <v>68</v>
      </c>
      <c r="C18928" s="2">
        <f>HYPERLINK("https://cao.dolgi.msk.ru/account/1080231742/", 1080231742)</f>
        <v>1080231742</v>
      </c>
      <c r="D18928" t="s">
        <v>16106</v>
      </c>
      <c r="E18928">
        <v>-7593.85</v>
      </c>
      <c r="F18928">
        <v>-1.02</v>
      </c>
      <c r="G18928" t="s">
        <v>12</v>
      </c>
      <c r="I18928" t="s">
        <v>1428</v>
      </c>
    </row>
    <row r="18929" spans="1:9" hidden="1" x14ac:dyDescent="0.25">
      <c r="A18929" t="s">
        <v>16086</v>
      </c>
      <c r="B18929" t="s">
        <v>70</v>
      </c>
      <c r="C18929" s="2">
        <f>HYPERLINK("https://cao.dolgi.msk.ru/account/1080231769/", 1080231769)</f>
        <v>1080231769</v>
      </c>
      <c r="D18929" t="s">
        <v>16107</v>
      </c>
      <c r="E18929">
        <v>-125.76</v>
      </c>
      <c r="F18929">
        <v>-0.02</v>
      </c>
      <c r="G18929" t="s">
        <v>12</v>
      </c>
      <c r="I18929" t="s">
        <v>1428</v>
      </c>
    </row>
    <row r="18930" spans="1:9" hidden="1" x14ac:dyDescent="0.25">
      <c r="A18930" t="s">
        <v>16086</v>
      </c>
      <c r="B18930" t="s">
        <v>72</v>
      </c>
      <c r="C18930" s="2">
        <f>HYPERLINK("https://cao.dolgi.msk.ru/account/1080231777/", 1080231777)</f>
        <v>1080231777</v>
      </c>
      <c r="D18930" t="s">
        <v>16108</v>
      </c>
      <c r="E18930">
        <v>-5892.88</v>
      </c>
      <c r="F18930">
        <v>-1.2</v>
      </c>
      <c r="G18930" t="s">
        <v>12</v>
      </c>
      <c r="I18930" t="s">
        <v>1428</v>
      </c>
    </row>
    <row r="18931" spans="1:9" hidden="1" x14ac:dyDescent="0.25">
      <c r="A18931" t="s">
        <v>16086</v>
      </c>
      <c r="B18931" t="s">
        <v>74</v>
      </c>
      <c r="C18931" s="2">
        <f>HYPERLINK("https://cao.dolgi.msk.ru/account/1080231785/", 1080231785)</f>
        <v>1080231785</v>
      </c>
      <c r="D18931" t="s">
        <v>16109</v>
      </c>
      <c r="E18931">
        <v>-2870.86</v>
      </c>
      <c r="F18931">
        <v>-0.56999999999999995</v>
      </c>
      <c r="G18931" t="s">
        <v>12</v>
      </c>
      <c r="I18931" t="s">
        <v>1428</v>
      </c>
    </row>
    <row r="18932" spans="1:9" hidden="1" x14ac:dyDescent="0.25">
      <c r="A18932" t="s">
        <v>16086</v>
      </c>
      <c r="B18932" t="s">
        <v>76</v>
      </c>
      <c r="C18932" s="2">
        <f>HYPERLINK("https://cao.dolgi.msk.ru/account/1080231793/", 1080231793)</f>
        <v>1080231793</v>
      </c>
      <c r="D18932" t="s">
        <v>16110</v>
      </c>
      <c r="E18932">
        <v>-9020.3799999999992</v>
      </c>
      <c r="F18932">
        <v>-1.2</v>
      </c>
      <c r="G18932" t="s">
        <v>12</v>
      </c>
      <c r="I18932" t="s">
        <v>1428</v>
      </c>
    </row>
    <row r="18933" spans="1:9" hidden="1" x14ac:dyDescent="0.25">
      <c r="A18933" t="s">
        <v>16086</v>
      </c>
      <c r="B18933" t="s">
        <v>78</v>
      </c>
      <c r="C18933" s="2">
        <f>HYPERLINK("https://cao.dolgi.msk.ru/account/1080231806/", 1080231806)</f>
        <v>1080231806</v>
      </c>
      <c r="D18933" t="s">
        <v>16111</v>
      </c>
      <c r="E18933">
        <v>-7819.99</v>
      </c>
      <c r="F18933">
        <v>-1.1299999999999999</v>
      </c>
      <c r="G18933" t="s">
        <v>12</v>
      </c>
      <c r="I18933" t="s">
        <v>1428</v>
      </c>
    </row>
    <row r="18934" spans="1:9" hidden="1" x14ac:dyDescent="0.25">
      <c r="A18934" t="s">
        <v>16086</v>
      </c>
      <c r="B18934" t="s">
        <v>80</v>
      </c>
      <c r="C18934" s="2">
        <f>HYPERLINK("https://cao.dolgi.msk.ru/account/1080231814/", 1080231814)</f>
        <v>1080231814</v>
      </c>
      <c r="D18934" t="s">
        <v>16112</v>
      </c>
      <c r="E18934">
        <v>3720.79</v>
      </c>
      <c r="F18934">
        <v>0.99</v>
      </c>
      <c r="G18934" t="s">
        <v>12</v>
      </c>
      <c r="I18934" t="s">
        <v>1428</v>
      </c>
    </row>
    <row r="18935" spans="1:9" hidden="1" x14ac:dyDescent="0.25">
      <c r="A18935" t="s">
        <v>16086</v>
      </c>
      <c r="B18935" t="s">
        <v>82</v>
      </c>
      <c r="C18935" s="2">
        <f>HYPERLINK("https://cao.dolgi.msk.ru/account/1080231822/", 1080231822)</f>
        <v>1080231822</v>
      </c>
      <c r="D18935" t="s">
        <v>16113</v>
      </c>
      <c r="E18935">
        <v>-8185.24</v>
      </c>
      <c r="F18935">
        <v>-1.1000000000000001</v>
      </c>
      <c r="G18935" t="s">
        <v>12</v>
      </c>
      <c r="I18935" t="s">
        <v>1428</v>
      </c>
    </row>
    <row r="18936" spans="1:9" hidden="1" x14ac:dyDescent="0.25">
      <c r="A18936" t="s">
        <v>16086</v>
      </c>
      <c r="B18936" t="s">
        <v>84</v>
      </c>
      <c r="C18936" s="2">
        <f>HYPERLINK("https://cao.dolgi.msk.ru/account/1080231849/", 1080231849)</f>
        <v>1080231849</v>
      </c>
      <c r="D18936" t="s">
        <v>16114</v>
      </c>
      <c r="E18936">
        <v>-5100.51</v>
      </c>
      <c r="F18936">
        <v>-1.3</v>
      </c>
      <c r="G18936" t="s">
        <v>12</v>
      </c>
      <c r="I18936" t="s">
        <v>1428</v>
      </c>
    </row>
    <row r="18937" spans="1:9" hidden="1" x14ac:dyDescent="0.25">
      <c r="A18937" t="s">
        <v>16086</v>
      </c>
      <c r="B18937" t="s">
        <v>86</v>
      </c>
      <c r="C18937" s="2">
        <f>HYPERLINK("https://cao.dolgi.msk.ru/account/1080231857/", 1080231857)</f>
        <v>1080231857</v>
      </c>
      <c r="D18937" t="s">
        <v>16115</v>
      </c>
      <c r="E18937">
        <v>510.15</v>
      </c>
      <c r="F18937">
        <v>7.0000000000000007E-2</v>
      </c>
      <c r="G18937" t="s">
        <v>12</v>
      </c>
      <c r="I18937" t="s">
        <v>1428</v>
      </c>
    </row>
    <row r="18938" spans="1:9" hidden="1" x14ac:dyDescent="0.25">
      <c r="A18938" t="s">
        <v>16086</v>
      </c>
      <c r="B18938" t="s">
        <v>88</v>
      </c>
      <c r="C18938" s="2">
        <f>HYPERLINK("https://cao.dolgi.msk.ru/account/1080231865/", 1080231865)</f>
        <v>1080231865</v>
      </c>
      <c r="D18938" t="s">
        <v>16116</v>
      </c>
      <c r="E18938">
        <v>-4664.88</v>
      </c>
      <c r="F18938">
        <v>-1.1200000000000001</v>
      </c>
      <c r="G18938" t="s">
        <v>12</v>
      </c>
      <c r="I18938" t="s">
        <v>1428</v>
      </c>
    </row>
    <row r="18939" spans="1:9" hidden="1" x14ac:dyDescent="0.25">
      <c r="A18939" t="s">
        <v>16086</v>
      </c>
      <c r="B18939" t="s">
        <v>90</v>
      </c>
      <c r="C18939" s="2">
        <f>HYPERLINK("https://cao.dolgi.msk.ru/account/1080231873/", 1080231873)</f>
        <v>1080231873</v>
      </c>
      <c r="D18939" t="s">
        <v>16117</v>
      </c>
      <c r="E18939">
        <v>-3455.06</v>
      </c>
      <c r="F18939">
        <v>-1.22</v>
      </c>
      <c r="G18939" t="s">
        <v>12</v>
      </c>
      <c r="I18939" t="s">
        <v>1428</v>
      </c>
    </row>
    <row r="18940" spans="1:9" hidden="1" x14ac:dyDescent="0.25">
      <c r="A18940" t="s">
        <v>16086</v>
      </c>
      <c r="B18940" t="s">
        <v>92</v>
      </c>
      <c r="C18940" s="2">
        <f>HYPERLINK("https://cao.dolgi.msk.ru/account/1080231881/", 1080231881)</f>
        <v>1080231881</v>
      </c>
      <c r="D18940" t="s">
        <v>16118</v>
      </c>
      <c r="E18940">
        <v>-6044.19</v>
      </c>
      <c r="F18940">
        <v>-1.06</v>
      </c>
      <c r="G18940" t="s">
        <v>12</v>
      </c>
      <c r="I18940" t="s">
        <v>1428</v>
      </c>
    </row>
    <row r="18941" spans="1:9" hidden="1" x14ac:dyDescent="0.25">
      <c r="A18941" t="s">
        <v>16086</v>
      </c>
      <c r="B18941" t="s">
        <v>98</v>
      </c>
      <c r="C18941" s="2">
        <f>HYPERLINK("https://cao.dolgi.msk.ru/account/1080231902/", 1080231902)</f>
        <v>1080231902</v>
      </c>
      <c r="D18941" t="s">
        <v>16119</v>
      </c>
      <c r="E18941">
        <v>-13744.93</v>
      </c>
      <c r="F18941">
        <v>-1.0900000000000001</v>
      </c>
      <c r="G18941" t="s">
        <v>12</v>
      </c>
      <c r="I18941" t="s">
        <v>1428</v>
      </c>
    </row>
    <row r="18942" spans="1:9" hidden="1" x14ac:dyDescent="0.25">
      <c r="A18942" t="s">
        <v>16086</v>
      </c>
      <c r="B18942" t="s">
        <v>100</v>
      </c>
      <c r="C18942" s="2">
        <f>HYPERLINK("https://cao.dolgi.msk.ru/account/1080231929/", 1080231929)</f>
        <v>1080231929</v>
      </c>
      <c r="D18942" t="s">
        <v>16120</v>
      </c>
      <c r="E18942">
        <v>-5551.82</v>
      </c>
      <c r="F18942">
        <v>-1.04</v>
      </c>
      <c r="G18942" t="s">
        <v>12</v>
      </c>
      <c r="I18942" t="s">
        <v>1428</v>
      </c>
    </row>
    <row r="18943" spans="1:9" hidden="1" x14ac:dyDescent="0.25">
      <c r="A18943" t="s">
        <v>16086</v>
      </c>
      <c r="B18943" t="s">
        <v>102</v>
      </c>
      <c r="C18943" s="2">
        <f>HYPERLINK("https://cao.dolgi.msk.ru/account/1080231945/", 1080231945)</f>
        <v>1080231945</v>
      </c>
      <c r="D18943" t="s">
        <v>16121</v>
      </c>
      <c r="E18943">
        <v>-6788.83</v>
      </c>
      <c r="F18943">
        <v>-0.96</v>
      </c>
      <c r="G18943" t="s">
        <v>12</v>
      </c>
      <c r="I18943" t="s">
        <v>1428</v>
      </c>
    </row>
    <row r="18944" spans="1:9" hidden="1" x14ac:dyDescent="0.25">
      <c r="A18944" t="s">
        <v>16086</v>
      </c>
      <c r="B18944" t="s">
        <v>104</v>
      </c>
      <c r="C18944" s="2">
        <f>HYPERLINK("https://cao.dolgi.msk.ru/account/1080231953/", 1080231953)</f>
        <v>1080231953</v>
      </c>
      <c r="D18944" t="s">
        <v>16122</v>
      </c>
      <c r="E18944">
        <v>-4651.66</v>
      </c>
      <c r="F18944">
        <v>-1.18</v>
      </c>
      <c r="G18944" t="s">
        <v>12</v>
      </c>
      <c r="I18944" t="s">
        <v>1428</v>
      </c>
    </row>
    <row r="18945" spans="1:9" hidden="1" x14ac:dyDescent="0.25">
      <c r="A18945" t="s">
        <v>16086</v>
      </c>
      <c r="B18945" t="s">
        <v>106</v>
      </c>
      <c r="C18945" s="2">
        <f>HYPERLINK("https://cao.dolgi.msk.ru/account/1080231961/", 1080231961)</f>
        <v>1080231961</v>
      </c>
      <c r="D18945" t="s">
        <v>16123</v>
      </c>
      <c r="E18945">
        <v>-7437.95</v>
      </c>
      <c r="F18945">
        <v>-1.01</v>
      </c>
      <c r="G18945" t="s">
        <v>12</v>
      </c>
      <c r="I18945" t="s">
        <v>1428</v>
      </c>
    </row>
    <row r="18946" spans="1:9" hidden="1" x14ac:dyDescent="0.25">
      <c r="A18946" t="s">
        <v>16086</v>
      </c>
      <c r="B18946" t="s">
        <v>108</v>
      </c>
      <c r="C18946" s="2">
        <f>HYPERLINK("https://cao.dolgi.msk.ru/account/1080231988/", 1080231988)</f>
        <v>1080231988</v>
      </c>
      <c r="D18946" t="s">
        <v>16124</v>
      </c>
      <c r="E18946">
        <v>-5345.59</v>
      </c>
      <c r="F18946">
        <v>-1.1599999999999999</v>
      </c>
      <c r="G18946" t="s">
        <v>12</v>
      </c>
      <c r="I18946" t="s">
        <v>1428</v>
      </c>
    </row>
    <row r="18947" spans="1:9" hidden="1" x14ac:dyDescent="0.25">
      <c r="A18947" t="s">
        <v>16086</v>
      </c>
      <c r="B18947" t="s">
        <v>108</v>
      </c>
      <c r="C18947" s="2">
        <f>HYPERLINK("https://cao.dolgi.msk.ru/account/1089123158/", 1089123158)</f>
        <v>1089123158</v>
      </c>
      <c r="D18947" t="s">
        <v>16124</v>
      </c>
      <c r="E18947">
        <v>0</v>
      </c>
      <c r="G18947" t="s">
        <v>14</v>
      </c>
      <c r="I18947" t="s">
        <v>1428</v>
      </c>
    </row>
    <row r="18948" spans="1:9" hidden="1" x14ac:dyDescent="0.25">
      <c r="A18948" t="s">
        <v>16086</v>
      </c>
      <c r="B18948" t="s">
        <v>110</v>
      </c>
      <c r="C18948" s="2">
        <f>HYPERLINK("https://cao.dolgi.msk.ru/account/1080231996/", 1080231996)</f>
        <v>1080231996</v>
      </c>
      <c r="D18948" t="s">
        <v>16125</v>
      </c>
      <c r="E18948">
        <v>-7624.69</v>
      </c>
      <c r="F18948">
        <v>-1.19</v>
      </c>
      <c r="G18948" t="s">
        <v>12</v>
      </c>
      <c r="I18948" t="s">
        <v>1428</v>
      </c>
    </row>
    <row r="18949" spans="1:9" hidden="1" x14ac:dyDescent="0.25">
      <c r="A18949" t="s">
        <v>16086</v>
      </c>
      <c r="B18949" t="s">
        <v>112</v>
      </c>
      <c r="C18949" s="2">
        <f>HYPERLINK("https://cao.dolgi.msk.ru/account/1080232008/", 1080232008)</f>
        <v>1080232008</v>
      </c>
      <c r="D18949" t="s">
        <v>16126</v>
      </c>
      <c r="E18949">
        <v>61.63</v>
      </c>
      <c r="F18949">
        <v>0.01</v>
      </c>
      <c r="G18949" t="s">
        <v>12</v>
      </c>
      <c r="I18949" t="s">
        <v>1428</v>
      </c>
    </row>
    <row r="18950" spans="1:9" hidden="1" x14ac:dyDescent="0.25">
      <c r="A18950" t="s">
        <v>16086</v>
      </c>
      <c r="B18950" t="s">
        <v>114</v>
      </c>
      <c r="C18950" s="2">
        <f>HYPERLINK("https://cao.dolgi.msk.ru/account/1080232016/", 1080232016)</f>
        <v>1080232016</v>
      </c>
      <c r="D18950" t="s">
        <v>16127</v>
      </c>
      <c r="E18950">
        <v>-3456.26</v>
      </c>
      <c r="F18950">
        <v>-0.65</v>
      </c>
      <c r="G18950" t="s">
        <v>12</v>
      </c>
      <c r="I18950" t="s">
        <v>1428</v>
      </c>
    </row>
    <row r="18951" spans="1:9" hidden="1" x14ac:dyDescent="0.25">
      <c r="A18951" t="s">
        <v>16086</v>
      </c>
      <c r="B18951" t="s">
        <v>116</v>
      </c>
      <c r="C18951" s="2">
        <f>HYPERLINK("https://cao.dolgi.msk.ru/account/1080232024/", 1080232024)</f>
        <v>1080232024</v>
      </c>
      <c r="D18951" t="s">
        <v>16128</v>
      </c>
      <c r="E18951">
        <v>-2496.92</v>
      </c>
      <c r="F18951">
        <v>-1.1299999999999999</v>
      </c>
      <c r="G18951" t="s">
        <v>12</v>
      </c>
      <c r="I18951" t="s">
        <v>1428</v>
      </c>
    </row>
    <row r="18952" spans="1:9" hidden="1" x14ac:dyDescent="0.25">
      <c r="A18952" t="s">
        <v>16086</v>
      </c>
      <c r="B18952" t="s">
        <v>118</v>
      </c>
      <c r="C18952" s="2">
        <f>HYPERLINK("https://cao.dolgi.msk.ru/account/1080232032/", 1080232032)</f>
        <v>1080232032</v>
      </c>
      <c r="D18952" t="s">
        <v>16129</v>
      </c>
      <c r="E18952">
        <v>-6383.55</v>
      </c>
      <c r="F18952">
        <v>-0.98</v>
      </c>
      <c r="G18952" t="s">
        <v>12</v>
      </c>
      <c r="I18952" t="s">
        <v>1428</v>
      </c>
    </row>
    <row r="18953" spans="1:9" hidden="1" x14ac:dyDescent="0.25">
      <c r="A18953" t="s">
        <v>16086</v>
      </c>
      <c r="B18953" t="s">
        <v>120</v>
      </c>
      <c r="C18953" s="2">
        <f>HYPERLINK("https://cao.dolgi.msk.ru/account/1080232059/", 1080232059)</f>
        <v>1080232059</v>
      </c>
      <c r="D18953" t="s">
        <v>16130</v>
      </c>
      <c r="E18953">
        <v>-425.46</v>
      </c>
      <c r="F18953">
        <v>-7.0000000000000007E-2</v>
      </c>
      <c r="G18953" t="s">
        <v>12</v>
      </c>
      <c r="I18953" t="s">
        <v>1428</v>
      </c>
    </row>
    <row r="18954" spans="1:9" hidden="1" x14ac:dyDescent="0.25">
      <c r="A18954" t="s">
        <v>16086</v>
      </c>
      <c r="B18954" t="s">
        <v>122</v>
      </c>
      <c r="C18954" s="2">
        <f>HYPERLINK("https://cao.dolgi.msk.ru/account/1080232075/", 1080232075)</f>
        <v>1080232075</v>
      </c>
      <c r="D18954" t="s">
        <v>16131</v>
      </c>
      <c r="E18954">
        <v>-6254.16</v>
      </c>
      <c r="F18954">
        <v>-1.3</v>
      </c>
      <c r="G18954" t="s">
        <v>12</v>
      </c>
      <c r="I18954" t="s">
        <v>1428</v>
      </c>
    </row>
    <row r="18955" spans="1:9" hidden="1" x14ac:dyDescent="0.25">
      <c r="A18955" t="s">
        <v>16086</v>
      </c>
      <c r="B18955" t="s">
        <v>124</v>
      </c>
      <c r="C18955" s="2">
        <f>HYPERLINK("https://cao.dolgi.msk.ru/account/1080232083/", 1080232083)</f>
        <v>1080232083</v>
      </c>
      <c r="D18955" t="s">
        <v>16132</v>
      </c>
      <c r="E18955">
        <v>-5889.59</v>
      </c>
      <c r="F18955">
        <v>-1.1599999999999999</v>
      </c>
      <c r="G18955" t="s">
        <v>12</v>
      </c>
      <c r="I18955" t="s">
        <v>1428</v>
      </c>
    </row>
    <row r="18956" spans="1:9" hidden="1" x14ac:dyDescent="0.25">
      <c r="A18956" t="s">
        <v>16086</v>
      </c>
      <c r="B18956" t="s">
        <v>126</v>
      </c>
      <c r="C18956" s="2">
        <f>HYPERLINK("https://cao.dolgi.msk.ru/account/1080232091/", 1080232091)</f>
        <v>1080232091</v>
      </c>
      <c r="D18956" t="s">
        <v>16133</v>
      </c>
      <c r="E18956">
        <v>-6047.76</v>
      </c>
      <c r="F18956">
        <v>-1.18</v>
      </c>
      <c r="G18956" t="s">
        <v>12</v>
      </c>
      <c r="I18956" t="s">
        <v>1428</v>
      </c>
    </row>
    <row r="18957" spans="1:9" hidden="1" x14ac:dyDescent="0.25">
      <c r="A18957" t="s">
        <v>16086</v>
      </c>
      <c r="B18957" t="s">
        <v>128</v>
      </c>
      <c r="C18957" s="2">
        <f>HYPERLINK("https://cao.dolgi.msk.ru/account/1080232104/", 1080232104)</f>
        <v>1080232104</v>
      </c>
      <c r="D18957" t="s">
        <v>16134</v>
      </c>
      <c r="E18957">
        <v>-8161.86</v>
      </c>
      <c r="F18957">
        <v>-1.1599999999999999</v>
      </c>
      <c r="G18957" t="s">
        <v>12</v>
      </c>
      <c r="I18957" t="s">
        <v>1428</v>
      </c>
    </row>
    <row r="18958" spans="1:9" hidden="1" x14ac:dyDescent="0.25">
      <c r="A18958" t="s">
        <v>16086</v>
      </c>
      <c r="B18958" t="s">
        <v>130</v>
      </c>
      <c r="C18958" s="2">
        <f>HYPERLINK("https://cao.dolgi.msk.ru/account/1080232112/", 1080232112)</f>
        <v>1080232112</v>
      </c>
      <c r="D18958" t="s">
        <v>16135</v>
      </c>
      <c r="E18958">
        <v>-706.38</v>
      </c>
      <c r="F18958">
        <v>-0.15</v>
      </c>
      <c r="G18958" t="s">
        <v>12</v>
      </c>
      <c r="I18958" t="s">
        <v>1428</v>
      </c>
    </row>
    <row r="18959" spans="1:9" hidden="1" x14ac:dyDescent="0.25">
      <c r="A18959" t="s">
        <v>16086</v>
      </c>
      <c r="B18959" t="s">
        <v>130</v>
      </c>
      <c r="C18959" s="2">
        <f>HYPERLINK("https://cao.dolgi.msk.ru/account/1080232139/", 1080232139)</f>
        <v>1080232139</v>
      </c>
      <c r="D18959" t="s">
        <v>16136</v>
      </c>
      <c r="G18959" t="s">
        <v>14</v>
      </c>
      <c r="I18959" t="s">
        <v>1428</v>
      </c>
    </row>
    <row r="18960" spans="1:9" hidden="1" x14ac:dyDescent="0.25">
      <c r="A18960" t="s">
        <v>16086</v>
      </c>
      <c r="B18960" t="s">
        <v>132</v>
      </c>
      <c r="C18960" s="2">
        <f>HYPERLINK("https://cao.dolgi.msk.ru/account/1080232147/", 1080232147)</f>
        <v>1080232147</v>
      </c>
      <c r="D18960" t="s">
        <v>16137</v>
      </c>
      <c r="E18960">
        <v>-6494.31</v>
      </c>
      <c r="F18960">
        <v>-1.17</v>
      </c>
      <c r="G18960" t="s">
        <v>12</v>
      </c>
      <c r="I18960" t="s">
        <v>1428</v>
      </c>
    </row>
    <row r="18961" spans="1:9" hidden="1" x14ac:dyDescent="0.25">
      <c r="A18961" t="s">
        <v>16086</v>
      </c>
      <c r="B18961" t="s">
        <v>133</v>
      </c>
      <c r="C18961" s="2">
        <f>HYPERLINK("https://cao.dolgi.msk.ru/account/1080232155/", 1080232155)</f>
        <v>1080232155</v>
      </c>
      <c r="D18961" t="s">
        <v>16138</v>
      </c>
      <c r="E18961">
        <v>-5552.44</v>
      </c>
      <c r="F18961">
        <v>-1.1100000000000001</v>
      </c>
      <c r="G18961" t="s">
        <v>12</v>
      </c>
      <c r="I18961" t="s">
        <v>1428</v>
      </c>
    </row>
    <row r="18962" spans="1:9" hidden="1" x14ac:dyDescent="0.25">
      <c r="A18962" t="s">
        <v>16086</v>
      </c>
      <c r="B18962" t="s">
        <v>135</v>
      </c>
      <c r="C18962" s="2">
        <f>HYPERLINK("https://cao.dolgi.msk.ru/account/1080232163/", 1080232163)</f>
        <v>1080232163</v>
      </c>
      <c r="D18962" t="s">
        <v>16139</v>
      </c>
      <c r="E18962">
        <v>-177</v>
      </c>
      <c r="F18962">
        <v>-0.03</v>
      </c>
      <c r="G18962" t="s">
        <v>12</v>
      </c>
      <c r="I18962" t="s">
        <v>1428</v>
      </c>
    </row>
    <row r="18963" spans="1:9" hidden="1" x14ac:dyDescent="0.25">
      <c r="A18963" t="s">
        <v>16086</v>
      </c>
      <c r="B18963" t="s">
        <v>137</v>
      </c>
      <c r="C18963" s="2">
        <f>HYPERLINK("https://cao.dolgi.msk.ru/account/1080232171/", 1080232171)</f>
        <v>1080232171</v>
      </c>
      <c r="D18963" t="s">
        <v>16140</v>
      </c>
      <c r="E18963">
        <v>-8103.34</v>
      </c>
      <c r="F18963">
        <v>-1.1000000000000001</v>
      </c>
      <c r="G18963" t="s">
        <v>12</v>
      </c>
      <c r="I18963" t="s">
        <v>1428</v>
      </c>
    </row>
    <row r="18964" spans="1:9" hidden="1" x14ac:dyDescent="0.25">
      <c r="A18964" t="s">
        <v>16086</v>
      </c>
      <c r="B18964" t="s">
        <v>139</v>
      </c>
      <c r="C18964" s="2">
        <f>HYPERLINK("https://cao.dolgi.msk.ru/account/1080232198/", 1080232198)</f>
        <v>1080232198</v>
      </c>
      <c r="D18964" t="s">
        <v>16141</v>
      </c>
      <c r="E18964">
        <v>-4861.7</v>
      </c>
      <c r="F18964">
        <v>-1.03</v>
      </c>
      <c r="G18964" t="s">
        <v>12</v>
      </c>
      <c r="I18964" t="s">
        <v>1428</v>
      </c>
    </row>
    <row r="18965" spans="1:9" hidden="1" x14ac:dyDescent="0.25">
      <c r="A18965" t="s">
        <v>16086</v>
      </c>
      <c r="B18965" t="s">
        <v>141</v>
      </c>
      <c r="C18965" s="2">
        <f>HYPERLINK("https://cao.dolgi.msk.ru/account/1080232219/", 1080232219)</f>
        <v>1080232219</v>
      </c>
      <c r="D18965" t="s">
        <v>16142</v>
      </c>
      <c r="E18965">
        <v>-9031.36</v>
      </c>
      <c r="F18965">
        <v>-1.1499999999999999</v>
      </c>
      <c r="G18965" t="s">
        <v>12</v>
      </c>
      <c r="I18965" t="s">
        <v>1428</v>
      </c>
    </row>
    <row r="18966" spans="1:9" hidden="1" x14ac:dyDescent="0.25">
      <c r="A18966" t="s">
        <v>16086</v>
      </c>
      <c r="B18966" t="s">
        <v>143</v>
      </c>
      <c r="C18966" s="2">
        <f>HYPERLINK("https://cao.dolgi.msk.ru/account/1080232227/", 1080232227)</f>
        <v>1080232227</v>
      </c>
      <c r="D18966" t="s">
        <v>16143</v>
      </c>
      <c r="E18966">
        <v>-7993.11</v>
      </c>
      <c r="F18966">
        <v>-1.1499999999999999</v>
      </c>
      <c r="G18966" t="s">
        <v>12</v>
      </c>
      <c r="I18966" t="s">
        <v>1428</v>
      </c>
    </row>
    <row r="18967" spans="1:9" hidden="1" x14ac:dyDescent="0.25">
      <c r="A18967" t="s">
        <v>16086</v>
      </c>
      <c r="B18967" t="s">
        <v>145</v>
      </c>
      <c r="C18967" s="2">
        <f>HYPERLINK("https://cao.dolgi.msk.ru/account/1080232235/", 1080232235)</f>
        <v>1080232235</v>
      </c>
      <c r="D18967" t="s">
        <v>16144</v>
      </c>
      <c r="E18967">
        <v>-1419.58</v>
      </c>
      <c r="F18967">
        <v>-0.49</v>
      </c>
      <c r="G18967" t="s">
        <v>12</v>
      </c>
      <c r="I18967" t="s">
        <v>1428</v>
      </c>
    </row>
    <row r="18968" spans="1:9" hidden="1" x14ac:dyDescent="0.25">
      <c r="A18968" t="s">
        <v>16086</v>
      </c>
      <c r="B18968" t="s">
        <v>147</v>
      </c>
      <c r="C18968" s="2">
        <f>HYPERLINK("https://cao.dolgi.msk.ru/account/1080232243/", 1080232243)</f>
        <v>1080232243</v>
      </c>
      <c r="D18968" t="s">
        <v>16145</v>
      </c>
      <c r="E18968">
        <v>-5153.32</v>
      </c>
      <c r="F18968">
        <v>-1.17</v>
      </c>
      <c r="G18968" t="s">
        <v>12</v>
      </c>
      <c r="I18968" t="s">
        <v>1428</v>
      </c>
    </row>
    <row r="18969" spans="1:9" hidden="1" x14ac:dyDescent="0.25">
      <c r="A18969" t="s">
        <v>16086</v>
      </c>
      <c r="B18969" t="s">
        <v>149</v>
      </c>
      <c r="C18969" s="2">
        <f>HYPERLINK("https://cao.dolgi.msk.ru/account/1080232251/", 1080232251)</f>
        <v>1080232251</v>
      </c>
      <c r="D18969" t="s">
        <v>16146</v>
      </c>
      <c r="E18969">
        <v>-24.3</v>
      </c>
      <c r="F18969">
        <v>0</v>
      </c>
      <c r="G18969" t="s">
        <v>12</v>
      </c>
      <c r="I18969" t="s">
        <v>1428</v>
      </c>
    </row>
    <row r="18970" spans="1:9" hidden="1" x14ac:dyDescent="0.25">
      <c r="A18970" t="s">
        <v>16086</v>
      </c>
      <c r="B18970" t="s">
        <v>151</v>
      </c>
      <c r="C18970" s="2">
        <f>HYPERLINK("https://cao.dolgi.msk.ru/account/1080232278/", 1080232278)</f>
        <v>1080232278</v>
      </c>
      <c r="D18970" t="s">
        <v>16147</v>
      </c>
      <c r="E18970">
        <v>-8899.5</v>
      </c>
      <c r="F18970">
        <v>-1.04</v>
      </c>
      <c r="G18970" t="s">
        <v>12</v>
      </c>
      <c r="I18970" t="s">
        <v>1428</v>
      </c>
    </row>
    <row r="18971" spans="1:9" hidden="1" x14ac:dyDescent="0.25">
      <c r="A18971" t="s">
        <v>16086</v>
      </c>
      <c r="B18971" t="s">
        <v>153</v>
      </c>
      <c r="C18971" s="2">
        <f>HYPERLINK("https://cao.dolgi.msk.ru/account/1080232286/", 1080232286)</f>
        <v>1080232286</v>
      </c>
      <c r="D18971" t="s">
        <v>16148</v>
      </c>
      <c r="E18971">
        <v>-6351.52</v>
      </c>
      <c r="F18971">
        <v>-1.23</v>
      </c>
      <c r="G18971" t="s">
        <v>12</v>
      </c>
      <c r="I18971" t="s">
        <v>1428</v>
      </c>
    </row>
    <row r="18972" spans="1:9" hidden="1" x14ac:dyDescent="0.25">
      <c r="A18972" t="s">
        <v>16086</v>
      </c>
      <c r="B18972" t="s">
        <v>155</v>
      </c>
      <c r="C18972" s="2">
        <f>HYPERLINK("https://cao.dolgi.msk.ru/account/1080232294/", 1080232294)</f>
        <v>1080232294</v>
      </c>
      <c r="D18972" t="s">
        <v>16149</v>
      </c>
      <c r="E18972">
        <v>-5876.9</v>
      </c>
      <c r="F18972">
        <v>-1.2</v>
      </c>
      <c r="G18972" t="s">
        <v>12</v>
      </c>
      <c r="I18972" t="s">
        <v>1428</v>
      </c>
    </row>
    <row r="18973" spans="1:9" hidden="1" x14ac:dyDescent="0.25">
      <c r="A18973" t="s">
        <v>16086</v>
      </c>
      <c r="B18973" t="s">
        <v>157</v>
      </c>
      <c r="C18973" s="2">
        <f>HYPERLINK("https://cao.dolgi.msk.ru/account/1080232307/", 1080232307)</f>
        <v>1080232307</v>
      </c>
      <c r="D18973" t="s">
        <v>16150</v>
      </c>
      <c r="E18973">
        <v>-14307.45</v>
      </c>
      <c r="F18973">
        <v>-2.09</v>
      </c>
      <c r="G18973" t="s">
        <v>12</v>
      </c>
      <c r="I18973" t="s">
        <v>1428</v>
      </c>
    </row>
    <row r="18974" spans="1:9" hidden="1" x14ac:dyDescent="0.25">
      <c r="A18974" t="s">
        <v>16086</v>
      </c>
      <c r="B18974" t="s">
        <v>682</v>
      </c>
      <c r="C18974" s="2">
        <f>HYPERLINK("https://cao.dolgi.msk.ru/account/1080232315/", 1080232315)</f>
        <v>1080232315</v>
      </c>
      <c r="D18974" t="s">
        <v>16151</v>
      </c>
      <c r="E18974">
        <v>-8257.89</v>
      </c>
      <c r="F18974">
        <v>-1.2</v>
      </c>
      <c r="G18974" t="s">
        <v>12</v>
      </c>
      <c r="I18974" t="s">
        <v>1428</v>
      </c>
    </row>
    <row r="18975" spans="1:9" hidden="1" x14ac:dyDescent="0.25">
      <c r="A18975" t="s">
        <v>16086</v>
      </c>
      <c r="B18975" t="s">
        <v>578</v>
      </c>
      <c r="C18975" s="2">
        <f>HYPERLINK("https://cao.dolgi.msk.ru/account/1080232323/", 1080232323)</f>
        <v>1080232323</v>
      </c>
      <c r="D18975" t="s">
        <v>16152</v>
      </c>
      <c r="E18975">
        <v>297.38</v>
      </c>
      <c r="F18975">
        <v>0.08</v>
      </c>
      <c r="G18975" t="s">
        <v>12</v>
      </c>
      <c r="I18975" t="s">
        <v>1428</v>
      </c>
    </row>
    <row r="18976" spans="1:9" hidden="1" x14ac:dyDescent="0.25">
      <c r="A18976" t="s">
        <v>16086</v>
      </c>
      <c r="B18976" t="s">
        <v>580</v>
      </c>
      <c r="C18976" s="2">
        <f>HYPERLINK("https://cao.dolgi.msk.ru/account/1080232331/", 1080232331)</f>
        <v>1080232331</v>
      </c>
      <c r="D18976" t="s">
        <v>16153</v>
      </c>
      <c r="E18976">
        <v>-5382.67</v>
      </c>
      <c r="F18976">
        <v>-1.07</v>
      </c>
      <c r="G18976" t="s">
        <v>12</v>
      </c>
      <c r="I18976" t="s">
        <v>1428</v>
      </c>
    </row>
    <row r="18977" spans="1:9" x14ac:dyDescent="0.25">
      <c r="A18977" t="s">
        <v>16086</v>
      </c>
      <c r="B18977" t="s">
        <v>686</v>
      </c>
      <c r="C18977" s="2">
        <f>HYPERLINK("https://cao.dolgi.msk.ru/account/1080232358/", 1080232358)</f>
        <v>1080232358</v>
      </c>
      <c r="D18977" t="s">
        <v>16154</v>
      </c>
      <c r="E18977">
        <v>20069.34</v>
      </c>
      <c r="F18977">
        <v>2.54</v>
      </c>
      <c r="G18977" t="s">
        <v>12</v>
      </c>
      <c r="I18977" t="s">
        <v>1428</v>
      </c>
    </row>
    <row r="18978" spans="1:9" hidden="1" x14ac:dyDescent="0.25">
      <c r="A18978" t="s">
        <v>16086</v>
      </c>
      <c r="B18978" t="s">
        <v>582</v>
      </c>
      <c r="C18978" s="2">
        <f>HYPERLINK("https://cao.dolgi.msk.ru/account/1080232366/", 1080232366)</f>
        <v>1080232366</v>
      </c>
      <c r="D18978" t="s">
        <v>16155</v>
      </c>
      <c r="E18978">
        <v>-2732.29</v>
      </c>
      <c r="F18978">
        <v>-1.17</v>
      </c>
      <c r="G18978" t="s">
        <v>12</v>
      </c>
      <c r="I18978" t="s">
        <v>1428</v>
      </c>
    </row>
    <row r="18979" spans="1:9" hidden="1" x14ac:dyDescent="0.25">
      <c r="A18979" t="s">
        <v>16086</v>
      </c>
      <c r="B18979" t="s">
        <v>582</v>
      </c>
      <c r="C18979" s="2">
        <f>HYPERLINK("https://cao.dolgi.msk.ru/account/1083274086/", 1083274086)</f>
        <v>1083274086</v>
      </c>
      <c r="D18979" t="s">
        <v>15</v>
      </c>
      <c r="E18979">
        <v>-2208.65</v>
      </c>
      <c r="F18979">
        <v>-1.1399999999999999</v>
      </c>
      <c r="G18979" t="s">
        <v>12</v>
      </c>
      <c r="I18979" t="s">
        <v>1428</v>
      </c>
    </row>
    <row r="18980" spans="1:9" hidden="1" x14ac:dyDescent="0.25">
      <c r="A18980" t="s">
        <v>16086</v>
      </c>
      <c r="B18980" t="s">
        <v>584</v>
      </c>
      <c r="C18980" s="2">
        <f>HYPERLINK("https://cao.dolgi.msk.ru/account/1080232374/", 1080232374)</f>
        <v>1080232374</v>
      </c>
      <c r="D18980" t="s">
        <v>16156</v>
      </c>
      <c r="E18980">
        <v>-3897.95</v>
      </c>
      <c r="F18980">
        <v>-1.1499999999999999</v>
      </c>
      <c r="G18980" t="s">
        <v>12</v>
      </c>
      <c r="I18980" t="s">
        <v>1428</v>
      </c>
    </row>
    <row r="18981" spans="1:9" hidden="1" x14ac:dyDescent="0.25">
      <c r="A18981" t="s">
        <v>16086</v>
      </c>
      <c r="B18981" t="s">
        <v>584</v>
      </c>
      <c r="C18981" s="2">
        <f>HYPERLINK("https://cao.dolgi.msk.ru/account/1089126623/", 1089126623)</f>
        <v>1089126623</v>
      </c>
      <c r="D18981" t="s">
        <v>16156</v>
      </c>
      <c r="E18981">
        <v>-2686.14</v>
      </c>
      <c r="F18981">
        <v>-1.19</v>
      </c>
      <c r="G18981" t="s">
        <v>12</v>
      </c>
      <c r="I18981" t="s">
        <v>1428</v>
      </c>
    </row>
    <row r="18982" spans="1:9" hidden="1" x14ac:dyDescent="0.25">
      <c r="A18982" t="s">
        <v>16086</v>
      </c>
      <c r="B18982" t="s">
        <v>586</v>
      </c>
      <c r="C18982" s="2">
        <f>HYPERLINK("https://cao.dolgi.msk.ru/account/1080232382/", 1080232382)</f>
        <v>1080232382</v>
      </c>
      <c r="D18982" t="s">
        <v>16157</v>
      </c>
      <c r="E18982">
        <v>-15183.71</v>
      </c>
      <c r="F18982">
        <v>-1.04</v>
      </c>
      <c r="G18982" t="s">
        <v>12</v>
      </c>
      <c r="I18982" t="s">
        <v>1428</v>
      </c>
    </row>
    <row r="18983" spans="1:9" hidden="1" x14ac:dyDescent="0.25">
      <c r="A18983" t="s">
        <v>16086</v>
      </c>
      <c r="B18983" t="s">
        <v>588</v>
      </c>
      <c r="C18983" s="2">
        <f>HYPERLINK("https://cao.dolgi.msk.ru/account/1080232403/", 1080232403)</f>
        <v>1080232403</v>
      </c>
      <c r="D18983" t="s">
        <v>16158</v>
      </c>
      <c r="E18983">
        <v>-5791.42</v>
      </c>
      <c r="F18983">
        <v>-1.22</v>
      </c>
      <c r="G18983" t="s">
        <v>12</v>
      </c>
      <c r="I18983" t="s">
        <v>1428</v>
      </c>
    </row>
    <row r="18984" spans="1:9" hidden="1" x14ac:dyDescent="0.25">
      <c r="A18984" t="s">
        <v>16086</v>
      </c>
      <c r="B18984" t="s">
        <v>590</v>
      </c>
      <c r="C18984" s="2">
        <f>HYPERLINK("https://cao.dolgi.msk.ru/account/1080232411/", 1080232411)</f>
        <v>1080232411</v>
      </c>
      <c r="D18984" t="s">
        <v>16159</v>
      </c>
      <c r="E18984">
        <v>-4112.75</v>
      </c>
      <c r="F18984">
        <v>-0.99</v>
      </c>
      <c r="G18984" t="s">
        <v>12</v>
      </c>
      <c r="H18984" t="s">
        <v>7</v>
      </c>
      <c r="I18984" t="s">
        <v>1428</v>
      </c>
    </row>
    <row r="18985" spans="1:9" hidden="1" x14ac:dyDescent="0.25">
      <c r="A18985" t="s">
        <v>16086</v>
      </c>
      <c r="B18985" t="s">
        <v>590</v>
      </c>
      <c r="C18985" s="2">
        <f>HYPERLINK("https://cao.dolgi.msk.ru/account/1080232438/", 1080232438)</f>
        <v>1080232438</v>
      </c>
      <c r="D18985" t="s">
        <v>16159</v>
      </c>
      <c r="E18985">
        <v>3076.8</v>
      </c>
      <c r="F18985">
        <v>0.76</v>
      </c>
      <c r="G18985" t="s">
        <v>12</v>
      </c>
      <c r="H18985" t="s">
        <v>7</v>
      </c>
      <c r="I18985" t="s">
        <v>1428</v>
      </c>
    </row>
    <row r="18986" spans="1:9" hidden="1" x14ac:dyDescent="0.25">
      <c r="A18986" t="s">
        <v>16086</v>
      </c>
      <c r="B18986" t="s">
        <v>693</v>
      </c>
      <c r="C18986" s="2">
        <f>HYPERLINK("https://cao.dolgi.msk.ru/account/1080232446/", 1080232446)</f>
        <v>1080232446</v>
      </c>
      <c r="D18986" t="s">
        <v>16160</v>
      </c>
      <c r="E18986">
        <v>1511.67</v>
      </c>
      <c r="F18986">
        <v>0.21</v>
      </c>
      <c r="G18986" t="s">
        <v>12</v>
      </c>
      <c r="I18986" t="s">
        <v>1428</v>
      </c>
    </row>
    <row r="18987" spans="1:9" hidden="1" x14ac:dyDescent="0.25">
      <c r="A18987" t="s">
        <v>16086</v>
      </c>
      <c r="B18987" t="s">
        <v>694</v>
      </c>
      <c r="C18987" s="2">
        <f>HYPERLINK("https://cao.dolgi.msk.ru/account/1080232454/", 1080232454)</f>
        <v>1080232454</v>
      </c>
      <c r="D18987" t="s">
        <v>16161</v>
      </c>
      <c r="E18987">
        <v>-6574.44</v>
      </c>
      <c r="F18987">
        <v>-1.52</v>
      </c>
      <c r="G18987" t="s">
        <v>12</v>
      </c>
      <c r="I18987" t="s">
        <v>1428</v>
      </c>
    </row>
    <row r="18988" spans="1:9" hidden="1" x14ac:dyDescent="0.25">
      <c r="A18988" t="s">
        <v>16086</v>
      </c>
      <c r="B18988" t="s">
        <v>696</v>
      </c>
      <c r="C18988" s="2">
        <f>HYPERLINK("https://cao.dolgi.msk.ru/account/1080232462/", 1080232462)</f>
        <v>1080232462</v>
      </c>
      <c r="D18988" t="s">
        <v>16162</v>
      </c>
      <c r="E18988">
        <v>0</v>
      </c>
      <c r="G18988" t="s">
        <v>14</v>
      </c>
      <c r="I18988" t="s">
        <v>1428</v>
      </c>
    </row>
    <row r="18989" spans="1:9" hidden="1" x14ac:dyDescent="0.25">
      <c r="A18989" t="s">
        <v>16086</v>
      </c>
      <c r="B18989" t="s">
        <v>696</v>
      </c>
      <c r="C18989" s="2">
        <f>HYPERLINK("https://cao.dolgi.msk.ru/account/1080232489/", 1080232489)</f>
        <v>1080232489</v>
      </c>
      <c r="D18989" t="s">
        <v>16162</v>
      </c>
      <c r="E18989">
        <v>-83.83</v>
      </c>
      <c r="G18989" t="s">
        <v>14</v>
      </c>
      <c r="I18989" t="s">
        <v>1428</v>
      </c>
    </row>
    <row r="18990" spans="1:9" hidden="1" x14ac:dyDescent="0.25">
      <c r="A18990" t="s">
        <v>16086</v>
      </c>
      <c r="B18990" t="s">
        <v>696</v>
      </c>
      <c r="C18990" s="2">
        <f>HYPERLINK("https://cao.dolgi.msk.ru/account/1080232497/", 1080232497)</f>
        <v>1080232497</v>
      </c>
      <c r="D18990" t="s">
        <v>16162</v>
      </c>
      <c r="E18990">
        <v>-9138.35</v>
      </c>
      <c r="F18990">
        <v>-1.1399999999999999</v>
      </c>
      <c r="G18990" t="s">
        <v>12</v>
      </c>
      <c r="I18990" t="s">
        <v>1428</v>
      </c>
    </row>
    <row r="18991" spans="1:9" hidden="1" x14ac:dyDescent="0.25">
      <c r="A18991" t="s">
        <v>16086</v>
      </c>
      <c r="B18991" t="s">
        <v>698</v>
      </c>
      <c r="C18991" s="2">
        <f>HYPERLINK("https://cao.dolgi.msk.ru/account/1080232518/", 1080232518)</f>
        <v>1080232518</v>
      </c>
      <c r="D18991" t="s">
        <v>16163</v>
      </c>
      <c r="E18991">
        <v>-8840.89</v>
      </c>
      <c r="F18991">
        <v>-1.03</v>
      </c>
      <c r="G18991" t="s">
        <v>12</v>
      </c>
      <c r="I18991" t="s">
        <v>1428</v>
      </c>
    </row>
    <row r="18992" spans="1:9" hidden="1" x14ac:dyDescent="0.25">
      <c r="A18992" t="s">
        <v>16086</v>
      </c>
      <c r="B18992" t="s">
        <v>700</v>
      </c>
      <c r="C18992" s="2">
        <f>HYPERLINK("https://cao.dolgi.msk.ru/account/1080232526/", 1080232526)</f>
        <v>1080232526</v>
      </c>
      <c r="D18992" t="s">
        <v>16164</v>
      </c>
      <c r="E18992">
        <v>-4049.34</v>
      </c>
      <c r="F18992">
        <v>-1.1499999999999999</v>
      </c>
      <c r="G18992" t="s">
        <v>12</v>
      </c>
      <c r="I18992" t="s">
        <v>1428</v>
      </c>
    </row>
    <row r="18993" spans="1:9" hidden="1" x14ac:dyDescent="0.25">
      <c r="A18993" t="s">
        <v>16086</v>
      </c>
      <c r="B18993" t="s">
        <v>702</v>
      </c>
      <c r="C18993" s="2">
        <f>HYPERLINK("https://cao.dolgi.msk.ru/account/1080232534/", 1080232534)</f>
        <v>1080232534</v>
      </c>
      <c r="D18993" t="s">
        <v>16165</v>
      </c>
      <c r="E18993">
        <v>-3597.41</v>
      </c>
      <c r="F18993">
        <v>-1.1299999999999999</v>
      </c>
      <c r="G18993" t="s">
        <v>12</v>
      </c>
      <c r="I18993" t="s">
        <v>1428</v>
      </c>
    </row>
    <row r="18994" spans="1:9" hidden="1" x14ac:dyDescent="0.25">
      <c r="A18994" t="s">
        <v>16086</v>
      </c>
      <c r="B18994" t="s">
        <v>703</v>
      </c>
      <c r="C18994" s="2">
        <f>HYPERLINK("https://cao.dolgi.msk.ru/account/1080232542/", 1080232542)</f>
        <v>1080232542</v>
      </c>
      <c r="D18994" t="s">
        <v>16166</v>
      </c>
      <c r="E18994">
        <v>45.39</v>
      </c>
      <c r="F18994">
        <v>0</v>
      </c>
      <c r="G18994" t="s">
        <v>12</v>
      </c>
      <c r="I18994" t="s">
        <v>1428</v>
      </c>
    </row>
    <row r="18995" spans="1:9" hidden="1" x14ac:dyDescent="0.25">
      <c r="A18995" t="s">
        <v>16086</v>
      </c>
      <c r="B18995" t="s">
        <v>705</v>
      </c>
      <c r="C18995" s="2">
        <f>HYPERLINK("https://cao.dolgi.msk.ru/account/1080232569/", 1080232569)</f>
        <v>1080232569</v>
      </c>
      <c r="D18995" t="s">
        <v>16167</v>
      </c>
      <c r="E18995">
        <v>-8716.94</v>
      </c>
      <c r="F18995">
        <v>-1.19</v>
      </c>
      <c r="G18995" t="s">
        <v>12</v>
      </c>
      <c r="I18995" t="s">
        <v>1428</v>
      </c>
    </row>
    <row r="18996" spans="1:9" hidden="1" x14ac:dyDescent="0.25">
      <c r="A18996" t="s">
        <v>16086</v>
      </c>
      <c r="B18996" t="s">
        <v>707</v>
      </c>
      <c r="C18996" s="2">
        <f>HYPERLINK("https://cao.dolgi.msk.ru/account/1080232577/", 1080232577)</f>
        <v>1080232577</v>
      </c>
      <c r="D18996" t="s">
        <v>16168</v>
      </c>
      <c r="E18996">
        <v>-3777.63</v>
      </c>
      <c r="F18996">
        <v>-1.1000000000000001</v>
      </c>
      <c r="G18996" t="s">
        <v>12</v>
      </c>
      <c r="I18996" t="s">
        <v>1428</v>
      </c>
    </row>
    <row r="18997" spans="1:9" hidden="1" x14ac:dyDescent="0.25">
      <c r="A18997" t="s">
        <v>16086</v>
      </c>
      <c r="B18997" t="s">
        <v>709</v>
      </c>
      <c r="C18997" s="2">
        <f>HYPERLINK("https://cao.dolgi.msk.ru/account/1080232585/", 1080232585)</f>
        <v>1080232585</v>
      </c>
      <c r="D18997" t="s">
        <v>16169</v>
      </c>
      <c r="E18997">
        <v>-6810.65</v>
      </c>
      <c r="F18997">
        <v>-1.1000000000000001</v>
      </c>
      <c r="G18997" t="s">
        <v>12</v>
      </c>
      <c r="I18997" t="s">
        <v>1428</v>
      </c>
    </row>
    <row r="18998" spans="1:9" hidden="1" x14ac:dyDescent="0.25">
      <c r="A18998" t="s">
        <v>16086</v>
      </c>
      <c r="B18998" t="s">
        <v>711</v>
      </c>
      <c r="C18998" s="2">
        <f>HYPERLINK("https://cao.dolgi.msk.ru/account/1080232593/", 1080232593)</f>
        <v>1080232593</v>
      </c>
      <c r="D18998" t="s">
        <v>16170</v>
      </c>
      <c r="E18998">
        <v>-5509.04</v>
      </c>
      <c r="F18998">
        <v>-1.1499999999999999</v>
      </c>
      <c r="G18998" t="s">
        <v>12</v>
      </c>
      <c r="I18998" t="s">
        <v>1428</v>
      </c>
    </row>
    <row r="18999" spans="1:9" hidden="1" x14ac:dyDescent="0.25">
      <c r="A18999" t="s">
        <v>16086</v>
      </c>
      <c r="B18999" t="s">
        <v>713</v>
      </c>
      <c r="C18999" s="2">
        <f>HYPERLINK("https://cao.dolgi.msk.ru/account/1080232606/", 1080232606)</f>
        <v>1080232606</v>
      </c>
      <c r="D18999" t="s">
        <v>16171</v>
      </c>
      <c r="E18999">
        <v>46.45</v>
      </c>
      <c r="F18999">
        <v>0.01</v>
      </c>
      <c r="G18999" t="s">
        <v>12</v>
      </c>
      <c r="I18999" t="s">
        <v>1428</v>
      </c>
    </row>
    <row r="19000" spans="1:9" hidden="1" x14ac:dyDescent="0.25">
      <c r="A19000" t="s">
        <v>16086</v>
      </c>
      <c r="B19000" t="s">
        <v>528</v>
      </c>
      <c r="C19000" s="2">
        <f>HYPERLINK("https://cao.dolgi.msk.ru/account/1080232622/", 1080232622)</f>
        <v>1080232622</v>
      </c>
      <c r="D19000" t="s">
        <v>16172</v>
      </c>
      <c r="E19000">
        <v>-4504.3500000000004</v>
      </c>
      <c r="F19000">
        <v>-1.06</v>
      </c>
      <c r="G19000" t="s">
        <v>12</v>
      </c>
      <c r="I19000" t="s">
        <v>1428</v>
      </c>
    </row>
    <row r="19001" spans="1:9" hidden="1" x14ac:dyDescent="0.25">
      <c r="A19001" t="s">
        <v>16086</v>
      </c>
      <c r="B19001" t="s">
        <v>530</v>
      </c>
      <c r="C19001" s="2">
        <f>HYPERLINK("https://cao.dolgi.msk.ru/account/1080232649/", 1080232649)</f>
        <v>1080232649</v>
      </c>
      <c r="D19001" t="s">
        <v>16173</v>
      </c>
      <c r="E19001">
        <v>-7316.35</v>
      </c>
      <c r="F19001">
        <v>-1.31</v>
      </c>
      <c r="G19001" t="s">
        <v>12</v>
      </c>
      <c r="I19001" t="s">
        <v>1428</v>
      </c>
    </row>
    <row r="19002" spans="1:9" hidden="1" x14ac:dyDescent="0.25">
      <c r="A19002" t="s">
        <v>16086</v>
      </c>
      <c r="B19002" t="s">
        <v>532</v>
      </c>
      <c r="C19002" s="2">
        <f>HYPERLINK("https://cao.dolgi.msk.ru/account/1080232657/", 1080232657)</f>
        <v>1080232657</v>
      </c>
      <c r="D19002" t="s">
        <v>16174</v>
      </c>
      <c r="E19002">
        <v>-11985.86</v>
      </c>
      <c r="F19002">
        <v>-2.2799999999999998</v>
      </c>
      <c r="G19002" t="s">
        <v>12</v>
      </c>
      <c r="I19002" t="s">
        <v>1428</v>
      </c>
    </row>
    <row r="19003" spans="1:9" hidden="1" x14ac:dyDescent="0.25">
      <c r="A19003" t="s">
        <v>16086</v>
      </c>
      <c r="B19003" t="s">
        <v>534</v>
      </c>
      <c r="C19003" s="2">
        <f>HYPERLINK("https://cao.dolgi.msk.ru/account/1080232665/", 1080232665)</f>
        <v>1080232665</v>
      </c>
      <c r="D19003" t="s">
        <v>16175</v>
      </c>
      <c r="E19003">
        <v>-6855.65</v>
      </c>
      <c r="F19003">
        <v>-1.04</v>
      </c>
      <c r="G19003" t="s">
        <v>12</v>
      </c>
      <c r="I19003" t="s">
        <v>1428</v>
      </c>
    </row>
    <row r="19004" spans="1:9" hidden="1" x14ac:dyDescent="0.25">
      <c r="A19004" t="s">
        <v>16086</v>
      </c>
      <c r="B19004" t="s">
        <v>536</v>
      </c>
      <c r="C19004" s="2">
        <f>HYPERLINK("https://cao.dolgi.msk.ru/account/1080232673/", 1080232673)</f>
        <v>1080232673</v>
      </c>
      <c r="D19004" t="s">
        <v>16176</v>
      </c>
      <c r="E19004">
        <v>-3897.11</v>
      </c>
      <c r="F19004">
        <v>-1.1200000000000001</v>
      </c>
      <c r="G19004" t="s">
        <v>12</v>
      </c>
      <c r="I19004" t="s">
        <v>1428</v>
      </c>
    </row>
    <row r="19005" spans="1:9" hidden="1" x14ac:dyDescent="0.25">
      <c r="A19005" t="s">
        <v>16086</v>
      </c>
      <c r="B19005" t="s">
        <v>538</v>
      </c>
      <c r="C19005" s="2">
        <f>HYPERLINK("https://cao.dolgi.msk.ru/account/1080232681/", 1080232681)</f>
        <v>1080232681</v>
      </c>
      <c r="D19005" t="s">
        <v>16177</v>
      </c>
      <c r="E19005">
        <v>10.92</v>
      </c>
      <c r="F19005">
        <v>0</v>
      </c>
      <c r="G19005" t="s">
        <v>12</v>
      </c>
      <c r="I19005" t="s">
        <v>1428</v>
      </c>
    </row>
    <row r="19006" spans="1:9" hidden="1" x14ac:dyDescent="0.25">
      <c r="A19006" t="s">
        <v>16086</v>
      </c>
      <c r="B19006" t="s">
        <v>539</v>
      </c>
      <c r="C19006" s="2">
        <f>HYPERLINK("https://cao.dolgi.msk.ru/account/1080232702/", 1080232702)</f>
        <v>1080232702</v>
      </c>
      <c r="D19006" t="s">
        <v>16178</v>
      </c>
      <c r="E19006">
        <v>47.8</v>
      </c>
      <c r="F19006">
        <v>0.01</v>
      </c>
      <c r="G19006" t="s">
        <v>12</v>
      </c>
      <c r="I19006" t="s">
        <v>1428</v>
      </c>
    </row>
    <row r="19007" spans="1:9" hidden="1" x14ac:dyDescent="0.25">
      <c r="A19007" t="s">
        <v>16086</v>
      </c>
      <c r="B19007" t="s">
        <v>541</v>
      </c>
      <c r="C19007" s="2">
        <f>HYPERLINK("https://cao.dolgi.msk.ru/account/1080232729/", 1080232729)</f>
        <v>1080232729</v>
      </c>
      <c r="D19007" t="s">
        <v>16179</v>
      </c>
      <c r="E19007">
        <v>-7609.34</v>
      </c>
      <c r="F19007">
        <v>-1.07</v>
      </c>
      <c r="G19007" t="s">
        <v>12</v>
      </c>
      <c r="I19007" t="s">
        <v>1428</v>
      </c>
    </row>
    <row r="19008" spans="1:9" hidden="1" x14ac:dyDescent="0.25">
      <c r="A19008" t="s">
        <v>16086</v>
      </c>
      <c r="B19008" t="s">
        <v>541</v>
      </c>
      <c r="C19008" s="2">
        <f>HYPERLINK("https://cao.dolgi.msk.ru/account/1080232737/", 1080232737)</f>
        <v>1080232737</v>
      </c>
      <c r="D19008" t="s">
        <v>15</v>
      </c>
      <c r="E19008">
        <v>-339.43</v>
      </c>
      <c r="G19008" t="s">
        <v>14</v>
      </c>
      <c r="I19008" t="s">
        <v>1428</v>
      </c>
    </row>
    <row r="19009" spans="1:9" hidden="1" x14ac:dyDescent="0.25">
      <c r="A19009" t="s">
        <v>16086</v>
      </c>
      <c r="B19009" t="s">
        <v>543</v>
      </c>
      <c r="C19009" s="2">
        <f>HYPERLINK("https://cao.dolgi.msk.ru/account/1080232753/", 1080232753)</f>
        <v>1080232753</v>
      </c>
      <c r="D19009" t="s">
        <v>16180</v>
      </c>
      <c r="E19009">
        <v>-8903.15</v>
      </c>
      <c r="F19009">
        <v>-1.08</v>
      </c>
      <c r="G19009" t="s">
        <v>12</v>
      </c>
      <c r="I19009" t="s">
        <v>1428</v>
      </c>
    </row>
    <row r="19010" spans="1:9" hidden="1" x14ac:dyDescent="0.25">
      <c r="A19010" t="s">
        <v>16086</v>
      </c>
      <c r="B19010" t="s">
        <v>545</v>
      </c>
      <c r="C19010" s="2">
        <f>HYPERLINK("https://cao.dolgi.msk.ru/account/1080232761/", 1080232761)</f>
        <v>1080232761</v>
      </c>
      <c r="D19010" t="s">
        <v>16181</v>
      </c>
      <c r="E19010">
        <v>-4589.18</v>
      </c>
      <c r="F19010">
        <v>-1</v>
      </c>
      <c r="G19010" t="s">
        <v>12</v>
      </c>
      <c r="I19010" t="s">
        <v>1428</v>
      </c>
    </row>
    <row r="19011" spans="1:9" hidden="1" x14ac:dyDescent="0.25">
      <c r="A19011" t="s">
        <v>16086</v>
      </c>
      <c r="B19011" t="s">
        <v>546</v>
      </c>
      <c r="C19011" s="2">
        <f>HYPERLINK("https://cao.dolgi.msk.ru/account/1080232788/", 1080232788)</f>
        <v>1080232788</v>
      </c>
      <c r="D19011" t="s">
        <v>16182</v>
      </c>
      <c r="E19011">
        <v>-13661.59</v>
      </c>
      <c r="F19011">
        <v>-1.42</v>
      </c>
      <c r="G19011" t="s">
        <v>12</v>
      </c>
      <c r="I19011" t="s">
        <v>1428</v>
      </c>
    </row>
    <row r="19012" spans="1:9" hidden="1" x14ac:dyDescent="0.25">
      <c r="A19012" t="s">
        <v>16086</v>
      </c>
      <c r="B19012" t="s">
        <v>548</v>
      </c>
      <c r="C19012" s="2">
        <f>HYPERLINK("https://cao.dolgi.msk.ru/account/1080232796/", 1080232796)</f>
        <v>1080232796</v>
      </c>
      <c r="D19012" t="s">
        <v>16183</v>
      </c>
      <c r="E19012">
        <v>-8206.91</v>
      </c>
      <c r="F19012">
        <v>-1.2</v>
      </c>
      <c r="G19012" t="s">
        <v>12</v>
      </c>
      <c r="I19012" t="s">
        <v>1428</v>
      </c>
    </row>
    <row r="19013" spans="1:9" hidden="1" x14ac:dyDescent="0.25">
      <c r="A19013" t="s">
        <v>16086</v>
      </c>
      <c r="B19013" t="s">
        <v>727</v>
      </c>
      <c r="C19013" s="2">
        <f>HYPERLINK("https://cao.dolgi.msk.ru/account/1080232817/", 1080232817)</f>
        <v>1080232817</v>
      </c>
      <c r="D19013" t="s">
        <v>16184</v>
      </c>
      <c r="E19013">
        <v>-5975.07</v>
      </c>
      <c r="F19013">
        <v>-1.08</v>
      </c>
      <c r="G19013" t="s">
        <v>12</v>
      </c>
      <c r="I19013" t="s">
        <v>1428</v>
      </c>
    </row>
    <row r="19014" spans="1:9" hidden="1" x14ac:dyDescent="0.25">
      <c r="A19014" t="s">
        <v>16086</v>
      </c>
      <c r="B19014" t="s">
        <v>551</v>
      </c>
      <c r="C19014" s="2">
        <f>HYPERLINK("https://cao.dolgi.msk.ru/account/1080232825/", 1080232825)</f>
        <v>1080232825</v>
      </c>
      <c r="D19014" t="s">
        <v>16185</v>
      </c>
      <c r="E19014">
        <v>-8513.01</v>
      </c>
      <c r="F19014">
        <v>-1.1100000000000001</v>
      </c>
      <c r="G19014" t="s">
        <v>12</v>
      </c>
      <c r="I19014" t="s">
        <v>1428</v>
      </c>
    </row>
    <row r="19015" spans="1:9" hidden="1" x14ac:dyDescent="0.25">
      <c r="A19015" t="s">
        <v>16086</v>
      </c>
      <c r="B19015" t="s">
        <v>730</v>
      </c>
      <c r="C19015" s="2">
        <f>HYPERLINK("https://cao.dolgi.msk.ru/account/1080232833/", 1080232833)</f>
        <v>1080232833</v>
      </c>
      <c r="D19015" t="s">
        <v>16186</v>
      </c>
      <c r="E19015">
        <v>-6137.14</v>
      </c>
      <c r="F19015">
        <v>-1.21</v>
      </c>
      <c r="G19015" t="s">
        <v>12</v>
      </c>
      <c r="I19015" t="s">
        <v>1428</v>
      </c>
    </row>
    <row r="19016" spans="1:9" hidden="1" x14ac:dyDescent="0.25">
      <c r="A19016" t="s">
        <v>16086</v>
      </c>
      <c r="B19016" t="s">
        <v>732</v>
      </c>
      <c r="C19016" s="2">
        <f>HYPERLINK("https://cao.dolgi.msk.ru/account/1080232841/", 1080232841)</f>
        <v>1080232841</v>
      </c>
      <c r="D19016" t="s">
        <v>16187</v>
      </c>
      <c r="E19016">
        <v>-6785.47</v>
      </c>
      <c r="F19016">
        <v>-1.1399999999999999</v>
      </c>
      <c r="G19016" t="s">
        <v>12</v>
      </c>
      <c r="I19016" t="s">
        <v>1428</v>
      </c>
    </row>
    <row r="19017" spans="1:9" hidden="1" x14ac:dyDescent="0.25">
      <c r="A19017" t="s">
        <v>16086</v>
      </c>
      <c r="B19017" t="s">
        <v>553</v>
      </c>
      <c r="C19017" s="2">
        <f>HYPERLINK("https://cao.dolgi.msk.ru/account/1080232868/", 1080232868)</f>
        <v>1080232868</v>
      </c>
      <c r="D19017" t="s">
        <v>16188</v>
      </c>
      <c r="E19017">
        <v>-5324.69</v>
      </c>
      <c r="F19017">
        <v>-1.2</v>
      </c>
      <c r="G19017" t="s">
        <v>12</v>
      </c>
      <c r="I19017" t="s">
        <v>1428</v>
      </c>
    </row>
    <row r="19018" spans="1:9" hidden="1" x14ac:dyDescent="0.25">
      <c r="A19018" t="s">
        <v>16086</v>
      </c>
      <c r="B19018" t="s">
        <v>555</v>
      </c>
      <c r="C19018" s="2">
        <f>HYPERLINK("https://cao.dolgi.msk.ru/account/1080232876/", 1080232876)</f>
        <v>1080232876</v>
      </c>
      <c r="D19018" t="s">
        <v>16189</v>
      </c>
      <c r="E19018">
        <v>-5588.79</v>
      </c>
      <c r="F19018">
        <v>-1.1100000000000001</v>
      </c>
      <c r="G19018" t="s">
        <v>12</v>
      </c>
      <c r="I19018" t="s">
        <v>1428</v>
      </c>
    </row>
    <row r="19019" spans="1:9" hidden="1" x14ac:dyDescent="0.25">
      <c r="A19019" t="s">
        <v>16086</v>
      </c>
      <c r="B19019" t="s">
        <v>736</v>
      </c>
      <c r="C19019" s="2">
        <f>HYPERLINK("https://cao.dolgi.msk.ru/account/1080232884/", 1080232884)</f>
        <v>1080232884</v>
      </c>
      <c r="D19019" t="s">
        <v>16190</v>
      </c>
      <c r="E19019">
        <v>-7806.05</v>
      </c>
      <c r="F19019">
        <v>-0.95</v>
      </c>
      <c r="G19019" t="s">
        <v>12</v>
      </c>
      <c r="I19019" t="s">
        <v>1428</v>
      </c>
    </row>
    <row r="19020" spans="1:9" hidden="1" x14ac:dyDescent="0.25">
      <c r="A19020" t="s">
        <v>16086</v>
      </c>
      <c r="B19020" t="s">
        <v>738</v>
      </c>
      <c r="C19020" s="2">
        <f>HYPERLINK("https://cao.dolgi.msk.ru/account/1080232892/", 1080232892)</f>
        <v>1080232892</v>
      </c>
      <c r="D19020" t="s">
        <v>16191</v>
      </c>
      <c r="E19020">
        <v>-3567.55</v>
      </c>
      <c r="F19020">
        <v>-1.19</v>
      </c>
      <c r="G19020" t="s">
        <v>12</v>
      </c>
      <c r="I19020" t="s">
        <v>1428</v>
      </c>
    </row>
    <row r="19021" spans="1:9" hidden="1" x14ac:dyDescent="0.25">
      <c r="A19021" t="s">
        <v>16086</v>
      </c>
      <c r="B19021" t="s">
        <v>738</v>
      </c>
      <c r="C19021" s="2">
        <f>HYPERLINK("https://cao.dolgi.msk.ru/account/1089115027/", 1089115027)</f>
        <v>1089115027</v>
      </c>
      <c r="D19021" t="s">
        <v>16191</v>
      </c>
      <c r="E19021">
        <v>-3081.38</v>
      </c>
      <c r="F19021">
        <v>-1.03</v>
      </c>
      <c r="G19021" t="s">
        <v>12</v>
      </c>
      <c r="I19021" t="s">
        <v>1428</v>
      </c>
    </row>
    <row r="19022" spans="1:9" hidden="1" x14ac:dyDescent="0.25">
      <c r="A19022" t="s">
        <v>16086</v>
      </c>
      <c r="B19022" t="s">
        <v>740</v>
      </c>
      <c r="C19022" s="2">
        <f>HYPERLINK("https://cao.dolgi.msk.ru/account/1080232905/", 1080232905)</f>
        <v>1080232905</v>
      </c>
      <c r="D19022" t="s">
        <v>16192</v>
      </c>
      <c r="E19022">
        <v>-4845.04</v>
      </c>
      <c r="F19022">
        <v>-1.28</v>
      </c>
      <c r="G19022" t="s">
        <v>12</v>
      </c>
      <c r="I19022" t="s">
        <v>1428</v>
      </c>
    </row>
    <row r="19023" spans="1:9" hidden="1" x14ac:dyDescent="0.25">
      <c r="A19023" t="s">
        <v>16086</v>
      </c>
      <c r="B19023" t="s">
        <v>742</v>
      </c>
      <c r="C19023" s="2">
        <f>HYPERLINK("https://cao.dolgi.msk.ru/account/1080232913/", 1080232913)</f>
        <v>1080232913</v>
      </c>
      <c r="D19023" t="s">
        <v>16193</v>
      </c>
      <c r="E19023">
        <v>-3631.55</v>
      </c>
      <c r="F19023">
        <v>-1.1599999999999999</v>
      </c>
      <c r="G19023" t="s">
        <v>12</v>
      </c>
      <c r="I19023" t="s">
        <v>1428</v>
      </c>
    </row>
    <row r="19024" spans="1:9" hidden="1" x14ac:dyDescent="0.25">
      <c r="A19024" t="s">
        <v>16086</v>
      </c>
      <c r="B19024" t="s">
        <v>557</v>
      </c>
      <c r="C19024" s="2">
        <f>HYPERLINK("https://cao.dolgi.msk.ru/account/1080232921/", 1080232921)</f>
        <v>1080232921</v>
      </c>
      <c r="D19024" t="s">
        <v>16194</v>
      </c>
      <c r="E19024">
        <v>-6148.45</v>
      </c>
      <c r="F19024">
        <v>-1.06</v>
      </c>
      <c r="G19024" t="s">
        <v>12</v>
      </c>
      <c r="I19024" t="s">
        <v>1428</v>
      </c>
    </row>
    <row r="19025" spans="1:9" hidden="1" x14ac:dyDescent="0.25">
      <c r="A19025" t="s">
        <v>16086</v>
      </c>
      <c r="B19025" t="s">
        <v>558</v>
      </c>
      <c r="C19025" s="2">
        <f>HYPERLINK("https://cao.dolgi.msk.ru/account/1080232948/", 1080232948)</f>
        <v>1080232948</v>
      </c>
      <c r="D19025" t="s">
        <v>16195</v>
      </c>
      <c r="E19025">
        <v>-10838.21</v>
      </c>
      <c r="F19025">
        <v>-1.29</v>
      </c>
      <c r="G19025" t="s">
        <v>12</v>
      </c>
      <c r="I19025" t="s">
        <v>1428</v>
      </c>
    </row>
    <row r="19026" spans="1:9" hidden="1" x14ac:dyDescent="0.25">
      <c r="A19026" t="s">
        <v>16086</v>
      </c>
      <c r="B19026" t="s">
        <v>746</v>
      </c>
      <c r="C19026" s="2">
        <f>HYPERLINK("https://cao.dolgi.msk.ru/account/1080232956/", 1080232956)</f>
        <v>1080232956</v>
      </c>
      <c r="D19026" t="s">
        <v>16196</v>
      </c>
      <c r="E19026">
        <v>-3975.24</v>
      </c>
      <c r="F19026">
        <v>-1.1299999999999999</v>
      </c>
      <c r="G19026" t="s">
        <v>12</v>
      </c>
      <c r="I19026" t="s">
        <v>1428</v>
      </c>
    </row>
    <row r="19027" spans="1:9" hidden="1" x14ac:dyDescent="0.25">
      <c r="A19027" t="s">
        <v>16086</v>
      </c>
      <c r="B19027" t="s">
        <v>748</v>
      </c>
      <c r="C19027" s="2">
        <f>HYPERLINK("https://cao.dolgi.msk.ru/account/1080232964/", 1080232964)</f>
        <v>1080232964</v>
      </c>
      <c r="D19027" t="s">
        <v>16197</v>
      </c>
      <c r="E19027">
        <v>-7250.37</v>
      </c>
      <c r="F19027">
        <v>-0.86</v>
      </c>
      <c r="G19027" t="s">
        <v>12</v>
      </c>
      <c r="I19027" t="s">
        <v>1428</v>
      </c>
    </row>
    <row r="19028" spans="1:9" hidden="1" x14ac:dyDescent="0.25">
      <c r="A19028" t="s">
        <v>16086</v>
      </c>
      <c r="B19028" t="s">
        <v>750</v>
      </c>
      <c r="C19028" s="2">
        <f>HYPERLINK("https://cao.dolgi.msk.ru/account/1080232972/", 1080232972)</f>
        <v>1080232972</v>
      </c>
      <c r="D19028" t="s">
        <v>16198</v>
      </c>
      <c r="E19028">
        <v>0</v>
      </c>
      <c r="F19028">
        <v>0</v>
      </c>
      <c r="G19028" t="s">
        <v>12</v>
      </c>
      <c r="I19028" t="s">
        <v>1428</v>
      </c>
    </row>
    <row r="19029" spans="1:9" hidden="1" x14ac:dyDescent="0.25">
      <c r="A19029" t="s">
        <v>16086</v>
      </c>
      <c r="B19029" t="s">
        <v>752</v>
      </c>
      <c r="C19029" s="2">
        <f>HYPERLINK("https://cao.dolgi.msk.ru/account/1080232999/", 1080232999)</f>
        <v>1080232999</v>
      </c>
      <c r="D19029" t="s">
        <v>16199</v>
      </c>
      <c r="E19029">
        <v>-6355.95</v>
      </c>
      <c r="F19029">
        <v>-1.28</v>
      </c>
      <c r="G19029" t="s">
        <v>12</v>
      </c>
      <c r="I19029" t="s">
        <v>1428</v>
      </c>
    </row>
    <row r="19030" spans="1:9" hidden="1" x14ac:dyDescent="0.25">
      <c r="A19030" t="s">
        <v>16086</v>
      </c>
      <c r="B19030" t="s">
        <v>754</v>
      </c>
      <c r="C19030" s="2">
        <f>HYPERLINK("https://cao.dolgi.msk.ru/account/1080233019/", 1080233019)</f>
        <v>1080233019</v>
      </c>
      <c r="D19030" t="s">
        <v>16200</v>
      </c>
      <c r="E19030">
        <v>-786.24</v>
      </c>
      <c r="F19030">
        <v>-0.23</v>
      </c>
      <c r="G19030" t="s">
        <v>12</v>
      </c>
      <c r="I19030" t="s">
        <v>1428</v>
      </c>
    </row>
    <row r="19031" spans="1:9" hidden="1" x14ac:dyDescent="0.25">
      <c r="A19031" t="s">
        <v>16086</v>
      </c>
      <c r="B19031" t="s">
        <v>756</v>
      </c>
      <c r="C19031" s="2">
        <f>HYPERLINK("https://cao.dolgi.msk.ru/account/1080233027/", 1080233027)</f>
        <v>1080233027</v>
      </c>
      <c r="D19031" t="s">
        <v>16201</v>
      </c>
      <c r="E19031">
        <v>-7578.19</v>
      </c>
      <c r="F19031">
        <v>-1.23</v>
      </c>
      <c r="G19031" t="s">
        <v>12</v>
      </c>
      <c r="I19031" t="s">
        <v>1428</v>
      </c>
    </row>
    <row r="19032" spans="1:9" hidden="1" x14ac:dyDescent="0.25">
      <c r="A19032" t="s">
        <v>16086</v>
      </c>
      <c r="B19032" t="s">
        <v>758</v>
      </c>
      <c r="C19032" s="2">
        <f>HYPERLINK("https://cao.dolgi.msk.ru/account/1080233035/", 1080233035)</f>
        <v>1080233035</v>
      </c>
      <c r="D19032" t="s">
        <v>15</v>
      </c>
      <c r="E19032">
        <v>-171.71</v>
      </c>
      <c r="F19032">
        <v>-0.03</v>
      </c>
      <c r="G19032" t="s">
        <v>12</v>
      </c>
      <c r="I19032" t="s">
        <v>1428</v>
      </c>
    </row>
    <row r="19033" spans="1:9" hidden="1" x14ac:dyDescent="0.25">
      <c r="A19033" t="s">
        <v>16086</v>
      </c>
      <c r="B19033" t="s">
        <v>760</v>
      </c>
      <c r="C19033" s="2">
        <f>HYPERLINK("https://cao.dolgi.msk.ru/account/1080233043/", 1080233043)</f>
        <v>1080233043</v>
      </c>
      <c r="D19033" t="s">
        <v>16202</v>
      </c>
      <c r="E19033">
        <v>-8209.99</v>
      </c>
      <c r="F19033">
        <v>-1.01</v>
      </c>
      <c r="G19033" t="s">
        <v>12</v>
      </c>
      <c r="I19033" t="s">
        <v>1428</v>
      </c>
    </row>
    <row r="19034" spans="1:9" hidden="1" x14ac:dyDescent="0.25">
      <c r="A19034" t="s">
        <v>16086</v>
      </c>
      <c r="B19034" t="s">
        <v>762</v>
      </c>
      <c r="C19034" s="2">
        <f>HYPERLINK("https://cao.dolgi.msk.ru/account/1080233051/", 1080233051)</f>
        <v>1080233051</v>
      </c>
      <c r="D19034" t="s">
        <v>16203</v>
      </c>
      <c r="E19034">
        <v>-7911.23</v>
      </c>
      <c r="F19034">
        <v>-1.08</v>
      </c>
      <c r="G19034" t="s">
        <v>12</v>
      </c>
      <c r="I19034" t="s">
        <v>1428</v>
      </c>
    </row>
    <row r="19035" spans="1:9" hidden="1" x14ac:dyDescent="0.25">
      <c r="A19035" t="s">
        <v>16086</v>
      </c>
      <c r="B19035" t="s">
        <v>764</v>
      </c>
      <c r="C19035" s="2">
        <f>HYPERLINK("https://cao.dolgi.msk.ru/account/1080233078/", 1080233078)</f>
        <v>1080233078</v>
      </c>
      <c r="D19035" t="s">
        <v>16204</v>
      </c>
      <c r="E19035">
        <v>-4439.4799999999996</v>
      </c>
      <c r="F19035">
        <v>-1.08</v>
      </c>
      <c r="G19035" t="s">
        <v>12</v>
      </c>
      <c r="I19035" t="s">
        <v>1428</v>
      </c>
    </row>
    <row r="19036" spans="1:9" hidden="1" x14ac:dyDescent="0.25">
      <c r="A19036" t="s">
        <v>16086</v>
      </c>
      <c r="B19036" t="s">
        <v>766</v>
      </c>
      <c r="C19036" s="2">
        <f>HYPERLINK("https://cao.dolgi.msk.ru/account/1080233086/", 1080233086)</f>
        <v>1080233086</v>
      </c>
      <c r="D19036" t="s">
        <v>16205</v>
      </c>
      <c r="E19036">
        <v>-225.67</v>
      </c>
      <c r="F19036">
        <v>-0.03</v>
      </c>
      <c r="G19036" t="s">
        <v>12</v>
      </c>
      <c r="I19036" t="s">
        <v>1428</v>
      </c>
    </row>
    <row r="19037" spans="1:9" hidden="1" x14ac:dyDescent="0.25">
      <c r="A19037" t="s">
        <v>16086</v>
      </c>
      <c r="B19037" t="s">
        <v>768</v>
      </c>
      <c r="C19037" s="2">
        <f>HYPERLINK("https://cao.dolgi.msk.ru/account/1080233094/", 1080233094)</f>
        <v>1080233094</v>
      </c>
      <c r="D19037" t="s">
        <v>16206</v>
      </c>
      <c r="E19037">
        <v>-1160.8800000000001</v>
      </c>
      <c r="F19037">
        <v>-0.31</v>
      </c>
      <c r="G19037" t="s">
        <v>12</v>
      </c>
      <c r="I19037" t="s">
        <v>1428</v>
      </c>
    </row>
    <row r="19038" spans="1:9" hidden="1" x14ac:dyDescent="0.25">
      <c r="A19038" t="s">
        <v>16086</v>
      </c>
      <c r="B19038" t="s">
        <v>770</v>
      </c>
      <c r="C19038" s="2">
        <f>HYPERLINK("https://cao.dolgi.msk.ru/account/1080233107/", 1080233107)</f>
        <v>1080233107</v>
      </c>
      <c r="D19038" t="s">
        <v>16207</v>
      </c>
      <c r="E19038">
        <v>-7366.34</v>
      </c>
      <c r="F19038">
        <v>-0.93</v>
      </c>
      <c r="G19038" t="s">
        <v>12</v>
      </c>
      <c r="I19038" t="s">
        <v>1428</v>
      </c>
    </row>
    <row r="19039" spans="1:9" hidden="1" x14ac:dyDescent="0.25">
      <c r="A19039" t="s">
        <v>16086</v>
      </c>
      <c r="B19039" t="s">
        <v>772</v>
      </c>
      <c r="C19039" s="2">
        <f>HYPERLINK("https://cao.dolgi.msk.ru/account/1080233115/", 1080233115)</f>
        <v>1080233115</v>
      </c>
      <c r="D19039" t="s">
        <v>16208</v>
      </c>
      <c r="E19039">
        <v>-7089.74</v>
      </c>
      <c r="F19039">
        <v>-0.89</v>
      </c>
      <c r="G19039" t="s">
        <v>12</v>
      </c>
      <c r="I19039" t="s">
        <v>1428</v>
      </c>
    </row>
    <row r="19040" spans="1:9" hidden="1" x14ac:dyDescent="0.25">
      <c r="A19040" t="s">
        <v>16086</v>
      </c>
      <c r="B19040" t="s">
        <v>774</v>
      </c>
      <c r="C19040" s="2">
        <f>HYPERLINK("https://cao.dolgi.msk.ru/account/1080233123/", 1080233123)</f>
        <v>1080233123</v>
      </c>
      <c r="D19040" t="s">
        <v>16209</v>
      </c>
      <c r="E19040">
        <v>-8589.94</v>
      </c>
      <c r="F19040">
        <v>-1.34</v>
      </c>
      <c r="G19040" t="s">
        <v>12</v>
      </c>
      <c r="I19040" t="s">
        <v>1428</v>
      </c>
    </row>
    <row r="19041" spans="1:9" hidden="1" x14ac:dyDescent="0.25">
      <c r="A19041" t="s">
        <v>16210</v>
      </c>
      <c r="B19041" t="s">
        <v>10</v>
      </c>
      <c r="C19041" s="2">
        <f>HYPERLINK("https://cao.dolgi.msk.ru/account/1080293759/", 1080293759)</f>
        <v>1080293759</v>
      </c>
      <c r="D19041" t="s">
        <v>16211</v>
      </c>
      <c r="E19041">
        <v>82.39</v>
      </c>
      <c r="F19041">
        <v>0.01</v>
      </c>
      <c r="G19041" t="s">
        <v>12</v>
      </c>
      <c r="I19041" t="s">
        <v>1050</v>
      </c>
    </row>
    <row r="19042" spans="1:9" hidden="1" x14ac:dyDescent="0.25">
      <c r="A19042" t="s">
        <v>16210</v>
      </c>
      <c r="B19042" t="s">
        <v>16</v>
      </c>
      <c r="C19042" s="2">
        <f>HYPERLINK("https://cao.dolgi.msk.ru/account/1080293767/", 1080293767)</f>
        <v>1080293767</v>
      </c>
      <c r="D19042" t="s">
        <v>16212</v>
      </c>
      <c r="E19042">
        <v>-2301.9</v>
      </c>
      <c r="F19042">
        <v>-1.22</v>
      </c>
      <c r="G19042" t="s">
        <v>12</v>
      </c>
      <c r="I19042" t="s">
        <v>1050</v>
      </c>
    </row>
    <row r="19043" spans="1:9" x14ac:dyDescent="0.25">
      <c r="A19043" t="s">
        <v>16210</v>
      </c>
      <c r="B19043" t="s">
        <v>18</v>
      </c>
      <c r="C19043" s="2">
        <f>HYPERLINK("https://cao.dolgi.msk.ru/account/1080293775/", 1080293775)</f>
        <v>1080293775</v>
      </c>
      <c r="D19043" t="s">
        <v>11144</v>
      </c>
      <c r="E19043">
        <v>65987.509999999995</v>
      </c>
      <c r="F19043">
        <v>10.36</v>
      </c>
      <c r="G19043" t="s">
        <v>12</v>
      </c>
      <c r="H19043" t="s">
        <v>7</v>
      </c>
      <c r="I19043" t="s">
        <v>1050</v>
      </c>
    </row>
    <row r="19044" spans="1:9" x14ac:dyDescent="0.25">
      <c r="A19044" t="s">
        <v>16210</v>
      </c>
      <c r="B19044" t="s">
        <v>18</v>
      </c>
      <c r="C19044" s="2">
        <f>HYPERLINK("https://cao.dolgi.msk.ru/account/1080293783/", 1080293783)</f>
        <v>1080293783</v>
      </c>
      <c r="D19044" t="s">
        <v>11144</v>
      </c>
      <c r="E19044">
        <v>37056.720000000001</v>
      </c>
      <c r="F19044">
        <v>10.16</v>
      </c>
      <c r="G19044" t="s">
        <v>12</v>
      </c>
      <c r="H19044" t="s">
        <v>7</v>
      </c>
      <c r="I19044" t="s">
        <v>1050</v>
      </c>
    </row>
    <row r="19045" spans="1:9" hidden="1" x14ac:dyDescent="0.25">
      <c r="A19045" t="s">
        <v>16210</v>
      </c>
      <c r="B19045" t="s">
        <v>20</v>
      </c>
      <c r="C19045" s="2">
        <f>HYPERLINK("https://cao.dolgi.msk.ru/account/1080293791/", 1080293791)</f>
        <v>1080293791</v>
      </c>
      <c r="D19045" t="s">
        <v>16213</v>
      </c>
      <c r="E19045">
        <v>-6812.95</v>
      </c>
      <c r="F19045">
        <v>-1.1299999999999999</v>
      </c>
      <c r="G19045" t="s">
        <v>12</v>
      </c>
      <c r="I19045" t="s">
        <v>1050</v>
      </c>
    </row>
    <row r="19046" spans="1:9" hidden="1" x14ac:dyDescent="0.25">
      <c r="A19046" t="s">
        <v>16210</v>
      </c>
      <c r="B19046" t="s">
        <v>21</v>
      </c>
      <c r="C19046" s="2">
        <f>HYPERLINK("https://cao.dolgi.msk.ru/account/1080293804/", 1080293804)</f>
        <v>1080293804</v>
      </c>
      <c r="D19046" t="s">
        <v>16214</v>
      </c>
      <c r="E19046">
        <v>37.04</v>
      </c>
      <c r="F19046">
        <v>0</v>
      </c>
      <c r="G19046" t="s">
        <v>12</v>
      </c>
      <c r="I19046" t="s">
        <v>1050</v>
      </c>
    </row>
    <row r="19047" spans="1:9" hidden="1" x14ac:dyDescent="0.25">
      <c r="A19047" t="s">
        <v>16210</v>
      </c>
      <c r="B19047" t="s">
        <v>22</v>
      </c>
      <c r="C19047" s="2">
        <f>HYPERLINK("https://cao.dolgi.msk.ru/account/1080293812/", 1080293812)</f>
        <v>1080293812</v>
      </c>
      <c r="D19047" t="s">
        <v>16215</v>
      </c>
      <c r="E19047">
        <v>-514.64</v>
      </c>
      <c r="F19047">
        <v>-0.13</v>
      </c>
      <c r="G19047" t="s">
        <v>12</v>
      </c>
      <c r="I19047" t="s">
        <v>1050</v>
      </c>
    </row>
    <row r="19048" spans="1:9" hidden="1" x14ac:dyDescent="0.25">
      <c r="A19048" t="s">
        <v>16210</v>
      </c>
      <c r="B19048" t="s">
        <v>23</v>
      </c>
      <c r="C19048" s="2">
        <f>HYPERLINK("https://cao.dolgi.msk.ru/account/1080293839/", 1080293839)</f>
        <v>1080293839</v>
      </c>
      <c r="D19048" t="s">
        <v>16216</v>
      </c>
      <c r="E19048">
        <v>-5652.83</v>
      </c>
      <c r="F19048">
        <v>-1.1000000000000001</v>
      </c>
      <c r="G19048" t="s">
        <v>12</v>
      </c>
      <c r="I19048" t="s">
        <v>1050</v>
      </c>
    </row>
    <row r="19049" spans="1:9" hidden="1" x14ac:dyDescent="0.25">
      <c r="A19049" t="s">
        <v>16210</v>
      </c>
      <c r="B19049" t="s">
        <v>24</v>
      </c>
      <c r="C19049" s="2">
        <f>HYPERLINK("https://cao.dolgi.msk.ru/account/1080293847/", 1080293847)</f>
        <v>1080293847</v>
      </c>
      <c r="D19049" t="s">
        <v>16217</v>
      </c>
      <c r="E19049">
        <v>-6570.96</v>
      </c>
      <c r="F19049">
        <v>-1.08</v>
      </c>
      <c r="G19049" t="s">
        <v>12</v>
      </c>
      <c r="I19049" t="s">
        <v>1050</v>
      </c>
    </row>
    <row r="19050" spans="1:9" hidden="1" x14ac:dyDescent="0.25">
      <c r="A19050" t="s">
        <v>16210</v>
      </c>
      <c r="B19050" t="s">
        <v>27</v>
      </c>
      <c r="C19050" s="2">
        <f>HYPERLINK("https://cao.dolgi.msk.ru/account/1080293855/", 1080293855)</f>
        <v>1080293855</v>
      </c>
      <c r="D19050" t="s">
        <v>16218</v>
      </c>
      <c r="E19050">
        <v>-7756.11</v>
      </c>
      <c r="F19050">
        <v>-1.1599999999999999</v>
      </c>
      <c r="G19050" t="s">
        <v>12</v>
      </c>
      <c r="I19050" t="s">
        <v>1050</v>
      </c>
    </row>
    <row r="19051" spans="1:9" hidden="1" x14ac:dyDescent="0.25">
      <c r="A19051" t="s">
        <v>16210</v>
      </c>
      <c r="B19051" t="s">
        <v>29</v>
      </c>
      <c r="C19051" s="2">
        <f>HYPERLINK("https://cao.dolgi.msk.ru/account/1080293863/", 1080293863)</f>
        <v>1080293863</v>
      </c>
      <c r="D19051" t="s">
        <v>16219</v>
      </c>
      <c r="E19051">
        <v>-4151.38</v>
      </c>
      <c r="F19051">
        <v>-1.1000000000000001</v>
      </c>
      <c r="G19051" t="s">
        <v>12</v>
      </c>
      <c r="I19051" t="s">
        <v>1050</v>
      </c>
    </row>
    <row r="19052" spans="1:9" hidden="1" x14ac:dyDescent="0.25">
      <c r="A19052" t="s">
        <v>16210</v>
      </c>
      <c r="B19052" t="s">
        <v>31</v>
      </c>
      <c r="C19052" s="2">
        <f>HYPERLINK("https://cao.dolgi.msk.ru/account/1080293871/", 1080293871)</f>
        <v>1080293871</v>
      </c>
      <c r="D19052" t="s">
        <v>16220</v>
      </c>
      <c r="E19052">
        <v>-6434.07</v>
      </c>
      <c r="F19052">
        <v>-1.1100000000000001</v>
      </c>
      <c r="G19052" t="s">
        <v>12</v>
      </c>
      <c r="I19052" t="s">
        <v>1050</v>
      </c>
    </row>
    <row r="19053" spans="1:9" hidden="1" x14ac:dyDescent="0.25">
      <c r="A19053" t="s">
        <v>16210</v>
      </c>
      <c r="B19053" t="s">
        <v>33</v>
      </c>
      <c r="C19053" s="2">
        <f>HYPERLINK("https://cao.dolgi.msk.ru/account/1080293898/", 1080293898)</f>
        <v>1080293898</v>
      </c>
      <c r="D19053" t="s">
        <v>16221</v>
      </c>
      <c r="E19053">
        <v>-8592.66</v>
      </c>
      <c r="F19053">
        <v>-1.18</v>
      </c>
      <c r="G19053" t="s">
        <v>12</v>
      </c>
      <c r="I19053" t="s">
        <v>1050</v>
      </c>
    </row>
    <row r="19054" spans="1:9" hidden="1" x14ac:dyDescent="0.25">
      <c r="A19054" t="s">
        <v>16210</v>
      </c>
      <c r="B19054" t="s">
        <v>34</v>
      </c>
      <c r="C19054" s="2">
        <f>HYPERLINK("https://cao.dolgi.msk.ru/account/1080293919/", 1080293919)</f>
        <v>1080293919</v>
      </c>
      <c r="D19054" t="s">
        <v>16222</v>
      </c>
      <c r="E19054">
        <v>-9514.11</v>
      </c>
      <c r="F19054">
        <v>-1.17</v>
      </c>
      <c r="G19054" t="s">
        <v>12</v>
      </c>
      <c r="I19054" t="s">
        <v>1050</v>
      </c>
    </row>
    <row r="19055" spans="1:9" hidden="1" x14ac:dyDescent="0.25">
      <c r="A19055" t="s">
        <v>16210</v>
      </c>
      <c r="B19055" t="s">
        <v>36</v>
      </c>
      <c r="C19055" s="2">
        <f>HYPERLINK("https://cao.dolgi.msk.ru/account/1080293927/", 1080293927)</f>
        <v>1080293927</v>
      </c>
      <c r="D19055" t="s">
        <v>16223</v>
      </c>
      <c r="E19055">
        <v>-4312.96</v>
      </c>
      <c r="F19055">
        <v>-1.01</v>
      </c>
      <c r="G19055" t="s">
        <v>12</v>
      </c>
      <c r="I19055" t="s">
        <v>1050</v>
      </c>
    </row>
    <row r="19056" spans="1:9" hidden="1" x14ac:dyDescent="0.25">
      <c r="A19056" t="s">
        <v>16210</v>
      </c>
      <c r="B19056" t="s">
        <v>38</v>
      </c>
      <c r="C19056" s="2">
        <f>HYPERLINK("https://cao.dolgi.msk.ru/account/1080293943/", 1080293943)</f>
        <v>1080293943</v>
      </c>
      <c r="D19056" t="s">
        <v>16224</v>
      </c>
      <c r="E19056">
        <v>-6377.9</v>
      </c>
      <c r="F19056">
        <v>-1.1299999999999999</v>
      </c>
      <c r="G19056" t="s">
        <v>12</v>
      </c>
      <c r="I19056" t="s">
        <v>1050</v>
      </c>
    </row>
    <row r="19057" spans="1:9" hidden="1" x14ac:dyDescent="0.25">
      <c r="A19057" t="s">
        <v>16210</v>
      </c>
      <c r="B19057" t="s">
        <v>39</v>
      </c>
      <c r="C19057" s="2">
        <f>HYPERLINK("https://cao.dolgi.msk.ru/account/1080293951/", 1080293951)</f>
        <v>1080293951</v>
      </c>
      <c r="D19057" t="s">
        <v>16225</v>
      </c>
      <c r="E19057">
        <v>-9577.84</v>
      </c>
      <c r="F19057">
        <v>-1.05</v>
      </c>
      <c r="G19057" t="s">
        <v>12</v>
      </c>
      <c r="I19057" t="s">
        <v>1050</v>
      </c>
    </row>
    <row r="19058" spans="1:9" hidden="1" x14ac:dyDescent="0.25">
      <c r="A19058" t="s">
        <v>16210</v>
      </c>
      <c r="B19058" t="s">
        <v>40</v>
      </c>
      <c r="C19058" s="2">
        <f>HYPERLINK("https://cao.dolgi.msk.ru/account/1080293978/", 1080293978)</f>
        <v>1080293978</v>
      </c>
      <c r="D19058" t="s">
        <v>16226</v>
      </c>
      <c r="E19058">
        <v>-10633.87</v>
      </c>
      <c r="F19058">
        <v>-1.06</v>
      </c>
      <c r="G19058" t="s">
        <v>12</v>
      </c>
      <c r="I19058" t="s">
        <v>1050</v>
      </c>
    </row>
    <row r="19059" spans="1:9" hidden="1" x14ac:dyDescent="0.25">
      <c r="A19059" t="s">
        <v>16210</v>
      </c>
      <c r="B19059" t="s">
        <v>41</v>
      </c>
      <c r="C19059" s="2">
        <f>HYPERLINK("https://cao.dolgi.msk.ru/account/1080293986/", 1080293986)</f>
        <v>1080293986</v>
      </c>
      <c r="D19059" t="s">
        <v>16227</v>
      </c>
      <c r="E19059">
        <v>93.3</v>
      </c>
      <c r="F19059">
        <v>0.02</v>
      </c>
      <c r="G19059" t="s">
        <v>12</v>
      </c>
      <c r="I19059" t="s">
        <v>1050</v>
      </c>
    </row>
    <row r="19060" spans="1:9" hidden="1" x14ac:dyDescent="0.25">
      <c r="A19060" t="s">
        <v>16210</v>
      </c>
      <c r="B19060" t="s">
        <v>42</v>
      </c>
      <c r="C19060" s="2">
        <f>HYPERLINK("https://cao.dolgi.msk.ru/account/1080293994/", 1080293994)</f>
        <v>1080293994</v>
      </c>
      <c r="D19060" t="s">
        <v>16228</v>
      </c>
      <c r="E19060">
        <v>109.38</v>
      </c>
      <c r="F19060">
        <v>0.01</v>
      </c>
      <c r="G19060" t="s">
        <v>12</v>
      </c>
      <c r="I19060" t="s">
        <v>1050</v>
      </c>
    </row>
    <row r="19061" spans="1:9" hidden="1" x14ac:dyDescent="0.25">
      <c r="A19061" t="s">
        <v>16210</v>
      </c>
      <c r="B19061" t="s">
        <v>44</v>
      </c>
      <c r="C19061" s="2">
        <f>HYPERLINK("https://cao.dolgi.msk.ru/account/1080294006/", 1080294006)</f>
        <v>1080294006</v>
      </c>
      <c r="D19061" t="s">
        <v>16229</v>
      </c>
      <c r="E19061">
        <v>-6069.63</v>
      </c>
      <c r="F19061">
        <v>-1.25</v>
      </c>
      <c r="G19061" t="s">
        <v>12</v>
      </c>
      <c r="I19061" t="s">
        <v>1050</v>
      </c>
    </row>
    <row r="19062" spans="1:9" hidden="1" x14ac:dyDescent="0.25">
      <c r="A19062" t="s">
        <v>16210</v>
      </c>
      <c r="B19062" t="s">
        <v>66</v>
      </c>
      <c r="C19062" s="2">
        <f>HYPERLINK("https://cao.dolgi.msk.ru/account/1080294014/", 1080294014)</f>
        <v>1080294014</v>
      </c>
      <c r="D19062" t="s">
        <v>16230</v>
      </c>
      <c r="E19062">
        <v>20.190000000000001</v>
      </c>
      <c r="F19062">
        <v>0</v>
      </c>
      <c r="G19062" t="s">
        <v>12</v>
      </c>
      <c r="I19062" t="s">
        <v>1050</v>
      </c>
    </row>
    <row r="19063" spans="1:9" hidden="1" x14ac:dyDescent="0.25">
      <c r="A19063" t="s">
        <v>16210</v>
      </c>
      <c r="B19063" t="s">
        <v>68</v>
      </c>
      <c r="C19063" s="2">
        <f>HYPERLINK("https://cao.dolgi.msk.ru/account/1080294022/", 1080294022)</f>
        <v>1080294022</v>
      </c>
      <c r="D19063" t="s">
        <v>16231</v>
      </c>
      <c r="E19063">
        <v>0</v>
      </c>
      <c r="F19063">
        <v>0</v>
      </c>
      <c r="G19063" t="s">
        <v>12</v>
      </c>
      <c r="I19063" t="s">
        <v>1050</v>
      </c>
    </row>
    <row r="19064" spans="1:9" hidden="1" x14ac:dyDescent="0.25">
      <c r="A19064" t="s">
        <v>16210</v>
      </c>
      <c r="B19064" t="s">
        <v>70</v>
      </c>
      <c r="C19064" s="2">
        <f>HYPERLINK("https://cao.dolgi.msk.ru/account/1080294049/", 1080294049)</f>
        <v>1080294049</v>
      </c>
      <c r="D19064" t="s">
        <v>16232</v>
      </c>
      <c r="E19064">
        <v>3769.35</v>
      </c>
      <c r="F19064">
        <v>1</v>
      </c>
      <c r="G19064" t="s">
        <v>12</v>
      </c>
      <c r="I19064" t="s">
        <v>1050</v>
      </c>
    </row>
    <row r="19065" spans="1:9" x14ac:dyDescent="0.25">
      <c r="A19065" t="s">
        <v>16210</v>
      </c>
      <c r="B19065" t="s">
        <v>72</v>
      </c>
      <c r="C19065" s="2">
        <f>HYPERLINK("https://cao.dolgi.msk.ru/account/1080294057/", 1080294057)</f>
        <v>1080294057</v>
      </c>
      <c r="D19065" t="s">
        <v>16233</v>
      </c>
      <c r="E19065">
        <v>10538.2</v>
      </c>
      <c r="F19065">
        <v>1.07</v>
      </c>
      <c r="G19065" t="s">
        <v>12</v>
      </c>
      <c r="I19065" t="s">
        <v>1050</v>
      </c>
    </row>
    <row r="19066" spans="1:9" hidden="1" x14ac:dyDescent="0.25">
      <c r="A19066" t="s">
        <v>16210</v>
      </c>
      <c r="B19066" t="s">
        <v>74</v>
      </c>
      <c r="C19066" s="2">
        <f>HYPERLINK("https://cao.dolgi.msk.ru/account/1080294073/", 1080294073)</f>
        <v>1080294073</v>
      </c>
      <c r="D19066" t="s">
        <v>16234</v>
      </c>
      <c r="E19066">
        <v>-8888.43</v>
      </c>
      <c r="F19066">
        <v>-1.04</v>
      </c>
      <c r="G19066" t="s">
        <v>12</v>
      </c>
      <c r="I19066" t="s">
        <v>1050</v>
      </c>
    </row>
    <row r="19067" spans="1:9" hidden="1" x14ac:dyDescent="0.25">
      <c r="A19067" t="s">
        <v>16210</v>
      </c>
      <c r="B19067" t="s">
        <v>76</v>
      </c>
      <c r="C19067" s="2">
        <f>HYPERLINK("https://cao.dolgi.msk.ru/account/1080294081/", 1080294081)</f>
        <v>1080294081</v>
      </c>
      <c r="D19067" t="s">
        <v>16235</v>
      </c>
      <c r="E19067">
        <v>68.48</v>
      </c>
      <c r="G19067" t="s">
        <v>14</v>
      </c>
      <c r="I19067" t="s">
        <v>1050</v>
      </c>
    </row>
    <row r="19068" spans="1:9" hidden="1" x14ac:dyDescent="0.25">
      <c r="A19068" t="s">
        <v>16210</v>
      </c>
      <c r="B19068" t="s">
        <v>76</v>
      </c>
      <c r="C19068" s="2">
        <f>HYPERLINK("https://cao.dolgi.msk.ru/account/1080294102/", 1080294102)</f>
        <v>1080294102</v>
      </c>
      <c r="D19068" t="s">
        <v>16235</v>
      </c>
      <c r="E19068">
        <v>19.399999999999999</v>
      </c>
      <c r="F19068">
        <v>0</v>
      </c>
      <c r="G19068" t="s">
        <v>12</v>
      </c>
      <c r="I19068" t="s">
        <v>1050</v>
      </c>
    </row>
    <row r="19069" spans="1:9" hidden="1" x14ac:dyDescent="0.25">
      <c r="A19069" t="s">
        <v>16210</v>
      </c>
      <c r="B19069" t="s">
        <v>78</v>
      </c>
      <c r="C19069" s="2">
        <f>HYPERLINK("https://cao.dolgi.msk.ru/account/1080294129/", 1080294129)</f>
        <v>1080294129</v>
      </c>
      <c r="D19069" t="s">
        <v>16236</v>
      </c>
      <c r="E19069">
        <v>-7175.89</v>
      </c>
      <c r="F19069">
        <v>-1.38</v>
      </c>
      <c r="G19069" t="s">
        <v>12</v>
      </c>
      <c r="I19069" t="s">
        <v>1050</v>
      </c>
    </row>
    <row r="19070" spans="1:9" hidden="1" x14ac:dyDescent="0.25">
      <c r="A19070" t="s">
        <v>16210</v>
      </c>
      <c r="B19070" t="s">
        <v>80</v>
      </c>
      <c r="C19070" s="2">
        <f>HYPERLINK("https://cao.dolgi.msk.ru/account/1080294137/", 1080294137)</f>
        <v>1080294137</v>
      </c>
      <c r="D19070" t="s">
        <v>16237</v>
      </c>
      <c r="E19070">
        <v>-10917.69</v>
      </c>
      <c r="F19070">
        <v>-1.1299999999999999</v>
      </c>
      <c r="G19070" t="s">
        <v>12</v>
      </c>
      <c r="I19070" t="s">
        <v>1050</v>
      </c>
    </row>
    <row r="19071" spans="1:9" hidden="1" x14ac:dyDescent="0.25">
      <c r="A19071" t="s">
        <v>16210</v>
      </c>
      <c r="B19071" t="s">
        <v>82</v>
      </c>
      <c r="C19071" s="2">
        <f>HYPERLINK("https://cao.dolgi.msk.ru/account/1080294145/", 1080294145)</f>
        <v>1080294145</v>
      </c>
      <c r="D19071" t="s">
        <v>16238</v>
      </c>
      <c r="E19071">
        <v>55.09</v>
      </c>
      <c r="F19071">
        <v>0.01</v>
      </c>
      <c r="G19071" t="s">
        <v>12</v>
      </c>
      <c r="I19071" t="s">
        <v>1050</v>
      </c>
    </row>
    <row r="19072" spans="1:9" hidden="1" x14ac:dyDescent="0.25">
      <c r="A19072" t="s">
        <v>16210</v>
      </c>
      <c r="B19072" t="s">
        <v>84</v>
      </c>
      <c r="C19072" s="2">
        <f>HYPERLINK("https://cao.dolgi.msk.ru/account/1080294153/", 1080294153)</f>
        <v>1080294153</v>
      </c>
      <c r="D19072" t="s">
        <v>16239</v>
      </c>
      <c r="E19072">
        <v>-4693.1099999999997</v>
      </c>
      <c r="F19072">
        <v>-1.25</v>
      </c>
      <c r="G19072" t="s">
        <v>12</v>
      </c>
      <c r="I19072" t="s">
        <v>1050</v>
      </c>
    </row>
    <row r="19073" spans="1:9" hidden="1" x14ac:dyDescent="0.25">
      <c r="A19073" t="s">
        <v>16210</v>
      </c>
      <c r="B19073" t="s">
        <v>86</v>
      </c>
      <c r="C19073" s="2">
        <f>HYPERLINK("https://cao.dolgi.msk.ru/account/1080294161/", 1080294161)</f>
        <v>1080294161</v>
      </c>
      <c r="D19073" t="s">
        <v>16240</v>
      </c>
      <c r="E19073">
        <v>-4703.9799999999996</v>
      </c>
      <c r="F19073">
        <v>-1.1599999999999999</v>
      </c>
      <c r="G19073" t="s">
        <v>12</v>
      </c>
      <c r="I19073" t="s">
        <v>1050</v>
      </c>
    </row>
    <row r="19074" spans="1:9" hidden="1" x14ac:dyDescent="0.25">
      <c r="A19074" t="s">
        <v>16210</v>
      </c>
      <c r="B19074" t="s">
        <v>88</v>
      </c>
      <c r="C19074" s="2">
        <f>HYPERLINK("https://cao.dolgi.msk.ru/account/1080294188/", 1080294188)</f>
        <v>1080294188</v>
      </c>
      <c r="D19074" t="s">
        <v>16241</v>
      </c>
      <c r="E19074">
        <v>-10159.790000000001</v>
      </c>
      <c r="F19074">
        <v>-1.06</v>
      </c>
      <c r="G19074" t="s">
        <v>12</v>
      </c>
      <c r="I19074" t="s">
        <v>1050</v>
      </c>
    </row>
    <row r="19075" spans="1:9" hidden="1" x14ac:dyDescent="0.25">
      <c r="A19075" t="s">
        <v>16210</v>
      </c>
      <c r="B19075" t="s">
        <v>90</v>
      </c>
      <c r="C19075" s="2">
        <f>HYPERLINK("https://cao.dolgi.msk.ru/account/1080294196/", 1080294196)</f>
        <v>1080294196</v>
      </c>
      <c r="D19075" t="s">
        <v>16242</v>
      </c>
      <c r="E19075">
        <v>-10013.76</v>
      </c>
      <c r="F19075">
        <v>-1.18</v>
      </c>
      <c r="G19075" t="s">
        <v>12</v>
      </c>
      <c r="I19075" t="s">
        <v>1050</v>
      </c>
    </row>
    <row r="19076" spans="1:9" hidden="1" x14ac:dyDescent="0.25">
      <c r="A19076" t="s">
        <v>16210</v>
      </c>
      <c r="B19076" t="s">
        <v>92</v>
      </c>
      <c r="C19076" s="2">
        <f>HYPERLINK("https://cao.dolgi.msk.ru/account/1080294209/", 1080294209)</f>
        <v>1080294209</v>
      </c>
      <c r="D19076" t="s">
        <v>16243</v>
      </c>
      <c r="E19076">
        <v>684.13</v>
      </c>
      <c r="F19076">
        <v>0.09</v>
      </c>
      <c r="G19076" t="s">
        <v>12</v>
      </c>
      <c r="I19076" t="s">
        <v>1050</v>
      </c>
    </row>
    <row r="19077" spans="1:9" hidden="1" x14ac:dyDescent="0.25">
      <c r="A19077" t="s">
        <v>16210</v>
      </c>
      <c r="B19077" t="s">
        <v>94</v>
      </c>
      <c r="C19077" s="2">
        <f>HYPERLINK("https://cao.dolgi.msk.ru/account/1080294217/", 1080294217)</f>
        <v>1080294217</v>
      </c>
      <c r="D19077" t="s">
        <v>16244</v>
      </c>
      <c r="E19077">
        <v>-7559.03</v>
      </c>
      <c r="F19077">
        <v>-1.0900000000000001</v>
      </c>
      <c r="G19077" t="s">
        <v>12</v>
      </c>
      <c r="I19077" t="s">
        <v>1050</v>
      </c>
    </row>
    <row r="19078" spans="1:9" hidden="1" x14ac:dyDescent="0.25">
      <c r="A19078" t="s">
        <v>16210</v>
      </c>
      <c r="B19078" t="s">
        <v>96</v>
      </c>
      <c r="C19078" s="2">
        <f>HYPERLINK("https://cao.dolgi.msk.ru/account/1080294225/", 1080294225)</f>
        <v>1080294225</v>
      </c>
      <c r="D19078" t="s">
        <v>16245</v>
      </c>
      <c r="E19078">
        <v>-9596.4500000000007</v>
      </c>
      <c r="F19078">
        <v>-1.1200000000000001</v>
      </c>
      <c r="G19078" t="s">
        <v>12</v>
      </c>
      <c r="I19078" t="s">
        <v>1050</v>
      </c>
    </row>
    <row r="19079" spans="1:9" hidden="1" x14ac:dyDescent="0.25">
      <c r="A19079" t="s">
        <v>16210</v>
      </c>
      <c r="B19079" t="s">
        <v>98</v>
      </c>
      <c r="C19079" s="2">
        <f>HYPERLINK("https://cao.dolgi.msk.ru/account/1080294233/", 1080294233)</f>
        <v>1080294233</v>
      </c>
      <c r="D19079" t="s">
        <v>16246</v>
      </c>
      <c r="E19079">
        <v>-7407.72</v>
      </c>
      <c r="F19079">
        <v>-1.1499999999999999</v>
      </c>
      <c r="G19079" t="s">
        <v>12</v>
      </c>
      <c r="I19079" t="s">
        <v>1050</v>
      </c>
    </row>
    <row r="19080" spans="1:9" hidden="1" x14ac:dyDescent="0.25">
      <c r="A19080" t="s">
        <v>16210</v>
      </c>
      <c r="B19080" t="s">
        <v>100</v>
      </c>
      <c r="C19080" s="2">
        <f>HYPERLINK("https://cao.dolgi.msk.ru/account/1080294241/", 1080294241)</f>
        <v>1080294241</v>
      </c>
      <c r="D19080" t="s">
        <v>16247</v>
      </c>
      <c r="E19080">
        <v>-8600.75</v>
      </c>
      <c r="F19080">
        <v>-1.1399999999999999</v>
      </c>
      <c r="G19080" t="s">
        <v>12</v>
      </c>
      <c r="I19080" t="s">
        <v>1050</v>
      </c>
    </row>
    <row r="19081" spans="1:9" hidden="1" x14ac:dyDescent="0.25">
      <c r="A19081" t="s">
        <v>16210</v>
      </c>
      <c r="B19081" t="s">
        <v>102</v>
      </c>
      <c r="C19081" s="2">
        <f>HYPERLINK("https://cao.dolgi.msk.ru/account/1080294268/", 1080294268)</f>
        <v>1080294268</v>
      </c>
      <c r="D19081" t="s">
        <v>16248</v>
      </c>
      <c r="E19081">
        <v>-9992.69</v>
      </c>
      <c r="F19081">
        <v>-1.07</v>
      </c>
      <c r="G19081" t="s">
        <v>12</v>
      </c>
      <c r="I19081" t="s">
        <v>1050</v>
      </c>
    </row>
    <row r="19082" spans="1:9" hidden="1" x14ac:dyDescent="0.25">
      <c r="A19082" t="s">
        <v>16210</v>
      </c>
      <c r="B19082" t="s">
        <v>104</v>
      </c>
      <c r="C19082" s="2">
        <f>HYPERLINK("https://cao.dolgi.msk.ru/account/1080294276/", 1080294276)</f>
        <v>1080294276</v>
      </c>
      <c r="D19082" t="s">
        <v>16249</v>
      </c>
      <c r="E19082">
        <v>0</v>
      </c>
      <c r="F19082">
        <v>0</v>
      </c>
      <c r="G19082" t="s">
        <v>12</v>
      </c>
      <c r="I19082" t="s">
        <v>1050</v>
      </c>
    </row>
    <row r="19083" spans="1:9" hidden="1" x14ac:dyDescent="0.25">
      <c r="A19083" t="s">
        <v>16210</v>
      </c>
      <c r="B19083" t="s">
        <v>106</v>
      </c>
      <c r="C19083" s="2">
        <f>HYPERLINK("https://cao.dolgi.msk.ru/account/1080294284/", 1080294284)</f>
        <v>1080294284</v>
      </c>
      <c r="D19083" t="s">
        <v>16250</v>
      </c>
      <c r="E19083">
        <v>-6288.96</v>
      </c>
      <c r="F19083">
        <v>-1.0900000000000001</v>
      </c>
      <c r="G19083" t="s">
        <v>12</v>
      </c>
      <c r="I19083" t="s">
        <v>1050</v>
      </c>
    </row>
    <row r="19084" spans="1:9" hidden="1" x14ac:dyDescent="0.25">
      <c r="A19084" t="s">
        <v>16210</v>
      </c>
      <c r="B19084" t="s">
        <v>108</v>
      </c>
      <c r="C19084" s="2">
        <f>HYPERLINK("https://cao.dolgi.msk.ru/account/1080294292/", 1080294292)</f>
        <v>1080294292</v>
      </c>
      <c r="D19084" t="s">
        <v>16251</v>
      </c>
      <c r="E19084">
        <v>-9171.07</v>
      </c>
      <c r="F19084">
        <v>-1.1000000000000001</v>
      </c>
      <c r="G19084" t="s">
        <v>12</v>
      </c>
      <c r="I19084" t="s">
        <v>1050</v>
      </c>
    </row>
    <row r="19085" spans="1:9" hidden="1" x14ac:dyDescent="0.25">
      <c r="A19085" t="s">
        <v>16210</v>
      </c>
      <c r="B19085" t="s">
        <v>110</v>
      </c>
      <c r="C19085" s="2">
        <f>HYPERLINK("https://cao.dolgi.msk.ru/account/1080294305/", 1080294305)</f>
        <v>1080294305</v>
      </c>
      <c r="D19085" t="s">
        <v>16252</v>
      </c>
      <c r="E19085">
        <v>-10460.81</v>
      </c>
      <c r="F19085">
        <v>-1.1299999999999999</v>
      </c>
      <c r="G19085" t="s">
        <v>12</v>
      </c>
      <c r="I19085" t="s">
        <v>1050</v>
      </c>
    </row>
    <row r="19086" spans="1:9" hidden="1" x14ac:dyDescent="0.25">
      <c r="A19086" t="s">
        <v>16210</v>
      </c>
      <c r="B19086" t="s">
        <v>112</v>
      </c>
      <c r="C19086" s="2">
        <f>HYPERLINK("https://cao.dolgi.msk.ru/account/1080294313/", 1080294313)</f>
        <v>1080294313</v>
      </c>
      <c r="D19086" t="s">
        <v>16243</v>
      </c>
      <c r="E19086">
        <v>-3236.87</v>
      </c>
      <c r="F19086">
        <v>-0.38</v>
      </c>
      <c r="G19086" t="s">
        <v>12</v>
      </c>
      <c r="I19086" t="s">
        <v>1050</v>
      </c>
    </row>
    <row r="19087" spans="1:9" hidden="1" x14ac:dyDescent="0.25">
      <c r="A19087" t="s">
        <v>16210</v>
      </c>
      <c r="B19087" t="s">
        <v>114</v>
      </c>
      <c r="C19087" s="2">
        <f>HYPERLINK("https://cao.dolgi.msk.ru/account/1080294321/", 1080294321)</f>
        <v>1080294321</v>
      </c>
      <c r="D19087" t="s">
        <v>16253</v>
      </c>
      <c r="E19087">
        <v>0</v>
      </c>
      <c r="F19087">
        <v>0</v>
      </c>
      <c r="G19087" t="s">
        <v>12</v>
      </c>
      <c r="I19087" t="s">
        <v>1050</v>
      </c>
    </row>
    <row r="19088" spans="1:9" hidden="1" x14ac:dyDescent="0.25">
      <c r="A19088" t="s">
        <v>16210</v>
      </c>
      <c r="B19088" t="s">
        <v>116</v>
      </c>
      <c r="C19088" s="2">
        <f>HYPERLINK("https://cao.dolgi.msk.ru/account/1080294348/", 1080294348)</f>
        <v>1080294348</v>
      </c>
      <c r="D19088" t="s">
        <v>16254</v>
      </c>
      <c r="E19088">
        <v>-5291.78</v>
      </c>
      <c r="F19088">
        <v>-1.1000000000000001</v>
      </c>
      <c r="G19088" t="s">
        <v>12</v>
      </c>
      <c r="I19088" t="s">
        <v>1050</v>
      </c>
    </row>
    <row r="19089" spans="1:9" hidden="1" x14ac:dyDescent="0.25">
      <c r="A19089" t="s">
        <v>16210</v>
      </c>
      <c r="B19089" t="s">
        <v>118</v>
      </c>
      <c r="C19089" s="2">
        <f>HYPERLINK("https://cao.dolgi.msk.ru/account/1080294356/", 1080294356)</f>
        <v>1080294356</v>
      </c>
      <c r="D19089" t="s">
        <v>16255</v>
      </c>
      <c r="E19089">
        <v>-4299.8100000000004</v>
      </c>
      <c r="F19089">
        <v>-1.57</v>
      </c>
      <c r="G19089" t="s">
        <v>12</v>
      </c>
      <c r="I19089" t="s">
        <v>1050</v>
      </c>
    </row>
    <row r="19090" spans="1:9" hidden="1" x14ac:dyDescent="0.25">
      <c r="A19090" t="s">
        <v>16210</v>
      </c>
      <c r="B19090" t="s">
        <v>120</v>
      </c>
      <c r="C19090" s="2">
        <f>HYPERLINK("https://cao.dolgi.msk.ru/account/1080294364/", 1080294364)</f>
        <v>1080294364</v>
      </c>
      <c r="D19090" t="s">
        <v>15</v>
      </c>
      <c r="G19090" t="s">
        <v>14</v>
      </c>
      <c r="I19090" t="s">
        <v>1050</v>
      </c>
    </row>
    <row r="19091" spans="1:9" hidden="1" x14ac:dyDescent="0.25">
      <c r="A19091" t="s">
        <v>16210</v>
      </c>
      <c r="B19091" t="s">
        <v>120</v>
      </c>
      <c r="C19091" s="2">
        <f>HYPERLINK("https://cao.dolgi.msk.ru/account/1080294372/", 1080294372)</f>
        <v>1080294372</v>
      </c>
      <c r="D19091" t="s">
        <v>16256</v>
      </c>
      <c r="E19091">
        <v>-230</v>
      </c>
      <c r="F19091">
        <v>-0.03</v>
      </c>
      <c r="G19091" t="s">
        <v>12</v>
      </c>
      <c r="I19091" t="s">
        <v>1050</v>
      </c>
    </row>
    <row r="19092" spans="1:9" hidden="1" x14ac:dyDescent="0.25">
      <c r="A19092" t="s">
        <v>16210</v>
      </c>
      <c r="B19092" t="s">
        <v>122</v>
      </c>
      <c r="C19092" s="2">
        <f>HYPERLINK("https://cao.dolgi.msk.ru/account/1080294399/", 1080294399)</f>
        <v>1080294399</v>
      </c>
      <c r="D19092" t="s">
        <v>16257</v>
      </c>
      <c r="E19092">
        <v>-7013.96</v>
      </c>
      <c r="F19092">
        <v>-1.0900000000000001</v>
      </c>
      <c r="G19092" t="s">
        <v>12</v>
      </c>
      <c r="I19092" t="s">
        <v>1050</v>
      </c>
    </row>
    <row r="19093" spans="1:9" hidden="1" x14ac:dyDescent="0.25">
      <c r="A19093" t="s">
        <v>16210</v>
      </c>
      <c r="B19093" t="s">
        <v>124</v>
      </c>
      <c r="C19093" s="2">
        <f>HYPERLINK("https://cao.dolgi.msk.ru/account/1080294401/", 1080294401)</f>
        <v>1080294401</v>
      </c>
      <c r="D19093" t="s">
        <v>16258</v>
      </c>
      <c r="E19093">
        <v>10.32</v>
      </c>
      <c r="F19093">
        <v>0</v>
      </c>
      <c r="G19093" t="s">
        <v>12</v>
      </c>
      <c r="I19093" t="s">
        <v>1050</v>
      </c>
    </row>
    <row r="19094" spans="1:9" hidden="1" x14ac:dyDescent="0.25">
      <c r="A19094" t="s">
        <v>16210</v>
      </c>
      <c r="B19094" t="s">
        <v>126</v>
      </c>
      <c r="C19094" s="2">
        <f>HYPERLINK("https://cao.dolgi.msk.ru/account/1080294428/", 1080294428)</f>
        <v>1080294428</v>
      </c>
      <c r="D19094" t="s">
        <v>16259</v>
      </c>
      <c r="E19094">
        <v>-7.01</v>
      </c>
      <c r="G19094" t="s">
        <v>14</v>
      </c>
      <c r="I19094" t="s">
        <v>1050</v>
      </c>
    </row>
    <row r="19095" spans="1:9" hidden="1" x14ac:dyDescent="0.25">
      <c r="A19095" t="s">
        <v>16210</v>
      </c>
      <c r="B19095" t="s">
        <v>126</v>
      </c>
      <c r="C19095" s="2">
        <f>HYPERLINK("https://cao.dolgi.msk.ru/account/1089126228/", 1089126228)</f>
        <v>1089126228</v>
      </c>
      <c r="D19095" t="s">
        <v>16260</v>
      </c>
      <c r="E19095">
        <v>-5036.68</v>
      </c>
      <c r="F19095">
        <v>-1.22</v>
      </c>
      <c r="G19095" t="s">
        <v>12</v>
      </c>
      <c r="I19095" t="s">
        <v>1050</v>
      </c>
    </row>
    <row r="19096" spans="1:9" hidden="1" x14ac:dyDescent="0.25">
      <c r="A19096" t="s">
        <v>16210</v>
      </c>
      <c r="B19096" t="s">
        <v>126</v>
      </c>
      <c r="C19096" s="2">
        <f>HYPERLINK("https://cao.dolgi.msk.ru/account/1089126527/", 1089126527)</f>
        <v>1089126527</v>
      </c>
      <c r="D19096" t="s">
        <v>16260</v>
      </c>
      <c r="E19096">
        <v>-2938.7</v>
      </c>
      <c r="F19096">
        <v>-1.85</v>
      </c>
      <c r="G19096" t="s">
        <v>12</v>
      </c>
      <c r="I19096" t="s">
        <v>1050</v>
      </c>
    </row>
    <row r="19097" spans="1:9" hidden="1" x14ac:dyDescent="0.25">
      <c r="A19097" t="s">
        <v>16210</v>
      </c>
      <c r="B19097" t="s">
        <v>128</v>
      </c>
      <c r="C19097" s="2">
        <f>HYPERLINK("https://cao.dolgi.msk.ru/account/1080294444/", 1080294444)</f>
        <v>1080294444</v>
      </c>
      <c r="D19097" t="s">
        <v>16261</v>
      </c>
      <c r="E19097">
        <v>-8161.21</v>
      </c>
      <c r="F19097">
        <v>-1.43</v>
      </c>
      <c r="G19097" t="s">
        <v>12</v>
      </c>
      <c r="I19097" t="s">
        <v>1050</v>
      </c>
    </row>
    <row r="19098" spans="1:9" hidden="1" x14ac:dyDescent="0.25">
      <c r="A19098" t="s">
        <v>16210</v>
      </c>
      <c r="B19098" t="s">
        <v>130</v>
      </c>
      <c r="C19098" s="2">
        <f>HYPERLINK("https://cao.dolgi.msk.ru/account/1080294452/", 1080294452)</f>
        <v>1080294452</v>
      </c>
      <c r="D19098" t="s">
        <v>16262</v>
      </c>
      <c r="E19098">
        <v>-6076.6</v>
      </c>
      <c r="F19098">
        <v>-1.05</v>
      </c>
      <c r="G19098" t="s">
        <v>12</v>
      </c>
      <c r="I19098" t="s">
        <v>1050</v>
      </c>
    </row>
    <row r="19099" spans="1:9" hidden="1" x14ac:dyDescent="0.25">
      <c r="A19099" t="s">
        <v>16210</v>
      </c>
      <c r="B19099" t="s">
        <v>132</v>
      </c>
      <c r="C19099" s="2">
        <f>HYPERLINK("https://cao.dolgi.msk.ru/account/1080294479/", 1080294479)</f>
        <v>1080294479</v>
      </c>
      <c r="D19099" t="s">
        <v>16263</v>
      </c>
      <c r="E19099">
        <v>-10811.93</v>
      </c>
      <c r="F19099">
        <v>-1.8</v>
      </c>
      <c r="G19099" t="s">
        <v>12</v>
      </c>
      <c r="I19099" t="s">
        <v>1050</v>
      </c>
    </row>
    <row r="19100" spans="1:9" hidden="1" x14ac:dyDescent="0.25">
      <c r="A19100" t="s">
        <v>16210</v>
      </c>
      <c r="B19100" t="s">
        <v>133</v>
      </c>
      <c r="C19100" s="2">
        <f>HYPERLINK("https://cao.dolgi.msk.ru/account/1080294487/", 1080294487)</f>
        <v>1080294487</v>
      </c>
      <c r="D19100" t="s">
        <v>16264</v>
      </c>
      <c r="E19100">
        <v>-9903.06</v>
      </c>
      <c r="F19100">
        <v>-1.2</v>
      </c>
      <c r="G19100" t="s">
        <v>12</v>
      </c>
      <c r="I19100" t="s">
        <v>1050</v>
      </c>
    </row>
    <row r="19101" spans="1:9" hidden="1" x14ac:dyDescent="0.25">
      <c r="A19101" t="s">
        <v>16210</v>
      </c>
      <c r="B19101" t="s">
        <v>135</v>
      </c>
      <c r="C19101" s="2">
        <f>HYPERLINK("https://cao.dolgi.msk.ru/account/1080294495/", 1080294495)</f>
        <v>1080294495</v>
      </c>
      <c r="D19101" t="s">
        <v>16265</v>
      </c>
      <c r="E19101">
        <v>-7428</v>
      </c>
      <c r="F19101">
        <v>-1.1599999999999999</v>
      </c>
      <c r="G19101" t="s">
        <v>12</v>
      </c>
      <c r="I19101" t="s">
        <v>1050</v>
      </c>
    </row>
    <row r="19102" spans="1:9" hidden="1" x14ac:dyDescent="0.25">
      <c r="A19102" t="s">
        <v>16210</v>
      </c>
      <c r="B19102" t="s">
        <v>137</v>
      </c>
      <c r="C19102" s="2">
        <f>HYPERLINK("https://cao.dolgi.msk.ru/account/1080294508/", 1080294508)</f>
        <v>1080294508</v>
      </c>
      <c r="D19102" t="s">
        <v>16266</v>
      </c>
      <c r="E19102">
        <v>-7993.81</v>
      </c>
      <c r="F19102">
        <v>-1.04</v>
      </c>
      <c r="G19102" t="s">
        <v>12</v>
      </c>
      <c r="I19102" t="s">
        <v>1050</v>
      </c>
    </row>
    <row r="19103" spans="1:9" hidden="1" x14ac:dyDescent="0.25">
      <c r="A19103" t="s">
        <v>16210</v>
      </c>
      <c r="B19103" t="s">
        <v>139</v>
      </c>
      <c r="C19103" s="2">
        <f>HYPERLINK("https://cao.dolgi.msk.ru/account/1080294516/", 1080294516)</f>
        <v>1080294516</v>
      </c>
      <c r="D19103" t="s">
        <v>16267</v>
      </c>
      <c r="E19103">
        <v>-6903.36</v>
      </c>
      <c r="F19103">
        <v>-1.08</v>
      </c>
      <c r="G19103" t="s">
        <v>12</v>
      </c>
      <c r="I19103" t="s">
        <v>1050</v>
      </c>
    </row>
    <row r="19104" spans="1:9" hidden="1" x14ac:dyDescent="0.25">
      <c r="A19104" t="s">
        <v>16210</v>
      </c>
      <c r="B19104" t="s">
        <v>141</v>
      </c>
      <c r="C19104" s="2">
        <f>HYPERLINK("https://cao.dolgi.msk.ru/account/1080294524/", 1080294524)</f>
        <v>1080294524</v>
      </c>
      <c r="D19104" t="s">
        <v>16268</v>
      </c>
      <c r="E19104">
        <v>-7419.24</v>
      </c>
      <c r="F19104">
        <v>-1.17</v>
      </c>
      <c r="G19104" t="s">
        <v>12</v>
      </c>
      <c r="I19104" t="s">
        <v>1050</v>
      </c>
    </row>
    <row r="19105" spans="1:9" hidden="1" x14ac:dyDescent="0.25">
      <c r="A19105" t="s">
        <v>16210</v>
      </c>
      <c r="B19105" t="s">
        <v>143</v>
      </c>
      <c r="C19105" s="2">
        <f>HYPERLINK("https://cao.dolgi.msk.ru/account/1080294532/", 1080294532)</f>
        <v>1080294532</v>
      </c>
      <c r="D19105" t="s">
        <v>16269</v>
      </c>
      <c r="E19105">
        <v>7723.48</v>
      </c>
      <c r="F19105">
        <v>1</v>
      </c>
      <c r="G19105" t="s">
        <v>12</v>
      </c>
      <c r="I19105" t="s">
        <v>1050</v>
      </c>
    </row>
    <row r="19106" spans="1:9" hidden="1" x14ac:dyDescent="0.25">
      <c r="A19106" t="s">
        <v>16210</v>
      </c>
      <c r="B19106" t="s">
        <v>145</v>
      </c>
      <c r="C19106" s="2">
        <f>HYPERLINK("https://cao.dolgi.msk.ru/account/1080294567/", 1080294567)</f>
        <v>1080294567</v>
      </c>
      <c r="D19106" t="s">
        <v>16270</v>
      </c>
      <c r="E19106">
        <v>-3860.55</v>
      </c>
      <c r="F19106">
        <v>-0.78</v>
      </c>
      <c r="G19106" t="s">
        <v>12</v>
      </c>
      <c r="I19106" t="s">
        <v>1050</v>
      </c>
    </row>
    <row r="19107" spans="1:9" hidden="1" x14ac:dyDescent="0.25">
      <c r="A19107" t="s">
        <v>16210</v>
      </c>
      <c r="B19107" t="s">
        <v>147</v>
      </c>
      <c r="C19107" s="2">
        <f>HYPERLINK("https://cao.dolgi.msk.ru/account/1080294575/", 1080294575)</f>
        <v>1080294575</v>
      </c>
      <c r="D19107" t="s">
        <v>16271</v>
      </c>
      <c r="E19107">
        <v>-5927.16</v>
      </c>
      <c r="F19107">
        <v>-1.0900000000000001</v>
      </c>
      <c r="G19107" t="s">
        <v>12</v>
      </c>
      <c r="I19107" t="s">
        <v>1050</v>
      </c>
    </row>
    <row r="19108" spans="1:9" hidden="1" x14ac:dyDescent="0.25">
      <c r="A19108" t="s">
        <v>16210</v>
      </c>
      <c r="B19108" t="s">
        <v>149</v>
      </c>
      <c r="C19108" s="2">
        <f>HYPERLINK("https://cao.dolgi.msk.ru/account/1080294583/", 1080294583)</f>
        <v>1080294583</v>
      </c>
      <c r="D19108" t="s">
        <v>16272</v>
      </c>
      <c r="E19108">
        <v>-8902.66</v>
      </c>
      <c r="F19108">
        <v>-0.99</v>
      </c>
      <c r="G19108" t="s">
        <v>12</v>
      </c>
      <c r="I19108" t="s">
        <v>1050</v>
      </c>
    </row>
    <row r="19109" spans="1:9" hidden="1" x14ac:dyDescent="0.25">
      <c r="A19109" t="s">
        <v>16210</v>
      </c>
      <c r="B19109" t="s">
        <v>151</v>
      </c>
      <c r="C19109" s="2">
        <f>HYPERLINK("https://cao.dolgi.msk.ru/account/1080294591/", 1080294591)</f>
        <v>1080294591</v>
      </c>
      <c r="D19109" t="s">
        <v>16273</v>
      </c>
      <c r="E19109">
        <v>-8368.7000000000007</v>
      </c>
      <c r="F19109">
        <v>-1.03</v>
      </c>
      <c r="G19109" t="s">
        <v>12</v>
      </c>
      <c r="I19109" t="s">
        <v>1050</v>
      </c>
    </row>
    <row r="19110" spans="1:9" hidden="1" x14ac:dyDescent="0.25">
      <c r="A19110" t="s">
        <v>16210</v>
      </c>
      <c r="B19110" t="s">
        <v>153</v>
      </c>
      <c r="C19110" s="2">
        <f>HYPERLINK("https://cao.dolgi.msk.ru/account/1080294612/", 1080294612)</f>
        <v>1080294612</v>
      </c>
      <c r="D19110" t="s">
        <v>16274</v>
      </c>
      <c r="E19110">
        <v>-3695.05</v>
      </c>
      <c r="F19110">
        <v>-1.06</v>
      </c>
      <c r="G19110" t="s">
        <v>12</v>
      </c>
      <c r="I19110" t="s">
        <v>1050</v>
      </c>
    </row>
    <row r="19111" spans="1:9" hidden="1" x14ac:dyDescent="0.25">
      <c r="A19111" t="s">
        <v>16210</v>
      </c>
      <c r="B19111" t="s">
        <v>155</v>
      </c>
      <c r="C19111" s="2">
        <f>HYPERLINK("https://cao.dolgi.msk.ru/account/1080294639/", 1080294639)</f>
        <v>1080294639</v>
      </c>
      <c r="D19111" t="s">
        <v>16275</v>
      </c>
      <c r="E19111">
        <v>-1146.3900000000001</v>
      </c>
      <c r="F19111">
        <v>-0.53</v>
      </c>
      <c r="G19111" t="s">
        <v>12</v>
      </c>
      <c r="I19111" t="s">
        <v>1050</v>
      </c>
    </row>
    <row r="19112" spans="1:9" hidden="1" x14ac:dyDescent="0.25">
      <c r="A19112" t="s">
        <v>16210</v>
      </c>
      <c r="B19112" t="s">
        <v>155</v>
      </c>
      <c r="C19112" s="2">
        <f>HYPERLINK("https://cao.dolgi.msk.ru/account/1089125073/", 1089125073)</f>
        <v>1089125073</v>
      </c>
      <c r="D19112" t="s">
        <v>16276</v>
      </c>
      <c r="E19112">
        <v>-13682.37</v>
      </c>
      <c r="F19112">
        <v>-2.3199999999999998</v>
      </c>
      <c r="G19112" t="s">
        <v>12</v>
      </c>
      <c r="I19112" t="s">
        <v>1050</v>
      </c>
    </row>
    <row r="19113" spans="1:9" hidden="1" x14ac:dyDescent="0.25">
      <c r="A19113" t="s">
        <v>16210</v>
      </c>
      <c r="B19113" t="s">
        <v>157</v>
      </c>
      <c r="C19113" s="2">
        <f>HYPERLINK("https://cao.dolgi.msk.ru/account/1080294647/", 1080294647)</f>
        <v>1080294647</v>
      </c>
      <c r="D19113" t="s">
        <v>16277</v>
      </c>
      <c r="E19113">
        <v>-11050.63</v>
      </c>
      <c r="F19113">
        <v>-1.39</v>
      </c>
      <c r="G19113" t="s">
        <v>12</v>
      </c>
      <c r="I19113" t="s">
        <v>1050</v>
      </c>
    </row>
    <row r="19114" spans="1:9" hidden="1" x14ac:dyDescent="0.25">
      <c r="A19114" t="s">
        <v>16210</v>
      </c>
      <c r="B19114" t="s">
        <v>159</v>
      </c>
      <c r="C19114" s="2">
        <f>HYPERLINK("https://cao.dolgi.msk.ru/account/1080294655/", 1080294655)</f>
        <v>1080294655</v>
      </c>
      <c r="D19114" t="s">
        <v>16278</v>
      </c>
      <c r="E19114">
        <v>-254.8</v>
      </c>
      <c r="F19114">
        <v>-0.08</v>
      </c>
      <c r="G19114" t="s">
        <v>12</v>
      </c>
      <c r="I19114" t="s">
        <v>1050</v>
      </c>
    </row>
    <row r="19115" spans="1:9" hidden="1" x14ac:dyDescent="0.25">
      <c r="A19115" t="s">
        <v>16210</v>
      </c>
      <c r="B19115" t="s">
        <v>161</v>
      </c>
      <c r="C19115" s="2">
        <f>HYPERLINK("https://cao.dolgi.msk.ru/account/1080294663/", 1080294663)</f>
        <v>1080294663</v>
      </c>
      <c r="D19115" t="s">
        <v>16279</v>
      </c>
      <c r="E19115">
        <v>49.69</v>
      </c>
      <c r="F19115">
        <v>0.01</v>
      </c>
      <c r="G19115" t="s">
        <v>12</v>
      </c>
      <c r="I19115" t="s">
        <v>1050</v>
      </c>
    </row>
    <row r="19116" spans="1:9" hidden="1" x14ac:dyDescent="0.25">
      <c r="A19116" t="s">
        <v>16210</v>
      </c>
      <c r="B19116" t="s">
        <v>163</v>
      </c>
      <c r="C19116" s="2">
        <f>HYPERLINK("https://cao.dolgi.msk.ru/account/1080294671/", 1080294671)</f>
        <v>1080294671</v>
      </c>
      <c r="D19116" t="s">
        <v>16280</v>
      </c>
      <c r="E19116">
        <v>84.29</v>
      </c>
      <c r="F19116">
        <v>0.01</v>
      </c>
      <c r="G19116" t="s">
        <v>12</v>
      </c>
      <c r="I19116" t="s">
        <v>1050</v>
      </c>
    </row>
    <row r="19117" spans="1:9" hidden="1" x14ac:dyDescent="0.25">
      <c r="A19117" t="s">
        <v>16210</v>
      </c>
      <c r="B19117" t="s">
        <v>571</v>
      </c>
      <c r="C19117" s="2">
        <f>HYPERLINK("https://cao.dolgi.msk.ru/account/1080294604/", 1080294604)</f>
        <v>1080294604</v>
      </c>
      <c r="D19117" t="s">
        <v>16281</v>
      </c>
      <c r="E19117">
        <v>-3667.78</v>
      </c>
      <c r="F19117">
        <v>-0.92</v>
      </c>
      <c r="G19117" t="s">
        <v>12</v>
      </c>
      <c r="H19117" t="s">
        <v>7</v>
      </c>
      <c r="I19117" t="s">
        <v>1050</v>
      </c>
    </row>
    <row r="19118" spans="1:9" hidden="1" x14ac:dyDescent="0.25">
      <c r="A19118" t="s">
        <v>16210</v>
      </c>
      <c r="B19118" t="s">
        <v>571</v>
      </c>
      <c r="C19118" s="2">
        <f>HYPERLINK("https://cao.dolgi.msk.ru/account/1080294698/", 1080294698)</f>
        <v>1080294698</v>
      </c>
      <c r="D19118" t="s">
        <v>16282</v>
      </c>
      <c r="E19118">
        <v>-4434.79</v>
      </c>
      <c r="F19118">
        <v>-0.82</v>
      </c>
      <c r="G19118" t="s">
        <v>12</v>
      </c>
      <c r="H19118" t="s">
        <v>7</v>
      </c>
      <c r="I19118" t="s">
        <v>1050</v>
      </c>
    </row>
    <row r="19119" spans="1:9" hidden="1" x14ac:dyDescent="0.25">
      <c r="A19119" t="s">
        <v>16210</v>
      </c>
      <c r="B19119" t="s">
        <v>682</v>
      </c>
      <c r="C19119" s="2">
        <f>HYPERLINK("https://cao.dolgi.msk.ru/account/1080294719/", 1080294719)</f>
        <v>1080294719</v>
      </c>
      <c r="D19119" t="s">
        <v>16283</v>
      </c>
      <c r="E19119">
        <v>-6893.42</v>
      </c>
      <c r="F19119">
        <v>-1.08</v>
      </c>
      <c r="G19119" t="s">
        <v>12</v>
      </c>
      <c r="I19119" t="s">
        <v>1050</v>
      </c>
    </row>
    <row r="19120" spans="1:9" hidden="1" x14ac:dyDescent="0.25">
      <c r="A19120" t="s">
        <v>16210</v>
      </c>
      <c r="B19120" t="s">
        <v>578</v>
      </c>
      <c r="C19120" s="2">
        <f>HYPERLINK("https://cao.dolgi.msk.ru/account/1080294727/", 1080294727)</f>
        <v>1080294727</v>
      </c>
      <c r="D19120" t="s">
        <v>16284</v>
      </c>
      <c r="E19120">
        <v>-4623.17</v>
      </c>
      <c r="F19120">
        <v>-1.41</v>
      </c>
      <c r="G19120" t="s">
        <v>12</v>
      </c>
      <c r="I19120" t="s">
        <v>1050</v>
      </c>
    </row>
    <row r="19121" spans="1:9" hidden="1" x14ac:dyDescent="0.25">
      <c r="A19121" t="s">
        <v>16210</v>
      </c>
      <c r="B19121" t="s">
        <v>580</v>
      </c>
      <c r="C19121" s="2">
        <f>HYPERLINK("https://cao.dolgi.msk.ru/account/1080294735/", 1080294735)</f>
        <v>1080294735</v>
      </c>
      <c r="D19121" t="s">
        <v>16285</v>
      </c>
      <c r="E19121">
        <v>-5695.61</v>
      </c>
      <c r="F19121">
        <v>-1.08</v>
      </c>
      <c r="G19121" t="s">
        <v>12</v>
      </c>
      <c r="I19121" t="s">
        <v>1050</v>
      </c>
    </row>
    <row r="19122" spans="1:9" hidden="1" x14ac:dyDescent="0.25">
      <c r="A19122" t="s">
        <v>16210</v>
      </c>
      <c r="B19122" t="s">
        <v>686</v>
      </c>
      <c r="C19122" s="2">
        <f>HYPERLINK("https://cao.dolgi.msk.ru/account/1080294743/", 1080294743)</f>
        <v>1080294743</v>
      </c>
      <c r="D19122" t="s">
        <v>16286</v>
      </c>
      <c r="E19122">
        <v>-14287.16</v>
      </c>
      <c r="F19122">
        <v>-1.1499999999999999</v>
      </c>
      <c r="G19122" t="s">
        <v>12</v>
      </c>
      <c r="I19122" t="s">
        <v>1050</v>
      </c>
    </row>
    <row r="19123" spans="1:9" hidden="1" x14ac:dyDescent="0.25">
      <c r="A19123" t="s">
        <v>16210</v>
      </c>
      <c r="B19123" t="s">
        <v>582</v>
      </c>
      <c r="C19123" s="2">
        <f>HYPERLINK("https://cao.dolgi.msk.ru/account/1080294751/", 1080294751)</f>
        <v>1080294751</v>
      </c>
      <c r="D19123" t="s">
        <v>16287</v>
      </c>
      <c r="E19123">
        <v>-8596.99</v>
      </c>
      <c r="F19123">
        <v>-1.79</v>
      </c>
      <c r="G19123" t="s">
        <v>12</v>
      </c>
      <c r="I19123" t="s">
        <v>1050</v>
      </c>
    </row>
    <row r="19124" spans="1:9" hidden="1" x14ac:dyDescent="0.25">
      <c r="A19124" t="s">
        <v>16210</v>
      </c>
      <c r="B19124" t="s">
        <v>584</v>
      </c>
      <c r="C19124" s="2">
        <f>HYPERLINK("https://cao.dolgi.msk.ru/account/1080294778/", 1080294778)</f>
        <v>1080294778</v>
      </c>
      <c r="D19124" t="s">
        <v>16288</v>
      </c>
      <c r="E19124">
        <v>-4336.91</v>
      </c>
      <c r="F19124">
        <v>-1.0900000000000001</v>
      </c>
      <c r="G19124" t="s">
        <v>12</v>
      </c>
      <c r="I19124" t="s">
        <v>1050</v>
      </c>
    </row>
    <row r="19125" spans="1:9" hidden="1" x14ac:dyDescent="0.25">
      <c r="A19125" t="s">
        <v>16210</v>
      </c>
      <c r="B19125" t="s">
        <v>586</v>
      </c>
      <c r="C19125" s="2">
        <f>HYPERLINK("https://cao.dolgi.msk.ru/account/1080294786/", 1080294786)</f>
        <v>1080294786</v>
      </c>
      <c r="D19125" t="s">
        <v>16289</v>
      </c>
      <c r="E19125">
        <v>-8141.05</v>
      </c>
      <c r="F19125">
        <v>-1.1399999999999999</v>
      </c>
      <c r="G19125" t="s">
        <v>12</v>
      </c>
      <c r="I19125" t="s">
        <v>1050</v>
      </c>
    </row>
    <row r="19126" spans="1:9" hidden="1" x14ac:dyDescent="0.25">
      <c r="A19126" t="s">
        <v>16210</v>
      </c>
      <c r="B19126" t="s">
        <v>588</v>
      </c>
      <c r="C19126" s="2">
        <f>HYPERLINK("https://cao.dolgi.msk.ru/account/1080294794/", 1080294794)</f>
        <v>1080294794</v>
      </c>
      <c r="D19126" t="s">
        <v>16290</v>
      </c>
      <c r="E19126">
        <v>-6155.13</v>
      </c>
      <c r="F19126">
        <v>-1.1399999999999999</v>
      </c>
      <c r="G19126" t="s">
        <v>12</v>
      </c>
      <c r="I19126" t="s">
        <v>1050</v>
      </c>
    </row>
    <row r="19127" spans="1:9" x14ac:dyDescent="0.25">
      <c r="A19127" t="s">
        <v>16210</v>
      </c>
      <c r="B19127" t="s">
        <v>590</v>
      </c>
      <c r="C19127" s="2">
        <f>HYPERLINK("https://cao.dolgi.msk.ru/account/1080294807/", 1080294807)</f>
        <v>1080294807</v>
      </c>
      <c r="D19127" t="s">
        <v>16291</v>
      </c>
      <c r="E19127">
        <v>45628.44</v>
      </c>
      <c r="F19127">
        <v>5.73</v>
      </c>
      <c r="G19127" t="s">
        <v>12</v>
      </c>
      <c r="I19127" t="s">
        <v>1050</v>
      </c>
    </row>
    <row r="19128" spans="1:9" hidden="1" x14ac:dyDescent="0.25">
      <c r="A19128" t="s">
        <v>16210</v>
      </c>
      <c r="B19128" t="s">
        <v>693</v>
      </c>
      <c r="C19128" s="2">
        <f>HYPERLINK("https://cao.dolgi.msk.ru/account/1080294815/", 1080294815)</f>
        <v>1080294815</v>
      </c>
      <c r="D19128" t="s">
        <v>16292</v>
      </c>
      <c r="E19128">
        <v>-5091.7299999999996</v>
      </c>
      <c r="F19128">
        <v>-1.0900000000000001</v>
      </c>
      <c r="G19128" t="s">
        <v>12</v>
      </c>
      <c r="I19128" t="s">
        <v>1050</v>
      </c>
    </row>
    <row r="19129" spans="1:9" hidden="1" x14ac:dyDescent="0.25">
      <c r="A19129" t="s">
        <v>16210</v>
      </c>
      <c r="B19129" t="s">
        <v>694</v>
      </c>
      <c r="C19129" s="2">
        <f>HYPERLINK("https://cao.dolgi.msk.ru/account/1080294823/", 1080294823)</f>
        <v>1080294823</v>
      </c>
      <c r="D19129" t="s">
        <v>16293</v>
      </c>
      <c r="E19129">
        <v>-14868.73</v>
      </c>
      <c r="F19129">
        <v>-1.17</v>
      </c>
      <c r="G19129" t="s">
        <v>12</v>
      </c>
      <c r="I19129" t="s">
        <v>1050</v>
      </c>
    </row>
    <row r="19130" spans="1:9" hidden="1" x14ac:dyDescent="0.25">
      <c r="A19130" t="s">
        <v>16210</v>
      </c>
      <c r="B19130" t="s">
        <v>696</v>
      </c>
      <c r="C19130" s="2">
        <f>HYPERLINK("https://cao.dolgi.msk.ru/account/1080294831/", 1080294831)</f>
        <v>1080294831</v>
      </c>
      <c r="D19130" t="s">
        <v>16294</v>
      </c>
      <c r="E19130">
        <v>-5229.16</v>
      </c>
      <c r="F19130">
        <v>-1.0900000000000001</v>
      </c>
      <c r="G19130" t="s">
        <v>12</v>
      </c>
      <c r="I19130" t="s">
        <v>1050</v>
      </c>
    </row>
    <row r="19131" spans="1:9" hidden="1" x14ac:dyDescent="0.25">
      <c r="A19131" t="s">
        <v>16210</v>
      </c>
      <c r="B19131" t="s">
        <v>698</v>
      </c>
      <c r="C19131" s="2">
        <f>HYPERLINK("https://cao.dolgi.msk.ru/account/1080294858/", 1080294858)</f>
        <v>1080294858</v>
      </c>
      <c r="D19131" t="s">
        <v>16295</v>
      </c>
      <c r="E19131">
        <v>-7202.46</v>
      </c>
      <c r="F19131">
        <v>-0.88</v>
      </c>
      <c r="G19131" t="s">
        <v>12</v>
      </c>
      <c r="I19131" t="s">
        <v>1050</v>
      </c>
    </row>
    <row r="19132" spans="1:9" hidden="1" x14ac:dyDescent="0.25">
      <c r="A19132" t="s">
        <v>16210</v>
      </c>
      <c r="B19132" t="s">
        <v>700</v>
      </c>
      <c r="C19132" s="2">
        <f>HYPERLINK("https://cao.dolgi.msk.ru/account/1080294866/", 1080294866)</f>
        <v>1080294866</v>
      </c>
      <c r="D19132" t="s">
        <v>16296</v>
      </c>
      <c r="E19132">
        <v>-7214.47</v>
      </c>
      <c r="F19132">
        <v>-1.2</v>
      </c>
      <c r="G19132" t="s">
        <v>12</v>
      </c>
      <c r="I19132" t="s">
        <v>1050</v>
      </c>
    </row>
    <row r="19133" spans="1:9" hidden="1" x14ac:dyDescent="0.25">
      <c r="A19133" t="s">
        <v>16210</v>
      </c>
      <c r="B19133" t="s">
        <v>702</v>
      </c>
      <c r="C19133" s="2">
        <f>HYPERLINK("https://cao.dolgi.msk.ru/account/1080294874/", 1080294874)</f>
        <v>1080294874</v>
      </c>
      <c r="D19133" t="s">
        <v>16297</v>
      </c>
      <c r="E19133">
        <v>-7994.53</v>
      </c>
      <c r="F19133">
        <v>-1.47</v>
      </c>
      <c r="G19133" t="s">
        <v>12</v>
      </c>
      <c r="I19133" t="s">
        <v>1050</v>
      </c>
    </row>
    <row r="19134" spans="1:9" hidden="1" x14ac:dyDescent="0.25">
      <c r="A19134" t="s">
        <v>16210</v>
      </c>
      <c r="B19134" t="s">
        <v>703</v>
      </c>
      <c r="C19134" s="2">
        <f>HYPERLINK("https://cao.dolgi.msk.ru/account/1080294882/", 1080294882)</f>
        <v>1080294882</v>
      </c>
      <c r="D19134" t="s">
        <v>16298</v>
      </c>
      <c r="E19134">
        <v>-10480</v>
      </c>
      <c r="F19134">
        <v>-1.23</v>
      </c>
      <c r="G19134" t="s">
        <v>12</v>
      </c>
      <c r="I19134" t="s">
        <v>1050</v>
      </c>
    </row>
    <row r="19135" spans="1:9" hidden="1" x14ac:dyDescent="0.25">
      <c r="A19135" t="s">
        <v>16210</v>
      </c>
      <c r="B19135" t="s">
        <v>705</v>
      </c>
      <c r="C19135" s="2">
        <f>HYPERLINK("https://cao.dolgi.msk.ru/account/1080294903/", 1080294903)</f>
        <v>1080294903</v>
      </c>
      <c r="D19135" t="s">
        <v>16299</v>
      </c>
      <c r="E19135">
        <v>6409.32</v>
      </c>
      <c r="F19135">
        <v>1</v>
      </c>
      <c r="G19135" t="s">
        <v>12</v>
      </c>
      <c r="I19135" t="s">
        <v>1050</v>
      </c>
    </row>
    <row r="19136" spans="1:9" hidden="1" x14ac:dyDescent="0.25">
      <c r="A19136" t="s">
        <v>16210</v>
      </c>
      <c r="B19136" t="s">
        <v>707</v>
      </c>
      <c r="C19136" s="2">
        <f>HYPERLINK("https://cao.dolgi.msk.ru/account/1080294911/", 1080294911)</f>
        <v>1080294911</v>
      </c>
      <c r="D19136" t="s">
        <v>16300</v>
      </c>
      <c r="E19136">
        <v>-8337.74</v>
      </c>
      <c r="F19136">
        <v>-1.1399999999999999</v>
      </c>
      <c r="G19136" t="s">
        <v>12</v>
      </c>
      <c r="I19136" t="s">
        <v>1050</v>
      </c>
    </row>
    <row r="19137" spans="1:9" hidden="1" x14ac:dyDescent="0.25">
      <c r="A19137" t="s">
        <v>16210</v>
      </c>
      <c r="B19137" t="s">
        <v>709</v>
      </c>
      <c r="C19137" s="2">
        <f>HYPERLINK("https://cao.dolgi.msk.ru/account/1080294938/", 1080294938)</f>
        <v>1080294938</v>
      </c>
      <c r="D19137" t="s">
        <v>16301</v>
      </c>
      <c r="E19137">
        <v>-6119.68</v>
      </c>
      <c r="F19137">
        <v>-1.0900000000000001</v>
      </c>
      <c r="G19137" t="s">
        <v>12</v>
      </c>
      <c r="I19137" t="s">
        <v>1050</v>
      </c>
    </row>
    <row r="19138" spans="1:9" hidden="1" x14ac:dyDescent="0.25">
      <c r="A19138" t="s">
        <v>16210</v>
      </c>
      <c r="B19138" t="s">
        <v>711</v>
      </c>
      <c r="C19138" s="2">
        <f>HYPERLINK("https://cao.dolgi.msk.ru/account/1080294946/", 1080294946)</f>
        <v>1080294946</v>
      </c>
      <c r="D19138" t="s">
        <v>16302</v>
      </c>
      <c r="E19138">
        <v>650.78</v>
      </c>
      <c r="F19138">
        <v>0.05</v>
      </c>
      <c r="G19138" t="s">
        <v>12</v>
      </c>
      <c r="I19138" t="s">
        <v>1050</v>
      </c>
    </row>
    <row r="19139" spans="1:9" hidden="1" x14ac:dyDescent="0.25">
      <c r="A19139" t="s">
        <v>16210</v>
      </c>
      <c r="B19139" t="s">
        <v>713</v>
      </c>
      <c r="C19139" s="2">
        <f>HYPERLINK("https://cao.dolgi.msk.ru/account/1080294954/", 1080294954)</f>
        <v>1080294954</v>
      </c>
      <c r="D19139" t="s">
        <v>16303</v>
      </c>
      <c r="E19139">
        <v>32.56</v>
      </c>
      <c r="F19139">
        <v>0.01</v>
      </c>
      <c r="G19139" t="s">
        <v>12</v>
      </c>
      <c r="I19139" t="s">
        <v>1050</v>
      </c>
    </row>
    <row r="19140" spans="1:9" hidden="1" x14ac:dyDescent="0.25">
      <c r="A19140" t="s">
        <v>16210</v>
      </c>
      <c r="B19140" t="s">
        <v>528</v>
      </c>
      <c r="C19140" s="2">
        <f>HYPERLINK("https://cao.dolgi.msk.ru/account/1080294962/", 1080294962)</f>
        <v>1080294962</v>
      </c>
      <c r="D19140" t="s">
        <v>16304</v>
      </c>
      <c r="E19140">
        <v>-7.64</v>
      </c>
      <c r="F19140">
        <v>0</v>
      </c>
      <c r="G19140" t="s">
        <v>12</v>
      </c>
      <c r="I19140" t="s">
        <v>1050</v>
      </c>
    </row>
    <row r="19141" spans="1:9" hidden="1" x14ac:dyDescent="0.25">
      <c r="A19141" t="s">
        <v>16210</v>
      </c>
      <c r="B19141" t="s">
        <v>530</v>
      </c>
      <c r="C19141" s="2">
        <f>HYPERLINK("https://cao.dolgi.msk.ru/account/1080294989/", 1080294989)</f>
        <v>1080294989</v>
      </c>
      <c r="D19141" t="s">
        <v>16305</v>
      </c>
      <c r="E19141">
        <v>-9132.9599999999991</v>
      </c>
      <c r="F19141">
        <v>-1.1499999999999999</v>
      </c>
      <c r="G19141" t="s">
        <v>12</v>
      </c>
      <c r="I19141" t="s">
        <v>1050</v>
      </c>
    </row>
    <row r="19142" spans="1:9" hidden="1" x14ac:dyDescent="0.25">
      <c r="A19142" t="s">
        <v>16210</v>
      </c>
      <c r="B19142" t="s">
        <v>532</v>
      </c>
      <c r="C19142" s="2">
        <f>HYPERLINK("https://cao.dolgi.msk.ru/account/1080294997/", 1080294997)</f>
        <v>1080294997</v>
      </c>
      <c r="D19142" t="s">
        <v>16306</v>
      </c>
      <c r="E19142">
        <v>-568.46</v>
      </c>
      <c r="F19142">
        <v>-0.1</v>
      </c>
      <c r="G19142" t="s">
        <v>12</v>
      </c>
      <c r="I19142" t="s">
        <v>1050</v>
      </c>
    </row>
    <row r="19143" spans="1:9" hidden="1" x14ac:dyDescent="0.25">
      <c r="A19143" t="s">
        <v>16210</v>
      </c>
      <c r="B19143" t="s">
        <v>534</v>
      </c>
      <c r="C19143" s="2">
        <f>HYPERLINK("https://cao.dolgi.msk.ru/account/1080295009/", 1080295009)</f>
        <v>1080295009</v>
      </c>
      <c r="D19143" t="s">
        <v>16307</v>
      </c>
      <c r="E19143">
        <v>-4661.76</v>
      </c>
      <c r="F19143">
        <v>-1.28</v>
      </c>
      <c r="G19143" t="s">
        <v>12</v>
      </c>
      <c r="I19143" t="s">
        <v>1050</v>
      </c>
    </row>
    <row r="19144" spans="1:9" hidden="1" x14ac:dyDescent="0.25">
      <c r="A19144" t="s">
        <v>16210</v>
      </c>
      <c r="B19144" t="s">
        <v>536</v>
      </c>
      <c r="C19144" s="2">
        <f>HYPERLINK("https://cao.dolgi.msk.ru/account/1080295017/", 1080295017)</f>
        <v>1080295017</v>
      </c>
      <c r="D19144" t="s">
        <v>16308</v>
      </c>
      <c r="E19144">
        <v>-9727.93</v>
      </c>
      <c r="F19144">
        <v>-1.17</v>
      </c>
      <c r="G19144" t="s">
        <v>12</v>
      </c>
      <c r="I19144" t="s">
        <v>1050</v>
      </c>
    </row>
    <row r="19145" spans="1:9" hidden="1" x14ac:dyDescent="0.25">
      <c r="A19145" t="s">
        <v>16210</v>
      </c>
      <c r="B19145" t="s">
        <v>538</v>
      </c>
      <c r="C19145" s="2">
        <f>HYPERLINK("https://cao.dolgi.msk.ru/account/1080295025/", 1080295025)</f>
        <v>1080295025</v>
      </c>
      <c r="D19145" t="s">
        <v>16309</v>
      </c>
      <c r="E19145">
        <v>-33.36</v>
      </c>
      <c r="F19145">
        <v>-0.01</v>
      </c>
      <c r="G19145" t="s">
        <v>12</v>
      </c>
      <c r="I19145" t="s">
        <v>1050</v>
      </c>
    </row>
    <row r="19146" spans="1:9" x14ac:dyDescent="0.25">
      <c r="A19146" t="s">
        <v>16210</v>
      </c>
      <c r="B19146" t="s">
        <v>539</v>
      </c>
      <c r="C19146" s="2">
        <f>HYPERLINK("https://cao.dolgi.msk.ru/account/1080295041/", 1080295041)</f>
        <v>1080295041</v>
      </c>
      <c r="D19146" t="s">
        <v>16310</v>
      </c>
      <c r="E19146">
        <v>10846.97</v>
      </c>
      <c r="F19146">
        <v>1.08</v>
      </c>
      <c r="G19146" t="s">
        <v>12</v>
      </c>
      <c r="I19146" t="s">
        <v>1050</v>
      </c>
    </row>
    <row r="19147" spans="1:9" hidden="1" x14ac:dyDescent="0.25">
      <c r="A19147" t="s">
        <v>16210</v>
      </c>
      <c r="B19147" t="s">
        <v>539</v>
      </c>
      <c r="C19147" s="2">
        <f>HYPERLINK("https://cao.dolgi.msk.ru/account/1080295076/", 1080295076)</f>
        <v>1080295076</v>
      </c>
      <c r="D19147" t="s">
        <v>1082</v>
      </c>
      <c r="E19147">
        <v>1369.8</v>
      </c>
      <c r="G19147" t="s">
        <v>14</v>
      </c>
      <c r="I19147" t="s">
        <v>1050</v>
      </c>
    </row>
    <row r="19148" spans="1:9" hidden="1" x14ac:dyDescent="0.25">
      <c r="A19148" t="s">
        <v>16210</v>
      </c>
      <c r="B19148" t="s">
        <v>539</v>
      </c>
      <c r="C19148" s="2">
        <f>HYPERLINK("https://cao.dolgi.msk.ru/account/1089130323/", 1089130323)</f>
        <v>1089130323</v>
      </c>
      <c r="D19148" t="s">
        <v>15</v>
      </c>
      <c r="G19148" t="s">
        <v>14</v>
      </c>
      <c r="I19148" t="s">
        <v>1050</v>
      </c>
    </row>
    <row r="19149" spans="1:9" hidden="1" x14ac:dyDescent="0.25">
      <c r="A19149" t="s">
        <v>16210</v>
      </c>
      <c r="B19149" t="s">
        <v>541</v>
      </c>
      <c r="C19149" s="2">
        <f>HYPERLINK("https://cao.dolgi.msk.ru/account/1080295084/", 1080295084)</f>
        <v>1080295084</v>
      </c>
      <c r="D19149" t="s">
        <v>16311</v>
      </c>
      <c r="E19149">
        <v>-945.06</v>
      </c>
      <c r="F19149">
        <v>-0.2</v>
      </c>
      <c r="G19149" t="s">
        <v>12</v>
      </c>
      <c r="I19149" t="s">
        <v>1050</v>
      </c>
    </row>
    <row r="19150" spans="1:9" hidden="1" x14ac:dyDescent="0.25">
      <c r="A19150" t="s">
        <v>16210</v>
      </c>
      <c r="B19150" t="s">
        <v>543</v>
      </c>
      <c r="C19150" s="2">
        <f>HYPERLINK("https://cao.dolgi.msk.ru/account/1080295092/", 1080295092)</f>
        <v>1080295092</v>
      </c>
      <c r="D19150" t="s">
        <v>16312</v>
      </c>
      <c r="E19150">
        <v>-6399.93</v>
      </c>
      <c r="F19150">
        <v>-1.17</v>
      </c>
      <c r="G19150" t="s">
        <v>12</v>
      </c>
      <c r="I19150" t="s">
        <v>1050</v>
      </c>
    </row>
    <row r="19151" spans="1:9" hidden="1" x14ac:dyDescent="0.25">
      <c r="A19151" t="s">
        <v>16210</v>
      </c>
      <c r="B19151" t="s">
        <v>545</v>
      </c>
      <c r="C19151" s="2">
        <f>HYPERLINK("https://cao.dolgi.msk.ru/account/1080295105/", 1080295105)</f>
        <v>1080295105</v>
      </c>
      <c r="D19151" t="s">
        <v>16313</v>
      </c>
      <c r="E19151">
        <v>-7019.76</v>
      </c>
      <c r="F19151">
        <v>-1.03</v>
      </c>
      <c r="G19151" t="s">
        <v>12</v>
      </c>
      <c r="I19151" t="s">
        <v>1050</v>
      </c>
    </row>
    <row r="19152" spans="1:9" hidden="1" x14ac:dyDescent="0.25">
      <c r="A19152" t="s">
        <v>16210</v>
      </c>
      <c r="B19152" t="s">
        <v>546</v>
      </c>
      <c r="C19152" s="2">
        <f>HYPERLINK("https://cao.dolgi.msk.ru/account/1080295113/", 1080295113)</f>
        <v>1080295113</v>
      </c>
      <c r="D19152" t="s">
        <v>16314</v>
      </c>
      <c r="E19152">
        <v>-55.65</v>
      </c>
      <c r="F19152">
        <v>-0.01</v>
      </c>
      <c r="G19152" t="s">
        <v>12</v>
      </c>
      <c r="I19152" t="s">
        <v>1050</v>
      </c>
    </row>
    <row r="19153" spans="1:9" hidden="1" x14ac:dyDescent="0.25">
      <c r="A19153" t="s">
        <v>16210</v>
      </c>
      <c r="B19153" t="s">
        <v>548</v>
      </c>
      <c r="C19153" s="2">
        <f>HYPERLINK("https://cao.dolgi.msk.ru/account/1080295121/", 1080295121)</f>
        <v>1080295121</v>
      </c>
      <c r="D19153" t="s">
        <v>16315</v>
      </c>
      <c r="E19153">
        <v>-44562.66</v>
      </c>
      <c r="F19153">
        <v>-7.45</v>
      </c>
      <c r="G19153" t="s">
        <v>12</v>
      </c>
      <c r="I19153" t="s">
        <v>1050</v>
      </c>
    </row>
    <row r="19154" spans="1:9" hidden="1" x14ac:dyDescent="0.25">
      <c r="A19154" t="s">
        <v>16210</v>
      </c>
      <c r="B19154" t="s">
        <v>727</v>
      </c>
      <c r="C19154" s="2">
        <f>HYPERLINK("https://cao.dolgi.msk.ru/account/1080295148/", 1080295148)</f>
        <v>1080295148</v>
      </c>
      <c r="D19154" t="s">
        <v>16316</v>
      </c>
      <c r="E19154">
        <v>-4167.8100000000004</v>
      </c>
      <c r="F19154">
        <v>-0.96</v>
      </c>
      <c r="G19154" t="s">
        <v>12</v>
      </c>
      <c r="I19154" t="s">
        <v>1050</v>
      </c>
    </row>
    <row r="19155" spans="1:9" hidden="1" x14ac:dyDescent="0.25">
      <c r="A19155" t="s">
        <v>16210</v>
      </c>
      <c r="B19155" t="s">
        <v>551</v>
      </c>
      <c r="C19155" s="2">
        <f>HYPERLINK("https://cao.dolgi.msk.ru/account/1080295156/", 1080295156)</f>
        <v>1080295156</v>
      </c>
      <c r="D19155" t="s">
        <v>16317</v>
      </c>
      <c r="E19155">
        <v>178.43</v>
      </c>
      <c r="F19155">
        <v>0.01</v>
      </c>
      <c r="G19155" t="s">
        <v>12</v>
      </c>
      <c r="I19155" t="s">
        <v>1050</v>
      </c>
    </row>
    <row r="19156" spans="1:9" hidden="1" x14ac:dyDescent="0.25">
      <c r="A19156" t="s">
        <v>16210</v>
      </c>
      <c r="B19156" t="s">
        <v>730</v>
      </c>
      <c r="C19156" s="2">
        <f>HYPERLINK("https://cao.dolgi.msk.ru/account/1080295164/", 1080295164)</f>
        <v>1080295164</v>
      </c>
      <c r="D19156" t="s">
        <v>16318</v>
      </c>
      <c r="E19156">
        <v>-6205.79</v>
      </c>
      <c r="F19156">
        <v>-0.99</v>
      </c>
      <c r="G19156" t="s">
        <v>12</v>
      </c>
      <c r="I19156" t="s">
        <v>1050</v>
      </c>
    </row>
    <row r="19157" spans="1:9" hidden="1" x14ac:dyDescent="0.25">
      <c r="A19157" t="s">
        <v>16210</v>
      </c>
      <c r="B19157" t="s">
        <v>732</v>
      </c>
      <c r="C19157" s="2">
        <f>HYPERLINK("https://cao.dolgi.msk.ru/account/1080295172/", 1080295172)</f>
        <v>1080295172</v>
      </c>
      <c r="D19157" t="s">
        <v>16319</v>
      </c>
      <c r="E19157">
        <v>-6057.44</v>
      </c>
      <c r="F19157">
        <v>-1.2</v>
      </c>
      <c r="G19157" t="s">
        <v>12</v>
      </c>
      <c r="I19157" t="s">
        <v>1050</v>
      </c>
    </row>
    <row r="19158" spans="1:9" hidden="1" x14ac:dyDescent="0.25">
      <c r="A19158" t="s">
        <v>16210</v>
      </c>
      <c r="B19158" t="s">
        <v>553</v>
      </c>
      <c r="C19158" s="2">
        <f>HYPERLINK("https://cao.dolgi.msk.ru/account/1080295199/", 1080295199)</f>
        <v>1080295199</v>
      </c>
      <c r="D19158" t="s">
        <v>16320</v>
      </c>
      <c r="E19158">
        <v>-8891.76</v>
      </c>
      <c r="F19158">
        <v>-1.1399999999999999</v>
      </c>
      <c r="G19158" t="s">
        <v>12</v>
      </c>
      <c r="I19158" t="s">
        <v>1050</v>
      </c>
    </row>
    <row r="19159" spans="1:9" hidden="1" x14ac:dyDescent="0.25">
      <c r="A19159" t="s">
        <v>16210</v>
      </c>
      <c r="B19159" t="s">
        <v>555</v>
      </c>
      <c r="C19159" s="2">
        <f>HYPERLINK("https://cao.dolgi.msk.ru/account/1080295201/", 1080295201)</f>
        <v>1080295201</v>
      </c>
      <c r="D19159" t="s">
        <v>16321</v>
      </c>
      <c r="E19159">
        <v>-7.95</v>
      </c>
      <c r="F19159">
        <v>0</v>
      </c>
      <c r="G19159" t="s">
        <v>12</v>
      </c>
      <c r="I19159" t="s">
        <v>1050</v>
      </c>
    </row>
    <row r="19160" spans="1:9" hidden="1" x14ac:dyDescent="0.25">
      <c r="A19160" t="s">
        <v>16210</v>
      </c>
      <c r="B19160" t="s">
        <v>736</v>
      </c>
      <c r="C19160" s="2">
        <f>HYPERLINK("https://cao.dolgi.msk.ru/account/1080295228/", 1080295228)</f>
        <v>1080295228</v>
      </c>
      <c r="D19160" t="s">
        <v>16322</v>
      </c>
      <c r="E19160">
        <v>-9568.0400000000009</v>
      </c>
      <c r="F19160">
        <v>-1.52</v>
      </c>
      <c r="G19160" t="s">
        <v>12</v>
      </c>
      <c r="I19160" t="s">
        <v>1050</v>
      </c>
    </row>
    <row r="19161" spans="1:9" hidden="1" x14ac:dyDescent="0.25">
      <c r="A19161" t="s">
        <v>16210</v>
      </c>
      <c r="B19161" t="s">
        <v>738</v>
      </c>
      <c r="C19161" s="2">
        <f>HYPERLINK("https://cao.dolgi.msk.ru/account/1080295236/", 1080295236)</f>
        <v>1080295236</v>
      </c>
      <c r="D19161" t="s">
        <v>16323</v>
      </c>
      <c r="E19161">
        <v>-6148.25</v>
      </c>
      <c r="F19161">
        <v>-1.04</v>
      </c>
      <c r="G19161" t="s">
        <v>12</v>
      </c>
      <c r="I19161" t="s">
        <v>1050</v>
      </c>
    </row>
    <row r="19162" spans="1:9" hidden="1" x14ac:dyDescent="0.25">
      <c r="A19162" t="s">
        <v>16210</v>
      </c>
      <c r="B19162" t="s">
        <v>740</v>
      </c>
      <c r="C19162" s="2">
        <f>HYPERLINK("https://cao.dolgi.msk.ru/account/1080295244/", 1080295244)</f>
        <v>1080295244</v>
      </c>
      <c r="D19162" t="s">
        <v>16324</v>
      </c>
      <c r="E19162">
        <v>-6093.95</v>
      </c>
      <c r="F19162">
        <v>-0.98</v>
      </c>
      <c r="G19162" t="s">
        <v>12</v>
      </c>
      <c r="I19162" t="s">
        <v>1050</v>
      </c>
    </row>
    <row r="19163" spans="1:9" hidden="1" x14ac:dyDescent="0.25">
      <c r="A19163" t="s">
        <v>16210</v>
      </c>
      <c r="B19163" t="s">
        <v>742</v>
      </c>
      <c r="C19163" s="2">
        <f>HYPERLINK("https://cao.dolgi.msk.ru/account/1080295252/", 1080295252)</f>
        <v>1080295252</v>
      </c>
      <c r="D19163" t="s">
        <v>16325</v>
      </c>
      <c r="E19163">
        <v>-7389.88</v>
      </c>
      <c r="F19163">
        <v>-1.07</v>
      </c>
      <c r="G19163" t="s">
        <v>12</v>
      </c>
      <c r="I19163" t="s">
        <v>1050</v>
      </c>
    </row>
    <row r="19164" spans="1:9" hidden="1" x14ac:dyDescent="0.25">
      <c r="A19164" t="s">
        <v>16210</v>
      </c>
      <c r="B19164" t="s">
        <v>557</v>
      </c>
      <c r="C19164" s="2">
        <f>HYPERLINK("https://cao.dolgi.msk.ru/account/1080295279/", 1080295279)</f>
        <v>1080295279</v>
      </c>
      <c r="D19164" t="s">
        <v>16326</v>
      </c>
      <c r="E19164">
        <v>-7366.89</v>
      </c>
      <c r="F19164">
        <v>-1.1499999999999999</v>
      </c>
      <c r="G19164" t="s">
        <v>12</v>
      </c>
      <c r="I19164" t="s">
        <v>1050</v>
      </c>
    </row>
    <row r="19165" spans="1:9" hidden="1" x14ac:dyDescent="0.25">
      <c r="A19165" t="s">
        <v>16210</v>
      </c>
      <c r="B19165" t="s">
        <v>558</v>
      </c>
      <c r="C19165" s="2">
        <f>HYPERLINK("https://cao.dolgi.msk.ru/account/1080295287/", 1080295287)</f>
        <v>1080295287</v>
      </c>
      <c r="D19165" t="s">
        <v>16327</v>
      </c>
      <c r="E19165">
        <v>-6587.82</v>
      </c>
      <c r="F19165">
        <v>-1.07</v>
      </c>
      <c r="G19165" t="s">
        <v>12</v>
      </c>
      <c r="I19165" t="s">
        <v>1050</v>
      </c>
    </row>
    <row r="19166" spans="1:9" hidden="1" x14ac:dyDescent="0.25">
      <c r="A19166" t="s">
        <v>16210</v>
      </c>
      <c r="B19166" t="s">
        <v>746</v>
      </c>
      <c r="C19166" s="2">
        <f>HYPERLINK("https://cao.dolgi.msk.ru/account/1080295295/", 1080295295)</f>
        <v>1080295295</v>
      </c>
      <c r="D19166" t="s">
        <v>16328</v>
      </c>
      <c r="E19166">
        <v>-5646</v>
      </c>
      <c r="F19166">
        <v>-1.1200000000000001</v>
      </c>
      <c r="G19166" t="s">
        <v>12</v>
      </c>
      <c r="I19166" t="s">
        <v>1050</v>
      </c>
    </row>
    <row r="19167" spans="1:9" hidden="1" x14ac:dyDescent="0.25">
      <c r="A19167" t="s">
        <v>16210</v>
      </c>
      <c r="B19167" t="s">
        <v>748</v>
      </c>
      <c r="C19167" s="2">
        <f>HYPERLINK("https://cao.dolgi.msk.ru/account/1080295308/", 1080295308)</f>
        <v>1080295308</v>
      </c>
      <c r="D19167" t="s">
        <v>16329</v>
      </c>
      <c r="E19167">
        <v>-6727.21</v>
      </c>
      <c r="F19167">
        <v>-1.1399999999999999</v>
      </c>
      <c r="G19167" t="s">
        <v>12</v>
      </c>
      <c r="I19167" t="s">
        <v>1050</v>
      </c>
    </row>
    <row r="19168" spans="1:9" hidden="1" x14ac:dyDescent="0.25">
      <c r="A19168" t="s">
        <v>16210</v>
      </c>
      <c r="B19168" t="s">
        <v>750</v>
      </c>
      <c r="C19168" s="2">
        <f>HYPERLINK("https://cao.dolgi.msk.ru/account/1080295316/", 1080295316)</f>
        <v>1080295316</v>
      </c>
      <c r="D19168" t="s">
        <v>16330</v>
      </c>
      <c r="E19168">
        <v>-11376</v>
      </c>
      <c r="F19168">
        <v>-1.1499999999999999</v>
      </c>
      <c r="G19168" t="s">
        <v>12</v>
      </c>
      <c r="I19168" t="s">
        <v>1050</v>
      </c>
    </row>
    <row r="19169" spans="1:9" hidden="1" x14ac:dyDescent="0.25">
      <c r="A19169" t="s">
        <v>16210</v>
      </c>
      <c r="B19169" t="s">
        <v>752</v>
      </c>
      <c r="C19169" s="2">
        <f>HYPERLINK("https://cao.dolgi.msk.ru/account/1080295324/", 1080295324)</f>
        <v>1080295324</v>
      </c>
      <c r="D19169" t="s">
        <v>2770</v>
      </c>
      <c r="E19169">
        <v>-6537.95</v>
      </c>
      <c r="F19169">
        <v>-1.01</v>
      </c>
      <c r="G19169" t="s">
        <v>12</v>
      </c>
      <c r="I19169" t="s">
        <v>1050</v>
      </c>
    </row>
    <row r="19170" spans="1:9" hidden="1" x14ac:dyDescent="0.25">
      <c r="A19170" t="s">
        <v>16210</v>
      </c>
      <c r="B19170" t="s">
        <v>754</v>
      </c>
      <c r="C19170" s="2">
        <f>HYPERLINK("https://cao.dolgi.msk.ru/account/1080295332/", 1080295332)</f>
        <v>1080295332</v>
      </c>
      <c r="D19170" t="s">
        <v>16331</v>
      </c>
      <c r="E19170">
        <v>6434.51</v>
      </c>
      <c r="F19170">
        <v>0.99</v>
      </c>
      <c r="G19170" t="s">
        <v>12</v>
      </c>
      <c r="I19170" t="s">
        <v>1050</v>
      </c>
    </row>
    <row r="19171" spans="1:9" hidden="1" x14ac:dyDescent="0.25">
      <c r="A19171" t="s">
        <v>16210</v>
      </c>
      <c r="B19171" t="s">
        <v>756</v>
      </c>
      <c r="C19171" s="2">
        <f>HYPERLINK("https://cao.dolgi.msk.ru/account/1080295359/", 1080295359)</f>
        <v>1080295359</v>
      </c>
      <c r="D19171" t="s">
        <v>16332</v>
      </c>
      <c r="E19171">
        <v>-5542.97</v>
      </c>
      <c r="F19171">
        <v>-1.22</v>
      </c>
      <c r="G19171" t="s">
        <v>12</v>
      </c>
      <c r="I19171" t="s">
        <v>1050</v>
      </c>
    </row>
    <row r="19172" spans="1:9" hidden="1" x14ac:dyDescent="0.25">
      <c r="A19172" t="s">
        <v>16210</v>
      </c>
      <c r="B19172" t="s">
        <v>758</v>
      </c>
      <c r="C19172" s="2">
        <f>HYPERLINK("https://cao.dolgi.msk.ru/account/1080295367/", 1080295367)</f>
        <v>1080295367</v>
      </c>
      <c r="D19172" t="s">
        <v>16333</v>
      </c>
      <c r="E19172">
        <v>-9375.9599999999991</v>
      </c>
      <c r="F19172">
        <v>-1.1100000000000001</v>
      </c>
      <c r="G19172" t="s">
        <v>12</v>
      </c>
      <c r="I19172" t="s">
        <v>1050</v>
      </c>
    </row>
    <row r="19173" spans="1:9" hidden="1" x14ac:dyDescent="0.25">
      <c r="A19173" t="s">
        <v>16210</v>
      </c>
      <c r="B19173" t="s">
        <v>760</v>
      </c>
      <c r="C19173" s="2">
        <f>HYPERLINK("https://cao.dolgi.msk.ru/account/1080295375/", 1080295375)</f>
        <v>1080295375</v>
      </c>
      <c r="D19173" t="s">
        <v>16334</v>
      </c>
      <c r="E19173">
        <v>-9095.5300000000007</v>
      </c>
      <c r="F19173">
        <v>-1.06</v>
      </c>
      <c r="G19173" t="s">
        <v>12</v>
      </c>
      <c r="I19173" t="s">
        <v>1050</v>
      </c>
    </row>
    <row r="19174" spans="1:9" hidden="1" x14ac:dyDescent="0.25">
      <c r="A19174" t="s">
        <v>16210</v>
      </c>
      <c r="B19174" t="s">
        <v>762</v>
      </c>
      <c r="C19174" s="2">
        <f>HYPERLINK("https://cao.dolgi.msk.ru/account/1080295383/", 1080295383)</f>
        <v>1080295383</v>
      </c>
      <c r="D19174" t="s">
        <v>16335</v>
      </c>
      <c r="E19174">
        <v>-5731.84</v>
      </c>
      <c r="F19174">
        <v>-1.1299999999999999</v>
      </c>
      <c r="G19174" t="s">
        <v>12</v>
      </c>
      <c r="I19174" t="s">
        <v>1050</v>
      </c>
    </row>
    <row r="19175" spans="1:9" hidden="1" x14ac:dyDescent="0.25">
      <c r="A19175" t="s">
        <v>16210</v>
      </c>
      <c r="B19175" t="s">
        <v>764</v>
      </c>
      <c r="C19175" s="2">
        <f>HYPERLINK("https://cao.dolgi.msk.ru/account/1080295391/", 1080295391)</f>
        <v>1080295391</v>
      </c>
      <c r="D19175" t="s">
        <v>16336</v>
      </c>
      <c r="E19175">
        <v>-9698.8799999999992</v>
      </c>
      <c r="F19175">
        <v>-1.07</v>
      </c>
      <c r="G19175" t="s">
        <v>12</v>
      </c>
      <c r="I19175" t="s">
        <v>1050</v>
      </c>
    </row>
    <row r="19176" spans="1:9" hidden="1" x14ac:dyDescent="0.25">
      <c r="A19176" t="s">
        <v>16337</v>
      </c>
      <c r="B19176" t="s">
        <v>10</v>
      </c>
      <c r="C19176" s="2">
        <f>HYPERLINK("https://cao.dolgi.msk.ru/account/1080052832/", 1080052832)</f>
        <v>1080052832</v>
      </c>
      <c r="D19176" t="s">
        <v>1082</v>
      </c>
      <c r="E19176">
        <v>3333.84</v>
      </c>
      <c r="F19176">
        <v>5.59</v>
      </c>
      <c r="G19176" t="s">
        <v>14</v>
      </c>
      <c r="H19176" t="s">
        <v>7</v>
      </c>
      <c r="I19176" t="s">
        <v>13</v>
      </c>
    </row>
    <row r="19177" spans="1:9" hidden="1" x14ac:dyDescent="0.25">
      <c r="A19177" t="s">
        <v>16337</v>
      </c>
      <c r="B19177" t="s">
        <v>10</v>
      </c>
      <c r="C19177" s="2">
        <f>HYPERLINK("https://cao.dolgi.msk.ru/account/1080052859/", 1080052859)</f>
        <v>1080052859</v>
      </c>
      <c r="D19177" t="s">
        <v>16338</v>
      </c>
      <c r="E19177">
        <v>11305.21</v>
      </c>
      <c r="F19177">
        <v>2.31</v>
      </c>
      <c r="G19177" t="s">
        <v>14</v>
      </c>
      <c r="H19177" t="s">
        <v>7</v>
      </c>
      <c r="I19177" t="s">
        <v>13</v>
      </c>
    </row>
    <row r="19178" spans="1:9" hidden="1" x14ac:dyDescent="0.25">
      <c r="A19178" t="s">
        <v>16337</v>
      </c>
      <c r="B19178" t="s">
        <v>10</v>
      </c>
      <c r="C19178" s="2">
        <f>HYPERLINK("https://cao.dolgi.msk.ru/account/1083390853/", 1083390853)</f>
        <v>1083390853</v>
      </c>
      <c r="D19178" t="s">
        <v>1082</v>
      </c>
      <c r="E19178">
        <v>-3339.09</v>
      </c>
      <c r="F19178">
        <v>-1.01</v>
      </c>
      <c r="G19178" t="s">
        <v>12</v>
      </c>
      <c r="H19178" t="s">
        <v>7</v>
      </c>
      <c r="I19178" t="s">
        <v>13</v>
      </c>
    </row>
    <row r="19179" spans="1:9" hidden="1" x14ac:dyDescent="0.25">
      <c r="A19179" t="s">
        <v>16337</v>
      </c>
      <c r="B19179" t="s">
        <v>10</v>
      </c>
      <c r="C19179" s="2">
        <f>HYPERLINK("https://cao.dolgi.msk.ru/account/1083390941/", 1083390941)</f>
        <v>1083390941</v>
      </c>
      <c r="D19179" t="s">
        <v>16338</v>
      </c>
      <c r="E19179">
        <v>-9415.6200000000008</v>
      </c>
      <c r="F19179">
        <v>-1.02</v>
      </c>
      <c r="G19179" t="s">
        <v>12</v>
      </c>
      <c r="H19179" t="s">
        <v>7</v>
      </c>
      <c r="I19179" t="s">
        <v>13</v>
      </c>
    </row>
    <row r="19180" spans="1:9" hidden="1" x14ac:dyDescent="0.25">
      <c r="A19180" t="s">
        <v>16337</v>
      </c>
      <c r="B19180" t="s">
        <v>16</v>
      </c>
      <c r="C19180" s="2">
        <f>HYPERLINK("https://cao.dolgi.msk.ru/account/1080052867/", 1080052867)</f>
        <v>1080052867</v>
      </c>
      <c r="D19180" t="s">
        <v>16339</v>
      </c>
      <c r="E19180">
        <v>13313.4</v>
      </c>
      <c r="G19180" t="s">
        <v>14</v>
      </c>
      <c r="I19180" t="s">
        <v>13</v>
      </c>
    </row>
    <row r="19181" spans="1:9" x14ac:dyDescent="0.25">
      <c r="A19181" t="s">
        <v>16337</v>
      </c>
      <c r="B19181" t="s">
        <v>16</v>
      </c>
      <c r="C19181" s="2">
        <f>HYPERLINK("https://cao.dolgi.msk.ru/account/1083390917/", 1083390917)</f>
        <v>1083390917</v>
      </c>
      <c r="D19181" t="s">
        <v>16339</v>
      </c>
      <c r="E19181">
        <v>71904.66</v>
      </c>
      <c r="F19181">
        <v>16.18</v>
      </c>
      <c r="G19181" t="s">
        <v>12</v>
      </c>
      <c r="I19181" t="s">
        <v>13</v>
      </c>
    </row>
    <row r="19182" spans="1:9" hidden="1" x14ac:dyDescent="0.25">
      <c r="A19182" t="s">
        <v>16337</v>
      </c>
      <c r="B19182" t="s">
        <v>18</v>
      </c>
      <c r="C19182" s="2">
        <f>HYPERLINK("https://cao.dolgi.msk.ru/account/1080052912/", 1080052912)</f>
        <v>1080052912</v>
      </c>
      <c r="D19182" t="s">
        <v>16340</v>
      </c>
      <c r="E19182">
        <v>17345.91</v>
      </c>
      <c r="F19182">
        <v>29.07</v>
      </c>
      <c r="G19182" t="s">
        <v>14</v>
      </c>
      <c r="I19182" t="s">
        <v>13</v>
      </c>
    </row>
    <row r="19183" spans="1:9" hidden="1" x14ac:dyDescent="0.25">
      <c r="A19183" t="s">
        <v>16337</v>
      </c>
      <c r="B19183" t="s">
        <v>18</v>
      </c>
      <c r="C19183" s="2">
        <f>HYPERLINK("https://cao.dolgi.msk.ru/account/1083390896/", 1083390896)</f>
        <v>1083390896</v>
      </c>
      <c r="D19183" t="s">
        <v>16340</v>
      </c>
      <c r="E19183">
        <v>-12581.95</v>
      </c>
      <c r="F19183">
        <v>-1.01</v>
      </c>
      <c r="G19183" t="s">
        <v>12</v>
      </c>
      <c r="I19183" t="s">
        <v>13</v>
      </c>
    </row>
    <row r="19184" spans="1:9" hidden="1" x14ac:dyDescent="0.25">
      <c r="A19184" t="s">
        <v>16337</v>
      </c>
      <c r="B19184" t="s">
        <v>20</v>
      </c>
      <c r="C19184" s="2">
        <f>HYPERLINK("https://cao.dolgi.msk.ru/account/1080052875/", 1080052875)</f>
        <v>1080052875</v>
      </c>
      <c r="D19184" t="s">
        <v>16341</v>
      </c>
      <c r="E19184">
        <v>16187.37</v>
      </c>
      <c r="G19184" t="s">
        <v>14</v>
      </c>
      <c r="I19184" t="s">
        <v>13</v>
      </c>
    </row>
    <row r="19185" spans="1:9" hidden="1" x14ac:dyDescent="0.25">
      <c r="A19185" t="s">
        <v>16337</v>
      </c>
      <c r="B19185" t="s">
        <v>20</v>
      </c>
      <c r="C19185" s="2">
        <f>HYPERLINK("https://cao.dolgi.msk.ru/account/1083390861/", 1083390861)</f>
        <v>1083390861</v>
      </c>
      <c r="D19185" t="s">
        <v>16341</v>
      </c>
      <c r="E19185">
        <v>0</v>
      </c>
      <c r="F19185">
        <v>0</v>
      </c>
      <c r="G19185" t="s">
        <v>12</v>
      </c>
      <c r="I19185" t="s">
        <v>13</v>
      </c>
    </row>
    <row r="19186" spans="1:9" hidden="1" x14ac:dyDescent="0.25">
      <c r="A19186" t="s">
        <v>16337</v>
      </c>
      <c r="B19186" t="s">
        <v>21</v>
      </c>
      <c r="C19186" s="2">
        <f>HYPERLINK("https://cao.dolgi.msk.ru/account/1080052883/", 1080052883)</f>
        <v>1080052883</v>
      </c>
      <c r="D19186" t="s">
        <v>16342</v>
      </c>
      <c r="E19186">
        <v>15751.5</v>
      </c>
      <c r="G19186" t="s">
        <v>14</v>
      </c>
      <c r="I19186" t="s">
        <v>13</v>
      </c>
    </row>
    <row r="19187" spans="1:9" hidden="1" x14ac:dyDescent="0.25">
      <c r="A19187" t="s">
        <v>16337</v>
      </c>
      <c r="B19187" t="s">
        <v>21</v>
      </c>
      <c r="C19187" s="2">
        <f>HYPERLINK("https://cao.dolgi.msk.ru/account/1083390984/", 1083390984)</f>
        <v>1083390984</v>
      </c>
      <c r="D19187" t="s">
        <v>16342</v>
      </c>
      <c r="E19187">
        <v>0</v>
      </c>
      <c r="F19187">
        <v>0</v>
      </c>
      <c r="G19187" t="s">
        <v>12</v>
      </c>
      <c r="I19187" t="s">
        <v>13</v>
      </c>
    </row>
    <row r="19188" spans="1:9" hidden="1" x14ac:dyDescent="0.25">
      <c r="A19188" t="s">
        <v>16337</v>
      </c>
      <c r="B19188" t="s">
        <v>22</v>
      </c>
      <c r="C19188" s="2">
        <f>HYPERLINK("https://cao.dolgi.msk.ru/account/1080052891/", 1080052891)</f>
        <v>1080052891</v>
      </c>
      <c r="D19188" t="s">
        <v>16343</v>
      </c>
      <c r="E19188">
        <v>-6295.2</v>
      </c>
      <c r="G19188" t="s">
        <v>14</v>
      </c>
      <c r="I19188" t="s">
        <v>13</v>
      </c>
    </row>
    <row r="19189" spans="1:9" hidden="1" x14ac:dyDescent="0.25">
      <c r="A19189" t="s">
        <v>16337</v>
      </c>
      <c r="B19189" t="s">
        <v>22</v>
      </c>
      <c r="C19189" s="2">
        <f>HYPERLINK("https://cao.dolgi.msk.ru/account/1083390968/", 1083390968)</f>
        <v>1083390968</v>
      </c>
      <c r="D19189" t="s">
        <v>16343</v>
      </c>
      <c r="E19189">
        <v>-10800.53</v>
      </c>
      <c r="F19189">
        <v>-1.02</v>
      </c>
      <c r="G19189" t="s">
        <v>12</v>
      </c>
      <c r="I19189" t="s">
        <v>13</v>
      </c>
    </row>
    <row r="19190" spans="1:9" hidden="1" x14ac:dyDescent="0.25">
      <c r="A19190" t="s">
        <v>16337</v>
      </c>
      <c r="B19190" t="s">
        <v>23</v>
      </c>
      <c r="C19190" s="2">
        <f>HYPERLINK("https://cao.dolgi.msk.ru/account/1080052904/", 1080052904)</f>
        <v>1080052904</v>
      </c>
      <c r="D19190" t="s">
        <v>16344</v>
      </c>
      <c r="E19190">
        <v>24682.639999999999</v>
      </c>
      <c r="G19190" t="s">
        <v>14</v>
      </c>
      <c r="I19190" t="s">
        <v>13</v>
      </c>
    </row>
    <row r="19191" spans="1:9" hidden="1" x14ac:dyDescent="0.25">
      <c r="A19191" t="s">
        <v>16337</v>
      </c>
      <c r="B19191" t="s">
        <v>23</v>
      </c>
      <c r="C19191" s="2">
        <f>HYPERLINK("https://cao.dolgi.msk.ru/account/1083390888/", 1083390888)</f>
        <v>1083390888</v>
      </c>
      <c r="D19191" t="s">
        <v>15</v>
      </c>
      <c r="E19191">
        <v>-30710.93</v>
      </c>
      <c r="F19191">
        <v>-2.06</v>
      </c>
      <c r="G19191" t="s">
        <v>12</v>
      </c>
      <c r="I19191" t="s">
        <v>13</v>
      </c>
    </row>
    <row r="19192" spans="1:9" hidden="1" x14ac:dyDescent="0.25">
      <c r="A19192" t="s">
        <v>16337</v>
      </c>
      <c r="B19192" t="s">
        <v>24</v>
      </c>
      <c r="C19192" s="2">
        <f>HYPERLINK("https://cao.dolgi.msk.ru/account/1080052939/", 1080052939)</f>
        <v>1080052939</v>
      </c>
      <c r="D19192" t="s">
        <v>16345</v>
      </c>
      <c r="E19192">
        <v>4215.72</v>
      </c>
      <c r="F19192">
        <v>3.53</v>
      </c>
      <c r="G19192" t="s">
        <v>14</v>
      </c>
      <c r="I19192" t="s">
        <v>13</v>
      </c>
    </row>
    <row r="19193" spans="1:9" hidden="1" x14ac:dyDescent="0.25">
      <c r="A19193" t="s">
        <v>16337</v>
      </c>
      <c r="B19193" t="s">
        <v>24</v>
      </c>
      <c r="C19193" s="2">
        <f>HYPERLINK("https://cao.dolgi.msk.ru/account/1083390925/", 1083390925)</f>
        <v>1083390925</v>
      </c>
      <c r="D19193" t="s">
        <v>16345</v>
      </c>
      <c r="E19193">
        <v>-11414.88</v>
      </c>
      <c r="F19193">
        <v>-1.02</v>
      </c>
      <c r="G19193" t="s">
        <v>12</v>
      </c>
      <c r="I19193" t="s">
        <v>13</v>
      </c>
    </row>
    <row r="19194" spans="1:9" hidden="1" x14ac:dyDescent="0.25">
      <c r="A19194" t="s">
        <v>16337</v>
      </c>
      <c r="B19194" t="s">
        <v>27</v>
      </c>
      <c r="C19194" s="2">
        <f>HYPERLINK("https://cao.dolgi.msk.ru/account/1080052947/", 1080052947)</f>
        <v>1080052947</v>
      </c>
      <c r="D19194" t="s">
        <v>16346</v>
      </c>
      <c r="E19194">
        <v>14880.42</v>
      </c>
      <c r="G19194" t="s">
        <v>14</v>
      </c>
      <c r="I19194" t="s">
        <v>13</v>
      </c>
    </row>
    <row r="19195" spans="1:9" hidden="1" x14ac:dyDescent="0.25">
      <c r="A19195" t="s">
        <v>16337</v>
      </c>
      <c r="B19195" t="s">
        <v>27</v>
      </c>
      <c r="C19195" s="2">
        <f>HYPERLINK("https://cao.dolgi.msk.ru/account/1083390976/", 1083390976)</f>
        <v>1083390976</v>
      </c>
      <c r="D19195" t="s">
        <v>16346</v>
      </c>
      <c r="E19195">
        <v>13085.57</v>
      </c>
      <c r="F19195">
        <v>1</v>
      </c>
      <c r="G19195" t="s">
        <v>12</v>
      </c>
      <c r="I19195" t="s">
        <v>13</v>
      </c>
    </row>
    <row r="19196" spans="1:9" hidden="1" x14ac:dyDescent="0.25">
      <c r="A19196" t="s">
        <v>16337</v>
      </c>
      <c r="B19196" t="s">
        <v>29</v>
      </c>
      <c r="C19196" s="2">
        <f>HYPERLINK("https://cao.dolgi.msk.ru/account/1080052955/", 1080052955)</f>
        <v>1080052955</v>
      </c>
      <c r="D19196" t="s">
        <v>16347</v>
      </c>
      <c r="E19196">
        <v>3500.93</v>
      </c>
      <c r="F19196">
        <v>1</v>
      </c>
      <c r="G19196" t="s">
        <v>14</v>
      </c>
      <c r="I19196" t="s">
        <v>13</v>
      </c>
    </row>
    <row r="19197" spans="1:9" hidden="1" x14ac:dyDescent="0.25">
      <c r="A19197" t="s">
        <v>16337</v>
      </c>
      <c r="B19197" t="s">
        <v>29</v>
      </c>
      <c r="C19197" s="2">
        <f>HYPERLINK("https://cao.dolgi.msk.ru/account/1083390992/", 1083390992)</f>
        <v>1083390992</v>
      </c>
      <c r="D19197" t="s">
        <v>16347</v>
      </c>
      <c r="E19197">
        <v>-8827.83</v>
      </c>
      <c r="F19197">
        <v>-1.02</v>
      </c>
      <c r="G19197" t="s">
        <v>12</v>
      </c>
      <c r="I19197" t="s">
        <v>13</v>
      </c>
    </row>
    <row r="19198" spans="1:9" hidden="1" x14ac:dyDescent="0.25">
      <c r="A19198" t="s">
        <v>16337</v>
      </c>
      <c r="B19198" t="s">
        <v>31</v>
      </c>
      <c r="C19198" s="2">
        <f>HYPERLINK("https://cao.dolgi.msk.ru/account/1080052963/", 1080052963)</f>
        <v>1080052963</v>
      </c>
      <c r="D19198" t="s">
        <v>16348</v>
      </c>
      <c r="E19198">
        <v>28945.31</v>
      </c>
      <c r="G19198" t="s">
        <v>14</v>
      </c>
      <c r="I19198" t="s">
        <v>13</v>
      </c>
    </row>
    <row r="19199" spans="1:9" hidden="1" x14ac:dyDescent="0.25">
      <c r="A19199" t="s">
        <v>16337</v>
      </c>
      <c r="B19199" t="s">
        <v>31</v>
      </c>
      <c r="C19199" s="2">
        <f>HYPERLINK("https://cao.dolgi.msk.ru/account/1083390909/", 1083390909)</f>
        <v>1083390909</v>
      </c>
      <c r="D19199" t="s">
        <v>16348</v>
      </c>
      <c r="E19199">
        <v>0</v>
      </c>
      <c r="F19199">
        <v>0</v>
      </c>
      <c r="G19199" t="s">
        <v>12</v>
      </c>
      <c r="I19199" t="s">
        <v>13</v>
      </c>
    </row>
    <row r="19200" spans="1:9" hidden="1" x14ac:dyDescent="0.25">
      <c r="A19200" t="s">
        <v>16337</v>
      </c>
      <c r="B19200" t="s">
        <v>33</v>
      </c>
      <c r="C19200" s="2">
        <f>HYPERLINK("https://cao.dolgi.msk.ru/account/1080052971/", 1080052971)</f>
        <v>1080052971</v>
      </c>
      <c r="D19200" t="s">
        <v>16349</v>
      </c>
      <c r="E19200">
        <v>-194.8</v>
      </c>
      <c r="G19200" t="s">
        <v>14</v>
      </c>
      <c r="I19200" t="s">
        <v>13</v>
      </c>
    </row>
    <row r="19201" spans="1:9" hidden="1" x14ac:dyDescent="0.25">
      <c r="A19201" t="s">
        <v>16337</v>
      </c>
      <c r="B19201" t="s">
        <v>33</v>
      </c>
      <c r="C19201" s="2">
        <f>HYPERLINK("https://cao.dolgi.msk.ru/account/1083390933/", 1083390933)</f>
        <v>1083390933</v>
      </c>
      <c r="D19201" t="s">
        <v>16349</v>
      </c>
      <c r="E19201">
        <v>0</v>
      </c>
      <c r="F19201">
        <v>0</v>
      </c>
      <c r="G19201" t="s">
        <v>12</v>
      </c>
      <c r="I19201" t="s">
        <v>13</v>
      </c>
    </row>
    <row r="19202" spans="1:9" hidden="1" x14ac:dyDescent="0.25">
      <c r="A19202" t="s">
        <v>16350</v>
      </c>
      <c r="B19202" t="s">
        <v>10</v>
      </c>
      <c r="C19202" s="2">
        <f>HYPERLINK("https://cao.dolgi.msk.ru/account/1080110561/", 1080110561)</f>
        <v>1080110561</v>
      </c>
      <c r="D19202" t="s">
        <v>16351</v>
      </c>
      <c r="E19202">
        <v>-3544.14</v>
      </c>
      <c r="F19202">
        <v>-0.99</v>
      </c>
      <c r="G19202" t="s">
        <v>12</v>
      </c>
      <c r="H19202" t="s">
        <v>7</v>
      </c>
      <c r="I19202" t="s">
        <v>2409</v>
      </c>
    </row>
    <row r="19203" spans="1:9" hidden="1" x14ac:dyDescent="0.25">
      <c r="A19203" t="s">
        <v>16350</v>
      </c>
      <c r="B19203" t="s">
        <v>10</v>
      </c>
      <c r="C19203" s="2">
        <f>HYPERLINK("https://cao.dolgi.msk.ru/account/1080110588/", 1080110588)</f>
        <v>1080110588</v>
      </c>
      <c r="D19203" t="s">
        <v>16352</v>
      </c>
      <c r="E19203">
        <v>-3118.6</v>
      </c>
      <c r="F19203">
        <v>-0.99</v>
      </c>
      <c r="G19203" t="s">
        <v>12</v>
      </c>
      <c r="H19203" t="s">
        <v>7</v>
      </c>
      <c r="I19203" t="s">
        <v>2409</v>
      </c>
    </row>
    <row r="19204" spans="1:9" hidden="1" x14ac:dyDescent="0.25">
      <c r="A19204" t="s">
        <v>16350</v>
      </c>
      <c r="B19204" t="s">
        <v>10</v>
      </c>
      <c r="C19204" s="2">
        <f>HYPERLINK("https://cao.dolgi.msk.ru/account/1080110596/", 1080110596)</f>
        <v>1080110596</v>
      </c>
      <c r="D19204" t="s">
        <v>16352</v>
      </c>
      <c r="E19204">
        <v>40.75</v>
      </c>
      <c r="F19204">
        <v>0.02</v>
      </c>
      <c r="G19204" t="s">
        <v>12</v>
      </c>
      <c r="H19204" t="s">
        <v>7</v>
      </c>
      <c r="I19204" t="s">
        <v>2409</v>
      </c>
    </row>
    <row r="19205" spans="1:9" hidden="1" x14ac:dyDescent="0.25">
      <c r="A19205" t="s">
        <v>16350</v>
      </c>
      <c r="B19205" t="s">
        <v>10</v>
      </c>
      <c r="C19205" s="2">
        <f>HYPERLINK("https://cao.dolgi.msk.ru/account/1080110609/", 1080110609)</f>
        <v>1080110609</v>
      </c>
      <c r="D19205" t="s">
        <v>16352</v>
      </c>
      <c r="E19205">
        <v>-2000</v>
      </c>
      <c r="F19205">
        <v>-0.7</v>
      </c>
      <c r="G19205" t="s">
        <v>12</v>
      </c>
      <c r="H19205" t="s">
        <v>7</v>
      </c>
      <c r="I19205" t="s">
        <v>2409</v>
      </c>
    </row>
    <row r="19206" spans="1:9" hidden="1" x14ac:dyDescent="0.25">
      <c r="A19206" t="s">
        <v>16350</v>
      </c>
      <c r="B19206" t="s">
        <v>16</v>
      </c>
      <c r="C19206" s="2">
        <f>HYPERLINK("https://cao.dolgi.msk.ru/account/1080110617/", 1080110617)</f>
        <v>1080110617</v>
      </c>
      <c r="D19206" t="s">
        <v>16353</v>
      </c>
      <c r="E19206">
        <v>-7324.13</v>
      </c>
      <c r="F19206">
        <v>-1.05</v>
      </c>
      <c r="G19206" t="s">
        <v>12</v>
      </c>
      <c r="I19206" t="s">
        <v>2409</v>
      </c>
    </row>
    <row r="19207" spans="1:9" hidden="1" x14ac:dyDescent="0.25">
      <c r="A19207" t="s">
        <v>16350</v>
      </c>
      <c r="B19207" t="s">
        <v>18</v>
      </c>
      <c r="C19207" s="2">
        <f>HYPERLINK("https://cao.dolgi.msk.ru/account/1080110625/", 1080110625)</f>
        <v>1080110625</v>
      </c>
      <c r="D19207" t="s">
        <v>16354</v>
      </c>
      <c r="E19207">
        <v>0</v>
      </c>
      <c r="F19207">
        <v>0</v>
      </c>
      <c r="G19207" t="s">
        <v>12</v>
      </c>
      <c r="I19207" t="s">
        <v>2409</v>
      </c>
    </row>
    <row r="19208" spans="1:9" x14ac:dyDescent="0.25">
      <c r="A19208" t="s">
        <v>16350</v>
      </c>
      <c r="B19208" t="s">
        <v>20</v>
      </c>
      <c r="C19208" s="2">
        <f>HYPERLINK("https://cao.dolgi.msk.ru/account/1080110668/", 1080110668)</f>
        <v>1080110668</v>
      </c>
      <c r="D19208" t="s">
        <v>16355</v>
      </c>
      <c r="E19208">
        <v>23828.52</v>
      </c>
      <c r="F19208">
        <v>9.24</v>
      </c>
      <c r="G19208" t="s">
        <v>12</v>
      </c>
      <c r="H19208" t="s">
        <v>7</v>
      </c>
      <c r="I19208" t="s">
        <v>2409</v>
      </c>
    </row>
    <row r="19209" spans="1:9" hidden="1" x14ac:dyDescent="0.25">
      <c r="A19209" t="s">
        <v>16350</v>
      </c>
      <c r="B19209" t="s">
        <v>20</v>
      </c>
      <c r="C19209" s="2">
        <f>HYPERLINK("https://cao.dolgi.msk.ru/account/1080110676/", 1080110676)</f>
        <v>1080110676</v>
      </c>
      <c r="D19209" t="s">
        <v>16356</v>
      </c>
      <c r="E19209">
        <v>93.52</v>
      </c>
      <c r="F19209">
        <v>0.05</v>
      </c>
      <c r="G19209" t="s">
        <v>12</v>
      </c>
      <c r="H19209" t="s">
        <v>7</v>
      </c>
      <c r="I19209" t="s">
        <v>2409</v>
      </c>
    </row>
    <row r="19210" spans="1:9" hidden="1" x14ac:dyDescent="0.25">
      <c r="A19210" t="s">
        <v>16350</v>
      </c>
      <c r="B19210" t="s">
        <v>20</v>
      </c>
      <c r="C19210" s="2">
        <f>HYPERLINK("https://cao.dolgi.msk.ru/account/1080110908/", 1080110908)</f>
        <v>1080110908</v>
      </c>
      <c r="D19210" t="s">
        <v>16355</v>
      </c>
      <c r="E19210">
        <v>-6123.64</v>
      </c>
      <c r="F19210">
        <v>-1.1299999999999999</v>
      </c>
      <c r="G19210" t="s">
        <v>12</v>
      </c>
      <c r="H19210" t="s">
        <v>7</v>
      </c>
      <c r="I19210" t="s">
        <v>2409</v>
      </c>
    </row>
    <row r="19211" spans="1:9" hidden="1" x14ac:dyDescent="0.25">
      <c r="A19211" t="s">
        <v>16350</v>
      </c>
      <c r="B19211" t="s">
        <v>21</v>
      </c>
      <c r="C19211" s="2">
        <f>HYPERLINK("https://cao.dolgi.msk.ru/account/1080110684/", 1080110684)</f>
        <v>1080110684</v>
      </c>
      <c r="D19211" t="s">
        <v>16357</v>
      </c>
      <c r="E19211">
        <v>58.2</v>
      </c>
      <c r="F19211">
        <v>0.01</v>
      </c>
      <c r="G19211" t="s">
        <v>12</v>
      </c>
      <c r="I19211" t="s">
        <v>2409</v>
      </c>
    </row>
    <row r="19212" spans="1:9" hidden="1" x14ac:dyDescent="0.25">
      <c r="A19212" t="s">
        <v>16350</v>
      </c>
      <c r="B19212" t="s">
        <v>22</v>
      </c>
      <c r="C19212" s="2">
        <f>HYPERLINK("https://cao.dolgi.msk.ru/account/1080110692/", 1080110692)</f>
        <v>1080110692</v>
      </c>
      <c r="D19212" t="s">
        <v>16358</v>
      </c>
      <c r="E19212">
        <v>-8728.81</v>
      </c>
      <c r="F19212">
        <v>-1</v>
      </c>
      <c r="G19212" t="s">
        <v>12</v>
      </c>
      <c r="I19212" t="s">
        <v>2409</v>
      </c>
    </row>
    <row r="19213" spans="1:9" hidden="1" x14ac:dyDescent="0.25">
      <c r="A19213" t="s">
        <v>16350</v>
      </c>
      <c r="B19213" t="s">
        <v>22</v>
      </c>
      <c r="C19213" s="2">
        <f>HYPERLINK("https://cao.dolgi.msk.ru/account/1083273243/", 1083273243)</f>
        <v>1083273243</v>
      </c>
      <c r="D19213" t="s">
        <v>16358</v>
      </c>
      <c r="G19213" t="s">
        <v>14</v>
      </c>
      <c r="I19213" t="s">
        <v>2409</v>
      </c>
    </row>
    <row r="19214" spans="1:9" hidden="1" x14ac:dyDescent="0.25">
      <c r="A19214" t="s">
        <v>16350</v>
      </c>
      <c r="B19214" t="s">
        <v>23</v>
      </c>
      <c r="C19214" s="2">
        <f>HYPERLINK("https://cao.dolgi.msk.ru/account/1080110713/", 1080110713)</f>
        <v>1080110713</v>
      </c>
      <c r="D19214" t="s">
        <v>16359</v>
      </c>
      <c r="E19214">
        <v>-8642.5300000000007</v>
      </c>
      <c r="F19214">
        <v>-1.08</v>
      </c>
      <c r="G19214" t="s">
        <v>12</v>
      </c>
      <c r="I19214" t="s">
        <v>2409</v>
      </c>
    </row>
    <row r="19215" spans="1:9" hidden="1" x14ac:dyDescent="0.25">
      <c r="A19215" t="s">
        <v>16350</v>
      </c>
      <c r="B19215" t="s">
        <v>24</v>
      </c>
      <c r="C19215" s="2">
        <f>HYPERLINK("https://cao.dolgi.msk.ru/account/1080110721/", 1080110721)</f>
        <v>1080110721</v>
      </c>
      <c r="D19215" t="s">
        <v>16360</v>
      </c>
      <c r="E19215">
        <v>-4636.9799999999996</v>
      </c>
      <c r="F19215">
        <v>-1.01</v>
      </c>
      <c r="G19215" t="s">
        <v>12</v>
      </c>
      <c r="I19215" t="s">
        <v>2409</v>
      </c>
    </row>
    <row r="19216" spans="1:9" hidden="1" x14ac:dyDescent="0.25">
      <c r="A19216" t="s">
        <v>16350</v>
      </c>
      <c r="B19216" t="s">
        <v>24</v>
      </c>
      <c r="C19216" s="2">
        <f>HYPERLINK("https://cao.dolgi.msk.ru/account/1089131326/", 1089131326)</f>
        <v>1089131326</v>
      </c>
      <c r="D19216" t="s">
        <v>16360</v>
      </c>
      <c r="E19216">
        <v>-3413.43</v>
      </c>
      <c r="F19216">
        <v>-1.02</v>
      </c>
      <c r="G19216" t="s">
        <v>12</v>
      </c>
      <c r="I19216" t="s">
        <v>2409</v>
      </c>
    </row>
    <row r="19217" spans="1:9" hidden="1" x14ac:dyDescent="0.25">
      <c r="A19217" t="s">
        <v>16350</v>
      </c>
      <c r="B19217" t="s">
        <v>27</v>
      </c>
      <c r="C19217" s="2">
        <f>HYPERLINK("https://cao.dolgi.msk.ru/account/1080110748/", 1080110748)</f>
        <v>1080110748</v>
      </c>
      <c r="D19217" t="s">
        <v>16361</v>
      </c>
      <c r="E19217">
        <v>-15116.33</v>
      </c>
      <c r="F19217">
        <v>-1.01</v>
      </c>
      <c r="G19217" t="s">
        <v>12</v>
      </c>
      <c r="I19217" t="s">
        <v>2409</v>
      </c>
    </row>
    <row r="19218" spans="1:9" hidden="1" x14ac:dyDescent="0.25">
      <c r="A19218" t="s">
        <v>16350</v>
      </c>
      <c r="B19218" t="s">
        <v>29</v>
      </c>
      <c r="C19218" s="2">
        <f>HYPERLINK("https://cao.dolgi.msk.ru/account/1080110772/", 1080110772)</f>
        <v>1080110772</v>
      </c>
      <c r="D19218" t="s">
        <v>16362</v>
      </c>
      <c r="E19218">
        <v>-5844.75</v>
      </c>
      <c r="F19218">
        <v>-0.98</v>
      </c>
      <c r="G19218" t="s">
        <v>12</v>
      </c>
      <c r="I19218" t="s">
        <v>2409</v>
      </c>
    </row>
    <row r="19219" spans="1:9" hidden="1" x14ac:dyDescent="0.25">
      <c r="A19219" t="s">
        <v>16350</v>
      </c>
      <c r="B19219" t="s">
        <v>31</v>
      </c>
      <c r="C19219" s="2">
        <f>HYPERLINK("https://cao.dolgi.msk.ru/account/1080110799/", 1080110799)</f>
        <v>1080110799</v>
      </c>
      <c r="D19219" t="s">
        <v>16363</v>
      </c>
      <c r="E19219">
        <v>-3939.77</v>
      </c>
      <c r="F19219">
        <v>-1.22</v>
      </c>
      <c r="G19219" t="s">
        <v>12</v>
      </c>
      <c r="I19219" t="s">
        <v>2409</v>
      </c>
    </row>
    <row r="19220" spans="1:9" hidden="1" x14ac:dyDescent="0.25">
      <c r="A19220" t="s">
        <v>16350</v>
      </c>
      <c r="B19220" t="s">
        <v>33</v>
      </c>
      <c r="C19220" s="2">
        <f>HYPERLINK("https://cao.dolgi.msk.ru/account/1080110801/", 1080110801)</f>
        <v>1080110801</v>
      </c>
      <c r="D19220" t="s">
        <v>16364</v>
      </c>
      <c r="E19220">
        <v>-6219.05</v>
      </c>
      <c r="F19220">
        <v>-1.03</v>
      </c>
      <c r="G19220" t="s">
        <v>12</v>
      </c>
      <c r="I19220" t="s">
        <v>2409</v>
      </c>
    </row>
    <row r="19221" spans="1:9" hidden="1" x14ac:dyDescent="0.25">
      <c r="A19221" t="s">
        <v>16350</v>
      </c>
      <c r="B19221" t="s">
        <v>34</v>
      </c>
      <c r="C19221" s="2">
        <f>HYPERLINK("https://cao.dolgi.msk.ru/account/1080110828/", 1080110828)</f>
        <v>1080110828</v>
      </c>
      <c r="D19221" t="s">
        <v>16365</v>
      </c>
      <c r="E19221">
        <v>-15271.77</v>
      </c>
      <c r="F19221">
        <v>-1</v>
      </c>
      <c r="G19221" t="s">
        <v>12</v>
      </c>
      <c r="I19221" t="s">
        <v>2409</v>
      </c>
    </row>
    <row r="19222" spans="1:9" hidden="1" x14ac:dyDescent="0.25">
      <c r="A19222" t="s">
        <v>16350</v>
      </c>
      <c r="B19222" t="s">
        <v>36</v>
      </c>
      <c r="C19222" s="2">
        <f>HYPERLINK("https://cao.dolgi.msk.ru/account/1080110852/", 1080110852)</f>
        <v>1080110852</v>
      </c>
      <c r="D19222" t="s">
        <v>16366</v>
      </c>
      <c r="E19222">
        <v>213.29</v>
      </c>
      <c r="F19222">
        <v>0.05</v>
      </c>
      <c r="G19222" t="s">
        <v>12</v>
      </c>
      <c r="I19222" t="s">
        <v>2409</v>
      </c>
    </row>
    <row r="19223" spans="1:9" hidden="1" x14ac:dyDescent="0.25">
      <c r="A19223" t="s">
        <v>16350</v>
      </c>
      <c r="B19223" t="s">
        <v>38</v>
      </c>
      <c r="C19223" s="2">
        <f>HYPERLINK("https://cao.dolgi.msk.ru/account/1080110879/", 1080110879)</f>
        <v>1080110879</v>
      </c>
      <c r="D19223" t="s">
        <v>15</v>
      </c>
      <c r="E19223">
        <v>0</v>
      </c>
      <c r="G19223" t="s">
        <v>14</v>
      </c>
      <c r="H19223" t="s">
        <v>7</v>
      </c>
      <c r="I19223" t="s">
        <v>2409</v>
      </c>
    </row>
    <row r="19224" spans="1:9" hidden="1" x14ac:dyDescent="0.25">
      <c r="A19224" t="s">
        <v>16350</v>
      </c>
      <c r="B19224" t="s">
        <v>38</v>
      </c>
      <c r="C19224" s="2">
        <f>HYPERLINK("https://cao.dolgi.msk.ru/account/1080110887/", 1080110887)</f>
        <v>1080110887</v>
      </c>
      <c r="D19224" t="s">
        <v>15</v>
      </c>
      <c r="E19224">
        <v>1133.29</v>
      </c>
      <c r="F19224">
        <v>1</v>
      </c>
      <c r="G19224" t="s">
        <v>14</v>
      </c>
      <c r="I19224" t="s">
        <v>2409</v>
      </c>
    </row>
    <row r="19225" spans="1:9" hidden="1" x14ac:dyDescent="0.25">
      <c r="A19225" t="s">
        <v>16350</v>
      </c>
      <c r="B19225" t="s">
        <v>38</v>
      </c>
      <c r="C19225" s="2">
        <f>HYPERLINK("https://cao.dolgi.msk.ru/account/1080110895/", 1080110895)</f>
        <v>1080110895</v>
      </c>
      <c r="D19225" t="s">
        <v>1082</v>
      </c>
      <c r="E19225">
        <v>0</v>
      </c>
      <c r="G19225" t="s">
        <v>14</v>
      </c>
      <c r="I19225" t="s">
        <v>2409</v>
      </c>
    </row>
    <row r="19226" spans="1:9" hidden="1" x14ac:dyDescent="0.25">
      <c r="A19226" t="s">
        <v>16350</v>
      </c>
      <c r="B19226" t="s">
        <v>38</v>
      </c>
      <c r="C19226" s="2">
        <f>HYPERLINK("https://cao.dolgi.msk.ru/account/1080326071/", 1080326071)</f>
        <v>1080326071</v>
      </c>
      <c r="D19226" t="s">
        <v>15</v>
      </c>
      <c r="E19226">
        <v>0</v>
      </c>
      <c r="G19226" t="s">
        <v>14</v>
      </c>
      <c r="I19226" t="s">
        <v>2409</v>
      </c>
    </row>
    <row r="19227" spans="1:9" hidden="1" x14ac:dyDescent="0.25">
      <c r="A19227" t="s">
        <v>16350</v>
      </c>
      <c r="B19227" t="s">
        <v>38</v>
      </c>
      <c r="C19227" s="2">
        <f>HYPERLINK("https://cao.dolgi.msk.ru/account/1083391004/", 1083391004)</f>
        <v>1083391004</v>
      </c>
      <c r="D19227" t="s">
        <v>189</v>
      </c>
      <c r="E19227">
        <v>-9403.4599999999991</v>
      </c>
      <c r="F19227">
        <v>-1.05</v>
      </c>
      <c r="G19227" t="s">
        <v>12</v>
      </c>
      <c r="I19227" t="s">
        <v>2409</v>
      </c>
    </row>
    <row r="19229" spans="1:9" x14ac:dyDescent="0.25">
      <c r="A19229" s="4" t="s">
        <v>16367</v>
      </c>
      <c r="B19229" s="3"/>
      <c r="C19229" s="3"/>
      <c r="D19229" s="3"/>
      <c r="E19229" s="3"/>
      <c r="F19229" s="3"/>
      <c r="G19229" s="3"/>
      <c r="H19229" s="3"/>
      <c r="I19229" s="3"/>
    </row>
    <row r="19230" spans="1:9" x14ac:dyDescent="0.25">
      <c r="A19230" s="3"/>
      <c r="B19230" s="3"/>
      <c r="C19230" s="3"/>
      <c r="D19230" s="3"/>
      <c r="E19230" s="3"/>
      <c r="F19230" s="3"/>
      <c r="G19230" s="3"/>
      <c r="H19230" s="3"/>
      <c r="I19230" s="3"/>
    </row>
    <row r="19231" spans="1:9" x14ac:dyDescent="0.25">
      <c r="A19231" s="3"/>
      <c r="B19231" s="3"/>
      <c r="C19231" s="3"/>
      <c r="D19231" s="3"/>
      <c r="E19231" s="3"/>
      <c r="F19231" s="3"/>
      <c r="G19231" s="3"/>
      <c r="H19231" s="3"/>
      <c r="I19231" s="3"/>
    </row>
    <row r="19232" spans="1:9" ht="117" customHeight="1" x14ac:dyDescent="0.25">
      <c r="A19232" s="3"/>
      <c r="B19232" s="3"/>
      <c r="C19232" s="3"/>
      <c r="D19232" s="3"/>
      <c r="E19232" s="3"/>
      <c r="F19232" s="3"/>
      <c r="G19232" s="3"/>
      <c r="H19232" s="3"/>
      <c r="I19232" s="3"/>
    </row>
  </sheetData>
  <autoFilter ref="A1:I19227" xr:uid="{00000000-0009-0000-0000-000000000000}">
    <filterColumn colId="5">
      <customFilters>
        <customFilter operator="greaterThan" val="1"/>
      </customFilters>
    </filterColumn>
    <filterColumn colId="6">
      <filters>
        <filter val="Открыт"/>
      </filters>
    </filterColumn>
  </autoFilter>
  <mergeCells count="1">
    <mergeCell ref="A19229:I1923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Ира</dc:creator>
  <cp:lastModifiedBy>Ира</cp:lastModifiedBy>
  <dcterms:created xsi:type="dcterms:W3CDTF">2021-02-10T12:35:49Z</dcterms:created>
  <dcterms:modified xsi:type="dcterms:W3CDTF">2021-02-10T14:07:17Z</dcterms:modified>
</cp:coreProperties>
</file>